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5.xml" ContentType="application/vnd.openxmlformats-officedocument.drawing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hidePivotFieldList="1"/>
  <mc:AlternateContent xmlns:mc="http://schemas.openxmlformats.org/markup-compatibility/2006">
    <mc:Choice Requires="x15">
      <x15ac:absPath xmlns:x15ac="http://schemas.microsoft.com/office/spreadsheetml/2010/11/ac" url="D:\COVID-19\"/>
    </mc:Choice>
  </mc:AlternateContent>
  <xr:revisionPtr revIDLastSave="0" documentId="13_ncr:1_{52C523CB-AD0B-4D26-9386-C3544FB7C523}" xr6:coauthVersionLast="45" xr6:coauthVersionMax="45" xr10:uidLastSave="{00000000-0000-0000-0000-000000000000}"/>
  <bookViews>
    <workbookView xWindow="-108" yWindow="-108" windowWidth="23256" windowHeight="12576" firstSheet="2" activeTab="3" xr2:uid="{00000000-000D-0000-FFFF-FFFF00000000}"/>
  </bookViews>
  <sheets>
    <sheet name="time_series_covid19_confirmed_g" sheetId="25" r:id="rId1"/>
    <sheet name="dpc-covid19-ita-andamento-naz" sheetId="18" r:id="rId2"/>
    <sheet name="dpc-covid19-ita-regioni" sheetId="20" r:id="rId3"/>
    <sheet name="Cumul_cases - LNorm" sheetId="22" r:id="rId4"/>
    <sheet name="New_cases - LNorm" sheetId="23" r:id="rId5"/>
    <sheet name="New_cases_rates - LNorm" sheetId="24" r:id="rId6"/>
  </sheets>
  <definedNames>
    <definedName name="_xlcn.WorksheetConnection_COVID19ItalycasestrendBfit.xlsxdpc_covid19_ita_andamento_nazionale1" hidden="1">dpc_covid19_ita_andamento_nazionale</definedName>
    <definedName name="alpha">'New_cases_rates - LNorm'!$I$6</definedName>
    <definedName name="CI">'Cumul_cases - LNorm'!$AD$16</definedName>
    <definedName name="CIa">'New_cases - LNorm'!$AM$41</definedName>
    <definedName name="CIf">'New_cases - LNorm'!$AM$54</definedName>
    <definedName name="CIl">'New_cases - LNorm'!$AM$28</definedName>
    <definedName name="CIo">'Cumul_cases - LNorm'!$AD$38</definedName>
    <definedName name="CIr">'Cumul_cases - LNorm'!$AD$27</definedName>
    <definedName name="CIt">'Cumul_cases - LNorm'!$AD$49</definedName>
    <definedName name="CIw">'New_cases - LNorm'!$AM$16</definedName>
    <definedName name="Critical_t">'Cumul_cases - LNorm'!$AD$15</definedName>
    <definedName name="Critical_ta">'New_cases - LNorm'!$AM$40</definedName>
    <definedName name="Critical_tf">'New_cases - LNorm'!$AM$53</definedName>
    <definedName name="Critical_tl">'New_cases - LNorm'!$AM$27</definedName>
    <definedName name="Critical_to">'Cumul_cases - LNorm'!$AD$37</definedName>
    <definedName name="Critical_tr">'Cumul_cases - LNorm'!$AD$26</definedName>
    <definedName name="Critical_tt">'Cumul_cases - LNorm'!$AD$48</definedName>
    <definedName name="Critical_tw">'New_cases - LNorm'!$AM$15</definedName>
    <definedName name="D_bk">'New_cases - LNorm'!$J$6</definedName>
    <definedName name="DatiEsterni_1" localSheetId="1" hidden="1">'dpc-covid19-ita-andamento-naz'!$A$1:$P$66</definedName>
    <definedName name="DatiEsterni_1" localSheetId="2" hidden="1">'dpc-covid19-ita-regioni'!$A$1:$T$1366</definedName>
    <definedName name="DatiEsterni_1" localSheetId="0" hidden="1">time_series_covid19_confirmed_g!$A$1:$CT$266</definedName>
    <definedName name="DatiEsterni_2" localSheetId="1" hidden="1">'dpc-covid19-ita-andamento-naz'!#REF!</definedName>
    <definedName name="Day_1">'New_cases - LNorm'!$C$62</definedName>
    <definedName name="Days_back">'Cumul_cases - LNorm'!$H$6</definedName>
    <definedName name="df">'Cumul_cases - LNorm'!$AD$12</definedName>
    <definedName name="dfa">'New_cases - LNorm'!$AM$37</definedName>
    <definedName name="dff">'New_cases - LNorm'!$AM$50</definedName>
    <definedName name="dfl">'New_cases - LNorm'!$AM$24</definedName>
    <definedName name="dfo">'Cumul_cases - LNorm'!$AD$34</definedName>
    <definedName name="dfr">'Cumul_cases - LNorm'!$AD$23</definedName>
    <definedName name="dft">'Cumul_cases - LNorm'!$AD$45</definedName>
    <definedName name="dfw">'New_cases - LNorm'!$AM$12</definedName>
    <definedName name="Itali_acc_at_lockdown">'New_cases_rates - LNorm'!$Z$4</definedName>
    <definedName name="Italy_dt_at_lockdown">'New_cases_rates - LNorm'!$I$4</definedName>
    <definedName name="Italy_gr_at_lockdown">'New_cases_rates - LNorm'!$P$4</definedName>
    <definedName name="Italy_ht_at_lockdown">'New_cases_rates - LNorm'!$X$4</definedName>
    <definedName name="k_a">'New_cases - LNorm'!$AJ$4</definedName>
    <definedName name="k_f">'New_cases - LNorm'!$AJ$5</definedName>
    <definedName name="k_l">'New_cases - LNorm'!$AJ$3</definedName>
    <definedName name="K_sum">'Cumul_cases - LNorm'!$AD$17</definedName>
    <definedName name="Ka">'New_cases - LNorm'!$AM$33</definedName>
    <definedName name="Kf">'New_cases - LNorm'!$AM$46</definedName>
    <definedName name="Kl">'New_cases - LNorm'!$AM$20</definedName>
    <definedName name="Ko">'Cumul_cases - LNorm'!$AD$30</definedName>
    <definedName name="Kr">'Cumul_cases - LNorm'!$AD$19</definedName>
    <definedName name="Kt">'Cumul_cases - LNorm'!$AD$41</definedName>
    <definedName name="Mean_of_y">'Cumul_cases - LNorm'!$AD$11</definedName>
    <definedName name="Mean_of_ya">'New_cases - LNorm'!$AM$36</definedName>
    <definedName name="Mean_of_yf">'New_cases - LNorm'!$AM$49</definedName>
    <definedName name="Mean_of_yl">'New_cases - LNorm'!$AM$23</definedName>
    <definedName name="Mean_of_yo">'Cumul_cases - LNorm'!$AD$33</definedName>
    <definedName name="Mean_of_yr">'Cumul_cases - LNorm'!$AD$22</definedName>
    <definedName name="Mean_of_yt">'Cumul_cases - LNorm'!$AD$44</definedName>
    <definedName name="Mean_of_yw">'New_cases - LNorm'!$AM$11</definedName>
    <definedName name="mu_a">'New_cases - LNorm'!$AM$34</definedName>
    <definedName name="mu_f">'New_cases - LNorm'!$AM$47</definedName>
    <definedName name="mu_l">'New_cases - LNorm'!$AM$21</definedName>
    <definedName name="mu_o">'Cumul_cases - LNorm'!$AD$31</definedName>
    <definedName name="mu_r">'Cumul_cases - LNorm'!$AD$20</definedName>
    <definedName name="mu_t">'Cumul_cases - LNorm'!$AD$42</definedName>
    <definedName name="Oggi">'Cumul_cases - LNorm'!$B$6</definedName>
    <definedName name="pa">'New_cases - LNorm'!$AM$44</definedName>
    <definedName name="Peak_w">'New_cases - LNorm'!$AM$17</definedName>
    <definedName name="pf">'New_cases - LNorm'!$AM$57</definedName>
    <definedName name="pl">'New_cases - LNorm'!$AM$31</definedName>
    <definedName name="po">'Cumul_cases - LNorm'!$AD$39</definedName>
    <definedName name="pr">'Cumul_cases - LNorm'!$AD$28</definedName>
    <definedName name="pt">'Cumul_cases - LNorm'!$AD$50</definedName>
    <definedName name="RSQ">'Cumul_cases - LNorm'!$AD$14</definedName>
    <definedName name="RSQa">'New_cases - LNorm'!$AM$39</definedName>
    <definedName name="RSQf">'New_cases - LNorm'!$AM$52</definedName>
    <definedName name="RSQl">'New_cases - LNorm'!$AM$26</definedName>
    <definedName name="RSQo">'Cumul_cases - LNorm'!$AD$36</definedName>
    <definedName name="RSQr">'Cumul_cases - LNorm'!$AD$25</definedName>
    <definedName name="RSQt">'Cumul_cases - LNorm'!$AD$47</definedName>
    <definedName name="RSQw">'New_cases - LNorm'!$AM$14</definedName>
    <definedName name="SE_of_y">'Cumul_cases - LNorm'!$AD$13</definedName>
    <definedName name="SE_of_ya">'New_cases - LNorm'!$AM$38</definedName>
    <definedName name="SE_of_yf">'New_cases - LNorm'!$AM$51</definedName>
    <definedName name="SE_of_yl">'New_cases - LNorm'!$AM$25</definedName>
    <definedName name="SE_of_yo">'Cumul_cases - LNorm'!$AD$35</definedName>
    <definedName name="SE_of_yr">'Cumul_cases - LNorm'!$AD$24</definedName>
    <definedName name="SE_of_yt">'Cumul_cases - LNorm'!$AD$46</definedName>
    <definedName name="SE_of_yw">'New_cases - LNorm'!$AM$13</definedName>
    <definedName name="sigma_a">'New_cases - LNorm'!$AM$35</definedName>
    <definedName name="sigma_f">'New_cases - LNorm'!$AM$48</definedName>
    <definedName name="sigma_l">'New_cases - LNorm'!$AM$22</definedName>
    <definedName name="sigma_o">'Cumul_cases - LNorm'!$AD$32</definedName>
    <definedName name="sigma_r">'Cumul_cases - LNorm'!$AD$21</definedName>
    <definedName name="sigma_t">'Cumul_cases - LNorm'!$AD$43</definedName>
    <definedName name="solver_adj" localSheetId="3" hidden="1">'Cumul_cases - LNorm'!$AD$41,'Cumul_cases - LNorm'!$AD$42,'Cumul_cases - LNorm'!$AD$43,'Cumul_cases - LNorm'!$AD$50</definedName>
    <definedName name="solver_adj" localSheetId="4" hidden="1">'New_cases - LNorm'!$AM$46,'New_cases - LNorm'!$AM$47,'New_cases - LNorm'!$AM$48,'New_cases - LNorm'!$AM$57</definedName>
    <definedName name="solver_cvg" localSheetId="3" hidden="1">0.0001</definedName>
    <definedName name="solver_cvg" localSheetId="4" hidden="1">0.0001</definedName>
    <definedName name="solver_drv" localSheetId="3" hidden="1">2</definedName>
    <definedName name="solver_drv" localSheetId="4" hidden="1">2</definedName>
    <definedName name="solver_eng" localSheetId="3" hidden="1">1</definedName>
    <definedName name="solver_eng" localSheetId="4" hidden="1">1</definedName>
    <definedName name="solver_est" localSheetId="3" hidden="1">1</definedName>
    <definedName name="solver_est" localSheetId="4" hidden="1">1</definedName>
    <definedName name="solver_itr" localSheetId="3" hidden="1">2147483647</definedName>
    <definedName name="solver_itr" localSheetId="4" hidden="1">2147483647</definedName>
    <definedName name="solver_lhs0" localSheetId="4" hidden="1">'New_cases - LNorm'!$AD$75</definedName>
    <definedName name="solver_lhs1" localSheetId="3" hidden="1">'Cumul_cases - LNorm'!$AD$43</definedName>
    <definedName name="solver_lhs1" localSheetId="4" hidden="1">'New_cases - LNorm'!$AM$57</definedName>
    <definedName name="solver_lhs2" localSheetId="3" hidden="1">'Cumul_cases - LNorm'!$AD$32</definedName>
    <definedName name="solver_lhs2" localSheetId="4" hidden="1">'New_cases - LNorm'!$AM$48</definedName>
    <definedName name="solver_lhs3" localSheetId="3" hidden="1">'Cumul_cases - LNorm'!#REF!</definedName>
    <definedName name="solver_lhs4" localSheetId="3" hidden="1">'Cumul_cases - LNorm'!#REF!</definedName>
    <definedName name="solver_lin" localSheetId="3" hidden="1">2</definedName>
    <definedName name="solver_lin" localSheetId="4" hidden="1">2</definedName>
    <definedName name="solver_mip" localSheetId="3" hidden="1">2147483647</definedName>
    <definedName name="solver_mip" localSheetId="4" hidden="1">2147483647</definedName>
    <definedName name="solver_mni" localSheetId="3" hidden="1">30</definedName>
    <definedName name="solver_mni" localSheetId="4" hidden="1">30</definedName>
    <definedName name="solver_mrt" localSheetId="3" hidden="1">0.075</definedName>
    <definedName name="solver_mrt" localSheetId="4" hidden="1">0.075</definedName>
    <definedName name="solver_msl" localSheetId="3" hidden="1">2</definedName>
    <definedName name="solver_msl" localSheetId="4" hidden="1">2</definedName>
    <definedName name="solver_neg" localSheetId="3" hidden="1">1</definedName>
    <definedName name="solver_neg" localSheetId="4" hidden="1">1</definedName>
    <definedName name="solver_nod" localSheetId="3" hidden="1">2147483647</definedName>
    <definedName name="solver_nod" localSheetId="4" hidden="1">2147483647</definedName>
    <definedName name="solver_num" localSheetId="3" hidden="1">1</definedName>
    <definedName name="solver_num" localSheetId="4" hidden="1">2</definedName>
    <definedName name="solver_nwt" localSheetId="3" hidden="1">1</definedName>
    <definedName name="solver_nwt" localSheetId="4" hidden="1">1</definedName>
    <definedName name="solver_opt" localSheetId="3" hidden="1">'Cumul_cases - LNorm'!$AD$47</definedName>
    <definedName name="solver_opt" localSheetId="4" hidden="1">'New_cases - LNorm'!$AM$52</definedName>
    <definedName name="solver_pre" localSheetId="3" hidden="1">0.000001</definedName>
    <definedName name="solver_pre" localSheetId="4" hidden="1">0.000001</definedName>
    <definedName name="solver_rbv" localSheetId="3" hidden="1">2</definedName>
    <definedName name="solver_rbv" localSheetId="4" hidden="1">2</definedName>
    <definedName name="solver_rel0" localSheetId="4" hidden="1">3</definedName>
    <definedName name="solver_rel1" localSheetId="3" hidden="1">3</definedName>
    <definedName name="solver_rel1" localSheetId="4" hidden="1">1</definedName>
    <definedName name="solver_rel2" localSheetId="3" hidden="1">3</definedName>
    <definedName name="solver_rel2" localSheetId="4" hidden="1">3</definedName>
    <definedName name="solver_rel3" localSheetId="3" hidden="1">2</definedName>
    <definedName name="solver_rel4" localSheetId="3" hidden="1">2</definedName>
    <definedName name="solver_rhs0" localSheetId="4" hidden="1">0.000001</definedName>
    <definedName name="solver_rhs1" localSheetId="3" hidden="1">0.000001</definedName>
    <definedName name="solver_rhs1" localSheetId="4" hidden="1">0</definedName>
    <definedName name="solver_rhs2" localSheetId="3" hidden="1">0.000001</definedName>
    <definedName name="solver_rhs2" localSheetId="4" hidden="1">0.000001</definedName>
    <definedName name="solver_rhs3" localSheetId="3" hidden="1">0</definedName>
    <definedName name="solver_rhs4" localSheetId="3" hidden="1">0</definedName>
    <definedName name="solver_rlx" localSheetId="3" hidden="1">2</definedName>
    <definedName name="solver_rlx" localSheetId="4" hidden="1">2</definedName>
    <definedName name="solver_rsd" localSheetId="3" hidden="1">0</definedName>
    <definedName name="solver_rsd" localSheetId="4" hidden="1">0</definedName>
    <definedName name="solver_scl" localSheetId="3" hidden="1">2</definedName>
    <definedName name="solver_scl" localSheetId="4" hidden="1">2</definedName>
    <definedName name="solver_sho" localSheetId="3" hidden="1">1</definedName>
    <definedName name="solver_sho" localSheetId="4" hidden="1">1</definedName>
    <definedName name="solver_ssz" localSheetId="3" hidden="1">200</definedName>
    <definedName name="solver_ssz" localSheetId="4" hidden="1">200</definedName>
    <definedName name="solver_tim" localSheetId="3" hidden="1">2147483647</definedName>
    <definedName name="solver_tim" localSheetId="4" hidden="1">2147483647</definedName>
    <definedName name="solver_tol" localSheetId="3" hidden="1">0.01</definedName>
    <definedName name="solver_tol" localSheetId="4" hidden="1">0.01</definedName>
    <definedName name="solver_typ" localSheetId="3" hidden="1">1</definedName>
    <definedName name="solver_typ" localSheetId="4" hidden="1">1</definedName>
    <definedName name="solver_val" localSheetId="3" hidden="1">0</definedName>
    <definedName name="solver_val" localSheetId="4" hidden="1">0</definedName>
    <definedName name="solver_ver" localSheetId="3" hidden="1">3</definedName>
    <definedName name="solver_ver" localSheetId="4" hidden="1">3</definedName>
    <definedName name="Start_data">'Cumul_cases - LNorm'!$B$8</definedName>
    <definedName name="y_a_peak">'New_cases - LNorm'!$AM$42</definedName>
    <definedName name="y_f_peak">'New_cases - LNorm'!$AM$55</definedName>
    <definedName name="y_l_peak">'New_cases - LNorm'!$AM$29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pc_covid19_ita_andamento_nazionale" name="dpc_covid19_ita_andamento_nazionale" connection="WorksheetConnection_COVID-19 Italy cases trend - B fit.xlsx!dpc_covid19_ita_andamento_nazionale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B126" i="24" l="1"/>
  <c r="BB124" i="24"/>
  <c r="BB125" i="24"/>
  <c r="AG125" i="24"/>
  <c r="AG126" i="24"/>
  <c r="D123" i="24"/>
  <c r="E124" i="24" s="1"/>
  <c r="D124" i="24"/>
  <c r="D125" i="24"/>
  <c r="E125" i="24" s="1"/>
  <c r="F126" i="24" s="1"/>
  <c r="D126" i="24"/>
  <c r="E126" i="24" s="1"/>
  <c r="D122" i="23"/>
  <c r="D123" i="23"/>
  <c r="D124" i="23"/>
  <c r="D125" i="23"/>
  <c r="E125" i="23" s="1"/>
  <c r="D126" i="23"/>
  <c r="E126" i="23" s="1"/>
  <c r="AI125" i="23"/>
  <c r="AJ125" i="23"/>
  <c r="AI126" i="23"/>
  <c r="AJ126" i="23"/>
  <c r="Y125" i="23"/>
  <c r="Z125" i="23"/>
  <c r="AA125" i="23"/>
  <c r="AB126" i="23" s="1"/>
  <c r="AB125" i="23"/>
  <c r="Y126" i="23"/>
  <c r="Z126" i="23"/>
  <c r="AA126" i="23"/>
  <c r="Q125" i="23"/>
  <c r="R125" i="23" s="1"/>
  <c r="Q126" i="23"/>
  <c r="Z126" i="22"/>
  <c r="AA126" i="22"/>
  <c r="S126" i="22"/>
  <c r="T126" i="22"/>
  <c r="U126" i="22"/>
  <c r="L125" i="22"/>
  <c r="M125" i="22"/>
  <c r="L126" i="22"/>
  <c r="M126" i="22"/>
  <c r="D121" i="22"/>
  <c r="D122" i="22"/>
  <c r="D123" i="22"/>
  <c r="D124" i="22"/>
  <c r="D125" i="22"/>
  <c r="D126" i="22"/>
  <c r="N123" i="22"/>
  <c r="N126" i="22"/>
  <c r="N122" i="22"/>
  <c r="N124" i="22"/>
  <c r="N120" i="22"/>
  <c r="N125" i="22"/>
  <c r="N119" i="22"/>
  <c r="N121" i="22"/>
  <c r="F125" i="24" l="1"/>
  <c r="BC126" i="24"/>
  <c r="AH126" i="24"/>
  <c r="BC125" i="24"/>
  <c r="R126" i="23"/>
  <c r="BK8" i="24"/>
  <c r="BK9" i="24"/>
  <c r="BK10" i="24"/>
  <c r="BK11" i="24"/>
  <c r="BK12" i="24"/>
  <c r="BK13" i="24"/>
  <c r="BK14" i="24"/>
  <c r="BK15" i="24"/>
  <c r="BK16" i="24"/>
  <c r="BK17" i="24"/>
  <c r="BK18" i="24"/>
  <c r="BK19" i="24"/>
  <c r="BK20" i="24"/>
  <c r="BK21" i="24"/>
  <c r="BK22" i="24"/>
  <c r="BK23" i="24"/>
  <c r="BK24" i="24"/>
  <c r="BK25" i="24"/>
  <c r="BK26" i="24"/>
  <c r="BK27" i="24"/>
  <c r="BK28" i="24"/>
  <c r="BK29" i="24"/>
  <c r="BK30" i="24"/>
  <c r="BK31" i="24"/>
  <c r="BK32" i="24"/>
  <c r="BK33" i="24"/>
  <c r="BK34" i="24"/>
  <c r="BK35" i="24"/>
  <c r="BK36" i="24"/>
  <c r="BK37" i="24"/>
  <c r="BK38" i="24"/>
  <c r="BK39" i="24"/>
  <c r="BK40" i="24"/>
  <c r="BK41" i="24"/>
  <c r="BK42" i="24"/>
  <c r="BK43" i="24"/>
  <c r="BK44" i="24"/>
  <c r="BK45" i="24"/>
  <c r="BK46" i="24"/>
  <c r="BK47" i="24"/>
  <c r="BK48" i="24"/>
  <c r="BK49" i="24"/>
  <c r="BK50" i="24"/>
  <c r="BK51" i="24"/>
  <c r="BK52" i="24"/>
  <c r="BK53" i="24"/>
  <c r="BK54" i="24"/>
  <c r="BK55" i="24"/>
  <c r="BK56" i="24"/>
  <c r="BK57" i="24"/>
  <c r="BK58" i="24"/>
  <c r="BK59" i="24"/>
  <c r="BK60" i="24"/>
  <c r="BK61" i="24"/>
  <c r="BK62" i="24"/>
  <c r="BK63" i="24"/>
  <c r="BK64" i="24"/>
  <c r="BK65" i="24"/>
  <c r="BK66" i="24"/>
  <c r="BK67" i="24"/>
  <c r="BK68" i="24"/>
  <c r="BK69" i="24"/>
  <c r="BK70" i="24"/>
  <c r="BK71" i="24"/>
  <c r="BK72" i="24"/>
  <c r="BK73" i="24"/>
  <c r="BK74" i="24"/>
  <c r="BK75" i="24"/>
  <c r="BK76" i="24"/>
  <c r="BK77" i="24"/>
  <c r="BK78" i="24"/>
  <c r="BK79" i="24"/>
  <c r="BK80" i="24"/>
  <c r="BK81" i="24"/>
  <c r="BK82" i="24"/>
  <c r="BK83" i="24"/>
  <c r="BK84" i="24"/>
  <c r="BK85" i="24"/>
  <c r="BK86" i="24"/>
  <c r="BK87" i="24"/>
  <c r="BK88" i="24"/>
  <c r="BK89" i="24"/>
  <c r="BK90" i="24"/>
  <c r="BK91" i="24"/>
  <c r="BK92" i="24"/>
  <c r="BK93" i="24"/>
  <c r="BK94" i="24"/>
  <c r="BK95" i="24"/>
  <c r="BK96" i="24"/>
  <c r="BK97" i="24"/>
  <c r="BK98" i="24"/>
  <c r="BK99" i="24"/>
  <c r="BK100" i="24"/>
  <c r="BK101" i="24"/>
  <c r="BK102" i="24"/>
  <c r="BK103" i="24"/>
  <c r="BK104" i="24"/>
  <c r="BK105" i="24"/>
  <c r="BK106" i="24"/>
  <c r="BK107" i="24"/>
  <c r="BK108" i="24"/>
  <c r="BK109" i="24"/>
  <c r="BK110" i="24"/>
  <c r="BK111" i="24"/>
  <c r="BK112" i="24"/>
  <c r="BK113" i="24"/>
  <c r="BK114" i="24"/>
  <c r="BK115" i="24"/>
  <c r="BK116" i="24"/>
  <c r="BK117" i="24"/>
  <c r="BK118" i="24"/>
  <c r="BK119" i="24"/>
  <c r="BK120" i="24"/>
  <c r="BK121" i="24"/>
  <c r="BK122" i="24"/>
  <c r="BK123" i="24"/>
  <c r="BK124" i="24"/>
  <c r="BK125" i="24"/>
  <c r="BK126" i="24"/>
  <c r="BK127" i="24"/>
  <c r="BK128" i="24"/>
  <c r="BK129" i="24"/>
  <c r="BK130" i="24"/>
  <c r="BK131" i="24"/>
  <c r="BK132" i="24"/>
  <c r="BK133" i="24"/>
  <c r="BK134" i="24"/>
  <c r="BK135" i="24"/>
  <c r="BK136" i="24"/>
  <c r="BK137" i="24"/>
  <c r="BK138" i="24"/>
  <c r="BK139" i="24"/>
  <c r="BK140" i="24"/>
  <c r="BK141" i="24"/>
  <c r="BK142" i="24"/>
  <c r="BK143" i="24"/>
  <c r="BK144" i="24"/>
  <c r="BK145" i="24"/>
  <c r="BK146" i="24"/>
  <c r="BK147" i="24"/>
  <c r="BK148" i="24"/>
  <c r="BK149" i="24"/>
  <c r="BK150" i="24"/>
  <c r="BK151" i="24"/>
  <c r="BK152" i="24"/>
  <c r="BK153" i="24"/>
  <c r="BK154" i="24"/>
  <c r="BK155" i="24"/>
  <c r="BK156" i="24"/>
  <c r="BK157" i="24"/>
  <c r="BK158" i="24"/>
  <c r="BK159" i="24"/>
  <c r="BK160" i="24"/>
  <c r="BK161" i="24"/>
  <c r="BK162" i="24"/>
  <c r="BK163" i="24"/>
  <c r="BK164" i="24"/>
  <c r="BK165" i="24"/>
  <c r="BK166" i="24"/>
  <c r="BK167" i="24"/>
  <c r="BK168" i="24"/>
  <c r="BK169" i="24"/>
  <c r="BK170" i="24"/>
  <c r="BK171" i="24"/>
  <c r="BK172" i="24"/>
  <c r="BK173" i="24"/>
  <c r="BK174" i="24"/>
  <c r="BK175" i="24"/>
  <c r="BK176" i="24"/>
  <c r="BK177" i="24"/>
  <c r="BK178" i="24"/>
  <c r="BK179" i="24"/>
  <c r="BK180" i="24"/>
  <c r="BK181" i="24"/>
  <c r="BK182" i="24"/>
  <c r="BK183" i="24"/>
  <c r="BK184" i="24"/>
  <c r="AP8" i="24"/>
  <c r="AP9" i="24"/>
  <c r="AP10" i="24"/>
  <c r="AP11" i="24"/>
  <c r="AP12" i="24"/>
  <c r="AP13" i="24"/>
  <c r="AP14" i="24"/>
  <c r="AP15" i="24"/>
  <c r="AP16" i="24"/>
  <c r="AP17" i="24"/>
  <c r="AP18" i="24"/>
  <c r="AP19" i="24"/>
  <c r="AP20" i="24"/>
  <c r="AP21" i="24"/>
  <c r="AP22" i="24"/>
  <c r="AP23" i="24"/>
  <c r="AP24" i="24"/>
  <c r="AP25" i="24"/>
  <c r="AP26" i="24"/>
  <c r="AP27" i="24"/>
  <c r="AP28" i="24"/>
  <c r="AP29" i="24"/>
  <c r="AP30" i="24"/>
  <c r="AP31" i="24"/>
  <c r="AP32" i="24"/>
  <c r="AP33" i="24"/>
  <c r="AP34" i="24"/>
  <c r="AP35" i="24"/>
  <c r="AP36" i="24"/>
  <c r="AP37" i="24"/>
  <c r="AP38" i="24"/>
  <c r="AP39" i="24"/>
  <c r="AP40" i="24"/>
  <c r="AP41" i="24"/>
  <c r="AP42" i="24"/>
  <c r="AP43" i="24"/>
  <c r="AP44" i="24"/>
  <c r="AP45" i="24"/>
  <c r="AP46" i="24"/>
  <c r="AP47" i="24"/>
  <c r="AP48" i="24"/>
  <c r="AP49" i="24"/>
  <c r="AP50" i="24"/>
  <c r="AP51" i="24"/>
  <c r="AP52" i="24"/>
  <c r="AP53" i="24"/>
  <c r="AP54" i="24"/>
  <c r="AP55" i="24"/>
  <c r="AP56" i="24"/>
  <c r="AP57" i="24"/>
  <c r="AP58" i="24"/>
  <c r="AP59" i="24"/>
  <c r="AP60" i="24"/>
  <c r="AP61" i="24"/>
  <c r="AP62" i="24"/>
  <c r="AP63" i="24"/>
  <c r="AP64" i="24"/>
  <c r="AP65" i="24"/>
  <c r="AP66" i="24"/>
  <c r="AP67" i="24"/>
  <c r="AP68" i="24"/>
  <c r="AP69" i="24"/>
  <c r="AP70" i="24"/>
  <c r="AP71" i="24"/>
  <c r="AP72" i="24"/>
  <c r="AP73" i="24"/>
  <c r="AP74" i="24"/>
  <c r="AP75" i="24"/>
  <c r="AP76" i="24"/>
  <c r="AP77" i="24"/>
  <c r="AP78" i="24"/>
  <c r="AP79" i="24"/>
  <c r="AP80" i="24"/>
  <c r="AP81" i="24"/>
  <c r="AP82" i="24"/>
  <c r="AP83" i="24"/>
  <c r="AP84" i="24"/>
  <c r="AP85" i="24"/>
  <c r="AP86" i="24"/>
  <c r="AP87" i="24"/>
  <c r="AP88" i="24"/>
  <c r="AP89" i="24"/>
  <c r="AP90" i="24"/>
  <c r="AP91" i="24"/>
  <c r="AP92" i="24"/>
  <c r="AP93" i="24"/>
  <c r="AP94" i="24"/>
  <c r="AP95" i="24"/>
  <c r="AP96" i="24"/>
  <c r="AP97" i="24"/>
  <c r="AP98" i="24"/>
  <c r="AP99" i="24"/>
  <c r="AP100" i="24"/>
  <c r="AP101" i="24"/>
  <c r="AP102" i="24"/>
  <c r="AP103" i="24"/>
  <c r="AP104" i="24"/>
  <c r="AP105" i="24"/>
  <c r="AP106" i="24"/>
  <c r="AP107" i="24"/>
  <c r="AP108" i="24"/>
  <c r="AP109" i="24"/>
  <c r="AP110" i="24"/>
  <c r="AP111" i="24"/>
  <c r="AP112" i="24"/>
  <c r="AP113" i="24"/>
  <c r="AP114" i="24"/>
  <c r="AP115" i="24"/>
  <c r="AP116" i="24"/>
  <c r="AP117" i="24"/>
  <c r="AP118" i="24"/>
  <c r="AP119" i="24"/>
  <c r="AP120" i="24"/>
  <c r="AP121" i="24"/>
  <c r="AP122" i="24"/>
  <c r="AP123" i="24"/>
  <c r="AP124" i="24"/>
  <c r="AP125" i="24"/>
  <c r="AP126" i="24"/>
  <c r="AP127" i="24"/>
  <c r="AP128" i="24"/>
  <c r="AP129" i="24"/>
  <c r="AP130" i="24"/>
  <c r="AP131" i="24"/>
  <c r="AP132" i="24"/>
  <c r="AP133" i="24"/>
  <c r="AP134" i="24"/>
  <c r="AP135" i="24"/>
  <c r="AP136" i="24"/>
  <c r="AP137" i="24"/>
  <c r="AP138" i="24"/>
  <c r="AP139" i="24"/>
  <c r="AP140" i="24"/>
  <c r="AP141" i="24"/>
  <c r="AP142" i="24"/>
  <c r="AP143" i="24"/>
  <c r="AP144" i="24"/>
  <c r="AP145" i="24"/>
  <c r="AP146" i="24"/>
  <c r="AP147" i="24"/>
  <c r="AP148" i="24"/>
  <c r="AP149" i="24"/>
  <c r="AP150" i="24"/>
  <c r="AP151" i="24"/>
  <c r="AP152" i="24"/>
  <c r="AP153" i="24"/>
  <c r="AP154" i="24"/>
  <c r="AP155" i="24"/>
  <c r="AP156" i="24"/>
  <c r="AP157" i="24"/>
  <c r="AP158" i="24"/>
  <c r="AP159" i="24"/>
  <c r="AP160" i="24"/>
  <c r="AP161" i="24"/>
  <c r="AP162" i="24"/>
  <c r="AP163" i="24"/>
  <c r="AP164" i="24"/>
  <c r="AP165" i="24"/>
  <c r="AP166" i="24"/>
  <c r="AP167" i="24"/>
  <c r="AP168" i="24"/>
  <c r="AP169" i="24"/>
  <c r="AP170" i="24"/>
  <c r="AP171" i="24"/>
  <c r="AP172" i="24"/>
  <c r="AP173" i="24"/>
  <c r="AP174" i="24"/>
  <c r="AP175" i="24"/>
  <c r="AP176" i="24"/>
  <c r="AP177" i="24"/>
  <c r="AP178" i="24"/>
  <c r="AP179" i="24"/>
  <c r="AP180" i="24"/>
  <c r="AP181" i="24"/>
  <c r="AP182" i="24"/>
  <c r="AP183" i="24"/>
  <c r="AP184" i="24"/>
  <c r="Q9" i="24"/>
  <c r="Q10" i="24"/>
  <c r="Q11" i="24"/>
  <c r="O11" i="24" s="1"/>
  <c r="Q12" i="24"/>
  <c r="O12" i="24" s="1"/>
  <c r="Q13" i="24"/>
  <c r="O13" i="24" s="1"/>
  <c r="Q14" i="24"/>
  <c r="O14" i="24" s="1"/>
  <c r="Q15" i="24"/>
  <c r="O15" i="24" s="1"/>
  <c r="Q16" i="24"/>
  <c r="O16" i="24" s="1"/>
  <c r="Q17" i="24"/>
  <c r="O17" i="24" s="1"/>
  <c r="Q18" i="24"/>
  <c r="O18" i="24" s="1"/>
  <c r="Q19" i="24"/>
  <c r="O19" i="24" s="1"/>
  <c r="Q20" i="24"/>
  <c r="Q21" i="24"/>
  <c r="Q22" i="24"/>
  <c r="Q23" i="24"/>
  <c r="O23" i="24" s="1"/>
  <c r="Q24" i="24"/>
  <c r="O24" i="24" s="1"/>
  <c r="Q25" i="24"/>
  <c r="O25" i="24" s="1"/>
  <c r="Q26" i="24"/>
  <c r="O26" i="24" s="1"/>
  <c r="Q27" i="24"/>
  <c r="O27" i="24" s="1"/>
  <c r="Q28" i="24"/>
  <c r="O28" i="24" s="1"/>
  <c r="Q29" i="24"/>
  <c r="O29" i="24" s="1"/>
  <c r="Q30" i="24"/>
  <c r="O30" i="24" s="1"/>
  <c r="Q31" i="24"/>
  <c r="O31" i="24" s="1"/>
  <c r="Q32" i="24"/>
  <c r="Q33" i="24"/>
  <c r="Q34" i="24"/>
  <c r="Q35" i="24"/>
  <c r="O35" i="24" s="1"/>
  <c r="Q36" i="24"/>
  <c r="O36" i="24" s="1"/>
  <c r="Q37" i="24"/>
  <c r="O37" i="24" s="1"/>
  <c r="Q38" i="24"/>
  <c r="O38" i="24" s="1"/>
  <c r="Q39" i="24"/>
  <c r="O39" i="24" s="1"/>
  <c r="Q40" i="24"/>
  <c r="O40" i="24" s="1"/>
  <c r="Q41" i="24"/>
  <c r="O41" i="24" s="1"/>
  <c r="Q42" i="24"/>
  <c r="O42" i="24" s="1"/>
  <c r="Q43" i="24"/>
  <c r="O43" i="24" s="1"/>
  <c r="Q44" i="24"/>
  <c r="Q45" i="24"/>
  <c r="Q46" i="24"/>
  <c r="Q47" i="24"/>
  <c r="O47" i="24" s="1"/>
  <c r="Q48" i="24"/>
  <c r="O48" i="24" s="1"/>
  <c r="Q49" i="24"/>
  <c r="O49" i="24" s="1"/>
  <c r="Q50" i="24"/>
  <c r="O50" i="24" s="1"/>
  <c r="Q51" i="24"/>
  <c r="O51" i="24" s="1"/>
  <c r="Q52" i="24"/>
  <c r="O52" i="24" s="1"/>
  <c r="Q53" i="24"/>
  <c r="O53" i="24" s="1"/>
  <c r="Q54" i="24"/>
  <c r="O54" i="24" s="1"/>
  <c r="Q55" i="24"/>
  <c r="O55" i="24" s="1"/>
  <c r="Q56" i="24"/>
  <c r="Q57" i="24"/>
  <c r="Q58" i="24"/>
  <c r="Q59" i="24"/>
  <c r="O59" i="24" s="1"/>
  <c r="Q60" i="24"/>
  <c r="O60" i="24" s="1"/>
  <c r="Q61" i="24"/>
  <c r="O61" i="24" s="1"/>
  <c r="Q62" i="24"/>
  <c r="O62" i="24" s="1"/>
  <c r="Q63" i="24"/>
  <c r="O63" i="24" s="1"/>
  <c r="Q64" i="24"/>
  <c r="O64" i="24" s="1"/>
  <c r="Q65" i="24"/>
  <c r="O65" i="24" s="1"/>
  <c r="Q66" i="24"/>
  <c r="O66" i="24" s="1"/>
  <c r="Q67" i="24"/>
  <c r="O67" i="24" s="1"/>
  <c r="Q68" i="24"/>
  <c r="Q69" i="24"/>
  <c r="Q70" i="24"/>
  <c r="Q71" i="24"/>
  <c r="O71" i="24" s="1"/>
  <c r="Q72" i="24"/>
  <c r="O72" i="24" s="1"/>
  <c r="Q73" i="24"/>
  <c r="O73" i="24" s="1"/>
  <c r="Q74" i="24"/>
  <c r="O74" i="24" s="1"/>
  <c r="Q75" i="24"/>
  <c r="O75" i="24" s="1"/>
  <c r="Q76" i="24"/>
  <c r="O76" i="24" s="1"/>
  <c r="Q77" i="24"/>
  <c r="O77" i="24" s="1"/>
  <c r="Q78" i="24"/>
  <c r="O78" i="24" s="1"/>
  <c r="Q79" i="24"/>
  <c r="O79" i="24" s="1"/>
  <c r="Q80" i="24"/>
  <c r="Q81" i="24"/>
  <c r="Q82" i="24"/>
  <c r="Q83" i="24"/>
  <c r="O83" i="24" s="1"/>
  <c r="Q84" i="24"/>
  <c r="O84" i="24" s="1"/>
  <c r="Q85" i="24"/>
  <c r="O85" i="24" s="1"/>
  <c r="Q86" i="24"/>
  <c r="O86" i="24" s="1"/>
  <c r="Q87" i="24"/>
  <c r="O87" i="24" s="1"/>
  <c r="Q88" i="24"/>
  <c r="O88" i="24" s="1"/>
  <c r="Q89" i="24"/>
  <c r="O89" i="24" s="1"/>
  <c r="Q90" i="24"/>
  <c r="O90" i="24" s="1"/>
  <c r="Q91" i="24"/>
  <c r="O91" i="24" s="1"/>
  <c r="Q92" i="24"/>
  <c r="Q93" i="24"/>
  <c r="Q94" i="24"/>
  <c r="Q95" i="24"/>
  <c r="O95" i="24" s="1"/>
  <c r="Q96" i="24"/>
  <c r="O96" i="24" s="1"/>
  <c r="Q97" i="24"/>
  <c r="O97" i="24" s="1"/>
  <c r="Q98" i="24"/>
  <c r="O98" i="24" s="1"/>
  <c r="Q99" i="24"/>
  <c r="O99" i="24" s="1"/>
  <c r="Q100" i="24"/>
  <c r="O100" i="24" s="1"/>
  <c r="Q101" i="24"/>
  <c r="O101" i="24" s="1"/>
  <c r="Q102" i="24"/>
  <c r="O102" i="24" s="1"/>
  <c r="Q103" i="24"/>
  <c r="O103" i="24" s="1"/>
  <c r="Q104" i="24"/>
  <c r="Q105" i="24"/>
  <c r="Q106" i="24"/>
  <c r="Q107" i="24"/>
  <c r="O107" i="24" s="1"/>
  <c r="Q108" i="24"/>
  <c r="O108" i="24" s="1"/>
  <c r="Q109" i="24"/>
  <c r="O109" i="24" s="1"/>
  <c r="Q110" i="24"/>
  <c r="O110" i="24" s="1"/>
  <c r="Q111" i="24"/>
  <c r="O111" i="24" s="1"/>
  <c r="Q112" i="24"/>
  <c r="O112" i="24" s="1"/>
  <c r="Q113" i="24"/>
  <c r="O113" i="24" s="1"/>
  <c r="Q114" i="24"/>
  <c r="O114" i="24" s="1"/>
  <c r="Q115" i="24"/>
  <c r="O115" i="24" s="1"/>
  <c r="Q116" i="24"/>
  <c r="Q117" i="24"/>
  <c r="Q118" i="24"/>
  <c r="Q119" i="24"/>
  <c r="O119" i="24" s="1"/>
  <c r="Q120" i="24"/>
  <c r="O120" i="24" s="1"/>
  <c r="Q121" i="24"/>
  <c r="O121" i="24" s="1"/>
  <c r="Q122" i="24"/>
  <c r="O122" i="24" s="1"/>
  <c r="Q123" i="24"/>
  <c r="O123" i="24" s="1"/>
  <c r="Q124" i="24"/>
  <c r="O124" i="24" s="1"/>
  <c r="Q125" i="24"/>
  <c r="O125" i="24" s="1"/>
  <c r="Q126" i="24"/>
  <c r="O126" i="24" s="1"/>
  <c r="Q127" i="24"/>
  <c r="O127" i="24" s="1"/>
  <c r="Q128" i="24"/>
  <c r="Q129" i="24"/>
  <c r="Q130" i="24"/>
  <c r="Q131" i="24"/>
  <c r="O131" i="24" s="1"/>
  <c r="Q132" i="24"/>
  <c r="O132" i="24" s="1"/>
  <c r="Q133" i="24"/>
  <c r="O133" i="24" s="1"/>
  <c r="Q134" i="24"/>
  <c r="O134" i="24" s="1"/>
  <c r="Q135" i="24"/>
  <c r="O135" i="24" s="1"/>
  <c r="Q136" i="24"/>
  <c r="O136" i="24" s="1"/>
  <c r="Q137" i="24"/>
  <c r="O137" i="24" s="1"/>
  <c r="Q138" i="24"/>
  <c r="O138" i="24" s="1"/>
  <c r="Q139" i="24"/>
  <c r="O139" i="24" s="1"/>
  <c r="Q140" i="24"/>
  <c r="Q141" i="24"/>
  <c r="Q142" i="24"/>
  <c r="Q143" i="24"/>
  <c r="O143" i="24" s="1"/>
  <c r="Q144" i="24"/>
  <c r="O144" i="24" s="1"/>
  <c r="Q145" i="24"/>
  <c r="O145" i="24" s="1"/>
  <c r="Q146" i="24"/>
  <c r="O146" i="24" s="1"/>
  <c r="Q147" i="24"/>
  <c r="O147" i="24" s="1"/>
  <c r="Q148" i="24"/>
  <c r="O148" i="24" s="1"/>
  <c r="Q149" i="24"/>
  <c r="O149" i="24" s="1"/>
  <c r="Q150" i="24"/>
  <c r="O150" i="24" s="1"/>
  <c r="Q151" i="24"/>
  <c r="O151" i="24" s="1"/>
  <c r="Q152" i="24"/>
  <c r="Q153" i="24"/>
  <c r="Q154" i="24"/>
  <c r="Q155" i="24"/>
  <c r="O155" i="24" s="1"/>
  <c r="Q156" i="24"/>
  <c r="O156" i="24" s="1"/>
  <c r="Q157" i="24"/>
  <c r="O157" i="24" s="1"/>
  <c r="Q158" i="24"/>
  <c r="O158" i="24" s="1"/>
  <c r="Q159" i="24"/>
  <c r="O159" i="24" s="1"/>
  <c r="Q160" i="24"/>
  <c r="O160" i="24" s="1"/>
  <c r="Q161" i="24"/>
  <c r="O161" i="24" s="1"/>
  <c r="Q162" i="24"/>
  <c r="O162" i="24" s="1"/>
  <c r="Q163" i="24"/>
  <c r="O163" i="24" s="1"/>
  <c r="Q164" i="24"/>
  <c r="Q165" i="24"/>
  <c r="Q166" i="24"/>
  <c r="Q167" i="24"/>
  <c r="O167" i="24" s="1"/>
  <c r="Q168" i="24"/>
  <c r="O168" i="24" s="1"/>
  <c r="Q169" i="24"/>
  <c r="O169" i="24" s="1"/>
  <c r="Q170" i="24"/>
  <c r="O170" i="24" s="1"/>
  <c r="Q171" i="24"/>
  <c r="O171" i="24" s="1"/>
  <c r="Q172" i="24"/>
  <c r="O172" i="24" s="1"/>
  <c r="Q173" i="24"/>
  <c r="O173" i="24" s="1"/>
  <c r="Q174" i="24"/>
  <c r="O174" i="24" s="1"/>
  <c r="Q175" i="24"/>
  <c r="O175" i="24" s="1"/>
  <c r="Q176" i="24"/>
  <c r="Q177" i="24"/>
  <c r="Q178" i="24"/>
  <c r="Q179" i="24"/>
  <c r="O179" i="24" s="1"/>
  <c r="Q180" i="24"/>
  <c r="O180" i="24" s="1"/>
  <c r="Q181" i="24"/>
  <c r="O181" i="24" s="1"/>
  <c r="Q182" i="24"/>
  <c r="O182" i="24" s="1"/>
  <c r="Q183" i="24"/>
  <c r="O183" i="24" s="1"/>
  <c r="Q184" i="24"/>
  <c r="O184" i="24" s="1"/>
  <c r="Q8" i="24"/>
  <c r="D121" i="23"/>
  <c r="F125" i="23"/>
  <c r="D120" i="22"/>
  <c r="N117" i="22"/>
  <c r="N116" i="22"/>
  <c r="N118" i="22"/>
  <c r="BD126" i="24" l="1"/>
  <c r="E124" i="23"/>
  <c r="F124" i="23" s="1"/>
  <c r="E123" i="23"/>
  <c r="F123" i="23" s="1"/>
  <c r="E122" i="23"/>
  <c r="F122" i="23" s="1"/>
  <c r="U125" i="22"/>
  <c r="U124" i="22"/>
  <c r="V124" i="22" s="1"/>
  <c r="O130" i="24"/>
  <c r="O129" i="24"/>
  <c r="O58" i="24"/>
  <c r="O57" i="24"/>
  <c r="O118" i="24"/>
  <c r="O46" i="24"/>
  <c r="O117" i="24"/>
  <c r="O45" i="24"/>
  <c r="O178" i="24"/>
  <c r="O106" i="24"/>
  <c r="O34" i="24"/>
  <c r="O177" i="24"/>
  <c r="O105" i="24"/>
  <c r="O33" i="24"/>
  <c r="O166" i="24"/>
  <c r="O94" i="24"/>
  <c r="O22" i="24"/>
  <c r="O165" i="24"/>
  <c r="O93" i="24"/>
  <c r="O21" i="24"/>
  <c r="O154" i="24"/>
  <c r="O82" i="24"/>
  <c r="O10" i="24"/>
  <c r="O153" i="24"/>
  <c r="O81" i="24"/>
  <c r="O9" i="24"/>
  <c r="O142" i="24"/>
  <c r="O70" i="24"/>
  <c r="O141" i="24"/>
  <c r="O69" i="24"/>
  <c r="O176" i="24"/>
  <c r="O164" i="24"/>
  <c r="O152" i="24"/>
  <c r="O140" i="24"/>
  <c r="O128" i="24"/>
  <c r="O116" i="24"/>
  <c r="O104" i="24"/>
  <c r="O92" i="24"/>
  <c r="O80" i="24"/>
  <c r="O68" i="24"/>
  <c r="O56" i="24"/>
  <c r="O44" i="24"/>
  <c r="O32" i="24"/>
  <c r="O20" i="24"/>
  <c r="O8" i="24"/>
  <c r="BE125" i="24"/>
  <c r="BE126" i="24"/>
  <c r="BE127" i="24"/>
  <c r="BE128" i="24"/>
  <c r="BE129" i="24"/>
  <c r="BE130" i="24"/>
  <c r="BE131" i="24"/>
  <c r="BE132" i="24"/>
  <c r="BE133" i="24"/>
  <c r="BE134" i="24"/>
  <c r="BE135" i="24"/>
  <c r="BE136" i="24"/>
  <c r="BE137" i="24"/>
  <c r="BE138" i="24"/>
  <c r="BE139" i="24"/>
  <c r="BE140" i="24"/>
  <c r="BE141" i="24"/>
  <c r="BE142" i="24"/>
  <c r="BE143" i="24"/>
  <c r="BE144" i="24"/>
  <c r="BE145" i="24"/>
  <c r="BE146" i="24"/>
  <c r="BE147" i="24"/>
  <c r="BE148" i="24"/>
  <c r="BE149" i="24"/>
  <c r="BE150" i="24"/>
  <c r="BE151" i="24"/>
  <c r="BE152" i="24"/>
  <c r="BE153" i="24"/>
  <c r="BE154" i="24"/>
  <c r="BE155" i="24"/>
  <c r="BE156" i="24"/>
  <c r="BE157" i="24"/>
  <c r="BE158" i="24"/>
  <c r="BE159" i="24"/>
  <c r="BE160" i="24"/>
  <c r="BE161" i="24"/>
  <c r="BE162" i="24"/>
  <c r="BE163" i="24"/>
  <c r="BE164" i="24"/>
  <c r="BE165" i="24"/>
  <c r="BE166" i="24"/>
  <c r="BE167" i="24"/>
  <c r="BE168" i="24"/>
  <c r="BE169" i="24"/>
  <c r="BE170" i="24"/>
  <c r="BE171" i="24"/>
  <c r="BE172" i="24"/>
  <c r="BE173" i="24"/>
  <c r="BE174" i="24"/>
  <c r="BE175" i="24"/>
  <c r="BE176" i="24"/>
  <c r="BE177" i="24"/>
  <c r="BE178" i="24"/>
  <c r="BE179" i="24"/>
  <c r="BE180" i="24"/>
  <c r="BE181" i="24"/>
  <c r="BE182" i="24"/>
  <c r="BE183" i="24"/>
  <c r="BE184" i="24"/>
  <c r="BI8" i="24"/>
  <c r="BP8" i="24" s="1"/>
  <c r="BI9" i="24"/>
  <c r="BP9" i="24" s="1"/>
  <c r="BI10" i="24"/>
  <c r="BP10" i="24" s="1"/>
  <c r="BI11" i="24"/>
  <c r="BP11" i="24" s="1"/>
  <c r="BI12" i="24"/>
  <c r="BP12" i="24" s="1"/>
  <c r="BI13" i="24"/>
  <c r="BP13" i="24" s="1"/>
  <c r="BI14" i="24"/>
  <c r="BP14" i="24" s="1"/>
  <c r="BI15" i="24"/>
  <c r="BP15" i="24" s="1"/>
  <c r="BI16" i="24"/>
  <c r="BP16" i="24" s="1"/>
  <c r="BI17" i="24"/>
  <c r="BP17" i="24" s="1"/>
  <c r="BI18" i="24"/>
  <c r="BP18" i="24" s="1"/>
  <c r="BI19" i="24"/>
  <c r="BP19" i="24" s="1"/>
  <c r="BI20" i="24"/>
  <c r="BP20" i="24" s="1"/>
  <c r="BI21" i="24"/>
  <c r="BP21" i="24" s="1"/>
  <c r="BI22" i="24"/>
  <c r="BP22" i="24" s="1"/>
  <c r="BI23" i="24"/>
  <c r="BP23" i="24" s="1"/>
  <c r="BI24" i="24"/>
  <c r="BP24" i="24" s="1"/>
  <c r="BI25" i="24"/>
  <c r="BP25" i="24" s="1"/>
  <c r="BI26" i="24"/>
  <c r="BP26" i="24" s="1"/>
  <c r="BI27" i="24"/>
  <c r="BP27" i="24" s="1"/>
  <c r="BI28" i="24"/>
  <c r="BP28" i="24" s="1"/>
  <c r="BI29" i="24"/>
  <c r="BP29" i="24" s="1"/>
  <c r="BI30" i="24"/>
  <c r="BP30" i="24" s="1"/>
  <c r="BI31" i="24"/>
  <c r="BP31" i="24" s="1"/>
  <c r="BI32" i="24"/>
  <c r="BP32" i="24" s="1"/>
  <c r="BI33" i="24"/>
  <c r="BP33" i="24" s="1"/>
  <c r="BI34" i="24"/>
  <c r="BP34" i="24" s="1"/>
  <c r="BI35" i="24"/>
  <c r="BP35" i="24" s="1"/>
  <c r="BI36" i="24"/>
  <c r="BP36" i="24" s="1"/>
  <c r="BI37" i="24"/>
  <c r="BP37" i="24" s="1"/>
  <c r="BI38" i="24"/>
  <c r="BP38" i="24" s="1"/>
  <c r="BI39" i="24"/>
  <c r="BP39" i="24" s="1"/>
  <c r="BI40" i="24"/>
  <c r="BP40" i="24" s="1"/>
  <c r="BI41" i="24"/>
  <c r="BP41" i="24" s="1"/>
  <c r="BI42" i="24"/>
  <c r="BP42" i="24" s="1"/>
  <c r="BI43" i="24"/>
  <c r="BP43" i="24" s="1"/>
  <c r="BI44" i="24"/>
  <c r="BP44" i="24" s="1"/>
  <c r="BI45" i="24"/>
  <c r="BP45" i="24" s="1"/>
  <c r="BI46" i="24"/>
  <c r="BP46" i="24" s="1"/>
  <c r="BI47" i="24"/>
  <c r="BP47" i="24" s="1"/>
  <c r="BI48" i="24"/>
  <c r="BP48" i="24" s="1"/>
  <c r="BI49" i="24"/>
  <c r="BP49" i="24" s="1"/>
  <c r="BI50" i="24"/>
  <c r="BP50" i="24" s="1"/>
  <c r="BI51" i="24"/>
  <c r="BP51" i="24" s="1"/>
  <c r="BI52" i="24"/>
  <c r="BP52" i="24" s="1"/>
  <c r="BI53" i="24"/>
  <c r="BP53" i="24" s="1"/>
  <c r="BI54" i="24"/>
  <c r="BP54" i="24" s="1"/>
  <c r="BI55" i="24"/>
  <c r="BP55" i="24" s="1"/>
  <c r="BI56" i="24"/>
  <c r="BP56" i="24" s="1"/>
  <c r="BI57" i="24"/>
  <c r="BP57" i="24" s="1"/>
  <c r="BI58" i="24"/>
  <c r="BP58" i="24" s="1"/>
  <c r="BI59" i="24"/>
  <c r="BP59" i="24" s="1"/>
  <c r="BI60" i="24"/>
  <c r="BP60" i="24" s="1"/>
  <c r="BI61" i="24"/>
  <c r="BP61" i="24" s="1"/>
  <c r="BI62" i="24"/>
  <c r="BP62" i="24" s="1"/>
  <c r="BI63" i="24"/>
  <c r="BP63" i="24" s="1"/>
  <c r="BI64" i="24"/>
  <c r="BP64" i="24" s="1"/>
  <c r="BI65" i="24"/>
  <c r="BP65" i="24" s="1"/>
  <c r="BI66" i="24"/>
  <c r="BP66" i="24" s="1"/>
  <c r="BI67" i="24"/>
  <c r="BP67" i="24" s="1"/>
  <c r="BI68" i="24"/>
  <c r="BP68" i="24" s="1"/>
  <c r="BI69" i="24"/>
  <c r="BP69" i="24" s="1"/>
  <c r="BI70" i="24"/>
  <c r="BP70" i="24" s="1"/>
  <c r="BI71" i="24"/>
  <c r="BP71" i="24" s="1"/>
  <c r="BI72" i="24"/>
  <c r="BP72" i="24" s="1"/>
  <c r="BI73" i="24"/>
  <c r="BP73" i="24" s="1"/>
  <c r="BI74" i="24"/>
  <c r="BP74" i="24" s="1"/>
  <c r="BI75" i="24"/>
  <c r="BP75" i="24" s="1"/>
  <c r="BI76" i="24"/>
  <c r="BP76" i="24" s="1"/>
  <c r="BI77" i="24"/>
  <c r="BP77" i="24" s="1"/>
  <c r="BI78" i="24"/>
  <c r="BP78" i="24" s="1"/>
  <c r="BI79" i="24"/>
  <c r="BP79" i="24" s="1"/>
  <c r="BI80" i="24"/>
  <c r="BP80" i="24" s="1"/>
  <c r="BI81" i="24"/>
  <c r="BP81" i="24" s="1"/>
  <c r="BI82" i="24"/>
  <c r="BP82" i="24" s="1"/>
  <c r="BI83" i="24"/>
  <c r="BP83" i="24" s="1"/>
  <c r="BI84" i="24"/>
  <c r="BP84" i="24" s="1"/>
  <c r="BI85" i="24"/>
  <c r="BP85" i="24" s="1"/>
  <c r="BI86" i="24"/>
  <c r="BP86" i="24" s="1"/>
  <c r="BI87" i="24"/>
  <c r="BP87" i="24" s="1"/>
  <c r="BI88" i="24"/>
  <c r="BP88" i="24" s="1"/>
  <c r="BI89" i="24"/>
  <c r="BP89" i="24" s="1"/>
  <c r="BI90" i="24"/>
  <c r="BP90" i="24" s="1"/>
  <c r="BI91" i="24"/>
  <c r="BP91" i="24" s="1"/>
  <c r="BI92" i="24"/>
  <c r="BP92" i="24" s="1"/>
  <c r="BI93" i="24"/>
  <c r="BP93" i="24" s="1"/>
  <c r="BI94" i="24"/>
  <c r="BP94" i="24" s="1"/>
  <c r="BI95" i="24"/>
  <c r="BP95" i="24" s="1"/>
  <c r="BI96" i="24"/>
  <c r="BP96" i="24" s="1"/>
  <c r="BI97" i="24"/>
  <c r="BP97" i="24" s="1"/>
  <c r="BI98" i="24"/>
  <c r="BP98" i="24" s="1"/>
  <c r="BI99" i="24"/>
  <c r="BP99" i="24" s="1"/>
  <c r="BI100" i="24"/>
  <c r="BP100" i="24" s="1"/>
  <c r="BI101" i="24"/>
  <c r="BP101" i="24" s="1"/>
  <c r="BI102" i="24"/>
  <c r="BP102" i="24" s="1"/>
  <c r="BI103" i="24"/>
  <c r="BP103" i="24" s="1"/>
  <c r="BI104" i="24"/>
  <c r="BP104" i="24" s="1"/>
  <c r="BI105" i="24"/>
  <c r="BP105" i="24" s="1"/>
  <c r="BI106" i="24"/>
  <c r="BP106" i="24" s="1"/>
  <c r="BI107" i="24"/>
  <c r="BP107" i="24" s="1"/>
  <c r="BI108" i="24"/>
  <c r="BP108" i="24" s="1"/>
  <c r="BI109" i="24"/>
  <c r="BP109" i="24" s="1"/>
  <c r="BI110" i="24"/>
  <c r="BP110" i="24" s="1"/>
  <c r="BI111" i="24"/>
  <c r="BP111" i="24" s="1"/>
  <c r="BI112" i="24"/>
  <c r="BP112" i="24" s="1"/>
  <c r="BI113" i="24"/>
  <c r="BP113" i="24" s="1"/>
  <c r="BI114" i="24"/>
  <c r="BP114" i="24" s="1"/>
  <c r="BI115" i="24"/>
  <c r="BP115" i="24" s="1"/>
  <c r="BI116" i="24"/>
  <c r="BP116" i="24" s="1"/>
  <c r="BI117" i="24"/>
  <c r="BP117" i="24" s="1"/>
  <c r="BI118" i="24"/>
  <c r="BP118" i="24" s="1"/>
  <c r="BI119" i="24"/>
  <c r="BP119" i="24" s="1"/>
  <c r="BI120" i="24"/>
  <c r="BP120" i="24" s="1"/>
  <c r="BI121" i="24"/>
  <c r="BP121" i="24" s="1"/>
  <c r="BI122" i="24"/>
  <c r="BP122" i="24" s="1"/>
  <c r="BI123" i="24"/>
  <c r="BP123" i="24" s="1"/>
  <c r="BI124" i="24"/>
  <c r="BP124" i="24" s="1"/>
  <c r="BI125" i="24"/>
  <c r="BP125" i="24" s="1"/>
  <c r="BI126" i="24"/>
  <c r="BP126" i="24" s="1"/>
  <c r="BI127" i="24"/>
  <c r="BP127" i="24" s="1"/>
  <c r="BI128" i="24"/>
  <c r="BP128" i="24" s="1"/>
  <c r="BI129" i="24"/>
  <c r="BP129" i="24" s="1"/>
  <c r="BI130" i="24"/>
  <c r="BP130" i="24" s="1"/>
  <c r="BI131" i="24"/>
  <c r="BP131" i="24" s="1"/>
  <c r="BI132" i="24"/>
  <c r="BP132" i="24" s="1"/>
  <c r="BI133" i="24"/>
  <c r="BP133" i="24" s="1"/>
  <c r="BI134" i="24"/>
  <c r="BP134" i="24" s="1"/>
  <c r="BI135" i="24"/>
  <c r="BP135" i="24" s="1"/>
  <c r="BI136" i="24"/>
  <c r="BP136" i="24" s="1"/>
  <c r="BI137" i="24"/>
  <c r="BP137" i="24" s="1"/>
  <c r="BI138" i="24"/>
  <c r="BP138" i="24" s="1"/>
  <c r="BI139" i="24"/>
  <c r="BP139" i="24" s="1"/>
  <c r="BI140" i="24"/>
  <c r="BP140" i="24" s="1"/>
  <c r="BI141" i="24"/>
  <c r="BP141" i="24" s="1"/>
  <c r="BI142" i="24"/>
  <c r="BP142" i="24" s="1"/>
  <c r="BI143" i="24"/>
  <c r="BP143" i="24" s="1"/>
  <c r="BI144" i="24"/>
  <c r="BP144" i="24" s="1"/>
  <c r="BI145" i="24"/>
  <c r="BP145" i="24" s="1"/>
  <c r="BI146" i="24"/>
  <c r="BP146" i="24" s="1"/>
  <c r="BI147" i="24"/>
  <c r="BP147" i="24" s="1"/>
  <c r="BI148" i="24"/>
  <c r="BP148" i="24" s="1"/>
  <c r="BI149" i="24"/>
  <c r="BP149" i="24" s="1"/>
  <c r="BI150" i="24"/>
  <c r="BP150" i="24" s="1"/>
  <c r="BI151" i="24"/>
  <c r="BP151" i="24" s="1"/>
  <c r="BI152" i="24"/>
  <c r="BP152" i="24" s="1"/>
  <c r="BI153" i="24"/>
  <c r="BP153" i="24" s="1"/>
  <c r="BI154" i="24"/>
  <c r="BP154" i="24" s="1"/>
  <c r="BI155" i="24"/>
  <c r="BP155" i="24" s="1"/>
  <c r="BI156" i="24"/>
  <c r="BP156" i="24" s="1"/>
  <c r="BI157" i="24"/>
  <c r="BP157" i="24" s="1"/>
  <c r="BI158" i="24"/>
  <c r="BP158" i="24" s="1"/>
  <c r="BI159" i="24"/>
  <c r="BP159" i="24" s="1"/>
  <c r="BI160" i="24"/>
  <c r="BP160" i="24" s="1"/>
  <c r="BI161" i="24"/>
  <c r="BP161" i="24" s="1"/>
  <c r="BI162" i="24"/>
  <c r="BP162" i="24" s="1"/>
  <c r="BI163" i="24"/>
  <c r="BP163" i="24" s="1"/>
  <c r="BI164" i="24"/>
  <c r="BP164" i="24" s="1"/>
  <c r="BI165" i="24"/>
  <c r="BP165" i="24" s="1"/>
  <c r="BI166" i="24"/>
  <c r="BP166" i="24" s="1"/>
  <c r="BI167" i="24"/>
  <c r="BP167" i="24" s="1"/>
  <c r="BI168" i="24"/>
  <c r="BP168" i="24" s="1"/>
  <c r="BI169" i="24"/>
  <c r="BP169" i="24" s="1"/>
  <c r="BI170" i="24"/>
  <c r="BP170" i="24" s="1"/>
  <c r="BI171" i="24"/>
  <c r="BP171" i="24" s="1"/>
  <c r="BI172" i="24"/>
  <c r="BP172" i="24" s="1"/>
  <c r="BI173" i="24"/>
  <c r="BP173" i="24" s="1"/>
  <c r="BI174" i="24"/>
  <c r="BP174" i="24" s="1"/>
  <c r="BI175" i="24"/>
  <c r="BP175" i="24" s="1"/>
  <c r="BI176" i="24"/>
  <c r="BP176" i="24" s="1"/>
  <c r="BI177" i="24"/>
  <c r="BP177" i="24" s="1"/>
  <c r="BI178" i="24"/>
  <c r="BP178" i="24" s="1"/>
  <c r="BI179" i="24"/>
  <c r="BP179" i="24" s="1"/>
  <c r="BI180" i="24"/>
  <c r="BP180" i="24" s="1"/>
  <c r="BI181" i="24"/>
  <c r="BP181" i="24" s="1"/>
  <c r="BI182" i="24"/>
  <c r="BP182" i="24" s="1"/>
  <c r="BI183" i="24"/>
  <c r="BP183" i="24" s="1"/>
  <c r="BI184" i="24"/>
  <c r="BP184" i="24" s="1"/>
  <c r="N8" i="24"/>
  <c r="V8" i="24" s="1"/>
  <c r="N9" i="24"/>
  <c r="V9" i="24" s="1"/>
  <c r="N10" i="24"/>
  <c r="V10" i="24" s="1"/>
  <c r="N11" i="24"/>
  <c r="V11" i="24" s="1"/>
  <c r="N12" i="24"/>
  <c r="V12" i="24" s="1"/>
  <c r="N13" i="24"/>
  <c r="V13" i="24" s="1"/>
  <c r="N14" i="24"/>
  <c r="V14" i="24" s="1"/>
  <c r="N15" i="24"/>
  <c r="V15" i="24" s="1"/>
  <c r="N16" i="24"/>
  <c r="V16" i="24" s="1"/>
  <c r="N17" i="24"/>
  <c r="V17" i="24" s="1"/>
  <c r="N18" i="24"/>
  <c r="V18" i="24" s="1"/>
  <c r="N19" i="24"/>
  <c r="V19" i="24" s="1"/>
  <c r="N20" i="24"/>
  <c r="V20" i="24" s="1"/>
  <c r="N21" i="24"/>
  <c r="V21" i="24" s="1"/>
  <c r="N22" i="24"/>
  <c r="V22" i="24" s="1"/>
  <c r="N23" i="24"/>
  <c r="V23" i="24" s="1"/>
  <c r="N24" i="24"/>
  <c r="V24" i="24" s="1"/>
  <c r="N25" i="24"/>
  <c r="V25" i="24" s="1"/>
  <c r="N26" i="24"/>
  <c r="V26" i="24" s="1"/>
  <c r="N27" i="24"/>
  <c r="V27" i="24" s="1"/>
  <c r="N28" i="24"/>
  <c r="V28" i="24" s="1"/>
  <c r="N29" i="24"/>
  <c r="V29" i="24" s="1"/>
  <c r="N30" i="24"/>
  <c r="V30" i="24" s="1"/>
  <c r="N31" i="24"/>
  <c r="V31" i="24" s="1"/>
  <c r="N32" i="24"/>
  <c r="V32" i="24" s="1"/>
  <c r="N33" i="24"/>
  <c r="V33" i="24" s="1"/>
  <c r="N34" i="24"/>
  <c r="V34" i="24" s="1"/>
  <c r="N35" i="24"/>
  <c r="V35" i="24" s="1"/>
  <c r="N36" i="24"/>
  <c r="V36" i="24" s="1"/>
  <c r="N37" i="24"/>
  <c r="V37" i="24" s="1"/>
  <c r="N38" i="24"/>
  <c r="V38" i="24" s="1"/>
  <c r="N39" i="24"/>
  <c r="V39" i="24" s="1"/>
  <c r="N40" i="24"/>
  <c r="V40" i="24" s="1"/>
  <c r="N41" i="24"/>
  <c r="V41" i="24" s="1"/>
  <c r="N42" i="24"/>
  <c r="V42" i="24" s="1"/>
  <c r="N43" i="24"/>
  <c r="V43" i="24" s="1"/>
  <c r="N44" i="24"/>
  <c r="V44" i="24" s="1"/>
  <c r="N45" i="24"/>
  <c r="V45" i="24" s="1"/>
  <c r="N46" i="24"/>
  <c r="V46" i="24" s="1"/>
  <c r="N47" i="24"/>
  <c r="V47" i="24" s="1"/>
  <c r="N48" i="24"/>
  <c r="V48" i="24" s="1"/>
  <c r="N49" i="24"/>
  <c r="V49" i="24" s="1"/>
  <c r="N50" i="24"/>
  <c r="V50" i="24" s="1"/>
  <c r="N51" i="24"/>
  <c r="V51" i="24" s="1"/>
  <c r="N52" i="24"/>
  <c r="V52" i="24" s="1"/>
  <c r="N53" i="24"/>
  <c r="V53" i="24" s="1"/>
  <c r="N54" i="24"/>
  <c r="V54" i="24" s="1"/>
  <c r="N55" i="24"/>
  <c r="V55" i="24" s="1"/>
  <c r="N56" i="24"/>
  <c r="V56" i="24" s="1"/>
  <c r="N57" i="24"/>
  <c r="V57" i="24" s="1"/>
  <c r="N58" i="24"/>
  <c r="V58" i="24" s="1"/>
  <c r="N59" i="24"/>
  <c r="V59" i="24" s="1"/>
  <c r="N60" i="24"/>
  <c r="V60" i="24" s="1"/>
  <c r="N61" i="24"/>
  <c r="V61" i="24" s="1"/>
  <c r="N62" i="24"/>
  <c r="V62" i="24" s="1"/>
  <c r="N63" i="24"/>
  <c r="V63" i="24" s="1"/>
  <c r="N64" i="24"/>
  <c r="V64" i="24" s="1"/>
  <c r="N65" i="24"/>
  <c r="V65" i="24" s="1"/>
  <c r="N66" i="24"/>
  <c r="V66" i="24" s="1"/>
  <c r="N67" i="24"/>
  <c r="V67" i="24" s="1"/>
  <c r="N68" i="24"/>
  <c r="V68" i="24" s="1"/>
  <c r="N69" i="24"/>
  <c r="V69" i="24" s="1"/>
  <c r="N70" i="24"/>
  <c r="V70" i="24" s="1"/>
  <c r="N71" i="24"/>
  <c r="V71" i="24" s="1"/>
  <c r="N72" i="24"/>
  <c r="V72" i="24" s="1"/>
  <c r="N73" i="24"/>
  <c r="V73" i="24" s="1"/>
  <c r="N74" i="24"/>
  <c r="V74" i="24" s="1"/>
  <c r="N75" i="24"/>
  <c r="V75" i="24" s="1"/>
  <c r="N76" i="24"/>
  <c r="V76" i="24" s="1"/>
  <c r="N77" i="24"/>
  <c r="V77" i="24" s="1"/>
  <c r="N78" i="24"/>
  <c r="V78" i="24" s="1"/>
  <c r="N79" i="24"/>
  <c r="V79" i="24" s="1"/>
  <c r="N80" i="24"/>
  <c r="V80" i="24" s="1"/>
  <c r="N81" i="24"/>
  <c r="V81" i="24" s="1"/>
  <c r="N82" i="24"/>
  <c r="V82" i="24" s="1"/>
  <c r="N83" i="24"/>
  <c r="V83" i="24" s="1"/>
  <c r="N84" i="24"/>
  <c r="V84" i="24" s="1"/>
  <c r="N85" i="24"/>
  <c r="V85" i="24" s="1"/>
  <c r="N86" i="24"/>
  <c r="V86" i="24" s="1"/>
  <c r="N87" i="24"/>
  <c r="V87" i="24" s="1"/>
  <c r="N88" i="24"/>
  <c r="V88" i="24" s="1"/>
  <c r="N89" i="24"/>
  <c r="V89" i="24" s="1"/>
  <c r="N90" i="24"/>
  <c r="V90" i="24" s="1"/>
  <c r="N91" i="24"/>
  <c r="V91" i="24" s="1"/>
  <c r="N92" i="24"/>
  <c r="V92" i="24" s="1"/>
  <c r="N93" i="24"/>
  <c r="V93" i="24" s="1"/>
  <c r="N94" i="24"/>
  <c r="V94" i="24" s="1"/>
  <c r="N95" i="24"/>
  <c r="V95" i="24" s="1"/>
  <c r="N96" i="24"/>
  <c r="V96" i="24" s="1"/>
  <c r="N97" i="24"/>
  <c r="V97" i="24" s="1"/>
  <c r="N98" i="24"/>
  <c r="V98" i="24" s="1"/>
  <c r="N99" i="24"/>
  <c r="V99" i="24" s="1"/>
  <c r="N100" i="24"/>
  <c r="V100" i="24" s="1"/>
  <c r="N101" i="24"/>
  <c r="V101" i="24" s="1"/>
  <c r="N102" i="24"/>
  <c r="V102" i="24" s="1"/>
  <c r="N103" i="24"/>
  <c r="V103" i="24" s="1"/>
  <c r="N104" i="24"/>
  <c r="V104" i="24" s="1"/>
  <c r="N105" i="24"/>
  <c r="V105" i="24" s="1"/>
  <c r="N106" i="24"/>
  <c r="V106" i="24" s="1"/>
  <c r="N107" i="24"/>
  <c r="V107" i="24" s="1"/>
  <c r="N108" i="24"/>
  <c r="V108" i="24" s="1"/>
  <c r="N109" i="24"/>
  <c r="V109" i="24" s="1"/>
  <c r="N110" i="24"/>
  <c r="V110" i="24" s="1"/>
  <c r="N111" i="24"/>
  <c r="V111" i="24" s="1"/>
  <c r="N112" i="24"/>
  <c r="V112" i="24" s="1"/>
  <c r="N113" i="24"/>
  <c r="V113" i="24" s="1"/>
  <c r="N114" i="24"/>
  <c r="V114" i="24" s="1"/>
  <c r="N115" i="24"/>
  <c r="V115" i="24" s="1"/>
  <c r="N116" i="24"/>
  <c r="V116" i="24" s="1"/>
  <c r="N117" i="24"/>
  <c r="V117" i="24" s="1"/>
  <c r="N118" i="24"/>
  <c r="V118" i="24" s="1"/>
  <c r="N119" i="24"/>
  <c r="V119" i="24" s="1"/>
  <c r="N120" i="24"/>
  <c r="V120" i="24" s="1"/>
  <c r="N121" i="24"/>
  <c r="V121" i="24" s="1"/>
  <c r="N122" i="24"/>
  <c r="V122" i="24" s="1"/>
  <c r="N123" i="24"/>
  <c r="V123" i="24" s="1"/>
  <c r="N124" i="24"/>
  <c r="V124" i="24" s="1"/>
  <c r="N125" i="24"/>
  <c r="V125" i="24" s="1"/>
  <c r="N126" i="24"/>
  <c r="V126" i="24" s="1"/>
  <c r="N127" i="24"/>
  <c r="V127" i="24" s="1"/>
  <c r="N128" i="24"/>
  <c r="V128" i="24" s="1"/>
  <c r="N129" i="24"/>
  <c r="V129" i="24" s="1"/>
  <c r="N130" i="24"/>
  <c r="V130" i="24" s="1"/>
  <c r="N131" i="24"/>
  <c r="V131" i="24" s="1"/>
  <c r="N132" i="24"/>
  <c r="V132" i="24" s="1"/>
  <c r="N133" i="24"/>
  <c r="V133" i="24" s="1"/>
  <c r="N134" i="24"/>
  <c r="V134" i="24" s="1"/>
  <c r="N135" i="24"/>
  <c r="V135" i="24" s="1"/>
  <c r="N136" i="24"/>
  <c r="V136" i="24" s="1"/>
  <c r="N137" i="24"/>
  <c r="V137" i="24" s="1"/>
  <c r="N138" i="24"/>
  <c r="V138" i="24" s="1"/>
  <c r="N139" i="24"/>
  <c r="V139" i="24" s="1"/>
  <c r="N140" i="24"/>
  <c r="V140" i="24" s="1"/>
  <c r="N141" i="24"/>
  <c r="V141" i="24" s="1"/>
  <c r="N142" i="24"/>
  <c r="V142" i="24" s="1"/>
  <c r="N143" i="24"/>
  <c r="V143" i="24" s="1"/>
  <c r="N144" i="24"/>
  <c r="V144" i="24" s="1"/>
  <c r="N145" i="24"/>
  <c r="V145" i="24" s="1"/>
  <c r="N146" i="24"/>
  <c r="V146" i="24" s="1"/>
  <c r="N147" i="24"/>
  <c r="V147" i="24" s="1"/>
  <c r="N148" i="24"/>
  <c r="V148" i="24" s="1"/>
  <c r="N149" i="24"/>
  <c r="V149" i="24" s="1"/>
  <c r="N150" i="24"/>
  <c r="V150" i="24" s="1"/>
  <c r="N151" i="24"/>
  <c r="V151" i="24" s="1"/>
  <c r="N152" i="24"/>
  <c r="V152" i="24" s="1"/>
  <c r="N153" i="24"/>
  <c r="V153" i="24" s="1"/>
  <c r="N154" i="24"/>
  <c r="V154" i="24" s="1"/>
  <c r="N155" i="24"/>
  <c r="V155" i="24" s="1"/>
  <c r="N156" i="24"/>
  <c r="V156" i="24" s="1"/>
  <c r="N157" i="24"/>
  <c r="V157" i="24" s="1"/>
  <c r="N158" i="24"/>
  <c r="V158" i="24" s="1"/>
  <c r="N159" i="24"/>
  <c r="V159" i="24" s="1"/>
  <c r="N160" i="24"/>
  <c r="V160" i="24" s="1"/>
  <c r="N161" i="24"/>
  <c r="V161" i="24" s="1"/>
  <c r="N162" i="24"/>
  <c r="V162" i="24" s="1"/>
  <c r="N163" i="24"/>
  <c r="V163" i="24" s="1"/>
  <c r="N164" i="24"/>
  <c r="V164" i="24" s="1"/>
  <c r="N165" i="24"/>
  <c r="V165" i="24" s="1"/>
  <c r="N166" i="24"/>
  <c r="V166" i="24" s="1"/>
  <c r="N167" i="24"/>
  <c r="V167" i="24" s="1"/>
  <c r="N168" i="24"/>
  <c r="V168" i="24" s="1"/>
  <c r="N169" i="24"/>
  <c r="V169" i="24" s="1"/>
  <c r="N170" i="24"/>
  <c r="V170" i="24" s="1"/>
  <c r="N171" i="24"/>
  <c r="V171" i="24" s="1"/>
  <c r="N172" i="24"/>
  <c r="V172" i="24" s="1"/>
  <c r="N173" i="24"/>
  <c r="V173" i="24" s="1"/>
  <c r="N174" i="24"/>
  <c r="V174" i="24" s="1"/>
  <c r="N175" i="24"/>
  <c r="V175" i="24" s="1"/>
  <c r="N176" i="24"/>
  <c r="V176" i="24" s="1"/>
  <c r="N177" i="24"/>
  <c r="V177" i="24" s="1"/>
  <c r="N178" i="24"/>
  <c r="V178" i="24" s="1"/>
  <c r="N179" i="24"/>
  <c r="V179" i="24" s="1"/>
  <c r="N180" i="24"/>
  <c r="V180" i="24" s="1"/>
  <c r="N181" i="24"/>
  <c r="V181" i="24" s="1"/>
  <c r="N182" i="24"/>
  <c r="V182" i="24" s="1"/>
  <c r="N183" i="24"/>
  <c r="V183" i="24" s="1"/>
  <c r="N184" i="24"/>
  <c r="V184" i="24" s="1"/>
  <c r="AN8" i="24"/>
  <c r="AU8" i="24" s="1"/>
  <c r="AN9" i="24"/>
  <c r="AU9" i="24" s="1"/>
  <c r="AN10" i="24"/>
  <c r="AU10" i="24" s="1"/>
  <c r="AN11" i="24"/>
  <c r="AU11" i="24" s="1"/>
  <c r="AN12" i="24"/>
  <c r="AU12" i="24" s="1"/>
  <c r="AN13" i="24"/>
  <c r="AU13" i="24" s="1"/>
  <c r="AN14" i="24"/>
  <c r="AU14" i="24" s="1"/>
  <c r="AN15" i="24"/>
  <c r="AU15" i="24" s="1"/>
  <c r="AN16" i="24"/>
  <c r="AU16" i="24" s="1"/>
  <c r="AN17" i="24"/>
  <c r="AU17" i="24" s="1"/>
  <c r="AN18" i="24"/>
  <c r="AU18" i="24" s="1"/>
  <c r="AN19" i="24"/>
  <c r="AU19" i="24" s="1"/>
  <c r="AN20" i="24"/>
  <c r="AU20" i="24" s="1"/>
  <c r="AN21" i="24"/>
  <c r="AU21" i="24" s="1"/>
  <c r="AN22" i="24"/>
  <c r="AU22" i="24" s="1"/>
  <c r="AN23" i="24"/>
  <c r="AU23" i="24" s="1"/>
  <c r="AN24" i="24"/>
  <c r="AU24" i="24" s="1"/>
  <c r="AN25" i="24"/>
  <c r="AU25" i="24" s="1"/>
  <c r="AN26" i="24"/>
  <c r="AU26" i="24" s="1"/>
  <c r="AN27" i="24"/>
  <c r="AU27" i="24" s="1"/>
  <c r="AN28" i="24"/>
  <c r="AU28" i="24" s="1"/>
  <c r="AN29" i="24"/>
  <c r="AU29" i="24" s="1"/>
  <c r="AN30" i="24"/>
  <c r="AU30" i="24" s="1"/>
  <c r="AN31" i="24"/>
  <c r="AU31" i="24" s="1"/>
  <c r="AN32" i="24"/>
  <c r="AU32" i="24" s="1"/>
  <c r="AN33" i="24"/>
  <c r="AU33" i="24" s="1"/>
  <c r="AN34" i="24"/>
  <c r="AU34" i="24" s="1"/>
  <c r="AN35" i="24"/>
  <c r="AU35" i="24" s="1"/>
  <c r="AN36" i="24"/>
  <c r="AU36" i="24" s="1"/>
  <c r="AN37" i="24"/>
  <c r="AU37" i="24" s="1"/>
  <c r="AN38" i="24"/>
  <c r="AU38" i="24" s="1"/>
  <c r="AN39" i="24"/>
  <c r="AU39" i="24" s="1"/>
  <c r="AN40" i="24"/>
  <c r="AU40" i="24" s="1"/>
  <c r="AN41" i="24"/>
  <c r="AU41" i="24" s="1"/>
  <c r="AN42" i="24"/>
  <c r="AU42" i="24" s="1"/>
  <c r="AN43" i="24"/>
  <c r="AU43" i="24" s="1"/>
  <c r="AN44" i="24"/>
  <c r="AU44" i="24" s="1"/>
  <c r="AN45" i="24"/>
  <c r="AU45" i="24" s="1"/>
  <c r="AN46" i="24"/>
  <c r="AU46" i="24" s="1"/>
  <c r="AN47" i="24"/>
  <c r="AU47" i="24" s="1"/>
  <c r="AN48" i="24"/>
  <c r="AU48" i="24" s="1"/>
  <c r="AN49" i="24"/>
  <c r="AU49" i="24" s="1"/>
  <c r="AN50" i="24"/>
  <c r="AU50" i="24" s="1"/>
  <c r="AN51" i="24"/>
  <c r="AU51" i="24" s="1"/>
  <c r="AN52" i="24"/>
  <c r="AU52" i="24" s="1"/>
  <c r="AN53" i="24"/>
  <c r="AU53" i="24" s="1"/>
  <c r="AN54" i="24"/>
  <c r="AU54" i="24" s="1"/>
  <c r="AN55" i="24"/>
  <c r="AU55" i="24" s="1"/>
  <c r="AN56" i="24"/>
  <c r="AU56" i="24" s="1"/>
  <c r="AN57" i="24"/>
  <c r="AU57" i="24" s="1"/>
  <c r="AN58" i="24"/>
  <c r="AU58" i="24" s="1"/>
  <c r="AN59" i="24"/>
  <c r="AU59" i="24" s="1"/>
  <c r="AN60" i="24"/>
  <c r="AU60" i="24" s="1"/>
  <c r="AN61" i="24"/>
  <c r="AU61" i="24" s="1"/>
  <c r="AN62" i="24"/>
  <c r="AU62" i="24" s="1"/>
  <c r="AN63" i="24"/>
  <c r="AU63" i="24" s="1"/>
  <c r="AN64" i="24"/>
  <c r="AU64" i="24" s="1"/>
  <c r="AN65" i="24"/>
  <c r="AU65" i="24" s="1"/>
  <c r="AN66" i="24"/>
  <c r="AU66" i="24" s="1"/>
  <c r="AN67" i="24"/>
  <c r="AU67" i="24" s="1"/>
  <c r="AN68" i="24"/>
  <c r="AU68" i="24" s="1"/>
  <c r="AN69" i="24"/>
  <c r="AU69" i="24" s="1"/>
  <c r="AN70" i="24"/>
  <c r="AU70" i="24" s="1"/>
  <c r="AN71" i="24"/>
  <c r="AU71" i="24" s="1"/>
  <c r="AN72" i="24"/>
  <c r="AU72" i="24" s="1"/>
  <c r="AN73" i="24"/>
  <c r="AU73" i="24" s="1"/>
  <c r="AN74" i="24"/>
  <c r="AU74" i="24" s="1"/>
  <c r="AN75" i="24"/>
  <c r="AU75" i="24" s="1"/>
  <c r="AN76" i="24"/>
  <c r="AU76" i="24" s="1"/>
  <c r="AN77" i="24"/>
  <c r="AU77" i="24" s="1"/>
  <c r="AN78" i="24"/>
  <c r="AU78" i="24" s="1"/>
  <c r="AN79" i="24"/>
  <c r="AU79" i="24" s="1"/>
  <c r="AN80" i="24"/>
  <c r="AU80" i="24" s="1"/>
  <c r="AN81" i="24"/>
  <c r="AU81" i="24" s="1"/>
  <c r="AN82" i="24"/>
  <c r="AU82" i="24" s="1"/>
  <c r="AN83" i="24"/>
  <c r="AU83" i="24" s="1"/>
  <c r="AN84" i="24"/>
  <c r="AU84" i="24" s="1"/>
  <c r="AN85" i="24"/>
  <c r="AU85" i="24" s="1"/>
  <c r="AN86" i="24"/>
  <c r="AU86" i="24" s="1"/>
  <c r="AN87" i="24"/>
  <c r="AU87" i="24" s="1"/>
  <c r="AN88" i="24"/>
  <c r="AU88" i="24" s="1"/>
  <c r="AN89" i="24"/>
  <c r="AU89" i="24" s="1"/>
  <c r="AN90" i="24"/>
  <c r="AU90" i="24" s="1"/>
  <c r="AN91" i="24"/>
  <c r="AU91" i="24" s="1"/>
  <c r="AN92" i="24"/>
  <c r="AU92" i="24" s="1"/>
  <c r="AN93" i="24"/>
  <c r="AU93" i="24" s="1"/>
  <c r="AN94" i="24"/>
  <c r="AU94" i="24" s="1"/>
  <c r="AN95" i="24"/>
  <c r="AU95" i="24" s="1"/>
  <c r="AN96" i="24"/>
  <c r="AU96" i="24" s="1"/>
  <c r="AN97" i="24"/>
  <c r="AU97" i="24" s="1"/>
  <c r="AN98" i="24"/>
  <c r="AU98" i="24" s="1"/>
  <c r="AN99" i="24"/>
  <c r="AU99" i="24" s="1"/>
  <c r="AN100" i="24"/>
  <c r="AU100" i="24" s="1"/>
  <c r="AN101" i="24"/>
  <c r="AU101" i="24" s="1"/>
  <c r="AN102" i="24"/>
  <c r="AU102" i="24" s="1"/>
  <c r="AN103" i="24"/>
  <c r="AU103" i="24" s="1"/>
  <c r="AN104" i="24"/>
  <c r="AU104" i="24" s="1"/>
  <c r="AN105" i="24"/>
  <c r="AU105" i="24" s="1"/>
  <c r="AN106" i="24"/>
  <c r="AU106" i="24" s="1"/>
  <c r="AN107" i="24"/>
  <c r="AU107" i="24" s="1"/>
  <c r="AN108" i="24"/>
  <c r="AU108" i="24" s="1"/>
  <c r="AN109" i="24"/>
  <c r="AU109" i="24" s="1"/>
  <c r="AN110" i="24"/>
  <c r="AU110" i="24" s="1"/>
  <c r="AN111" i="24"/>
  <c r="AU111" i="24" s="1"/>
  <c r="AN112" i="24"/>
  <c r="AU112" i="24" s="1"/>
  <c r="AN113" i="24"/>
  <c r="AU113" i="24" s="1"/>
  <c r="AN114" i="24"/>
  <c r="AU114" i="24" s="1"/>
  <c r="AN115" i="24"/>
  <c r="AU115" i="24" s="1"/>
  <c r="AN116" i="24"/>
  <c r="AU116" i="24" s="1"/>
  <c r="AN117" i="24"/>
  <c r="AU117" i="24" s="1"/>
  <c r="AN118" i="24"/>
  <c r="AU118" i="24" s="1"/>
  <c r="AN119" i="24"/>
  <c r="AU119" i="24" s="1"/>
  <c r="AN120" i="24"/>
  <c r="AU120" i="24" s="1"/>
  <c r="AN121" i="24"/>
  <c r="AU121" i="24" s="1"/>
  <c r="AN122" i="24"/>
  <c r="AU122" i="24" s="1"/>
  <c r="AN123" i="24"/>
  <c r="AU123" i="24" s="1"/>
  <c r="AN124" i="24"/>
  <c r="AU124" i="24" s="1"/>
  <c r="AN125" i="24"/>
  <c r="AU125" i="24" s="1"/>
  <c r="AN126" i="24"/>
  <c r="AU126" i="24" s="1"/>
  <c r="AN127" i="24"/>
  <c r="AU127" i="24" s="1"/>
  <c r="AN128" i="24"/>
  <c r="AU128" i="24" s="1"/>
  <c r="AN129" i="24"/>
  <c r="AU129" i="24" s="1"/>
  <c r="AN130" i="24"/>
  <c r="AU130" i="24" s="1"/>
  <c r="AN131" i="24"/>
  <c r="AU131" i="24" s="1"/>
  <c r="AN132" i="24"/>
  <c r="AU132" i="24" s="1"/>
  <c r="AN133" i="24"/>
  <c r="AU133" i="24" s="1"/>
  <c r="AN134" i="24"/>
  <c r="AU134" i="24" s="1"/>
  <c r="AN135" i="24"/>
  <c r="AU135" i="24" s="1"/>
  <c r="AN136" i="24"/>
  <c r="AU136" i="24" s="1"/>
  <c r="AN137" i="24"/>
  <c r="AU137" i="24" s="1"/>
  <c r="AN138" i="24"/>
  <c r="AU138" i="24" s="1"/>
  <c r="AN139" i="24"/>
  <c r="AU139" i="24" s="1"/>
  <c r="AN140" i="24"/>
  <c r="AU140" i="24" s="1"/>
  <c r="AN141" i="24"/>
  <c r="AU141" i="24" s="1"/>
  <c r="AN142" i="24"/>
  <c r="AU142" i="24" s="1"/>
  <c r="AN143" i="24"/>
  <c r="AU143" i="24" s="1"/>
  <c r="AN144" i="24"/>
  <c r="AU144" i="24" s="1"/>
  <c r="AN145" i="24"/>
  <c r="AU145" i="24" s="1"/>
  <c r="AN146" i="24"/>
  <c r="AU146" i="24" s="1"/>
  <c r="AN147" i="24"/>
  <c r="AU147" i="24" s="1"/>
  <c r="AN148" i="24"/>
  <c r="AU148" i="24" s="1"/>
  <c r="AN149" i="24"/>
  <c r="AU149" i="24" s="1"/>
  <c r="AN150" i="24"/>
  <c r="AU150" i="24" s="1"/>
  <c r="AN151" i="24"/>
  <c r="AU151" i="24" s="1"/>
  <c r="AN152" i="24"/>
  <c r="AU152" i="24" s="1"/>
  <c r="AN153" i="24"/>
  <c r="AU153" i="24" s="1"/>
  <c r="AN154" i="24"/>
  <c r="AU154" i="24" s="1"/>
  <c r="AN155" i="24"/>
  <c r="AU155" i="24" s="1"/>
  <c r="AN156" i="24"/>
  <c r="AU156" i="24" s="1"/>
  <c r="AN157" i="24"/>
  <c r="AU157" i="24" s="1"/>
  <c r="AN158" i="24"/>
  <c r="AU158" i="24" s="1"/>
  <c r="AN159" i="24"/>
  <c r="AU159" i="24" s="1"/>
  <c r="AN160" i="24"/>
  <c r="AU160" i="24" s="1"/>
  <c r="AN161" i="24"/>
  <c r="AU161" i="24" s="1"/>
  <c r="AN162" i="24"/>
  <c r="AU162" i="24" s="1"/>
  <c r="AN163" i="24"/>
  <c r="AU163" i="24" s="1"/>
  <c r="AN164" i="24"/>
  <c r="AU164" i="24" s="1"/>
  <c r="AN165" i="24"/>
  <c r="AU165" i="24" s="1"/>
  <c r="AN166" i="24"/>
  <c r="AU166" i="24" s="1"/>
  <c r="AN167" i="24"/>
  <c r="AU167" i="24" s="1"/>
  <c r="AN168" i="24"/>
  <c r="AU168" i="24" s="1"/>
  <c r="AN169" i="24"/>
  <c r="AU169" i="24" s="1"/>
  <c r="AN170" i="24"/>
  <c r="AU170" i="24" s="1"/>
  <c r="AN171" i="24"/>
  <c r="AU171" i="24" s="1"/>
  <c r="AN172" i="24"/>
  <c r="AU172" i="24" s="1"/>
  <c r="AN173" i="24"/>
  <c r="AU173" i="24" s="1"/>
  <c r="AN174" i="24"/>
  <c r="AU174" i="24" s="1"/>
  <c r="AN175" i="24"/>
  <c r="AU175" i="24" s="1"/>
  <c r="AN176" i="24"/>
  <c r="AU176" i="24" s="1"/>
  <c r="AN177" i="24"/>
  <c r="AU177" i="24" s="1"/>
  <c r="AN178" i="24"/>
  <c r="AU178" i="24" s="1"/>
  <c r="AN179" i="24"/>
  <c r="AU179" i="24" s="1"/>
  <c r="AN180" i="24"/>
  <c r="AU180" i="24" s="1"/>
  <c r="AN181" i="24"/>
  <c r="AU181" i="24" s="1"/>
  <c r="AN182" i="24"/>
  <c r="AU182" i="24" s="1"/>
  <c r="AN183" i="24"/>
  <c r="AU183" i="24" s="1"/>
  <c r="AN184" i="24"/>
  <c r="AU184" i="24" s="1"/>
  <c r="H9" i="24"/>
  <c r="I9" i="24" s="1"/>
  <c r="H10" i="24"/>
  <c r="I10" i="24" s="1"/>
  <c r="H11" i="24"/>
  <c r="I11" i="24" s="1"/>
  <c r="H12" i="24"/>
  <c r="I12" i="24" s="1"/>
  <c r="H13" i="24"/>
  <c r="I13" i="24" s="1"/>
  <c r="H14" i="24"/>
  <c r="I14" i="24" s="1"/>
  <c r="H15" i="24"/>
  <c r="I15" i="24" s="1"/>
  <c r="H16" i="24"/>
  <c r="I16" i="24" s="1"/>
  <c r="H17" i="24"/>
  <c r="I17" i="24" s="1"/>
  <c r="H18" i="24"/>
  <c r="I18" i="24" s="1"/>
  <c r="H19" i="24"/>
  <c r="I19" i="24" s="1"/>
  <c r="H20" i="24"/>
  <c r="I20" i="24" s="1"/>
  <c r="H21" i="24"/>
  <c r="I21" i="24" s="1"/>
  <c r="H22" i="24"/>
  <c r="I22" i="24" s="1"/>
  <c r="H23" i="24"/>
  <c r="I23" i="24" s="1"/>
  <c r="H24" i="24"/>
  <c r="I24" i="24" s="1"/>
  <c r="H25" i="24"/>
  <c r="I25" i="24" s="1"/>
  <c r="H26" i="24"/>
  <c r="I26" i="24" s="1"/>
  <c r="H27" i="24"/>
  <c r="I27" i="24" s="1"/>
  <c r="H28" i="24"/>
  <c r="I28" i="24" s="1"/>
  <c r="H29" i="24"/>
  <c r="I29" i="24" s="1"/>
  <c r="H30" i="24"/>
  <c r="I30" i="24" s="1"/>
  <c r="H31" i="24"/>
  <c r="I31" i="24" s="1"/>
  <c r="H32" i="24"/>
  <c r="I32" i="24" s="1"/>
  <c r="H33" i="24"/>
  <c r="I33" i="24" s="1"/>
  <c r="H34" i="24"/>
  <c r="I34" i="24" s="1"/>
  <c r="H35" i="24"/>
  <c r="I35" i="24" s="1"/>
  <c r="H36" i="24"/>
  <c r="I36" i="24" s="1"/>
  <c r="H37" i="24"/>
  <c r="I37" i="24" s="1"/>
  <c r="H38" i="24"/>
  <c r="I38" i="24" s="1"/>
  <c r="H39" i="24"/>
  <c r="I39" i="24" s="1"/>
  <c r="H40" i="24"/>
  <c r="I40" i="24" s="1"/>
  <c r="H41" i="24"/>
  <c r="I41" i="24" s="1"/>
  <c r="H42" i="24"/>
  <c r="I42" i="24" s="1"/>
  <c r="H43" i="24"/>
  <c r="I43" i="24" s="1"/>
  <c r="H44" i="24"/>
  <c r="I44" i="24" s="1"/>
  <c r="H45" i="24"/>
  <c r="I45" i="24" s="1"/>
  <c r="H46" i="24"/>
  <c r="I46" i="24" s="1"/>
  <c r="H47" i="24"/>
  <c r="I47" i="24" s="1"/>
  <c r="H48" i="24"/>
  <c r="I48" i="24" s="1"/>
  <c r="H49" i="24"/>
  <c r="I49" i="24" s="1"/>
  <c r="H50" i="24"/>
  <c r="I50" i="24" s="1"/>
  <c r="H51" i="24"/>
  <c r="I51" i="24" s="1"/>
  <c r="H52" i="24"/>
  <c r="I52" i="24" s="1"/>
  <c r="H53" i="24"/>
  <c r="I53" i="24" s="1"/>
  <c r="H54" i="24"/>
  <c r="I54" i="24" s="1"/>
  <c r="H55" i="24"/>
  <c r="I55" i="24" s="1"/>
  <c r="H56" i="24"/>
  <c r="I56" i="24" s="1"/>
  <c r="H57" i="24"/>
  <c r="I57" i="24" s="1"/>
  <c r="H58" i="24"/>
  <c r="I58" i="24" s="1"/>
  <c r="H59" i="24"/>
  <c r="I59" i="24" s="1"/>
  <c r="H60" i="24"/>
  <c r="I60" i="24" s="1"/>
  <c r="H61" i="24"/>
  <c r="I61" i="24" s="1"/>
  <c r="H62" i="24"/>
  <c r="I62" i="24" s="1"/>
  <c r="H63" i="24"/>
  <c r="I63" i="24" s="1"/>
  <c r="H64" i="24"/>
  <c r="I64" i="24" s="1"/>
  <c r="H65" i="24"/>
  <c r="I65" i="24" s="1"/>
  <c r="H66" i="24"/>
  <c r="I66" i="24" s="1"/>
  <c r="H67" i="24"/>
  <c r="I67" i="24" s="1"/>
  <c r="H68" i="24"/>
  <c r="I68" i="24" s="1"/>
  <c r="H69" i="24"/>
  <c r="I69" i="24" s="1"/>
  <c r="H70" i="24"/>
  <c r="I70" i="24" s="1"/>
  <c r="H71" i="24"/>
  <c r="I71" i="24" s="1"/>
  <c r="H72" i="24"/>
  <c r="I72" i="24" s="1"/>
  <c r="H73" i="24"/>
  <c r="I73" i="24" s="1"/>
  <c r="H74" i="24"/>
  <c r="I74" i="24" s="1"/>
  <c r="H75" i="24"/>
  <c r="I75" i="24" s="1"/>
  <c r="H76" i="24"/>
  <c r="I76" i="24" s="1"/>
  <c r="H77" i="24"/>
  <c r="I77" i="24" s="1"/>
  <c r="H78" i="24"/>
  <c r="I78" i="24" s="1"/>
  <c r="H79" i="24"/>
  <c r="I79" i="24" s="1"/>
  <c r="H80" i="24"/>
  <c r="I80" i="24" s="1"/>
  <c r="H81" i="24"/>
  <c r="I81" i="24" s="1"/>
  <c r="H82" i="24"/>
  <c r="I82" i="24" s="1"/>
  <c r="H83" i="24"/>
  <c r="I83" i="24" s="1"/>
  <c r="H84" i="24"/>
  <c r="I84" i="24" s="1"/>
  <c r="H85" i="24"/>
  <c r="I85" i="24" s="1"/>
  <c r="H86" i="24"/>
  <c r="I86" i="24" s="1"/>
  <c r="H87" i="24"/>
  <c r="I87" i="24" s="1"/>
  <c r="H88" i="24"/>
  <c r="I88" i="24" s="1"/>
  <c r="H89" i="24"/>
  <c r="I89" i="24" s="1"/>
  <c r="H90" i="24"/>
  <c r="I90" i="24" s="1"/>
  <c r="H91" i="24"/>
  <c r="I91" i="24" s="1"/>
  <c r="H92" i="24"/>
  <c r="I92" i="24" s="1"/>
  <c r="H93" i="24"/>
  <c r="I93" i="24" s="1"/>
  <c r="H94" i="24"/>
  <c r="I94" i="24" s="1"/>
  <c r="H95" i="24"/>
  <c r="I95" i="24" s="1"/>
  <c r="H96" i="24"/>
  <c r="I96" i="24" s="1"/>
  <c r="H97" i="24"/>
  <c r="I97" i="24" s="1"/>
  <c r="H98" i="24"/>
  <c r="I98" i="24" s="1"/>
  <c r="H99" i="24"/>
  <c r="I99" i="24" s="1"/>
  <c r="H100" i="24"/>
  <c r="I100" i="24" s="1"/>
  <c r="H101" i="24"/>
  <c r="I101" i="24" s="1"/>
  <c r="H102" i="24"/>
  <c r="I102" i="24" s="1"/>
  <c r="H103" i="24"/>
  <c r="I103" i="24" s="1"/>
  <c r="H104" i="24"/>
  <c r="I104" i="24" s="1"/>
  <c r="H105" i="24"/>
  <c r="I105" i="24" s="1"/>
  <c r="H106" i="24"/>
  <c r="I106" i="24" s="1"/>
  <c r="H107" i="24"/>
  <c r="I107" i="24" s="1"/>
  <c r="H108" i="24"/>
  <c r="I108" i="24" s="1"/>
  <c r="H109" i="24"/>
  <c r="I109" i="24" s="1"/>
  <c r="H110" i="24"/>
  <c r="I110" i="24" s="1"/>
  <c r="H111" i="24"/>
  <c r="I111" i="24" s="1"/>
  <c r="H112" i="24"/>
  <c r="I112" i="24" s="1"/>
  <c r="H113" i="24"/>
  <c r="I113" i="24" s="1"/>
  <c r="H114" i="24"/>
  <c r="I114" i="24" s="1"/>
  <c r="H115" i="24"/>
  <c r="I115" i="24" s="1"/>
  <c r="H116" i="24"/>
  <c r="I116" i="24" s="1"/>
  <c r="H117" i="24"/>
  <c r="I117" i="24" s="1"/>
  <c r="H118" i="24"/>
  <c r="I118" i="24" s="1"/>
  <c r="H119" i="24"/>
  <c r="I119" i="24" s="1"/>
  <c r="H120" i="24"/>
  <c r="I120" i="24" s="1"/>
  <c r="H121" i="24"/>
  <c r="I121" i="24" s="1"/>
  <c r="H122" i="24"/>
  <c r="I122" i="24" s="1"/>
  <c r="H123" i="24"/>
  <c r="I123" i="24" s="1"/>
  <c r="H124" i="24"/>
  <c r="I124" i="24" s="1"/>
  <c r="H125" i="24"/>
  <c r="I125" i="24" s="1"/>
  <c r="H126" i="24"/>
  <c r="I126" i="24" s="1"/>
  <c r="H127" i="24"/>
  <c r="I127" i="24" s="1"/>
  <c r="H128" i="24"/>
  <c r="I128" i="24" s="1"/>
  <c r="H129" i="24"/>
  <c r="I129" i="24" s="1"/>
  <c r="H130" i="24"/>
  <c r="I130" i="24" s="1"/>
  <c r="H131" i="24"/>
  <c r="I131" i="24" s="1"/>
  <c r="H132" i="24"/>
  <c r="I132" i="24" s="1"/>
  <c r="H133" i="24"/>
  <c r="I133" i="24" s="1"/>
  <c r="H134" i="24"/>
  <c r="I134" i="24" s="1"/>
  <c r="H135" i="24"/>
  <c r="I135" i="24" s="1"/>
  <c r="H136" i="24"/>
  <c r="I136" i="24" s="1"/>
  <c r="H137" i="24"/>
  <c r="I137" i="24" s="1"/>
  <c r="H138" i="24"/>
  <c r="I138" i="24" s="1"/>
  <c r="H139" i="24"/>
  <c r="I139" i="24" s="1"/>
  <c r="H140" i="24"/>
  <c r="I140" i="24" s="1"/>
  <c r="H141" i="24"/>
  <c r="I141" i="24" s="1"/>
  <c r="H142" i="24"/>
  <c r="I142" i="24" s="1"/>
  <c r="H143" i="24"/>
  <c r="I143" i="24" s="1"/>
  <c r="H144" i="24"/>
  <c r="I144" i="24" s="1"/>
  <c r="H145" i="24"/>
  <c r="I145" i="24" s="1"/>
  <c r="H146" i="24"/>
  <c r="I146" i="24" s="1"/>
  <c r="H147" i="24"/>
  <c r="I147" i="24" s="1"/>
  <c r="H148" i="24"/>
  <c r="I148" i="24" s="1"/>
  <c r="H149" i="24"/>
  <c r="I149" i="24" s="1"/>
  <c r="H150" i="24"/>
  <c r="I150" i="24" s="1"/>
  <c r="H151" i="24"/>
  <c r="I151" i="24" s="1"/>
  <c r="H152" i="24"/>
  <c r="I152" i="24" s="1"/>
  <c r="H153" i="24"/>
  <c r="I153" i="24" s="1"/>
  <c r="H154" i="24"/>
  <c r="I154" i="24" s="1"/>
  <c r="H155" i="24"/>
  <c r="I155" i="24" s="1"/>
  <c r="H156" i="24"/>
  <c r="I156" i="24" s="1"/>
  <c r="H157" i="24"/>
  <c r="I157" i="24" s="1"/>
  <c r="H158" i="24"/>
  <c r="I158" i="24" s="1"/>
  <c r="H159" i="24"/>
  <c r="I159" i="24" s="1"/>
  <c r="H160" i="24"/>
  <c r="I160" i="24" s="1"/>
  <c r="H161" i="24"/>
  <c r="I161" i="24" s="1"/>
  <c r="H162" i="24"/>
  <c r="I162" i="24" s="1"/>
  <c r="H163" i="24"/>
  <c r="I163" i="24" s="1"/>
  <c r="H164" i="24"/>
  <c r="I164" i="24" s="1"/>
  <c r="H165" i="24"/>
  <c r="I165" i="24" s="1"/>
  <c r="H166" i="24"/>
  <c r="I166" i="24" s="1"/>
  <c r="H167" i="24"/>
  <c r="I167" i="24" s="1"/>
  <c r="H168" i="24"/>
  <c r="I168" i="24" s="1"/>
  <c r="H169" i="24"/>
  <c r="I169" i="24" s="1"/>
  <c r="H170" i="24"/>
  <c r="I170" i="24" s="1"/>
  <c r="H171" i="24"/>
  <c r="I171" i="24" s="1"/>
  <c r="H172" i="24"/>
  <c r="I172" i="24" s="1"/>
  <c r="H173" i="24"/>
  <c r="I173" i="24" s="1"/>
  <c r="H174" i="24"/>
  <c r="I174" i="24" s="1"/>
  <c r="H175" i="24"/>
  <c r="I175" i="24" s="1"/>
  <c r="H176" i="24"/>
  <c r="I176" i="24" s="1"/>
  <c r="H177" i="24"/>
  <c r="I177" i="24" s="1"/>
  <c r="H178" i="24"/>
  <c r="I178" i="24" s="1"/>
  <c r="H179" i="24"/>
  <c r="I179" i="24" s="1"/>
  <c r="H180" i="24"/>
  <c r="I180" i="24" s="1"/>
  <c r="H181" i="24"/>
  <c r="I181" i="24" s="1"/>
  <c r="H182" i="24"/>
  <c r="I182" i="24" s="1"/>
  <c r="H183" i="24"/>
  <c r="I183" i="24" s="1"/>
  <c r="H184" i="24"/>
  <c r="I184" i="24" s="1"/>
  <c r="H8" i="24"/>
  <c r="I8" i="24" s="1"/>
  <c r="V125" i="22" l="1"/>
  <c r="J114" i="24"/>
  <c r="I4" i="24"/>
  <c r="J140" i="24" s="1"/>
  <c r="J113" i="24"/>
  <c r="J89" i="24"/>
  <c r="J104" i="24"/>
  <c r="J32" i="24"/>
  <c r="J111" i="24"/>
  <c r="J39" i="24"/>
  <c r="J158" i="24"/>
  <c r="J98" i="24"/>
  <c r="J121" i="24"/>
  <c r="J73" i="24"/>
  <c r="J38" i="24"/>
  <c r="J61" i="24"/>
  <c r="J180" i="24"/>
  <c r="J36" i="24"/>
  <c r="J110" i="24"/>
  <c r="J107" i="24"/>
  <c r="J95" i="24"/>
  <c r="J47" i="24"/>
  <c r="J23" i="24"/>
  <c r="J166" i="24"/>
  <c r="J118" i="24"/>
  <c r="J106" i="24"/>
  <c r="J10" i="24"/>
  <c r="J153" i="24"/>
  <c r="J69" i="24"/>
  <c r="J57" i="24"/>
  <c r="J21" i="24"/>
  <c r="J9" i="24"/>
  <c r="BO178" i="24"/>
  <c r="BM178" i="24" s="1"/>
  <c r="BN178" i="24"/>
  <c r="BL178" i="24" s="1"/>
  <c r="BQ178" i="24" s="1"/>
  <c r="BO154" i="24"/>
  <c r="BM154" i="24" s="1"/>
  <c r="BN154" i="24"/>
  <c r="BL154" i="24" s="1"/>
  <c r="BQ154" i="24" s="1"/>
  <c r="BO118" i="24"/>
  <c r="BM118" i="24" s="1"/>
  <c r="BN118" i="24"/>
  <c r="BL118" i="24" s="1"/>
  <c r="BQ118" i="24" s="1"/>
  <c r="BO94" i="24"/>
  <c r="BM94" i="24" s="1"/>
  <c r="BN94" i="24"/>
  <c r="BL94" i="24" s="1"/>
  <c r="BQ94" i="24" s="1"/>
  <c r="BO70" i="24"/>
  <c r="BM70" i="24" s="1"/>
  <c r="BN70" i="24"/>
  <c r="BL70" i="24" s="1"/>
  <c r="BQ70" i="24" s="1"/>
  <c r="BN46" i="24"/>
  <c r="BL46" i="24" s="1"/>
  <c r="BQ46" i="24" s="1"/>
  <c r="BO46" i="24"/>
  <c r="BM46" i="24" s="1"/>
  <c r="BN22" i="24"/>
  <c r="BL22" i="24" s="1"/>
  <c r="BQ22" i="24" s="1"/>
  <c r="BO22" i="24"/>
  <c r="BM22" i="24" s="1"/>
  <c r="BO177" i="24"/>
  <c r="BM177" i="24" s="1"/>
  <c r="BN177" i="24"/>
  <c r="BL177" i="24" s="1"/>
  <c r="BQ177" i="24" s="1"/>
  <c r="BO165" i="24"/>
  <c r="BM165" i="24" s="1"/>
  <c r="BN165" i="24"/>
  <c r="BL165" i="24" s="1"/>
  <c r="BQ165" i="24" s="1"/>
  <c r="BO153" i="24"/>
  <c r="BM153" i="24" s="1"/>
  <c r="BN153" i="24"/>
  <c r="BL153" i="24" s="1"/>
  <c r="BQ153" i="24" s="1"/>
  <c r="BN141" i="24"/>
  <c r="BL141" i="24" s="1"/>
  <c r="BQ141" i="24" s="1"/>
  <c r="BO141" i="24"/>
  <c r="BM141" i="24" s="1"/>
  <c r="BN129" i="24"/>
  <c r="BL129" i="24" s="1"/>
  <c r="BQ129" i="24" s="1"/>
  <c r="BO129" i="24"/>
  <c r="BM129" i="24" s="1"/>
  <c r="BN117" i="24"/>
  <c r="BL117" i="24" s="1"/>
  <c r="BQ117" i="24" s="1"/>
  <c r="BO117" i="24"/>
  <c r="BM117" i="24" s="1"/>
  <c r="BO105" i="24"/>
  <c r="BM105" i="24" s="1"/>
  <c r="BN105" i="24"/>
  <c r="BL105" i="24" s="1"/>
  <c r="BQ105" i="24" s="1"/>
  <c r="BO93" i="24"/>
  <c r="BM93" i="24" s="1"/>
  <c r="BN93" i="24"/>
  <c r="BL93" i="24" s="1"/>
  <c r="BQ93" i="24" s="1"/>
  <c r="BO81" i="24"/>
  <c r="BM81" i="24" s="1"/>
  <c r="BN81" i="24"/>
  <c r="BL81" i="24" s="1"/>
  <c r="BQ81" i="24" s="1"/>
  <c r="BO69" i="24"/>
  <c r="BM69" i="24" s="1"/>
  <c r="BN69" i="24"/>
  <c r="BL69" i="24" s="1"/>
  <c r="BQ69" i="24" s="1"/>
  <c r="BO57" i="24"/>
  <c r="BM57" i="24" s="1"/>
  <c r="BN57" i="24"/>
  <c r="BL57" i="24" s="1"/>
  <c r="BQ57" i="24" s="1"/>
  <c r="BO45" i="24"/>
  <c r="BM45" i="24" s="1"/>
  <c r="BN45" i="24"/>
  <c r="BL45" i="24" s="1"/>
  <c r="BQ45" i="24" s="1"/>
  <c r="BO33" i="24"/>
  <c r="BM33" i="24" s="1"/>
  <c r="BN33" i="24"/>
  <c r="BL33" i="24" s="1"/>
  <c r="BQ33" i="24" s="1"/>
  <c r="BO21" i="24"/>
  <c r="BM21" i="24" s="1"/>
  <c r="BN21" i="24"/>
  <c r="BL21" i="24" s="1"/>
  <c r="BQ21" i="24" s="1"/>
  <c r="BO9" i="24"/>
  <c r="BM9" i="24" s="1"/>
  <c r="BN9" i="24"/>
  <c r="BL9" i="24" s="1"/>
  <c r="BQ9" i="24" s="1"/>
  <c r="BO166" i="24"/>
  <c r="BM166" i="24" s="1"/>
  <c r="BN166" i="24"/>
  <c r="BL166" i="24" s="1"/>
  <c r="BQ166" i="24" s="1"/>
  <c r="BO142" i="24"/>
  <c r="BM142" i="24" s="1"/>
  <c r="BN142" i="24"/>
  <c r="BL142" i="24" s="1"/>
  <c r="BQ142" i="24" s="1"/>
  <c r="BO130" i="24"/>
  <c r="BM130" i="24" s="1"/>
  <c r="BN130" i="24"/>
  <c r="BL130" i="24" s="1"/>
  <c r="BQ130" i="24" s="1"/>
  <c r="BO106" i="24"/>
  <c r="BM106" i="24" s="1"/>
  <c r="BN106" i="24"/>
  <c r="BL106" i="24" s="1"/>
  <c r="BQ106" i="24" s="1"/>
  <c r="BO82" i="24"/>
  <c r="BM82" i="24" s="1"/>
  <c r="BN82" i="24"/>
  <c r="BL82" i="24" s="1"/>
  <c r="BQ82" i="24" s="1"/>
  <c r="BN58" i="24"/>
  <c r="BL58" i="24" s="1"/>
  <c r="BQ58" i="24" s="1"/>
  <c r="BO58" i="24"/>
  <c r="BM58" i="24" s="1"/>
  <c r="BN34" i="24"/>
  <c r="BL34" i="24" s="1"/>
  <c r="BQ34" i="24" s="1"/>
  <c r="BO34" i="24"/>
  <c r="BM34" i="24" s="1"/>
  <c r="BN10" i="24"/>
  <c r="BL10" i="24" s="1"/>
  <c r="BQ10" i="24" s="1"/>
  <c r="BO10" i="24"/>
  <c r="BM10" i="24" s="1"/>
  <c r="BO176" i="24"/>
  <c r="BM176" i="24" s="1"/>
  <c r="BN176" i="24"/>
  <c r="BL176" i="24" s="1"/>
  <c r="BQ176" i="24" s="1"/>
  <c r="BO164" i="24"/>
  <c r="BM164" i="24" s="1"/>
  <c r="BN164" i="24"/>
  <c r="BL164" i="24" s="1"/>
  <c r="BQ164" i="24" s="1"/>
  <c r="BO152" i="24"/>
  <c r="BM152" i="24" s="1"/>
  <c r="BN152" i="24"/>
  <c r="BL152" i="24" s="1"/>
  <c r="BQ152" i="24" s="1"/>
  <c r="BO140" i="24"/>
  <c r="BM140" i="24" s="1"/>
  <c r="BN140" i="24"/>
  <c r="BL140" i="24" s="1"/>
  <c r="BQ140" i="24" s="1"/>
  <c r="BO128" i="24"/>
  <c r="BM128" i="24" s="1"/>
  <c r="BN128" i="24"/>
  <c r="BL128" i="24" s="1"/>
  <c r="BQ128" i="24" s="1"/>
  <c r="BO116" i="24"/>
  <c r="BM116" i="24" s="1"/>
  <c r="BN116" i="24"/>
  <c r="BL116" i="24" s="1"/>
  <c r="BQ116" i="24" s="1"/>
  <c r="BO104" i="24"/>
  <c r="BM104" i="24" s="1"/>
  <c r="BN104" i="24"/>
  <c r="BL104" i="24" s="1"/>
  <c r="BQ104" i="24" s="1"/>
  <c r="BO92" i="24"/>
  <c r="BM92" i="24" s="1"/>
  <c r="BN92" i="24"/>
  <c r="BL92" i="24" s="1"/>
  <c r="BQ92" i="24" s="1"/>
  <c r="BO80" i="24"/>
  <c r="BM80" i="24" s="1"/>
  <c r="BN80" i="24"/>
  <c r="BL80" i="24" s="1"/>
  <c r="BQ80" i="24" s="1"/>
  <c r="BO68" i="24"/>
  <c r="BM68" i="24" s="1"/>
  <c r="BN68" i="24"/>
  <c r="BL68" i="24" s="1"/>
  <c r="BQ68" i="24" s="1"/>
  <c r="BO56" i="24"/>
  <c r="BM56" i="24" s="1"/>
  <c r="BN56" i="24"/>
  <c r="BL56" i="24" s="1"/>
  <c r="BQ56" i="24" s="1"/>
  <c r="BO44" i="24"/>
  <c r="BM44" i="24" s="1"/>
  <c r="BN44" i="24"/>
  <c r="BL44" i="24" s="1"/>
  <c r="BQ44" i="24" s="1"/>
  <c r="BO32" i="24"/>
  <c r="BM32" i="24" s="1"/>
  <c r="BN32" i="24"/>
  <c r="BL32" i="24" s="1"/>
  <c r="BQ32" i="24" s="1"/>
  <c r="BO20" i="24"/>
  <c r="BM20" i="24" s="1"/>
  <c r="BN20" i="24"/>
  <c r="BL20" i="24" s="1"/>
  <c r="BQ20" i="24" s="1"/>
  <c r="BO8" i="24"/>
  <c r="BM8" i="24" s="1"/>
  <c r="BN8" i="24"/>
  <c r="BL8" i="24" s="1"/>
  <c r="BQ8" i="24" s="1"/>
  <c r="BN175" i="24"/>
  <c r="BL175" i="24" s="1"/>
  <c r="BQ175" i="24" s="1"/>
  <c r="BO175" i="24"/>
  <c r="BM175" i="24" s="1"/>
  <c r="BO163" i="24"/>
  <c r="BM163" i="24" s="1"/>
  <c r="BN163" i="24"/>
  <c r="BL163" i="24" s="1"/>
  <c r="BQ163" i="24" s="1"/>
  <c r="BO151" i="24"/>
  <c r="BM151" i="24" s="1"/>
  <c r="BN151" i="24"/>
  <c r="BL151" i="24" s="1"/>
  <c r="BQ151" i="24" s="1"/>
  <c r="BO139" i="24"/>
  <c r="BM139" i="24" s="1"/>
  <c r="BN139" i="24"/>
  <c r="BL139" i="24" s="1"/>
  <c r="BQ139" i="24" s="1"/>
  <c r="BN127" i="24"/>
  <c r="BL127" i="24" s="1"/>
  <c r="BQ127" i="24" s="1"/>
  <c r="BO127" i="24"/>
  <c r="BM127" i="24" s="1"/>
  <c r="BN115" i="24"/>
  <c r="BL115" i="24" s="1"/>
  <c r="BQ115" i="24" s="1"/>
  <c r="BO115" i="24"/>
  <c r="BM115" i="24" s="1"/>
  <c r="BN103" i="24"/>
  <c r="BL103" i="24" s="1"/>
  <c r="BQ103" i="24" s="1"/>
  <c r="BO103" i="24"/>
  <c r="BM103" i="24" s="1"/>
  <c r="BO91" i="24"/>
  <c r="BM91" i="24" s="1"/>
  <c r="BN91" i="24"/>
  <c r="BL91" i="24" s="1"/>
  <c r="BQ91" i="24" s="1"/>
  <c r="BO79" i="24"/>
  <c r="BM79" i="24" s="1"/>
  <c r="BN79" i="24"/>
  <c r="BL79" i="24" s="1"/>
  <c r="BQ79" i="24" s="1"/>
  <c r="BO67" i="24"/>
  <c r="BM67" i="24" s="1"/>
  <c r="BN67" i="24"/>
  <c r="BL67" i="24" s="1"/>
  <c r="BQ67" i="24" s="1"/>
  <c r="BO55" i="24"/>
  <c r="BM55" i="24" s="1"/>
  <c r="BN55" i="24"/>
  <c r="BL55" i="24" s="1"/>
  <c r="BQ55" i="24" s="1"/>
  <c r="BO43" i="24"/>
  <c r="BM43" i="24" s="1"/>
  <c r="BN43" i="24"/>
  <c r="BL43" i="24" s="1"/>
  <c r="BQ43" i="24" s="1"/>
  <c r="BO31" i="24"/>
  <c r="BM31" i="24" s="1"/>
  <c r="BN31" i="24"/>
  <c r="BL31" i="24" s="1"/>
  <c r="BQ31" i="24" s="1"/>
  <c r="BO19" i="24"/>
  <c r="BM19" i="24" s="1"/>
  <c r="BN19" i="24"/>
  <c r="BL19" i="24" s="1"/>
  <c r="BQ19" i="24" s="1"/>
  <c r="BN174" i="24"/>
  <c r="BL174" i="24" s="1"/>
  <c r="BQ174" i="24" s="1"/>
  <c r="BO174" i="24"/>
  <c r="BM174" i="24" s="1"/>
  <c r="BO162" i="24"/>
  <c r="BM162" i="24" s="1"/>
  <c r="BN162" i="24"/>
  <c r="BL162" i="24" s="1"/>
  <c r="BQ162" i="24" s="1"/>
  <c r="BO150" i="24"/>
  <c r="BM150" i="24" s="1"/>
  <c r="BN150" i="24"/>
  <c r="BL150" i="24" s="1"/>
  <c r="BQ150" i="24" s="1"/>
  <c r="BO138" i="24"/>
  <c r="BM138" i="24" s="1"/>
  <c r="BN138" i="24"/>
  <c r="BL138" i="24" s="1"/>
  <c r="BQ138" i="24" s="1"/>
  <c r="BN126" i="24"/>
  <c r="BL126" i="24" s="1"/>
  <c r="BQ126" i="24" s="1"/>
  <c r="BO126" i="24"/>
  <c r="BM126" i="24" s="1"/>
  <c r="BN114" i="24"/>
  <c r="BL114" i="24" s="1"/>
  <c r="BQ114" i="24" s="1"/>
  <c r="BO114" i="24"/>
  <c r="BM114" i="24" s="1"/>
  <c r="BN102" i="24"/>
  <c r="BL102" i="24" s="1"/>
  <c r="BQ102" i="24" s="1"/>
  <c r="BO102" i="24"/>
  <c r="BM102" i="24" s="1"/>
  <c r="BO90" i="24"/>
  <c r="BM90" i="24" s="1"/>
  <c r="BN90" i="24"/>
  <c r="BL90" i="24" s="1"/>
  <c r="BQ90" i="24" s="1"/>
  <c r="BO78" i="24"/>
  <c r="BM78" i="24" s="1"/>
  <c r="BN78" i="24"/>
  <c r="BL78" i="24" s="1"/>
  <c r="BQ78" i="24" s="1"/>
  <c r="BO66" i="24"/>
  <c r="BM66" i="24" s="1"/>
  <c r="BN66" i="24"/>
  <c r="BL66" i="24" s="1"/>
  <c r="BQ66" i="24" s="1"/>
  <c r="BO54" i="24"/>
  <c r="BM54" i="24" s="1"/>
  <c r="BN54" i="24"/>
  <c r="BL54" i="24" s="1"/>
  <c r="BQ54" i="24" s="1"/>
  <c r="BO42" i="24"/>
  <c r="BM42" i="24" s="1"/>
  <c r="BN42" i="24"/>
  <c r="BL42" i="24" s="1"/>
  <c r="BQ42" i="24" s="1"/>
  <c r="BO30" i="24"/>
  <c r="BM30" i="24" s="1"/>
  <c r="BN30" i="24"/>
  <c r="BL30" i="24" s="1"/>
  <c r="BQ30" i="24" s="1"/>
  <c r="BO18" i="24"/>
  <c r="BM18" i="24" s="1"/>
  <c r="BN18" i="24"/>
  <c r="BL18" i="24" s="1"/>
  <c r="BQ18" i="24" s="1"/>
  <c r="BN173" i="24"/>
  <c r="BL173" i="24" s="1"/>
  <c r="BQ173" i="24" s="1"/>
  <c r="BO173" i="24"/>
  <c r="BM173" i="24" s="1"/>
  <c r="BN161" i="24"/>
  <c r="BL161" i="24" s="1"/>
  <c r="BQ161" i="24" s="1"/>
  <c r="BO161" i="24"/>
  <c r="BM161" i="24" s="1"/>
  <c r="BO149" i="24"/>
  <c r="BM149" i="24" s="1"/>
  <c r="BN149" i="24"/>
  <c r="BL149" i="24" s="1"/>
  <c r="BQ149" i="24" s="1"/>
  <c r="BO137" i="24"/>
  <c r="BM137" i="24" s="1"/>
  <c r="BN137" i="24"/>
  <c r="BL137" i="24" s="1"/>
  <c r="BQ137" i="24" s="1"/>
  <c r="BN125" i="24"/>
  <c r="BL125" i="24" s="1"/>
  <c r="BQ125" i="24" s="1"/>
  <c r="BO125" i="24"/>
  <c r="BM125" i="24" s="1"/>
  <c r="BN113" i="24"/>
  <c r="BL113" i="24" s="1"/>
  <c r="BQ113" i="24" s="1"/>
  <c r="BO113" i="24"/>
  <c r="BM113" i="24" s="1"/>
  <c r="BN101" i="24"/>
  <c r="BL101" i="24" s="1"/>
  <c r="BQ101" i="24" s="1"/>
  <c r="BO101" i="24"/>
  <c r="BM101" i="24" s="1"/>
  <c r="BN89" i="24"/>
  <c r="BL89" i="24" s="1"/>
  <c r="BQ89" i="24" s="1"/>
  <c r="BO89" i="24"/>
  <c r="BM89" i="24" s="1"/>
  <c r="BO77" i="24"/>
  <c r="BM77" i="24" s="1"/>
  <c r="BN77" i="24"/>
  <c r="BL77" i="24" s="1"/>
  <c r="BQ77" i="24" s="1"/>
  <c r="BO65" i="24"/>
  <c r="BM65" i="24" s="1"/>
  <c r="BN65" i="24"/>
  <c r="BL65" i="24" s="1"/>
  <c r="BQ65" i="24" s="1"/>
  <c r="BO53" i="24"/>
  <c r="BM53" i="24" s="1"/>
  <c r="BN53" i="24"/>
  <c r="BL53" i="24" s="1"/>
  <c r="BQ53" i="24" s="1"/>
  <c r="BO41" i="24"/>
  <c r="BM41" i="24" s="1"/>
  <c r="BN41" i="24"/>
  <c r="BL41" i="24" s="1"/>
  <c r="BQ41" i="24" s="1"/>
  <c r="BO29" i="24"/>
  <c r="BM29" i="24" s="1"/>
  <c r="BN29" i="24"/>
  <c r="BL29" i="24" s="1"/>
  <c r="BQ29" i="24" s="1"/>
  <c r="BO17" i="24"/>
  <c r="BM17" i="24" s="1"/>
  <c r="BN17" i="24"/>
  <c r="BL17" i="24" s="1"/>
  <c r="BQ17" i="24" s="1"/>
  <c r="BO184" i="24"/>
  <c r="BM184" i="24" s="1"/>
  <c r="BN184" i="24"/>
  <c r="BL184" i="24" s="1"/>
  <c r="BQ184" i="24" s="1"/>
  <c r="BO172" i="24"/>
  <c r="BM172" i="24" s="1"/>
  <c r="BN172" i="24"/>
  <c r="BL172" i="24" s="1"/>
  <c r="BQ172" i="24" s="1"/>
  <c r="BO160" i="24"/>
  <c r="BM160" i="24" s="1"/>
  <c r="BN160" i="24"/>
  <c r="BL160" i="24" s="1"/>
  <c r="BQ160" i="24" s="1"/>
  <c r="BO148" i="24"/>
  <c r="BM148" i="24" s="1"/>
  <c r="BN148" i="24"/>
  <c r="BL148" i="24" s="1"/>
  <c r="BQ148" i="24" s="1"/>
  <c r="BO136" i="24"/>
  <c r="BM136" i="24" s="1"/>
  <c r="BN136" i="24"/>
  <c r="BL136" i="24" s="1"/>
  <c r="BQ136" i="24" s="1"/>
  <c r="BO124" i="24"/>
  <c r="BM124" i="24" s="1"/>
  <c r="BN124" i="24"/>
  <c r="BL124" i="24" s="1"/>
  <c r="BQ124" i="24" s="1"/>
  <c r="BO112" i="24"/>
  <c r="BM112" i="24" s="1"/>
  <c r="BN112" i="24"/>
  <c r="BL112" i="24" s="1"/>
  <c r="BQ112" i="24" s="1"/>
  <c r="BO100" i="24"/>
  <c r="BM100" i="24" s="1"/>
  <c r="BN100" i="24"/>
  <c r="BL100" i="24" s="1"/>
  <c r="BQ100" i="24" s="1"/>
  <c r="BO88" i="24"/>
  <c r="BM88" i="24" s="1"/>
  <c r="BN88" i="24"/>
  <c r="BL88" i="24" s="1"/>
  <c r="BQ88" i="24" s="1"/>
  <c r="BO76" i="24"/>
  <c r="BM76" i="24" s="1"/>
  <c r="BN76" i="24"/>
  <c r="BL76" i="24" s="1"/>
  <c r="BQ76" i="24" s="1"/>
  <c r="BO64" i="24"/>
  <c r="BM64" i="24" s="1"/>
  <c r="BN64" i="24"/>
  <c r="BL64" i="24" s="1"/>
  <c r="BQ64" i="24" s="1"/>
  <c r="BO52" i="24"/>
  <c r="BM52" i="24" s="1"/>
  <c r="BN52" i="24"/>
  <c r="BL52" i="24" s="1"/>
  <c r="BQ52" i="24" s="1"/>
  <c r="BO40" i="24"/>
  <c r="BM40" i="24" s="1"/>
  <c r="BN40" i="24"/>
  <c r="BL40" i="24" s="1"/>
  <c r="BQ40" i="24" s="1"/>
  <c r="BO28" i="24"/>
  <c r="BM28" i="24" s="1"/>
  <c r="BN28" i="24"/>
  <c r="BL28" i="24" s="1"/>
  <c r="BQ28" i="24" s="1"/>
  <c r="BO16" i="24"/>
  <c r="BM16" i="24" s="1"/>
  <c r="BN16" i="24"/>
  <c r="BL16" i="24" s="1"/>
  <c r="BQ16" i="24" s="1"/>
  <c r="BN183" i="24"/>
  <c r="BL183" i="24" s="1"/>
  <c r="BQ183" i="24" s="1"/>
  <c r="BO183" i="24"/>
  <c r="BM183" i="24" s="1"/>
  <c r="BN171" i="24"/>
  <c r="BL171" i="24" s="1"/>
  <c r="BQ171" i="24" s="1"/>
  <c r="BO171" i="24"/>
  <c r="BM171" i="24" s="1"/>
  <c r="BN159" i="24"/>
  <c r="BL159" i="24" s="1"/>
  <c r="BQ159" i="24" s="1"/>
  <c r="BO159" i="24"/>
  <c r="BM159" i="24" s="1"/>
  <c r="BO147" i="24"/>
  <c r="BM147" i="24" s="1"/>
  <c r="BN147" i="24"/>
  <c r="BL147" i="24" s="1"/>
  <c r="BQ147" i="24" s="1"/>
  <c r="BO135" i="24"/>
  <c r="BM135" i="24" s="1"/>
  <c r="BN135" i="24"/>
  <c r="BL135" i="24" s="1"/>
  <c r="BQ135" i="24" s="1"/>
  <c r="BN123" i="24"/>
  <c r="BL123" i="24" s="1"/>
  <c r="BQ123" i="24" s="1"/>
  <c r="BO123" i="24"/>
  <c r="BM123" i="24" s="1"/>
  <c r="BN111" i="24"/>
  <c r="BL111" i="24" s="1"/>
  <c r="BQ111" i="24" s="1"/>
  <c r="BO111" i="24"/>
  <c r="BM111" i="24" s="1"/>
  <c r="BN99" i="24"/>
  <c r="BL99" i="24" s="1"/>
  <c r="BQ99" i="24" s="1"/>
  <c r="BO99" i="24"/>
  <c r="BM99" i="24" s="1"/>
  <c r="BN87" i="24"/>
  <c r="BL87" i="24" s="1"/>
  <c r="BQ87" i="24" s="1"/>
  <c r="BO87" i="24"/>
  <c r="BM87" i="24" s="1"/>
  <c r="BN75" i="24"/>
  <c r="BL75" i="24" s="1"/>
  <c r="BQ75" i="24" s="1"/>
  <c r="BO75" i="24"/>
  <c r="BM75" i="24" s="1"/>
  <c r="BO63" i="24"/>
  <c r="BM63" i="24" s="1"/>
  <c r="BN63" i="24"/>
  <c r="BL63" i="24" s="1"/>
  <c r="BQ63" i="24" s="1"/>
  <c r="BO51" i="24"/>
  <c r="BM51" i="24" s="1"/>
  <c r="BN51" i="24"/>
  <c r="BL51" i="24" s="1"/>
  <c r="BQ51" i="24" s="1"/>
  <c r="BO39" i="24"/>
  <c r="BM39" i="24" s="1"/>
  <c r="BN39" i="24"/>
  <c r="BL39" i="24" s="1"/>
  <c r="BQ39" i="24" s="1"/>
  <c r="BO27" i="24"/>
  <c r="BM27" i="24" s="1"/>
  <c r="BN27" i="24"/>
  <c r="BL27" i="24" s="1"/>
  <c r="BQ27" i="24" s="1"/>
  <c r="BO15" i="24"/>
  <c r="BM15" i="24" s="1"/>
  <c r="BN15" i="24"/>
  <c r="BL15" i="24" s="1"/>
  <c r="BQ15" i="24" s="1"/>
  <c r="BN182" i="24"/>
  <c r="BL182" i="24" s="1"/>
  <c r="BQ182" i="24" s="1"/>
  <c r="BO182" i="24"/>
  <c r="BM182" i="24" s="1"/>
  <c r="BN170" i="24"/>
  <c r="BL170" i="24" s="1"/>
  <c r="BQ170" i="24" s="1"/>
  <c r="BO170" i="24"/>
  <c r="BM170" i="24" s="1"/>
  <c r="BN158" i="24"/>
  <c r="BL158" i="24" s="1"/>
  <c r="BQ158" i="24" s="1"/>
  <c r="BO158" i="24"/>
  <c r="BM158" i="24" s="1"/>
  <c r="BN146" i="24"/>
  <c r="BL146" i="24" s="1"/>
  <c r="BQ146" i="24" s="1"/>
  <c r="BO146" i="24"/>
  <c r="BM146" i="24" s="1"/>
  <c r="BO134" i="24"/>
  <c r="BM134" i="24" s="1"/>
  <c r="BN134" i="24"/>
  <c r="BL134" i="24" s="1"/>
  <c r="BQ134" i="24" s="1"/>
  <c r="BN122" i="24"/>
  <c r="BL122" i="24" s="1"/>
  <c r="BQ122" i="24" s="1"/>
  <c r="BO122" i="24"/>
  <c r="BM122" i="24" s="1"/>
  <c r="BN110" i="24"/>
  <c r="BL110" i="24" s="1"/>
  <c r="BQ110" i="24" s="1"/>
  <c r="BO110" i="24"/>
  <c r="BM110" i="24" s="1"/>
  <c r="BN98" i="24"/>
  <c r="BL98" i="24" s="1"/>
  <c r="BQ98" i="24" s="1"/>
  <c r="BO98" i="24"/>
  <c r="BM98" i="24" s="1"/>
  <c r="BN86" i="24"/>
  <c r="BL86" i="24" s="1"/>
  <c r="BQ86" i="24" s="1"/>
  <c r="BO86" i="24"/>
  <c r="BM86" i="24" s="1"/>
  <c r="BN74" i="24"/>
  <c r="BL74" i="24" s="1"/>
  <c r="BQ74" i="24" s="1"/>
  <c r="BO74" i="24"/>
  <c r="BM74" i="24" s="1"/>
  <c r="BN62" i="24"/>
  <c r="BL62" i="24" s="1"/>
  <c r="BQ62" i="24" s="1"/>
  <c r="BO62" i="24"/>
  <c r="BM62" i="24" s="1"/>
  <c r="BN50" i="24"/>
  <c r="BL50" i="24" s="1"/>
  <c r="BQ50" i="24" s="1"/>
  <c r="BO50" i="24"/>
  <c r="BM50" i="24" s="1"/>
  <c r="BN38" i="24"/>
  <c r="BL38" i="24" s="1"/>
  <c r="BQ38" i="24" s="1"/>
  <c r="BO38" i="24"/>
  <c r="BM38" i="24" s="1"/>
  <c r="BN26" i="24"/>
  <c r="BL26" i="24" s="1"/>
  <c r="BQ26" i="24" s="1"/>
  <c r="BO26" i="24"/>
  <c r="BM26" i="24" s="1"/>
  <c r="BN14" i="24"/>
  <c r="BL14" i="24" s="1"/>
  <c r="BQ14" i="24" s="1"/>
  <c r="BO14" i="24"/>
  <c r="BM14" i="24" s="1"/>
  <c r="BN181" i="24"/>
  <c r="BL181" i="24" s="1"/>
  <c r="BQ181" i="24" s="1"/>
  <c r="BO181" i="24"/>
  <c r="BM181" i="24" s="1"/>
  <c r="BN169" i="24"/>
  <c r="BL169" i="24" s="1"/>
  <c r="BQ169" i="24" s="1"/>
  <c r="BO169" i="24"/>
  <c r="BM169" i="24" s="1"/>
  <c r="BN157" i="24"/>
  <c r="BL157" i="24" s="1"/>
  <c r="BQ157" i="24" s="1"/>
  <c r="BO157" i="24"/>
  <c r="BM157" i="24" s="1"/>
  <c r="BN145" i="24"/>
  <c r="BL145" i="24" s="1"/>
  <c r="BQ145" i="24" s="1"/>
  <c r="BO145" i="24"/>
  <c r="BM145" i="24" s="1"/>
  <c r="BO133" i="24"/>
  <c r="BM133" i="24" s="1"/>
  <c r="BN133" i="24"/>
  <c r="BL133" i="24" s="1"/>
  <c r="BQ133" i="24" s="1"/>
  <c r="BN121" i="24"/>
  <c r="BL121" i="24" s="1"/>
  <c r="BQ121" i="24" s="1"/>
  <c r="BO121" i="24"/>
  <c r="BM121" i="24" s="1"/>
  <c r="BN109" i="24"/>
  <c r="BL109" i="24" s="1"/>
  <c r="BQ109" i="24" s="1"/>
  <c r="BO109" i="24"/>
  <c r="BM109" i="24" s="1"/>
  <c r="BN97" i="24"/>
  <c r="BL97" i="24" s="1"/>
  <c r="BQ97" i="24" s="1"/>
  <c r="BO97" i="24"/>
  <c r="BM97" i="24" s="1"/>
  <c r="BN85" i="24"/>
  <c r="BL85" i="24" s="1"/>
  <c r="BQ85" i="24" s="1"/>
  <c r="BO85" i="24"/>
  <c r="BM85" i="24" s="1"/>
  <c r="BN73" i="24"/>
  <c r="BL73" i="24" s="1"/>
  <c r="BQ73" i="24" s="1"/>
  <c r="BO73" i="24"/>
  <c r="BM73" i="24" s="1"/>
  <c r="BN61" i="24"/>
  <c r="BL61" i="24" s="1"/>
  <c r="BQ61" i="24" s="1"/>
  <c r="BO61" i="24"/>
  <c r="BM61" i="24" s="1"/>
  <c r="BN49" i="24"/>
  <c r="BL49" i="24" s="1"/>
  <c r="BQ49" i="24" s="1"/>
  <c r="BO49" i="24"/>
  <c r="BM49" i="24" s="1"/>
  <c r="BN37" i="24"/>
  <c r="BL37" i="24" s="1"/>
  <c r="BQ37" i="24" s="1"/>
  <c r="BO37" i="24"/>
  <c r="BM37" i="24" s="1"/>
  <c r="BN25" i="24"/>
  <c r="BL25" i="24" s="1"/>
  <c r="BQ25" i="24" s="1"/>
  <c r="BO25" i="24"/>
  <c r="BM25" i="24" s="1"/>
  <c r="BN13" i="24"/>
  <c r="BL13" i="24" s="1"/>
  <c r="BQ13" i="24" s="1"/>
  <c r="BO13" i="24"/>
  <c r="BM13" i="24" s="1"/>
  <c r="BO180" i="24"/>
  <c r="BM180" i="24" s="1"/>
  <c r="BN180" i="24"/>
  <c r="BL180" i="24" s="1"/>
  <c r="BQ180" i="24" s="1"/>
  <c r="BO168" i="24"/>
  <c r="BM168" i="24" s="1"/>
  <c r="BN168" i="24"/>
  <c r="BL168" i="24" s="1"/>
  <c r="BQ168" i="24" s="1"/>
  <c r="BO156" i="24"/>
  <c r="BM156" i="24" s="1"/>
  <c r="BN156" i="24"/>
  <c r="BL156" i="24" s="1"/>
  <c r="BQ156" i="24" s="1"/>
  <c r="BO144" i="24"/>
  <c r="BM144" i="24" s="1"/>
  <c r="BN144" i="24"/>
  <c r="BL144" i="24" s="1"/>
  <c r="BQ144" i="24" s="1"/>
  <c r="BN132" i="24"/>
  <c r="BL132" i="24" s="1"/>
  <c r="BQ132" i="24" s="1"/>
  <c r="BO132" i="24"/>
  <c r="BM132" i="24" s="1"/>
  <c r="BO120" i="24"/>
  <c r="BM120" i="24" s="1"/>
  <c r="BN120" i="24"/>
  <c r="BL120" i="24" s="1"/>
  <c r="BQ120" i="24" s="1"/>
  <c r="BO108" i="24"/>
  <c r="BM108" i="24" s="1"/>
  <c r="BN108" i="24"/>
  <c r="BL108" i="24" s="1"/>
  <c r="BQ108" i="24" s="1"/>
  <c r="BO96" i="24"/>
  <c r="BM96" i="24" s="1"/>
  <c r="BN96" i="24"/>
  <c r="BL96" i="24" s="1"/>
  <c r="BQ96" i="24" s="1"/>
  <c r="BO84" i="24"/>
  <c r="BM84" i="24" s="1"/>
  <c r="BN84" i="24"/>
  <c r="BL84" i="24" s="1"/>
  <c r="BQ84" i="24" s="1"/>
  <c r="BO72" i="24"/>
  <c r="BM72" i="24" s="1"/>
  <c r="BN72" i="24"/>
  <c r="BL72" i="24" s="1"/>
  <c r="BQ72" i="24" s="1"/>
  <c r="BO60" i="24"/>
  <c r="BM60" i="24" s="1"/>
  <c r="BN60" i="24"/>
  <c r="BL60" i="24" s="1"/>
  <c r="BQ60" i="24" s="1"/>
  <c r="BO48" i="24"/>
  <c r="BM48" i="24" s="1"/>
  <c r="BN48" i="24"/>
  <c r="BL48" i="24" s="1"/>
  <c r="BQ48" i="24" s="1"/>
  <c r="BO36" i="24"/>
  <c r="BM36" i="24" s="1"/>
  <c r="BN36" i="24"/>
  <c r="BL36" i="24" s="1"/>
  <c r="BQ36" i="24" s="1"/>
  <c r="BO24" i="24"/>
  <c r="BM24" i="24" s="1"/>
  <c r="BN24" i="24"/>
  <c r="BL24" i="24" s="1"/>
  <c r="BQ24" i="24" s="1"/>
  <c r="BO12" i="24"/>
  <c r="BM12" i="24" s="1"/>
  <c r="BN12" i="24"/>
  <c r="BL12" i="24" s="1"/>
  <c r="BQ12" i="24" s="1"/>
  <c r="BO179" i="24"/>
  <c r="BM179" i="24" s="1"/>
  <c r="BN179" i="24"/>
  <c r="BL179" i="24" s="1"/>
  <c r="BQ179" i="24" s="1"/>
  <c r="BO167" i="24"/>
  <c r="BM167" i="24" s="1"/>
  <c r="BN167" i="24"/>
  <c r="BL167" i="24" s="1"/>
  <c r="BQ167" i="24" s="1"/>
  <c r="BO155" i="24"/>
  <c r="BM155" i="24" s="1"/>
  <c r="BN155" i="24"/>
  <c r="BL155" i="24" s="1"/>
  <c r="BQ155" i="24" s="1"/>
  <c r="BO143" i="24"/>
  <c r="BM143" i="24" s="1"/>
  <c r="BN143" i="24"/>
  <c r="BL143" i="24" s="1"/>
  <c r="BQ143" i="24" s="1"/>
  <c r="BO131" i="24"/>
  <c r="BM131" i="24" s="1"/>
  <c r="BN131" i="24"/>
  <c r="BL131" i="24" s="1"/>
  <c r="BQ131" i="24" s="1"/>
  <c r="BO119" i="24"/>
  <c r="BM119" i="24" s="1"/>
  <c r="BN119" i="24"/>
  <c r="BL119" i="24" s="1"/>
  <c r="BQ119" i="24" s="1"/>
  <c r="BO107" i="24"/>
  <c r="BM107" i="24" s="1"/>
  <c r="BN107" i="24"/>
  <c r="BL107" i="24" s="1"/>
  <c r="BQ107" i="24" s="1"/>
  <c r="BO95" i="24"/>
  <c r="BM95" i="24" s="1"/>
  <c r="BN95" i="24"/>
  <c r="BL95" i="24" s="1"/>
  <c r="BQ95" i="24" s="1"/>
  <c r="BO83" i="24"/>
  <c r="BM83" i="24" s="1"/>
  <c r="BN83" i="24"/>
  <c r="BL83" i="24" s="1"/>
  <c r="BQ83" i="24" s="1"/>
  <c r="BN71" i="24"/>
  <c r="BL71" i="24" s="1"/>
  <c r="BQ71" i="24" s="1"/>
  <c r="BO71" i="24"/>
  <c r="BM71" i="24" s="1"/>
  <c r="BO59" i="24"/>
  <c r="BM59" i="24" s="1"/>
  <c r="BN59" i="24"/>
  <c r="BL59" i="24" s="1"/>
  <c r="BQ59" i="24" s="1"/>
  <c r="BO47" i="24"/>
  <c r="BM47" i="24" s="1"/>
  <c r="BN47" i="24"/>
  <c r="BL47" i="24" s="1"/>
  <c r="BQ47" i="24" s="1"/>
  <c r="BO35" i="24"/>
  <c r="BM35" i="24" s="1"/>
  <c r="BN35" i="24"/>
  <c r="BL35" i="24" s="1"/>
  <c r="BQ35" i="24" s="1"/>
  <c r="BO23" i="24"/>
  <c r="BM23" i="24" s="1"/>
  <c r="BN23" i="24"/>
  <c r="BL23" i="24" s="1"/>
  <c r="BQ23" i="24" s="1"/>
  <c r="BO11" i="24"/>
  <c r="BM11" i="24" s="1"/>
  <c r="BN11" i="24"/>
  <c r="BL11" i="24" s="1"/>
  <c r="BQ11" i="24" s="1"/>
  <c r="AT146" i="24"/>
  <c r="AR146" i="24" s="1"/>
  <c r="AS146" i="24"/>
  <c r="AQ146" i="24" s="1"/>
  <c r="AV146" i="24" s="1"/>
  <c r="AT184" i="24"/>
  <c r="AR184" i="24" s="1"/>
  <c r="AS184" i="24"/>
  <c r="AQ184" i="24" s="1"/>
  <c r="AV184" i="24" s="1"/>
  <c r="AT160" i="24"/>
  <c r="AR160" i="24" s="1"/>
  <c r="AS160" i="24"/>
  <c r="AQ160" i="24" s="1"/>
  <c r="AV160" i="24" s="1"/>
  <c r="AT136" i="24"/>
  <c r="AR136" i="24" s="1"/>
  <c r="AS136" i="24"/>
  <c r="AQ136" i="24" s="1"/>
  <c r="AV136" i="24" s="1"/>
  <c r="AT112" i="24"/>
  <c r="AR112" i="24" s="1"/>
  <c r="AS112" i="24"/>
  <c r="AQ112" i="24" s="1"/>
  <c r="AV112" i="24" s="1"/>
  <c r="AT88" i="24"/>
  <c r="AR88" i="24" s="1"/>
  <c r="AS88" i="24"/>
  <c r="AQ88" i="24" s="1"/>
  <c r="AV88" i="24" s="1"/>
  <c r="AT76" i="24"/>
  <c r="AR76" i="24" s="1"/>
  <c r="AS76" i="24"/>
  <c r="AQ76" i="24" s="1"/>
  <c r="AV76" i="24" s="1"/>
  <c r="AT52" i="24"/>
  <c r="AR52" i="24" s="1"/>
  <c r="AS52" i="24"/>
  <c r="AQ52" i="24" s="1"/>
  <c r="AV52" i="24" s="1"/>
  <c r="AT40" i="24"/>
  <c r="AR40" i="24" s="1"/>
  <c r="AS40" i="24"/>
  <c r="AQ40" i="24" s="1"/>
  <c r="AV40" i="24" s="1"/>
  <c r="AT28" i="24"/>
  <c r="AR28" i="24" s="1"/>
  <c r="AS28" i="24"/>
  <c r="AQ28" i="24" s="1"/>
  <c r="AV28" i="24" s="1"/>
  <c r="AT16" i="24"/>
  <c r="AR16" i="24" s="1"/>
  <c r="AS16" i="24"/>
  <c r="AQ16" i="24" s="1"/>
  <c r="AV16" i="24" s="1"/>
  <c r="AT50" i="24"/>
  <c r="AR50" i="24" s="1"/>
  <c r="AS50" i="24"/>
  <c r="AQ50" i="24" s="1"/>
  <c r="AV50" i="24" s="1"/>
  <c r="AT172" i="24"/>
  <c r="AR172" i="24" s="1"/>
  <c r="AS172" i="24"/>
  <c r="AQ172" i="24" s="1"/>
  <c r="AV172" i="24" s="1"/>
  <c r="AT148" i="24"/>
  <c r="AR148" i="24" s="1"/>
  <c r="AS148" i="24"/>
  <c r="AQ148" i="24" s="1"/>
  <c r="AV148" i="24" s="1"/>
  <c r="AT124" i="24"/>
  <c r="AR124" i="24" s="1"/>
  <c r="AS124" i="24"/>
  <c r="AQ124" i="24" s="1"/>
  <c r="AV124" i="24" s="1"/>
  <c r="AT100" i="24"/>
  <c r="AR100" i="24" s="1"/>
  <c r="AS100" i="24"/>
  <c r="AQ100" i="24" s="1"/>
  <c r="AV100" i="24" s="1"/>
  <c r="AT64" i="24"/>
  <c r="AR64" i="24" s="1"/>
  <c r="AS64" i="24"/>
  <c r="AQ64" i="24" s="1"/>
  <c r="AV64" i="24" s="1"/>
  <c r="AT183" i="24"/>
  <c r="AR183" i="24" s="1"/>
  <c r="AS183" i="24"/>
  <c r="AQ183" i="24" s="1"/>
  <c r="AV183" i="24" s="1"/>
  <c r="AT171" i="24"/>
  <c r="AR171" i="24" s="1"/>
  <c r="AS171" i="24"/>
  <c r="AQ171" i="24" s="1"/>
  <c r="AV171" i="24" s="1"/>
  <c r="AT159" i="24"/>
  <c r="AR159" i="24" s="1"/>
  <c r="AS159" i="24"/>
  <c r="AQ159" i="24" s="1"/>
  <c r="AV159" i="24" s="1"/>
  <c r="AT147" i="24"/>
  <c r="AR147" i="24" s="1"/>
  <c r="AS147" i="24"/>
  <c r="AQ147" i="24" s="1"/>
  <c r="AV147" i="24" s="1"/>
  <c r="AT135" i="24"/>
  <c r="AR135" i="24" s="1"/>
  <c r="AS135" i="24"/>
  <c r="AQ135" i="24" s="1"/>
  <c r="AV135" i="24" s="1"/>
  <c r="AT123" i="24"/>
  <c r="AR123" i="24" s="1"/>
  <c r="AS123" i="24"/>
  <c r="AQ123" i="24" s="1"/>
  <c r="AV123" i="24" s="1"/>
  <c r="AT111" i="24"/>
  <c r="AR111" i="24" s="1"/>
  <c r="AS111" i="24"/>
  <c r="AQ111" i="24" s="1"/>
  <c r="AV111" i="24" s="1"/>
  <c r="AT99" i="24"/>
  <c r="AR99" i="24" s="1"/>
  <c r="AS99" i="24"/>
  <c r="AQ99" i="24" s="1"/>
  <c r="AV99" i="24" s="1"/>
  <c r="AT87" i="24"/>
  <c r="AR87" i="24" s="1"/>
  <c r="AS87" i="24"/>
  <c r="AQ87" i="24" s="1"/>
  <c r="AV87" i="24" s="1"/>
  <c r="AT75" i="24"/>
  <c r="AR75" i="24" s="1"/>
  <c r="AS75" i="24"/>
  <c r="AQ75" i="24" s="1"/>
  <c r="AV75" i="24" s="1"/>
  <c r="AT63" i="24"/>
  <c r="AR63" i="24" s="1"/>
  <c r="AS63" i="24"/>
  <c r="AQ63" i="24" s="1"/>
  <c r="AV63" i="24" s="1"/>
  <c r="AT51" i="24"/>
  <c r="AR51" i="24" s="1"/>
  <c r="AS51" i="24"/>
  <c r="AQ51" i="24" s="1"/>
  <c r="AV51" i="24" s="1"/>
  <c r="AT39" i="24"/>
  <c r="AR39" i="24" s="1"/>
  <c r="AS39" i="24"/>
  <c r="AQ39" i="24" s="1"/>
  <c r="AV39" i="24" s="1"/>
  <c r="AT27" i="24"/>
  <c r="AR27" i="24" s="1"/>
  <c r="AS27" i="24"/>
  <c r="AQ27" i="24" s="1"/>
  <c r="AV27" i="24" s="1"/>
  <c r="AT15" i="24"/>
  <c r="AR15" i="24" s="1"/>
  <c r="AS15" i="24"/>
  <c r="AQ15" i="24" s="1"/>
  <c r="AV15" i="24" s="1"/>
  <c r="AT110" i="24"/>
  <c r="AR110" i="24" s="1"/>
  <c r="AS110" i="24"/>
  <c r="AQ110" i="24" s="1"/>
  <c r="AV110" i="24" s="1"/>
  <c r="AS109" i="24"/>
  <c r="AQ109" i="24" s="1"/>
  <c r="AV109" i="24" s="1"/>
  <c r="AT109" i="24"/>
  <c r="AR109" i="24" s="1"/>
  <c r="AS180" i="24"/>
  <c r="AQ180" i="24" s="1"/>
  <c r="AV180" i="24" s="1"/>
  <c r="AT180" i="24"/>
  <c r="AR180" i="24" s="1"/>
  <c r="AS168" i="24"/>
  <c r="AQ168" i="24" s="1"/>
  <c r="AV168" i="24" s="1"/>
  <c r="AT168" i="24"/>
  <c r="AR168" i="24" s="1"/>
  <c r="AS156" i="24"/>
  <c r="AQ156" i="24" s="1"/>
  <c r="AV156" i="24" s="1"/>
  <c r="AT156" i="24"/>
  <c r="AR156" i="24" s="1"/>
  <c r="AS144" i="24"/>
  <c r="AQ144" i="24" s="1"/>
  <c r="AV144" i="24" s="1"/>
  <c r="AT144" i="24"/>
  <c r="AR144" i="24" s="1"/>
  <c r="AS132" i="24"/>
  <c r="AQ132" i="24" s="1"/>
  <c r="AV132" i="24" s="1"/>
  <c r="AT132" i="24"/>
  <c r="AR132" i="24" s="1"/>
  <c r="AS120" i="24"/>
  <c r="AQ120" i="24" s="1"/>
  <c r="AV120" i="24" s="1"/>
  <c r="AT120" i="24"/>
  <c r="AR120" i="24" s="1"/>
  <c r="AS108" i="24"/>
  <c r="AQ108" i="24" s="1"/>
  <c r="AV108" i="24" s="1"/>
  <c r="AT108" i="24"/>
  <c r="AR108" i="24" s="1"/>
  <c r="AS96" i="24"/>
  <c r="AQ96" i="24" s="1"/>
  <c r="AV96" i="24" s="1"/>
  <c r="AT96" i="24"/>
  <c r="AR96" i="24" s="1"/>
  <c r="AS84" i="24"/>
  <c r="AQ84" i="24" s="1"/>
  <c r="AV84" i="24" s="1"/>
  <c r="AT84" i="24"/>
  <c r="AR84" i="24" s="1"/>
  <c r="AS72" i="24"/>
  <c r="AQ72" i="24" s="1"/>
  <c r="AV72" i="24" s="1"/>
  <c r="AT72" i="24"/>
  <c r="AR72" i="24" s="1"/>
  <c r="AS60" i="24"/>
  <c r="AQ60" i="24" s="1"/>
  <c r="AV60" i="24" s="1"/>
  <c r="AT60" i="24"/>
  <c r="AR60" i="24" s="1"/>
  <c r="AS48" i="24"/>
  <c r="AQ48" i="24" s="1"/>
  <c r="AV48" i="24" s="1"/>
  <c r="AT48" i="24"/>
  <c r="AR48" i="24" s="1"/>
  <c r="AS36" i="24"/>
  <c r="AQ36" i="24" s="1"/>
  <c r="AV36" i="24" s="1"/>
  <c r="AT36" i="24"/>
  <c r="AR36" i="24" s="1"/>
  <c r="AS24" i="24"/>
  <c r="AQ24" i="24" s="1"/>
  <c r="AV24" i="24" s="1"/>
  <c r="AT24" i="24"/>
  <c r="AR24" i="24" s="1"/>
  <c r="AS12" i="24"/>
  <c r="AQ12" i="24" s="1"/>
  <c r="AV12" i="24" s="1"/>
  <c r="AT12" i="24"/>
  <c r="AR12" i="24" s="1"/>
  <c r="AT98" i="24"/>
  <c r="AR98" i="24" s="1"/>
  <c r="AS98" i="24"/>
  <c r="AQ98" i="24" s="1"/>
  <c r="AV98" i="24" s="1"/>
  <c r="AS85" i="24"/>
  <c r="AQ85" i="24" s="1"/>
  <c r="AV85" i="24" s="1"/>
  <c r="AT85" i="24"/>
  <c r="AR85" i="24" s="1"/>
  <c r="AS179" i="24"/>
  <c r="AQ179" i="24" s="1"/>
  <c r="AV179" i="24" s="1"/>
  <c r="AT179" i="24"/>
  <c r="AR179" i="24" s="1"/>
  <c r="AS167" i="24"/>
  <c r="AQ167" i="24" s="1"/>
  <c r="AV167" i="24" s="1"/>
  <c r="AT167" i="24"/>
  <c r="AR167" i="24" s="1"/>
  <c r="AS155" i="24"/>
  <c r="AQ155" i="24" s="1"/>
  <c r="AV155" i="24" s="1"/>
  <c r="AT155" i="24"/>
  <c r="AR155" i="24" s="1"/>
  <c r="AS143" i="24"/>
  <c r="AQ143" i="24" s="1"/>
  <c r="AV143" i="24" s="1"/>
  <c r="AT143" i="24"/>
  <c r="AR143" i="24" s="1"/>
  <c r="AS131" i="24"/>
  <c r="AQ131" i="24" s="1"/>
  <c r="AV131" i="24" s="1"/>
  <c r="AT131" i="24"/>
  <c r="AR131" i="24" s="1"/>
  <c r="AS119" i="24"/>
  <c r="AQ119" i="24" s="1"/>
  <c r="AV119" i="24" s="1"/>
  <c r="AT119" i="24"/>
  <c r="AR119" i="24" s="1"/>
  <c r="AS107" i="24"/>
  <c r="AQ107" i="24" s="1"/>
  <c r="AV107" i="24" s="1"/>
  <c r="AT107" i="24"/>
  <c r="AR107" i="24" s="1"/>
  <c r="AS95" i="24"/>
  <c r="AQ95" i="24" s="1"/>
  <c r="AV95" i="24" s="1"/>
  <c r="AT95" i="24"/>
  <c r="AR95" i="24" s="1"/>
  <c r="AS83" i="24"/>
  <c r="AQ83" i="24" s="1"/>
  <c r="AV83" i="24" s="1"/>
  <c r="AT83" i="24"/>
  <c r="AR83" i="24" s="1"/>
  <c r="AS71" i="24"/>
  <c r="AQ71" i="24" s="1"/>
  <c r="AV71" i="24" s="1"/>
  <c r="AT71" i="24"/>
  <c r="AR71" i="24" s="1"/>
  <c r="AS59" i="24"/>
  <c r="AQ59" i="24" s="1"/>
  <c r="AV59" i="24" s="1"/>
  <c r="AT59" i="24"/>
  <c r="AR59" i="24" s="1"/>
  <c r="AS47" i="24"/>
  <c r="AQ47" i="24" s="1"/>
  <c r="AV47" i="24" s="1"/>
  <c r="AT47" i="24"/>
  <c r="AR47" i="24" s="1"/>
  <c r="AS35" i="24"/>
  <c r="AQ35" i="24" s="1"/>
  <c r="AV35" i="24" s="1"/>
  <c r="AT35" i="24"/>
  <c r="AR35" i="24" s="1"/>
  <c r="AS23" i="24"/>
  <c r="AQ23" i="24" s="1"/>
  <c r="AV23" i="24" s="1"/>
  <c r="AT23" i="24"/>
  <c r="AR23" i="24" s="1"/>
  <c r="AS11" i="24"/>
  <c r="AQ11" i="24" s="1"/>
  <c r="AV11" i="24" s="1"/>
  <c r="AT11" i="24"/>
  <c r="AR11" i="24" s="1"/>
  <c r="AT14" i="24"/>
  <c r="AR14" i="24" s="1"/>
  <c r="AS14" i="24"/>
  <c r="AQ14" i="24" s="1"/>
  <c r="AV14" i="24" s="1"/>
  <c r="AS169" i="24"/>
  <c r="AQ169" i="24" s="1"/>
  <c r="AV169" i="24" s="1"/>
  <c r="AT169" i="24"/>
  <c r="AR169" i="24" s="1"/>
  <c r="AS61" i="24"/>
  <c r="AQ61" i="24" s="1"/>
  <c r="AV61" i="24" s="1"/>
  <c r="AT61" i="24"/>
  <c r="AR61" i="24" s="1"/>
  <c r="AS178" i="24"/>
  <c r="AQ178" i="24" s="1"/>
  <c r="AV178" i="24" s="1"/>
  <c r="AT178" i="24"/>
  <c r="AR178" i="24" s="1"/>
  <c r="AS94" i="24"/>
  <c r="AQ94" i="24" s="1"/>
  <c r="AV94" i="24" s="1"/>
  <c r="AT94" i="24"/>
  <c r="AR94" i="24" s="1"/>
  <c r="AS22" i="24"/>
  <c r="AQ22" i="24" s="1"/>
  <c r="AV22" i="24" s="1"/>
  <c r="AT22" i="24"/>
  <c r="AR22" i="24" s="1"/>
  <c r="AT182" i="24"/>
  <c r="AR182" i="24" s="1"/>
  <c r="AS182" i="24"/>
  <c r="AQ182" i="24" s="1"/>
  <c r="AV182" i="24" s="1"/>
  <c r="AT86" i="24"/>
  <c r="AR86" i="24" s="1"/>
  <c r="AS86" i="24"/>
  <c r="AQ86" i="24" s="1"/>
  <c r="AV86" i="24" s="1"/>
  <c r="AS157" i="24"/>
  <c r="AQ157" i="24" s="1"/>
  <c r="AV157" i="24" s="1"/>
  <c r="AT157" i="24"/>
  <c r="AR157" i="24" s="1"/>
  <c r="AS73" i="24"/>
  <c r="AQ73" i="24" s="1"/>
  <c r="AV73" i="24" s="1"/>
  <c r="AT73" i="24"/>
  <c r="AR73" i="24" s="1"/>
  <c r="AS118" i="24"/>
  <c r="AQ118" i="24" s="1"/>
  <c r="AV118" i="24" s="1"/>
  <c r="AT118" i="24"/>
  <c r="AR118" i="24" s="1"/>
  <c r="AS46" i="24"/>
  <c r="AQ46" i="24" s="1"/>
  <c r="AV46" i="24" s="1"/>
  <c r="AT46" i="24"/>
  <c r="AR46" i="24" s="1"/>
  <c r="AS177" i="24"/>
  <c r="AQ177" i="24" s="1"/>
  <c r="AV177" i="24" s="1"/>
  <c r="AT177" i="24"/>
  <c r="AR177" i="24" s="1"/>
  <c r="AS165" i="24"/>
  <c r="AQ165" i="24" s="1"/>
  <c r="AV165" i="24" s="1"/>
  <c r="AT165" i="24"/>
  <c r="AR165" i="24" s="1"/>
  <c r="AS153" i="24"/>
  <c r="AQ153" i="24" s="1"/>
  <c r="AV153" i="24" s="1"/>
  <c r="AT153" i="24"/>
  <c r="AR153" i="24" s="1"/>
  <c r="AS141" i="24"/>
  <c r="AQ141" i="24" s="1"/>
  <c r="AV141" i="24" s="1"/>
  <c r="AT141" i="24"/>
  <c r="AR141" i="24" s="1"/>
  <c r="AS129" i="24"/>
  <c r="AQ129" i="24" s="1"/>
  <c r="AV129" i="24" s="1"/>
  <c r="AT129" i="24"/>
  <c r="AR129" i="24" s="1"/>
  <c r="AS117" i="24"/>
  <c r="AQ117" i="24" s="1"/>
  <c r="AV117" i="24" s="1"/>
  <c r="AT117" i="24"/>
  <c r="AR117" i="24" s="1"/>
  <c r="AS105" i="24"/>
  <c r="AQ105" i="24" s="1"/>
  <c r="AV105" i="24" s="1"/>
  <c r="AT105" i="24"/>
  <c r="AR105" i="24" s="1"/>
  <c r="AS93" i="24"/>
  <c r="AQ93" i="24" s="1"/>
  <c r="AV93" i="24" s="1"/>
  <c r="AT93" i="24"/>
  <c r="AR93" i="24" s="1"/>
  <c r="AS81" i="24"/>
  <c r="AQ81" i="24" s="1"/>
  <c r="AV81" i="24" s="1"/>
  <c r="AT81" i="24"/>
  <c r="AR81" i="24" s="1"/>
  <c r="AS69" i="24"/>
  <c r="AQ69" i="24" s="1"/>
  <c r="AV69" i="24" s="1"/>
  <c r="AT69" i="24"/>
  <c r="AR69" i="24" s="1"/>
  <c r="AS57" i="24"/>
  <c r="AQ57" i="24" s="1"/>
  <c r="AV57" i="24" s="1"/>
  <c r="AT57" i="24"/>
  <c r="AR57" i="24" s="1"/>
  <c r="AS45" i="24"/>
  <c r="AQ45" i="24" s="1"/>
  <c r="AV45" i="24" s="1"/>
  <c r="AT45" i="24"/>
  <c r="AR45" i="24" s="1"/>
  <c r="AS33" i="24"/>
  <c r="AQ33" i="24" s="1"/>
  <c r="AV33" i="24" s="1"/>
  <c r="AT33" i="24"/>
  <c r="AR33" i="24" s="1"/>
  <c r="AS21" i="24"/>
  <c r="AQ21" i="24" s="1"/>
  <c r="AV21" i="24" s="1"/>
  <c r="AT21" i="24"/>
  <c r="AR21" i="24" s="1"/>
  <c r="AS9" i="24"/>
  <c r="AQ9" i="24" s="1"/>
  <c r="AV9" i="24" s="1"/>
  <c r="AT9" i="24"/>
  <c r="AR9" i="24" s="1"/>
  <c r="AT134" i="24"/>
  <c r="AR134" i="24" s="1"/>
  <c r="AS134" i="24"/>
  <c r="AQ134" i="24" s="1"/>
  <c r="AV134" i="24" s="1"/>
  <c r="AT38" i="24"/>
  <c r="AR38" i="24" s="1"/>
  <c r="AS38" i="24"/>
  <c r="AQ38" i="24" s="1"/>
  <c r="AV38" i="24" s="1"/>
  <c r="AS181" i="24"/>
  <c r="AQ181" i="24" s="1"/>
  <c r="AV181" i="24" s="1"/>
  <c r="AT181" i="24"/>
  <c r="AR181" i="24" s="1"/>
  <c r="AS97" i="24"/>
  <c r="AQ97" i="24" s="1"/>
  <c r="AV97" i="24" s="1"/>
  <c r="AT97" i="24"/>
  <c r="AR97" i="24" s="1"/>
  <c r="AS13" i="24"/>
  <c r="AQ13" i="24" s="1"/>
  <c r="AV13" i="24" s="1"/>
  <c r="AT13" i="24"/>
  <c r="AR13" i="24" s="1"/>
  <c r="AS142" i="24"/>
  <c r="AQ142" i="24" s="1"/>
  <c r="AV142" i="24" s="1"/>
  <c r="AT142" i="24"/>
  <c r="AR142" i="24" s="1"/>
  <c r="AS70" i="24"/>
  <c r="AQ70" i="24" s="1"/>
  <c r="AV70" i="24" s="1"/>
  <c r="AT70" i="24"/>
  <c r="AR70" i="24" s="1"/>
  <c r="AT176" i="24"/>
  <c r="AR176" i="24" s="1"/>
  <c r="AS176" i="24"/>
  <c r="AQ176" i="24" s="1"/>
  <c r="AV176" i="24" s="1"/>
  <c r="AS164" i="24"/>
  <c r="AQ164" i="24" s="1"/>
  <c r="AV164" i="24" s="1"/>
  <c r="AT164" i="24"/>
  <c r="AR164" i="24" s="1"/>
  <c r="AS152" i="24"/>
  <c r="AQ152" i="24" s="1"/>
  <c r="AV152" i="24" s="1"/>
  <c r="AT152" i="24"/>
  <c r="AR152" i="24" s="1"/>
  <c r="AS140" i="24"/>
  <c r="AQ140" i="24" s="1"/>
  <c r="AV140" i="24" s="1"/>
  <c r="AT140" i="24"/>
  <c r="AR140" i="24" s="1"/>
  <c r="AS128" i="24"/>
  <c r="AQ128" i="24" s="1"/>
  <c r="AV128" i="24" s="1"/>
  <c r="AT128" i="24"/>
  <c r="AR128" i="24" s="1"/>
  <c r="AS116" i="24"/>
  <c r="AQ116" i="24" s="1"/>
  <c r="AV116" i="24" s="1"/>
  <c r="AT116" i="24"/>
  <c r="AR116" i="24" s="1"/>
  <c r="AS104" i="24"/>
  <c r="AQ104" i="24" s="1"/>
  <c r="AV104" i="24" s="1"/>
  <c r="AT104" i="24"/>
  <c r="AR104" i="24" s="1"/>
  <c r="AS92" i="24"/>
  <c r="AQ92" i="24" s="1"/>
  <c r="AV92" i="24" s="1"/>
  <c r="AT92" i="24"/>
  <c r="AR92" i="24" s="1"/>
  <c r="AS80" i="24"/>
  <c r="AQ80" i="24" s="1"/>
  <c r="AV80" i="24" s="1"/>
  <c r="AT80" i="24"/>
  <c r="AR80" i="24" s="1"/>
  <c r="AS68" i="24"/>
  <c r="AQ68" i="24" s="1"/>
  <c r="AV68" i="24" s="1"/>
  <c r="AT68" i="24"/>
  <c r="AR68" i="24" s="1"/>
  <c r="AS56" i="24"/>
  <c r="AQ56" i="24" s="1"/>
  <c r="AV56" i="24" s="1"/>
  <c r="AT56" i="24"/>
  <c r="AR56" i="24" s="1"/>
  <c r="AS44" i="24"/>
  <c r="AQ44" i="24" s="1"/>
  <c r="AV44" i="24" s="1"/>
  <c r="AT44" i="24"/>
  <c r="AR44" i="24" s="1"/>
  <c r="AS32" i="24"/>
  <c r="AQ32" i="24" s="1"/>
  <c r="AV32" i="24" s="1"/>
  <c r="AT32" i="24"/>
  <c r="AR32" i="24" s="1"/>
  <c r="AS20" i="24"/>
  <c r="AQ20" i="24" s="1"/>
  <c r="AV20" i="24" s="1"/>
  <c r="AT20" i="24"/>
  <c r="AR20" i="24" s="1"/>
  <c r="AS8" i="24"/>
  <c r="AQ8" i="24" s="1"/>
  <c r="AV8" i="24" s="1"/>
  <c r="AT8" i="24"/>
  <c r="AR8" i="24" s="1"/>
  <c r="AT170" i="24"/>
  <c r="AR170" i="24" s="1"/>
  <c r="AS170" i="24"/>
  <c r="AQ170" i="24" s="1"/>
  <c r="AV170" i="24" s="1"/>
  <c r="AT74" i="24"/>
  <c r="AR74" i="24" s="1"/>
  <c r="AS74" i="24"/>
  <c r="AQ74" i="24" s="1"/>
  <c r="AV74" i="24" s="1"/>
  <c r="AS133" i="24"/>
  <c r="AQ133" i="24" s="1"/>
  <c r="AV133" i="24" s="1"/>
  <c r="AT133" i="24"/>
  <c r="AR133" i="24" s="1"/>
  <c r="AS25" i="24"/>
  <c r="AQ25" i="24" s="1"/>
  <c r="AV25" i="24" s="1"/>
  <c r="AT25" i="24"/>
  <c r="AR25" i="24" s="1"/>
  <c r="AS166" i="24"/>
  <c r="AQ166" i="24" s="1"/>
  <c r="AV166" i="24" s="1"/>
  <c r="AT166" i="24"/>
  <c r="AR166" i="24" s="1"/>
  <c r="AS106" i="24"/>
  <c r="AQ106" i="24" s="1"/>
  <c r="AV106" i="24" s="1"/>
  <c r="AT106" i="24"/>
  <c r="AR106" i="24" s="1"/>
  <c r="AS34" i="24"/>
  <c r="AQ34" i="24" s="1"/>
  <c r="AV34" i="24" s="1"/>
  <c r="AT34" i="24"/>
  <c r="AR34" i="24" s="1"/>
  <c r="AS10" i="24"/>
  <c r="AQ10" i="24" s="1"/>
  <c r="AV10" i="24" s="1"/>
  <c r="AT10" i="24"/>
  <c r="AR10" i="24" s="1"/>
  <c r="AT175" i="24"/>
  <c r="AR175" i="24" s="1"/>
  <c r="AS175" i="24"/>
  <c r="AQ175" i="24" s="1"/>
  <c r="AV175" i="24" s="1"/>
  <c r="AT163" i="24"/>
  <c r="AR163" i="24" s="1"/>
  <c r="AS163" i="24"/>
  <c r="AQ163" i="24" s="1"/>
  <c r="AV163" i="24" s="1"/>
  <c r="AT151" i="24"/>
  <c r="AR151" i="24" s="1"/>
  <c r="AS151" i="24"/>
  <c r="AQ151" i="24" s="1"/>
  <c r="AV151" i="24" s="1"/>
  <c r="AS139" i="24"/>
  <c r="AQ139" i="24" s="1"/>
  <c r="AV139" i="24" s="1"/>
  <c r="AT139" i="24"/>
  <c r="AR139" i="24" s="1"/>
  <c r="AS127" i="24"/>
  <c r="AQ127" i="24" s="1"/>
  <c r="AV127" i="24" s="1"/>
  <c r="AT127" i="24"/>
  <c r="AR127" i="24" s="1"/>
  <c r="AS115" i="24"/>
  <c r="AQ115" i="24" s="1"/>
  <c r="AV115" i="24" s="1"/>
  <c r="AT115" i="24"/>
  <c r="AR115" i="24" s="1"/>
  <c r="AS103" i="24"/>
  <c r="AQ103" i="24" s="1"/>
  <c r="AV103" i="24" s="1"/>
  <c r="AT103" i="24"/>
  <c r="AR103" i="24" s="1"/>
  <c r="AS91" i="24"/>
  <c r="AQ91" i="24" s="1"/>
  <c r="AV91" i="24" s="1"/>
  <c r="AT91" i="24"/>
  <c r="AR91" i="24" s="1"/>
  <c r="AS79" i="24"/>
  <c r="AQ79" i="24" s="1"/>
  <c r="AV79" i="24" s="1"/>
  <c r="AT79" i="24"/>
  <c r="AR79" i="24" s="1"/>
  <c r="AS67" i="24"/>
  <c r="AQ67" i="24" s="1"/>
  <c r="AV67" i="24" s="1"/>
  <c r="AT67" i="24"/>
  <c r="AR67" i="24" s="1"/>
  <c r="AS55" i="24"/>
  <c r="AQ55" i="24" s="1"/>
  <c r="AV55" i="24" s="1"/>
  <c r="AT55" i="24"/>
  <c r="AR55" i="24" s="1"/>
  <c r="AS43" i="24"/>
  <c r="AQ43" i="24" s="1"/>
  <c r="AV43" i="24" s="1"/>
  <c r="AT43" i="24"/>
  <c r="AR43" i="24" s="1"/>
  <c r="AS31" i="24"/>
  <c r="AQ31" i="24" s="1"/>
  <c r="AV31" i="24" s="1"/>
  <c r="AT31" i="24"/>
  <c r="AR31" i="24" s="1"/>
  <c r="AS19" i="24"/>
  <c r="AQ19" i="24" s="1"/>
  <c r="AV19" i="24" s="1"/>
  <c r="AT19" i="24"/>
  <c r="AR19" i="24" s="1"/>
  <c r="AT158" i="24"/>
  <c r="AR158" i="24" s="1"/>
  <c r="AS158" i="24"/>
  <c r="AQ158" i="24" s="1"/>
  <c r="AV158" i="24" s="1"/>
  <c r="AT62" i="24"/>
  <c r="AR62" i="24" s="1"/>
  <c r="AS62" i="24"/>
  <c r="AQ62" i="24" s="1"/>
  <c r="AV62" i="24" s="1"/>
  <c r="AS145" i="24"/>
  <c r="AQ145" i="24" s="1"/>
  <c r="AV145" i="24" s="1"/>
  <c r="AT145" i="24"/>
  <c r="AR145" i="24" s="1"/>
  <c r="AS49" i="24"/>
  <c r="AQ49" i="24" s="1"/>
  <c r="AV49" i="24" s="1"/>
  <c r="AT49" i="24"/>
  <c r="AR49" i="24" s="1"/>
  <c r="AS154" i="24"/>
  <c r="AQ154" i="24" s="1"/>
  <c r="AV154" i="24" s="1"/>
  <c r="AT154" i="24"/>
  <c r="AR154" i="24" s="1"/>
  <c r="AS82" i="24"/>
  <c r="AQ82" i="24" s="1"/>
  <c r="AV82" i="24" s="1"/>
  <c r="AT82" i="24"/>
  <c r="AR82" i="24" s="1"/>
  <c r="AT174" i="24"/>
  <c r="AR174" i="24" s="1"/>
  <c r="AS174" i="24"/>
  <c r="AQ174" i="24" s="1"/>
  <c r="AV174" i="24" s="1"/>
  <c r="AT162" i="24"/>
  <c r="AR162" i="24" s="1"/>
  <c r="AS162" i="24"/>
  <c r="AQ162" i="24" s="1"/>
  <c r="AV162" i="24" s="1"/>
  <c r="AT150" i="24"/>
  <c r="AR150" i="24" s="1"/>
  <c r="AS150" i="24"/>
  <c r="AQ150" i="24" s="1"/>
  <c r="AV150" i="24" s="1"/>
  <c r="AT138" i="24"/>
  <c r="AR138" i="24" s="1"/>
  <c r="AS138" i="24"/>
  <c r="AQ138" i="24" s="1"/>
  <c r="AV138" i="24" s="1"/>
  <c r="AS126" i="24"/>
  <c r="AQ126" i="24" s="1"/>
  <c r="AV126" i="24" s="1"/>
  <c r="AT126" i="24"/>
  <c r="AR126" i="24" s="1"/>
  <c r="AS114" i="24"/>
  <c r="AQ114" i="24" s="1"/>
  <c r="AV114" i="24" s="1"/>
  <c r="AT114" i="24"/>
  <c r="AR114" i="24" s="1"/>
  <c r="AS102" i="24"/>
  <c r="AQ102" i="24" s="1"/>
  <c r="AV102" i="24" s="1"/>
  <c r="AT102" i="24"/>
  <c r="AR102" i="24" s="1"/>
  <c r="AS90" i="24"/>
  <c r="AQ90" i="24" s="1"/>
  <c r="AV90" i="24" s="1"/>
  <c r="AT90" i="24"/>
  <c r="AR90" i="24" s="1"/>
  <c r="AS78" i="24"/>
  <c r="AQ78" i="24" s="1"/>
  <c r="AV78" i="24" s="1"/>
  <c r="AT78" i="24"/>
  <c r="AR78" i="24" s="1"/>
  <c r="AS66" i="24"/>
  <c r="AQ66" i="24" s="1"/>
  <c r="AV66" i="24" s="1"/>
  <c r="AT66" i="24"/>
  <c r="AR66" i="24" s="1"/>
  <c r="AS54" i="24"/>
  <c r="AQ54" i="24" s="1"/>
  <c r="AV54" i="24" s="1"/>
  <c r="AT54" i="24"/>
  <c r="AR54" i="24" s="1"/>
  <c r="AS42" i="24"/>
  <c r="AQ42" i="24" s="1"/>
  <c r="AV42" i="24" s="1"/>
  <c r="AT42" i="24"/>
  <c r="AR42" i="24" s="1"/>
  <c r="AS30" i="24"/>
  <c r="AQ30" i="24" s="1"/>
  <c r="AV30" i="24" s="1"/>
  <c r="AT30" i="24"/>
  <c r="AR30" i="24" s="1"/>
  <c r="AS18" i="24"/>
  <c r="AQ18" i="24" s="1"/>
  <c r="AV18" i="24" s="1"/>
  <c r="AT18" i="24"/>
  <c r="AR18" i="24" s="1"/>
  <c r="AT122" i="24"/>
  <c r="AR122" i="24" s="1"/>
  <c r="AS122" i="24"/>
  <c r="AQ122" i="24" s="1"/>
  <c r="AV122" i="24" s="1"/>
  <c r="AT26" i="24"/>
  <c r="AR26" i="24" s="1"/>
  <c r="AS26" i="24"/>
  <c r="AQ26" i="24" s="1"/>
  <c r="AV26" i="24" s="1"/>
  <c r="AS121" i="24"/>
  <c r="AQ121" i="24" s="1"/>
  <c r="AV121" i="24" s="1"/>
  <c r="AT121" i="24"/>
  <c r="AR121" i="24" s="1"/>
  <c r="AS37" i="24"/>
  <c r="AQ37" i="24" s="1"/>
  <c r="AV37" i="24" s="1"/>
  <c r="AT37" i="24"/>
  <c r="AR37" i="24" s="1"/>
  <c r="AS130" i="24"/>
  <c r="AQ130" i="24" s="1"/>
  <c r="AV130" i="24" s="1"/>
  <c r="AT130" i="24"/>
  <c r="AR130" i="24" s="1"/>
  <c r="AS58" i="24"/>
  <c r="AQ58" i="24" s="1"/>
  <c r="AV58" i="24" s="1"/>
  <c r="AT58" i="24"/>
  <c r="AR58" i="24" s="1"/>
  <c r="AS173" i="24"/>
  <c r="AQ173" i="24" s="1"/>
  <c r="AV173" i="24" s="1"/>
  <c r="AT173" i="24"/>
  <c r="AR173" i="24" s="1"/>
  <c r="AS161" i="24"/>
  <c r="AQ161" i="24" s="1"/>
  <c r="AV161" i="24" s="1"/>
  <c r="AT161" i="24"/>
  <c r="AR161" i="24" s="1"/>
  <c r="AS149" i="24"/>
  <c r="AQ149" i="24" s="1"/>
  <c r="AV149" i="24" s="1"/>
  <c r="AT149" i="24"/>
  <c r="AR149" i="24" s="1"/>
  <c r="AS137" i="24"/>
  <c r="AQ137" i="24" s="1"/>
  <c r="AV137" i="24" s="1"/>
  <c r="AT137" i="24"/>
  <c r="AR137" i="24" s="1"/>
  <c r="AS125" i="24"/>
  <c r="AQ125" i="24" s="1"/>
  <c r="AV125" i="24" s="1"/>
  <c r="AT125" i="24"/>
  <c r="AR125" i="24" s="1"/>
  <c r="AS113" i="24"/>
  <c r="AQ113" i="24" s="1"/>
  <c r="AV113" i="24" s="1"/>
  <c r="AT113" i="24"/>
  <c r="AR113" i="24" s="1"/>
  <c r="AS101" i="24"/>
  <c r="AQ101" i="24" s="1"/>
  <c r="AV101" i="24" s="1"/>
  <c r="AT101" i="24"/>
  <c r="AR101" i="24" s="1"/>
  <c r="AS89" i="24"/>
  <c r="AQ89" i="24" s="1"/>
  <c r="AV89" i="24" s="1"/>
  <c r="AT89" i="24"/>
  <c r="AR89" i="24" s="1"/>
  <c r="AS77" i="24"/>
  <c r="AQ77" i="24" s="1"/>
  <c r="AV77" i="24" s="1"/>
  <c r="AT77" i="24"/>
  <c r="AR77" i="24" s="1"/>
  <c r="AS65" i="24"/>
  <c r="AQ65" i="24" s="1"/>
  <c r="AV65" i="24" s="1"/>
  <c r="AT65" i="24"/>
  <c r="AR65" i="24" s="1"/>
  <c r="AS53" i="24"/>
  <c r="AQ53" i="24" s="1"/>
  <c r="AV53" i="24" s="1"/>
  <c r="AT53" i="24"/>
  <c r="AR53" i="24" s="1"/>
  <c r="AS41" i="24"/>
  <c r="AQ41" i="24" s="1"/>
  <c r="AV41" i="24" s="1"/>
  <c r="AT41" i="24"/>
  <c r="AR41" i="24" s="1"/>
  <c r="AS29" i="24"/>
  <c r="AQ29" i="24" s="1"/>
  <c r="AV29" i="24" s="1"/>
  <c r="AT29" i="24"/>
  <c r="AR29" i="24" s="1"/>
  <c r="AS17" i="24"/>
  <c r="AQ17" i="24" s="1"/>
  <c r="AV17" i="24" s="1"/>
  <c r="AT17" i="24"/>
  <c r="AR17" i="24" s="1"/>
  <c r="U145" i="24"/>
  <c r="S145" i="24" s="1"/>
  <c r="T145" i="24"/>
  <c r="R145" i="24" s="1"/>
  <c r="X145" i="24" s="1"/>
  <c r="U49" i="24"/>
  <c r="S49" i="24" s="1"/>
  <c r="T49" i="24"/>
  <c r="R49" i="24" s="1"/>
  <c r="X49" i="24" s="1"/>
  <c r="U13" i="24"/>
  <c r="S13" i="24" s="1"/>
  <c r="T13" i="24"/>
  <c r="R13" i="24" s="1"/>
  <c r="X13" i="24" s="1"/>
  <c r="U180" i="24"/>
  <c r="S180" i="24" s="1"/>
  <c r="T180" i="24"/>
  <c r="R180" i="24" s="1"/>
  <c r="X180" i="24" s="1"/>
  <c r="U168" i="24"/>
  <c r="S168" i="24" s="1"/>
  <c r="T168" i="24"/>
  <c r="R168" i="24" s="1"/>
  <c r="X168" i="24" s="1"/>
  <c r="U156" i="24"/>
  <c r="S156" i="24" s="1"/>
  <c r="T156" i="24"/>
  <c r="R156" i="24" s="1"/>
  <c r="X156" i="24" s="1"/>
  <c r="U144" i="24"/>
  <c r="S144" i="24" s="1"/>
  <c r="T144" i="24"/>
  <c r="R144" i="24" s="1"/>
  <c r="X144" i="24" s="1"/>
  <c r="U132" i="24"/>
  <c r="S132" i="24" s="1"/>
  <c r="T132" i="24"/>
  <c r="R132" i="24" s="1"/>
  <c r="X132" i="24" s="1"/>
  <c r="U120" i="24"/>
  <c r="S120" i="24" s="1"/>
  <c r="T120" i="24"/>
  <c r="R120" i="24" s="1"/>
  <c r="X120" i="24" s="1"/>
  <c r="U108" i="24"/>
  <c r="S108" i="24" s="1"/>
  <c r="T108" i="24"/>
  <c r="R108" i="24" s="1"/>
  <c r="X108" i="24" s="1"/>
  <c r="U96" i="24"/>
  <c r="S96" i="24" s="1"/>
  <c r="T96" i="24"/>
  <c r="R96" i="24" s="1"/>
  <c r="X96" i="24" s="1"/>
  <c r="U84" i="24"/>
  <c r="S84" i="24" s="1"/>
  <c r="T84" i="24"/>
  <c r="R84" i="24" s="1"/>
  <c r="X84" i="24" s="1"/>
  <c r="U72" i="24"/>
  <c r="S72" i="24" s="1"/>
  <c r="T72" i="24"/>
  <c r="R72" i="24" s="1"/>
  <c r="X72" i="24" s="1"/>
  <c r="U60" i="24"/>
  <c r="S60" i="24" s="1"/>
  <c r="T60" i="24"/>
  <c r="R60" i="24" s="1"/>
  <c r="X60" i="24" s="1"/>
  <c r="U48" i="24"/>
  <c r="S48" i="24" s="1"/>
  <c r="T48" i="24"/>
  <c r="R48" i="24" s="1"/>
  <c r="X48" i="24" s="1"/>
  <c r="U36" i="24"/>
  <c r="S36" i="24" s="1"/>
  <c r="T36" i="24"/>
  <c r="R36" i="24" s="1"/>
  <c r="X36" i="24" s="1"/>
  <c r="U24" i="24"/>
  <c r="S24" i="24" s="1"/>
  <c r="T24" i="24"/>
  <c r="R24" i="24" s="1"/>
  <c r="X24" i="24" s="1"/>
  <c r="U12" i="24"/>
  <c r="S12" i="24" s="1"/>
  <c r="T12" i="24"/>
  <c r="R12" i="24" s="1"/>
  <c r="X12" i="24" s="1"/>
  <c r="U179" i="24"/>
  <c r="S179" i="24" s="1"/>
  <c r="T179" i="24"/>
  <c r="R179" i="24" s="1"/>
  <c r="X179" i="24" s="1"/>
  <c r="U167" i="24"/>
  <c r="S167" i="24" s="1"/>
  <c r="T167" i="24"/>
  <c r="R167" i="24" s="1"/>
  <c r="X167" i="24" s="1"/>
  <c r="U155" i="24"/>
  <c r="S155" i="24" s="1"/>
  <c r="T155" i="24"/>
  <c r="R155" i="24" s="1"/>
  <c r="X155" i="24" s="1"/>
  <c r="U143" i="24"/>
  <c r="S143" i="24" s="1"/>
  <c r="T143" i="24"/>
  <c r="R143" i="24" s="1"/>
  <c r="X143" i="24" s="1"/>
  <c r="U131" i="24"/>
  <c r="S131" i="24" s="1"/>
  <c r="T131" i="24"/>
  <c r="R131" i="24" s="1"/>
  <c r="X131" i="24" s="1"/>
  <c r="U119" i="24"/>
  <c r="S119" i="24" s="1"/>
  <c r="T119" i="24"/>
  <c r="R119" i="24" s="1"/>
  <c r="X119" i="24" s="1"/>
  <c r="U107" i="24"/>
  <c r="S107" i="24" s="1"/>
  <c r="T107" i="24"/>
  <c r="R107" i="24" s="1"/>
  <c r="X107" i="24" s="1"/>
  <c r="U95" i="24"/>
  <c r="S95" i="24" s="1"/>
  <c r="T95" i="24"/>
  <c r="R95" i="24" s="1"/>
  <c r="X95" i="24" s="1"/>
  <c r="U83" i="24"/>
  <c r="S83" i="24" s="1"/>
  <c r="T83" i="24"/>
  <c r="R83" i="24" s="1"/>
  <c r="X83" i="24" s="1"/>
  <c r="U71" i="24"/>
  <c r="S71" i="24" s="1"/>
  <c r="T71" i="24"/>
  <c r="R71" i="24" s="1"/>
  <c r="X71" i="24" s="1"/>
  <c r="U59" i="24"/>
  <c r="S59" i="24" s="1"/>
  <c r="T59" i="24"/>
  <c r="R59" i="24" s="1"/>
  <c r="X59" i="24" s="1"/>
  <c r="U47" i="24"/>
  <c r="S47" i="24" s="1"/>
  <c r="T47" i="24"/>
  <c r="R47" i="24" s="1"/>
  <c r="X47" i="24" s="1"/>
  <c r="U35" i="24"/>
  <c r="S35" i="24" s="1"/>
  <c r="T35" i="24"/>
  <c r="R35" i="24" s="1"/>
  <c r="X35" i="24" s="1"/>
  <c r="U23" i="24"/>
  <c r="S23" i="24" s="1"/>
  <c r="T23" i="24"/>
  <c r="R23" i="24" s="1"/>
  <c r="X23" i="24" s="1"/>
  <c r="U11" i="24"/>
  <c r="S11" i="24" s="1"/>
  <c r="T11" i="24"/>
  <c r="R11" i="24" s="1"/>
  <c r="X11" i="24" s="1"/>
  <c r="U73" i="24"/>
  <c r="S73" i="24" s="1"/>
  <c r="T73" i="24"/>
  <c r="R73" i="24" s="1"/>
  <c r="X73" i="24" s="1"/>
  <c r="U178" i="24"/>
  <c r="S178" i="24" s="1"/>
  <c r="T178" i="24"/>
  <c r="R178" i="24" s="1"/>
  <c r="X178" i="24" s="1"/>
  <c r="U118" i="24"/>
  <c r="S118" i="24" s="1"/>
  <c r="T118" i="24"/>
  <c r="R118" i="24" s="1"/>
  <c r="X118" i="24" s="1"/>
  <c r="U70" i="24"/>
  <c r="S70" i="24" s="1"/>
  <c r="T70" i="24"/>
  <c r="R70" i="24" s="1"/>
  <c r="X70" i="24" s="1"/>
  <c r="U10" i="24"/>
  <c r="S10" i="24" s="1"/>
  <c r="T10" i="24"/>
  <c r="R10" i="24" s="1"/>
  <c r="X10" i="24" s="1"/>
  <c r="U109" i="24"/>
  <c r="S109" i="24" s="1"/>
  <c r="T109" i="24"/>
  <c r="R109" i="24" s="1"/>
  <c r="X109" i="24" s="1"/>
  <c r="U130" i="24"/>
  <c r="S130" i="24" s="1"/>
  <c r="T130" i="24"/>
  <c r="R130" i="24" s="1"/>
  <c r="X130" i="24" s="1"/>
  <c r="U58" i="24"/>
  <c r="S58" i="24" s="1"/>
  <c r="T58" i="24"/>
  <c r="R58" i="24" s="1"/>
  <c r="X58" i="24" s="1"/>
  <c r="U177" i="24"/>
  <c r="S177" i="24" s="1"/>
  <c r="T177" i="24"/>
  <c r="R177" i="24" s="1"/>
  <c r="X177" i="24" s="1"/>
  <c r="U165" i="24"/>
  <c r="S165" i="24" s="1"/>
  <c r="T165" i="24"/>
  <c r="R165" i="24" s="1"/>
  <c r="X165" i="24" s="1"/>
  <c r="U153" i="24"/>
  <c r="S153" i="24" s="1"/>
  <c r="T153" i="24"/>
  <c r="R153" i="24" s="1"/>
  <c r="X153" i="24" s="1"/>
  <c r="U141" i="24"/>
  <c r="S141" i="24" s="1"/>
  <c r="T141" i="24"/>
  <c r="R141" i="24" s="1"/>
  <c r="X141" i="24" s="1"/>
  <c r="U129" i="24"/>
  <c r="S129" i="24" s="1"/>
  <c r="T129" i="24"/>
  <c r="R129" i="24" s="1"/>
  <c r="X129" i="24" s="1"/>
  <c r="U117" i="24"/>
  <c r="S117" i="24" s="1"/>
  <c r="T117" i="24"/>
  <c r="R117" i="24" s="1"/>
  <c r="X117" i="24" s="1"/>
  <c r="U105" i="24"/>
  <c r="S105" i="24" s="1"/>
  <c r="T105" i="24"/>
  <c r="R105" i="24" s="1"/>
  <c r="X105" i="24" s="1"/>
  <c r="U93" i="24"/>
  <c r="S93" i="24" s="1"/>
  <c r="T93" i="24"/>
  <c r="R93" i="24" s="1"/>
  <c r="X93" i="24" s="1"/>
  <c r="U81" i="24"/>
  <c r="S81" i="24" s="1"/>
  <c r="T81" i="24"/>
  <c r="R81" i="24" s="1"/>
  <c r="X81" i="24" s="1"/>
  <c r="U69" i="24"/>
  <c r="S69" i="24" s="1"/>
  <c r="T69" i="24"/>
  <c r="R69" i="24" s="1"/>
  <c r="X69" i="24" s="1"/>
  <c r="U57" i="24"/>
  <c r="S57" i="24" s="1"/>
  <c r="T57" i="24"/>
  <c r="R57" i="24" s="1"/>
  <c r="X57" i="24" s="1"/>
  <c r="U45" i="24"/>
  <c r="S45" i="24" s="1"/>
  <c r="T45" i="24"/>
  <c r="R45" i="24" s="1"/>
  <c r="X45" i="24" s="1"/>
  <c r="U33" i="24"/>
  <c r="S33" i="24" s="1"/>
  <c r="T33" i="24"/>
  <c r="R33" i="24" s="1"/>
  <c r="X33" i="24" s="1"/>
  <c r="U21" i="24"/>
  <c r="S21" i="24" s="1"/>
  <c r="T21" i="24"/>
  <c r="R21" i="24" s="1"/>
  <c r="X21" i="24" s="1"/>
  <c r="U9" i="24"/>
  <c r="S9" i="24" s="1"/>
  <c r="T9" i="24"/>
  <c r="R9" i="24" s="1"/>
  <c r="X9" i="24" s="1"/>
  <c r="U157" i="24"/>
  <c r="S157" i="24" s="1"/>
  <c r="T157" i="24"/>
  <c r="R157" i="24" s="1"/>
  <c r="X157" i="24" s="1"/>
  <c r="U61" i="24"/>
  <c r="S61" i="24" s="1"/>
  <c r="T61" i="24"/>
  <c r="R61" i="24" s="1"/>
  <c r="X61" i="24" s="1"/>
  <c r="U154" i="24"/>
  <c r="S154" i="24" s="1"/>
  <c r="T154" i="24"/>
  <c r="R154" i="24" s="1"/>
  <c r="X154" i="24" s="1"/>
  <c r="U94" i="24"/>
  <c r="S94" i="24" s="1"/>
  <c r="T94" i="24"/>
  <c r="R94" i="24" s="1"/>
  <c r="X94" i="24" s="1"/>
  <c r="U34" i="24"/>
  <c r="S34" i="24" s="1"/>
  <c r="T34" i="24"/>
  <c r="R34" i="24" s="1"/>
  <c r="X34" i="24" s="1"/>
  <c r="U176" i="24"/>
  <c r="S176" i="24" s="1"/>
  <c r="T176" i="24"/>
  <c r="R176" i="24" s="1"/>
  <c r="X176" i="24" s="1"/>
  <c r="U164" i="24"/>
  <c r="S164" i="24" s="1"/>
  <c r="T164" i="24"/>
  <c r="R164" i="24" s="1"/>
  <c r="X164" i="24" s="1"/>
  <c r="U152" i="24"/>
  <c r="S152" i="24" s="1"/>
  <c r="T152" i="24"/>
  <c r="R152" i="24" s="1"/>
  <c r="X152" i="24" s="1"/>
  <c r="U140" i="24"/>
  <c r="S140" i="24" s="1"/>
  <c r="T140" i="24"/>
  <c r="R140" i="24" s="1"/>
  <c r="X140" i="24" s="1"/>
  <c r="U128" i="24"/>
  <c r="S128" i="24" s="1"/>
  <c r="T128" i="24"/>
  <c r="R128" i="24" s="1"/>
  <c r="X128" i="24" s="1"/>
  <c r="U116" i="24"/>
  <c r="S116" i="24" s="1"/>
  <c r="T116" i="24"/>
  <c r="R116" i="24" s="1"/>
  <c r="X116" i="24" s="1"/>
  <c r="U104" i="24"/>
  <c r="S104" i="24" s="1"/>
  <c r="T104" i="24"/>
  <c r="R104" i="24" s="1"/>
  <c r="X104" i="24" s="1"/>
  <c r="U92" i="24"/>
  <c r="S92" i="24" s="1"/>
  <c r="T92" i="24"/>
  <c r="R92" i="24" s="1"/>
  <c r="X92" i="24" s="1"/>
  <c r="U80" i="24"/>
  <c r="S80" i="24" s="1"/>
  <c r="T80" i="24"/>
  <c r="R80" i="24" s="1"/>
  <c r="X80" i="24" s="1"/>
  <c r="U68" i="24"/>
  <c r="S68" i="24" s="1"/>
  <c r="T68" i="24"/>
  <c r="R68" i="24" s="1"/>
  <c r="X68" i="24" s="1"/>
  <c r="U56" i="24"/>
  <c r="S56" i="24" s="1"/>
  <c r="T56" i="24"/>
  <c r="R56" i="24" s="1"/>
  <c r="X56" i="24" s="1"/>
  <c r="U44" i="24"/>
  <c r="S44" i="24" s="1"/>
  <c r="T44" i="24"/>
  <c r="R44" i="24" s="1"/>
  <c r="X44" i="24" s="1"/>
  <c r="U32" i="24"/>
  <c r="S32" i="24" s="1"/>
  <c r="T32" i="24"/>
  <c r="R32" i="24" s="1"/>
  <c r="X32" i="24" s="1"/>
  <c r="U20" i="24"/>
  <c r="S20" i="24" s="1"/>
  <c r="T20" i="24"/>
  <c r="R20" i="24" s="1"/>
  <c r="X20" i="24" s="1"/>
  <c r="U8" i="24"/>
  <c r="S8" i="24" s="1"/>
  <c r="T8" i="24"/>
  <c r="R8" i="24" s="1"/>
  <c r="X8" i="24" s="1"/>
  <c r="U121" i="24"/>
  <c r="S121" i="24" s="1"/>
  <c r="T121" i="24"/>
  <c r="R121" i="24" s="1"/>
  <c r="X121" i="24" s="1"/>
  <c r="U166" i="24"/>
  <c r="S166" i="24" s="1"/>
  <c r="T166" i="24"/>
  <c r="R166" i="24" s="1"/>
  <c r="X166" i="24" s="1"/>
  <c r="U106" i="24"/>
  <c r="S106" i="24" s="1"/>
  <c r="T106" i="24"/>
  <c r="R106" i="24" s="1"/>
  <c r="X106" i="24" s="1"/>
  <c r="U46" i="24"/>
  <c r="S46" i="24" s="1"/>
  <c r="T46" i="24"/>
  <c r="R46" i="24" s="1"/>
  <c r="X46" i="24" s="1"/>
  <c r="U175" i="24"/>
  <c r="S175" i="24" s="1"/>
  <c r="T175" i="24"/>
  <c r="R175" i="24" s="1"/>
  <c r="X175" i="24" s="1"/>
  <c r="U163" i="24"/>
  <c r="S163" i="24" s="1"/>
  <c r="T163" i="24"/>
  <c r="R163" i="24" s="1"/>
  <c r="X163" i="24" s="1"/>
  <c r="U151" i="24"/>
  <c r="S151" i="24" s="1"/>
  <c r="T151" i="24"/>
  <c r="R151" i="24" s="1"/>
  <c r="X151" i="24" s="1"/>
  <c r="U139" i="24"/>
  <c r="S139" i="24" s="1"/>
  <c r="T139" i="24"/>
  <c r="R139" i="24" s="1"/>
  <c r="X139" i="24" s="1"/>
  <c r="U127" i="24"/>
  <c r="S127" i="24" s="1"/>
  <c r="T127" i="24"/>
  <c r="R127" i="24" s="1"/>
  <c r="X127" i="24" s="1"/>
  <c r="U115" i="24"/>
  <c r="S115" i="24" s="1"/>
  <c r="T115" i="24"/>
  <c r="R115" i="24" s="1"/>
  <c r="X115" i="24" s="1"/>
  <c r="U103" i="24"/>
  <c r="S103" i="24" s="1"/>
  <c r="T103" i="24"/>
  <c r="R103" i="24" s="1"/>
  <c r="X103" i="24" s="1"/>
  <c r="U91" i="24"/>
  <c r="S91" i="24" s="1"/>
  <c r="T91" i="24"/>
  <c r="R91" i="24" s="1"/>
  <c r="X91" i="24" s="1"/>
  <c r="U79" i="24"/>
  <c r="S79" i="24" s="1"/>
  <c r="T79" i="24"/>
  <c r="R79" i="24" s="1"/>
  <c r="X79" i="24" s="1"/>
  <c r="U67" i="24"/>
  <c r="S67" i="24" s="1"/>
  <c r="T67" i="24"/>
  <c r="R67" i="24" s="1"/>
  <c r="X67" i="24" s="1"/>
  <c r="U55" i="24"/>
  <c r="S55" i="24" s="1"/>
  <c r="T55" i="24"/>
  <c r="R55" i="24" s="1"/>
  <c r="X55" i="24" s="1"/>
  <c r="U43" i="24"/>
  <c r="S43" i="24" s="1"/>
  <c r="T43" i="24"/>
  <c r="R43" i="24" s="1"/>
  <c r="X43" i="24" s="1"/>
  <c r="U31" i="24"/>
  <c r="S31" i="24" s="1"/>
  <c r="T31" i="24"/>
  <c r="R31" i="24" s="1"/>
  <c r="X31" i="24" s="1"/>
  <c r="U19" i="24"/>
  <c r="S19" i="24" s="1"/>
  <c r="T19" i="24"/>
  <c r="R19" i="24" s="1"/>
  <c r="X19" i="24" s="1"/>
  <c r="U85" i="24"/>
  <c r="S85" i="24" s="1"/>
  <c r="T85" i="24"/>
  <c r="R85" i="24" s="1"/>
  <c r="X85" i="24" s="1"/>
  <c r="U142" i="24"/>
  <c r="S142" i="24" s="1"/>
  <c r="T142" i="24"/>
  <c r="R142" i="24" s="1"/>
  <c r="X142" i="24" s="1"/>
  <c r="U82" i="24"/>
  <c r="S82" i="24" s="1"/>
  <c r="T82" i="24"/>
  <c r="R82" i="24" s="1"/>
  <c r="X82" i="24" s="1"/>
  <c r="U22" i="24"/>
  <c r="S22" i="24" s="1"/>
  <c r="T22" i="24"/>
  <c r="R22" i="24" s="1"/>
  <c r="X22" i="24" s="1"/>
  <c r="U174" i="24"/>
  <c r="S174" i="24" s="1"/>
  <c r="T174" i="24"/>
  <c r="R174" i="24" s="1"/>
  <c r="X174" i="24" s="1"/>
  <c r="U162" i="24"/>
  <c r="S162" i="24" s="1"/>
  <c r="T162" i="24"/>
  <c r="R162" i="24" s="1"/>
  <c r="X162" i="24" s="1"/>
  <c r="U150" i="24"/>
  <c r="S150" i="24" s="1"/>
  <c r="T150" i="24"/>
  <c r="R150" i="24" s="1"/>
  <c r="X150" i="24" s="1"/>
  <c r="U138" i="24"/>
  <c r="S138" i="24" s="1"/>
  <c r="T138" i="24"/>
  <c r="R138" i="24" s="1"/>
  <c r="X138" i="24" s="1"/>
  <c r="U126" i="24"/>
  <c r="S126" i="24" s="1"/>
  <c r="T126" i="24"/>
  <c r="R126" i="24" s="1"/>
  <c r="X126" i="24" s="1"/>
  <c r="U114" i="24"/>
  <c r="S114" i="24" s="1"/>
  <c r="T114" i="24"/>
  <c r="R114" i="24" s="1"/>
  <c r="X114" i="24" s="1"/>
  <c r="U102" i="24"/>
  <c r="S102" i="24" s="1"/>
  <c r="T102" i="24"/>
  <c r="R102" i="24" s="1"/>
  <c r="X102" i="24" s="1"/>
  <c r="U90" i="24"/>
  <c r="S90" i="24" s="1"/>
  <c r="T90" i="24"/>
  <c r="R90" i="24" s="1"/>
  <c r="X90" i="24" s="1"/>
  <c r="U78" i="24"/>
  <c r="S78" i="24" s="1"/>
  <c r="T78" i="24"/>
  <c r="R78" i="24" s="1"/>
  <c r="X78" i="24" s="1"/>
  <c r="U66" i="24"/>
  <c r="S66" i="24" s="1"/>
  <c r="T66" i="24"/>
  <c r="R66" i="24" s="1"/>
  <c r="X66" i="24" s="1"/>
  <c r="U54" i="24"/>
  <c r="S54" i="24" s="1"/>
  <c r="T54" i="24"/>
  <c r="R54" i="24" s="1"/>
  <c r="X54" i="24" s="1"/>
  <c r="U42" i="24"/>
  <c r="S42" i="24" s="1"/>
  <c r="T42" i="24"/>
  <c r="R42" i="24" s="1"/>
  <c r="X42" i="24" s="1"/>
  <c r="U30" i="24"/>
  <c r="S30" i="24" s="1"/>
  <c r="T30" i="24"/>
  <c r="R30" i="24" s="1"/>
  <c r="X30" i="24" s="1"/>
  <c r="U18" i="24"/>
  <c r="S18" i="24" s="1"/>
  <c r="T18" i="24"/>
  <c r="R18" i="24" s="1"/>
  <c r="X18" i="24" s="1"/>
  <c r="U97" i="24"/>
  <c r="S97" i="24" s="1"/>
  <c r="T97" i="24"/>
  <c r="R97" i="24" s="1"/>
  <c r="X97" i="24" s="1"/>
  <c r="U173" i="24"/>
  <c r="S173" i="24" s="1"/>
  <c r="T173" i="24"/>
  <c r="R173" i="24" s="1"/>
  <c r="X173" i="24" s="1"/>
  <c r="U161" i="24"/>
  <c r="S161" i="24" s="1"/>
  <c r="T161" i="24"/>
  <c r="R161" i="24" s="1"/>
  <c r="X161" i="24" s="1"/>
  <c r="U149" i="24"/>
  <c r="S149" i="24" s="1"/>
  <c r="T149" i="24"/>
  <c r="R149" i="24" s="1"/>
  <c r="X149" i="24" s="1"/>
  <c r="U137" i="24"/>
  <c r="S137" i="24" s="1"/>
  <c r="T137" i="24"/>
  <c r="R137" i="24" s="1"/>
  <c r="X137" i="24" s="1"/>
  <c r="U125" i="24"/>
  <c r="S125" i="24" s="1"/>
  <c r="T125" i="24"/>
  <c r="R125" i="24" s="1"/>
  <c r="X125" i="24" s="1"/>
  <c r="U113" i="24"/>
  <c r="S113" i="24" s="1"/>
  <c r="T113" i="24"/>
  <c r="R113" i="24" s="1"/>
  <c r="X113" i="24" s="1"/>
  <c r="U101" i="24"/>
  <c r="S101" i="24" s="1"/>
  <c r="T101" i="24"/>
  <c r="R101" i="24" s="1"/>
  <c r="X101" i="24" s="1"/>
  <c r="U89" i="24"/>
  <c r="S89" i="24" s="1"/>
  <c r="T89" i="24"/>
  <c r="R89" i="24" s="1"/>
  <c r="X89" i="24" s="1"/>
  <c r="U77" i="24"/>
  <c r="S77" i="24" s="1"/>
  <c r="T77" i="24"/>
  <c r="R77" i="24" s="1"/>
  <c r="X77" i="24" s="1"/>
  <c r="U65" i="24"/>
  <c r="S65" i="24" s="1"/>
  <c r="T65" i="24"/>
  <c r="R65" i="24" s="1"/>
  <c r="X65" i="24" s="1"/>
  <c r="U53" i="24"/>
  <c r="S53" i="24" s="1"/>
  <c r="T53" i="24"/>
  <c r="R53" i="24" s="1"/>
  <c r="X53" i="24" s="1"/>
  <c r="U41" i="24"/>
  <c r="S41" i="24" s="1"/>
  <c r="T41" i="24"/>
  <c r="R41" i="24" s="1"/>
  <c r="X41" i="24" s="1"/>
  <c r="U29" i="24"/>
  <c r="S29" i="24" s="1"/>
  <c r="T29" i="24"/>
  <c r="R29" i="24" s="1"/>
  <c r="X29" i="24" s="1"/>
  <c r="U17" i="24"/>
  <c r="S17" i="24" s="1"/>
  <c r="T17" i="24"/>
  <c r="R17" i="24" s="1"/>
  <c r="X17" i="24" s="1"/>
  <c r="U133" i="24"/>
  <c r="S133" i="24" s="1"/>
  <c r="T133" i="24"/>
  <c r="R133" i="24" s="1"/>
  <c r="X133" i="24" s="1"/>
  <c r="U184" i="24"/>
  <c r="S184" i="24" s="1"/>
  <c r="T184" i="24"/>
  <c r="R184" i="24" s="1"/>
  <c r="X184" i="24" s="1"/>
  <c r="U172" i="24"/>
  <c r="S172" i="24" s="1"/>
  <c r="T172" i="24"/>
  <c r="R172" i="24" s="1"/>
  <c r="X172" i="24" s="1"/>
  <c r="U160" i="24"/>
  <c r="S160" i="24" s="1"/>
  <c r="T160" i="24"/>
  <c r="R160" i="24" s="1"/>
  <c r="X160" i="24" s="1"/>
  <c r="U148" i="24"/>
  <c r="S148" i="24" s="1"/>
  <c r="T148" i="24"/>
  <c r="R148" i="24" s="1"/>
  <c r="X148" i="24" s="1"/>
  <c r="U136" i="24"/>
  <c r="S136" i="24" s="1"/>
  <c r="T136" i="24"/>
  <c r="R136" i="24" s="1"/>
  <c r="X136" i="24" s="1"/>
  <c r="U124" i="24"/>
  <c r="S124" i="24" s="1"/>
  <c r="T124" i="24"/>
  <c r="R124" i="24" s="1"/>
  <c r="X124" i="24" s="1"/>
  <c r="U112" i="24"/>
  <c r="S112" i="24" s="1"/>
  <c r="T112" i="24"/>
  <c r="R112" i="24" s="1"/>
  <c r="X112" i="24" s="1"/>
  <c r="U100" i="24"/>
  <c r="S100" i="24" s="1"/>
  <c r="T100" i="24"/>
  <c r="R100" i="24" s="1"/>
  <c r="X100" i="24" s="1"/>
  <c r="U88" i="24"/>
  <c r="S88" i="24" s="1"/>
  <c r="T88" i="24"/>
  <c r="R88" i="24" s="1"/>
  <c r="X88" i="24" s="1"/>
  <c r="U76" i="24"/>
  <c r="S76" i="24" s="1"/>
  <c r="T76" i="24"/>
  <c r="R76" i="24" s="1"/>
  <c r="X76" i="24" s="1"/>
  <c r="U64" i="24"/>
  <c r="S64" i="24" s="1"/>
  <c r="T64" i="24"/>
  <c r="R64" i="24" s="1"/>
  <c r="X64" i="24" s="1"/>
  <c r="U52" i="24"/>
  <c r="S52" i="24" s="1"/>
  <c r="T52" i="24"/>
  <c r="R52" i="24" s="1"/>
  <c r="X52" i="24" s="1"/>
  <c r="U40" i="24"/>
  <c r="S40" i="24" s="1"/>
  <c r="T40" i="24"/>
  <c r="R40" i="24" s="1"/>
  <c r="X40" i="24" s="1"/>
  <c r="U28" i="24"/>
  <c r="S28" i="24" s="1"/>
  <c r="T28" i="24"/>
  <c r="R28" i="24" s="1"/>
  <c r="X28" i="24" s="1"/>
  <c r="U16" i="24"/>
  <c r="S16" i="24" s="1"/>
  <c r="T16" i="24"/>
  <c r="R16" i="24" s="1"/>
  <c r="X16" i="24" s="1"/>
  <c r="U169" i="24"/>
  <c r="S169" i="24" s="1"/>
  <c r="T169" i="24"/>
  <c r="R169" i="24" s="1"/>
  <c r="X169" i="24" s="1"/>
  <c r="U37" i="24"/>
  <c r="S37" i="24" s="1"/>
  <c r="T37" i="24"/>
  <c r="R37" i="24" s="1"/>
  <c r="X37" i="24" s="1"/>
  <c r="U183" i="24"/>
  <c r="S183" i="24" s="1"/>
  <c r="T183" i="24"/>
  <c r="R183" i="24" s="1"/>
  <c r="X183" i="24" s="1"/>
  <c r="U171" i="24"/>
  <c r="S171" i="24" s="1"/>
  <c r="T171" i="24"/>
  <c r="R171" i="24" s="1"/>
  <c r="X171" i="24" s="1"/>
  <c r="U159" i="24"/>
  <c r="S159" i="24" s="1"/>
  <c r="T159" i="24"/>
  <c r="R159" i="24" s="1"/>
  <c r="X159" i="24" s="1"/>
  <c r="U147" i="24"/>
  <c r="S147" i="24" s="1"/>
  <c r="T147" i="24"/>
  <c r="R147" i="24" s="1"/>
  <c r="X147" i="24" s="1"/>
  <c r="U135" i="24"/>
  <c r="S135" i="24" s="1"/>
  <c r="T135" i="24"/>
  <c r="R135" i="24" s="1"/>
  <c r="X135" i="24" s="1"/>
  <c r="U123" i="24"/>
  <c r="S123" i="24" s="1"/>
  <c r="T123" i="24"/>
  <c r="R123" i="24" s="1"/>
  <c r="X123" i="24" s="1"/>
  <c r="U111" i="24"/>
  <c r="S111" i="24" s="1"/>
  <c r="T111" i="24"/>
  <c r="R111" i="24" s="1"/>
  <c r="X111" i="24" s="1"/>
  <c r="U99" i="24"/>
  <c r="S99" i="24" s="1"/>
  <c r="T99" i="24"/>
  <c r="R99" i="24" s="1"/>
  <c r="X99" i="24" s="1"/>
  <c r="U87" i="24"/>
  <c r="S87" i="24" s="1"/>
  <c r="T87" i="24"/>
  <c r="R87" i="24" s="1"/>
  <c r="X87" i="24" s="1"/>
  <c r="U75" i="24"/>
  <c r="S75" i="24" s="1"/>
  <c r="T75" i="24"/>
  <c r="R75" i="24" s="1"/>
  <c r="X75" i="24" s="1"/>
  <c r="U63" i="24"/>
  <c r="S63" i="24" s="1"/>
  <c r="T63" i="24"/>
  <c r="R63" i="24" s="1"/>
  <c r="X63" i="24" s="1"/>
  <c r="U51" i="24"/>
  <c r="S51" i="24" s="1"/>
  <c r="T51" i="24"/>
  <c r="R51" i="24" s="1"/>
  <c r="X51" i="24" s="1"/>
  <c r="U39" i="24"/>
  <c r="S39" i="24" s="1"/>
  <c r="T39" i="24"/>
  <c r="R39" i="24" s="1"/>
  <c r="X39" i="24" s="1"/>
  <c r="U27" i="24"/>
  <c r="S27" i="24" s="1"/>
  <c r="T27" i="24"/>
  <c r="R27" i="24" s="1"/>
  <c r="X27" i="24" s="1"/>
  <c r="U15" i="24"/>
  <c r="S15" i="24" s="1"/>
  <c r="T15" i="24"/>
  <c r="R15" i="24" s="1"/>
  <c r="X15" i="24" s="1"/>
  <c r="U181" i="24"/>
  <c r="S181" i="24" s="1"/>
  <c r="T181" i="24"/>
  <c r="R181" i="24" s="1"/>
  <c r="X181" i="24" s="1"/>
  <c r="U25" i="24"/>
  <c r="S25" i="24" s="1"/>
  <c r="T25" i="24"/>
  <c r="R25" i="24" s="1"/>
  <c r="X25" i="24" s="1"/>
  <c r="U182" i="24"/>
  <c r="S182" i="24" s="1"/>
  <c r="T182" i="24"/>
  <c r="R182" i="24" s="1"/>
  <c r="X182" i="24" s="1"/>
  <c r="U170" i="24"/>
  <c r="S170" i="24" s="1"/>
  <c r="T170" i="24"/>
  <c r="R170" i="24" s="1"/>
  <c r="X170" i="24" s="1"/>
  <c r="U158" i="24"/>
  <c r="S158" i="24" s="1"/>
  <c r="T158" i="24"/>
  <c r="R158" i="24" s="1"/>
  <c r="X158" i="24" s="1"/>
  <c r="U146" i="24"/>
  <c r="S146" i="24" s="1"/>
  <c r="T146" i="24"/>
  <c r="R146" i="24" s="1"/>
  <c r="X146" i="24" s="1"/>
  <c r="U134" i="24"/>
  <c r="S134" i="24" s="1"/>
  <c r="T134" i="24"/>
  <c r="R134" i="24" s="1"/>
  <c r="X134" i="24" s="1"/>
  <c r="U122" i="24"/>
  <c r="S122" i="24" s="1"/>
  <c r="T122" i="24"/>
  <c r="R122" i="24" s="1"/>
  <c r="X122" i="24" s="1"/>
  <c r="U110" i="24"/>
  <c r="S110" i="24" s="1"/>
  <c r="T110" i="24"/>
  <c r="R110" i="24" s="1"/>
  <c r="X110" i="24" s="1"/>
  <c r="U98" i="24"/>
  <c r="S98" i="24" s="1"/>
  <c r="T98" i="24"/>
  <c r="R98" i="24" s="1"/>
  <c r="X98" i="24" s="1"/>
  <c r="U86" i="24"/>
  <c r="S86" i="24" s="1"/>
  <c r="T86" i="24"/>
  <c r="R86" i="24" s="1"/>
  <c r="X86" i="24" s="1"/>
  <c r="U74" i="24"/>
  <c r="S74" i="24" s="1"/>
  <c r="T74" i="24"/>
  <c r="R74" i="24" s="1"/>
  <c r="X74" i="24" s="1"/>
  <c r="U62" i="24"/>
  <c r="S62" i="24" s="1"/>
  <c r="T62" i="24"/>
  <c r="R62" i="24" s="1"/>
  <c r="X62" i="24" s="1"/>
  <c r="U50" i="24"/>
  <c r="S50" i="24" s="1"/>
  <c r="T50" i="24"/>
  <c r="R50" i="24" s="1"/>
  <c r="X50" i="24" s="1"/>
  <c r="U38" i="24"/>
  <c r="S38" i="24" s="1"/>
  <c r="T38" i="24"/>
  <c r="R38" i="24" s="1"/>
  <c r="X38" i="24" s="1"/>
  <c r="U26" i="24"/>
  <c r="S26" i="24" s="1"/>
  <c r="T26" i="24"/>
  <c r="R26" i="24" s="1"/>
  <c r="X26" i="24" s="1"/>
  <c r="U14" i="24"/>
  <c r="S14" i="24" s="1"/>
  <c r="T14" i="24"/>
  <c r="R14" i="24" s="1"/>
  <c r="X14" i="24" s="1"/>
  <c r="P29" i="24"/>
  <c r="P183" i="24"/>
  <c r="P27" i="24"/>
  <c r="P164" i="24"/>
  <c r="P40" i="24"/>
  <c r="P37" i="24"/>
  <c r="P175" i="24"/>
  <c r="P163" i="24"/>
  <c r="P151" i="24"/>
  <c r="P139" i="24"/>
  <c r="P127" i="24"/>
  <c r="P115" i="24"/>
  <c r="P103" i="24"/>
  <c r="P91" i="24"/>
  <c r="P67" i="24"/>
  <c r="P55" i="24"/>
  <c r="P43" i="24"/>
  <c r="P31" i="24"/>
  <c r="P19" i="24"/>
  <c r="P145" i="24"/>
  <c r="P25" i="24"/>
  <c r="P126" i="24"/>
  <c r="P24" i="24"/>
  <c r="P111" i="24"/>
  <c r="P15" i="24"/>
  <c r="P96" i="24"/>
  <c r="P14" i="24"/>
  <c r="P81" i="24"/>
  <c r="P11" i="24"/>
  <c r="P65" i="24"/>
  <c r="P54" i="24"/>
  <c r="P51" i="24"/>
  <c r="P182" i="24"/>
  <c r="P161" i="24"/>
  <c r="P144" i="24"/>
  <c r="P125" i="24"/>
  <c r="P110" i="24"/>
  <c r="P95" i="24"/>
  <c r="P80" i="24"/>
  <c r="P64" i="24"/>
  <c r="P50" i="24"/>
  <c r="P36" i="24"/>
  <c r="P23" i="24"/>
  <c r="P10" i="24"/>
  <c r="P162" i="24"/>
  <c r="P150" i="24"/>
  <c r="P102" i="24"/>
  <c r="P180" i="24"/>
  <c r="P160" i="24"/>
  <c r="P141" i="24"/>
  <c r="P124" i="24"/>
  <c r="P109" i="24"/>
  <c r="P94" i="24"/>
  <c r="P78" i="24"/>
  <c r="P63" i="24"/>
  <c r="P49" i="24"/>
  <c r="P35" i="24"/>
  <c r="P22" i="24"/>
  <c r="P9" i="24"/>
  <c r="P149" i="24"/>
  <c r="P89" i="24"/>
  <c r="P179" i="24"/>
  <c r="P159" i="24"/>
  <c r="P140" i="24"/>
  <c r="P122" i="24"/>
  <c r="P108" i="24"/>
  <c r="P93" i="24"/>
  <c r="P77" i="24"/>
  <c r="P62" i="24"/>
  <c r="P48" i="24"/>
  <c r="P34" i="24"/>
  <c r="P21" i="24"/>
  <c r="P8" i="24"/>
  <c r="P136" i="24"/>
  <c r="P76" i="24"/>
  <c r="P174" i="24"/>
  <c r="P158" i="24"/>
  <c r="P138" i="24"/>
  <c r="P121" i="24"/>
  <c r="P107" i="24"/>
  <c r="P92" i="24"/>
  <c r="P75" i="24"/>
  <c r="P61" i="24"/>
  <c r="P47" i="24"/>
  <c r="P33" i="24"/>
  <c r="P20" i="24"/>
  <c r="P123" i="24"/>
  <c r="P173" i="24"/>
  <c r="P157" i="24"/>
  <c r="P137" i="24"/>
  <c r="P120" i="24"/>
  <c r="P106" i="24"/>
  <c r="P90" i="24"/>
  <c r="P74" i="24"/>
  <c r="P60" i="24"/>
  <c r="P46" i="24"/>
  <c r="P32" i="24"/>
  <c r="P18" i="24"/>
  <c r="P172" i="24"/>
  <c r="P154" i="24"/>
  <c r="P135" i="24"/>
  <c r="P119" i="24"/>
  <c r="P105" i="24"/>
  <c r="P88" i="24"/>
  <c r="P73" i="24"/>
  <c r="P59" i="24"/>
  <c r="P44" i="24"/>
  <c r="P30" i="24"/>
  <c r="P17" i="24"/>
  <c r="P181" i="24"/>
  <c r="P169" i="24"/>
  <c r="P97" i="24"/>
  <c r="P171" i="24"/>
  <c r="P153" i="24"/>
  <c r="P134" i="24"/>
  <c r="P118" i="24"/>
  <c r="P104" i="24"/>
  <c r="P87" i="24"/>
  <c r="P72" i="24"/>
  <c r="P57" i="24"/>
  <c r="P42" i="24"/>
  <c r="P16" i="24"/>
  <c r="P168" i="24"/>
  <c r="P156" i="24"/>
  <c r="P84" i="24"/>
  <c r="P170" i="24"/>
  <c r="P152" i="24"/>
  <c r="P133" i="24"/>
  <c r="P117" i="24"/>
  <c r="P101" i="24"/>
  <c r="P86" i="24"/>
  <c r="P70" i="24"/>
  <c r="P56" i="24"/>
  <c r="P41" i="24"/>
  <c r="P28" i="24"/>
  <c r="P155" i="24"/>
  <c r="P143" i="24"/>
  <c r="P71" i="24"/>
  <c r="P167" i="24"/>
  <c r="P148" i="24"/>
  <c r="P132" i="24"/>
  <c r="P114" i="24"/>
  <c r="P100" i="24"/>
  <c r="P85" i="24"/>
  <c r="P69" i="24"/>
  <c r="P178" i="24"/>
  <c r="P142" i="24"/>
  <c r="P130" i="24"/>
  <c r="P58" i="24"/>
  <c r="P79" i="24"/>
  <c r="P166" i="24"/>
  <c r="P147" i="24"/>
  <c r="P131" i="24"/>
  <c r="P113" i="24"/>
  <c r="P99" i="24"/>
  <c r="P83" i="24"/>
  <c r="P68" i="24"/>
  <c r="P53" i="24"/>
  <c r="P39" i="24"/>
  <c r="P26" i="24"/>
  <c r="P13" i="24"/>
  <c r="P177" i="24"/>
  <c r="P129" i="24"/>
  <c r="P45" i="24"/>
  <c r="P184" i="24"/>
  <c r="P165" i="24"/>
  <c r="P146" i="24"/>
  <c r="P128" i="24"/>
  <c r="P112" i="24"/>
  <c r="P98" i="24"/>
  <c r="P82" i="24"/>
  <c r="P66" i="24"/>
  <c r="P52" i="24"/>
  <c r="P38" i="24"/>
  <c r="P12" i="24"/>
  <c r="P176" i="24"/>
  <c r="P116" i="24"/>
  <c r="T185" i="23"/>
  <c r="U185" i="23" s="1"/>
  <c r="T186" i="23"/>
  <c r="U186" i="23" s="1"/>
  <c r="T187" i="23"/>
  <c r="U187" i="23" s="1"/>
  <c r="T188" i="23"/>
  <c r="U188" i="23" s="1"/>
  <c r="T189" i="23"/>
  <c r="T190" i="23"/>
  <c r="T191" i="23"/>
  <c r="T192" i="23"/>
  <c r="T193" i="23"/>
  <c r="U193" i="23" s="1"/>
  <c r="T194" i="23"/>
  <c r="T195" i="23"/>
  <c r="T196" i="23"/>
  <c r="T197" i="23"/>
  <c r="U197" i="23" s="1"/>
  <c r="T198" i="23"/>
  <c r="U198" i="23" s="1"/>
  <c r="T199" i="23"/>
  <c r="U199" i="23" s="1"/>
  <c r="T200" i="23"/>
  <c r="U200" i="23" s="1"/>
  <c r="T201" i="23"/>
  <c r="T202" i="23"/>
  <c r="T203" i="23"/>
  <c r="T204" i="23"/>
  <c r="T205" i="23"/>
  <c r="U205" i="23" s="1"/>
  <c r="T206" i="23"/>
  <c r="T207" i="23"/>
  <c r="T208" i="23"/>
  <c r="T209" i="23"/>
  <c r="U209" i="23" s="1"/>
  <c r="T210" i="23"/>
  <c r="U210" i="23" s="1"/>
  <c r="T211" i="23"/>
  <c r="U211" i="23" s="1"/>
  <c r="T212" i="23"/>
  <c r="U212" i="23" s="1"/>
  <c r="T213" i="23"/>
  <c r="T214" i="23"/>
  <c r="T215" i="23"/>
  <c r="T216" i="23"/>
  <c r="T217" i="23"/>
  <c r="U217" i="23" s="1"/>
  <c r="T218" i="23"/>
  <c r="T219" i="23"/>
  <c r="T220" i="23"/>
  <c r="T221" i="23"/>
  <c r="U221" i="23" s="1"/>
  <c r="T222" i="23"/>
  <c r="U222" i="23" s="1"/>
  <c r="T223" i="23"/>
  <c r="U223" i="23" s="1"/>
  <c r="T224" i="23"/>
  <c r="U224" i="23" s="1"/>
  <c r="T225" i="23"/>
  <c r="T226" i="23"/>
  <c r="T227" i="23"/>
  <c r="T228" i="23"/>
  <c r="T229" i="23"/>
  <c r="U229" i="23" s="1"/>
  <c r="T230" i="23"/>
  <c r="T231" i="23"/>
  <c r="T232" i="23"/>
  <c r="T233" i="23"/>
  <c r="T234" i="23"/>
  <c r="T235" i="23"/>
  <c r="T236" i="23"/>
  <c r="U236" i="23" s="1"/>
  <c r="T237" i="23"/>
  <c r="T238" i="23"/>
  <c r="T239" i="23"/>
  <c r="T240" i="23"/>
  <c r="T241" i="23"/>
  <c r="T242" i="23"/>
  <c r="T243" i="23"/>
  <c r="T244" i="23"/>
  <c r="T245" i="23"/>
  <c r="T246" i="23"/>
  <c r="T247" i="23"/>
  <c r="U247" i="23" s="1"/>
  <c r="T248" i="23"/>
  <c r="U248" i="23" s="1"/>
  <c r="T249" i="23"/>
  <c r="T250" i="23"/>
  <c r="T251" i="23"/>
  <c r="T252" i="23"/>
  <c r="T253" i="23"/>
  <c r="T254" i="23"/>
  <c r="T255" i="23"/>
  <c r="T256" i="23"/>
  <c r="T257" i="23"/>
  <c r="U257" i="23" s="1"/>
  <c r="T258" i="23"/>
  <c r="U258" i="23" s="1"/>
  <c r="T259" i="23"/>
  <c r="U259" i="23" s="1"/>
  <c r="T260" i="23"/>
  <c r="U260" i="23" s="1"/>
  <c r="T261" i="23"/>
  <c r="T262" i="23"/>
  <c r="T263" i="23"/>
  <c r="T264" i="23"/>
  <c r="T265" i="23"/>
  <c r="U265" i="23" s="1"/>
  <c r="T266" i="23"/>
  <c r="T267" i="23"/>
  <c r="T268" i="23"/>
  <c r="T269" i="23"/>
  <c r="T270" i="23"/>
  <c r="T271" i="23"/>
  <c r="T272" i="23"/>
  <c r="U272" i="23" s="1"/>
  <c r="T273" i="23"/>
  <c r="T274" i="23"/>
  <c r="T275" i="23"/>
  <c r="T276" i="23"/>
  <c r="T277" i="23"/>
  <c r="U277" i="23" s="1"/>
  <c r="T278" i="23"/>
  <c r="T279" i="23"/>
  <c r="T280" i="23"/>
  <c r="T281" i="23"/>
  <c r="U281" i="23" s="1"/>
  <c r="BR8" i="24"/>
  <c r="BR9" i="24"/>
  <c r="BS9" i="24" s="1"/>
  <c r="BR10" i="24"/>
  <c r="BR11" i="24"/>
  <c r="BR12" i="24"/>
  <c r="BR13" i="24"/>
  <c r="BR14" i="24"/>
  <c r="BT14" i="24" s="1"/>
  <c r="BR15" i="24"/>
  <c r="BS15" i="24" s="1"/>
  <c r="BR16" i="24"/>
  <c r="BS16" i="24" s="1"/>
  <c r="BR17" i="24"/>
  <c r="BS17" i="24" s="1"/>
  <c r="BR18" i="24"/>
  <c r="BR19" i="24"/>
  <c r="BT19" i="24" s="1"/>
  <c r="BR20" i="24"/>
  <c r="BS20" i="24" s="1"/>
  <c r="BR21" i="24"/>
  <c r="BT21" i="24" s="1"/>
  <c r="BR22" i="24"/>
  <c r="BS22" i="24" s="1"/>
  <c r="BR23" i="24"/>
  <c r="BT23" i="24" s="1"/>
  <c r="BR24" i="24"/>
  <c r="BR25" i="24"/>
  <c r="BR26" i="24"/>
  <c r="BS26" i="24" s="1"/>
  <c r="BR27" i="24"/>
  <c r="BT27" i="24" s="1"/>
  <c r="BR28" i="24"/>
  <c r="BT28" i="24" s="1"/>
  <c r="BR29" i="24"/>
  <c r="BT29" i="24" s="1"/>
  <c r="BR30" i="24"/>
  <c r="BS30" i="24" s="1"/>
  <c r="BR31" i="24"/>
  <c r="BT31" i="24" s="1"/>
  <c r="BR32" i="24"/>
  <c r="BS32" i="24" s="1"/>
  <c r="BR33" i="24"/>
  <c r="BT33" i="24" s="1"/>
  <c r="BR34" i="24"/>
  <c r="BT34" i="24" s="1"/>
  <c r="BR35" i="24"/>
  <c r="BT35" i="24" s="1"/>
  <c r="BR36" i="24"/>
  <c r="BR37" i="24"/>
  <c r="BR38" i="24"/>
  <c r="BR39" i="24"/>
  <c r="BT39" i="24" s="1"/>
  <c r="BR40" i="24"/>
  <c r="BT40" i="24" s="1"/>
  <c r="BR41" i="24"/>
  <c r="BS41" i="24" s="1"/>
  <c r="BR42" i="24"/>
  <c r="BS42" i="24" s="1"/>
  <c r="BR43" i="24"/>
  <c r="BS43" i="24" s="1"/>
  <c r="BR44" i="24"/>
  <c r="BT44" i="24" s="1"/>
  <c r="BR45" i="24"/>
  <c r="BS45" i="24" s="1"/>
  <c r="BR46" i="24"/>
  <c r="BT46" i="24" s="1"/>
  <c r="BR47" i="24"/>
  <c r="BT47" i="24" s="1"/>
  <c r="BR48" i="24"/>
  <c r="BR49" i="24"/>
  <c r="BT49" i="24" s="1"/>
  <c r="BR50" i="24"/>
  <c r="BT50" i="24" s="1"/>
  <c r="BR51" i="24"/>
  <c r="BT51" i="24" s="1"/>
  <c r="BR52" i="24"/>
  <c r="BT52" i="24" s="1"/>
  <c r="BR53" i="24"/>
  <c r="BS53" i="24" s="1"/>
  <c r="BR54" i="24"/>
  <c r="BS54" i="24" s="1"/>
  <c r="BR55" i="24"/>
  <c r="BT55" i="24" s="1"/>
  <c r="BR56" i="24"/>
  <c r="BS56" i="24" s="1"/>
  <c r="BR57" i="24"/>
  <c r="BS57" i="24" s="1"/>
  <c r="BR58" i="24"/>
  <c r="BT58" i="24" s="1"/>
  <c r="BR59" i="24"/>
  <c r="BS59" i="24" s="1"/>
  <c r="BR60" i="24"/>
  <c r="BR61" i="24"/>
  <c r="BS61" i="24" s="1"/>
  <c r="BR62" i="24"/>
  <c r="BR63" i="24"/>
  <c r="BR64" i="24"/>
  <c r="BR65" i="24"/>
  <c r="BR66" i="24"/>
  <c r="BR67" i="24"/>
  <c r="BR68" i="24"/>
  <c r="BR69" i="24"/>
  <c r="BR70" i="24"/>
  <c r="BR71" i="24"/>
  <c r="BR72" i="24"/>
  <c r="BR73" i="24"/>
  <c r="BR74" i="24"/>
  <c r="BR75" i="24"/>
  <c r="BR76" i="24"/>
  <c r="BR77" i="24"/>
  <c r="BR78" i="24"/>
  <c r="BR79" i="24"/>
  <c r="BR80" i="24"/>
  <c r="BR81" i="24"/>
  <c r="BR82" i="24"/>
  <c r="BR83" i="24"/>
  <c r="BR84" i="24"/>
  <c r="BR85" i="24"/>
  <c r="BR86" i="24"/>
  <c r="BR87" i="24"/>
  <c r="BR88" i="24"/>
  <c r="BR89" i="24"/>
  <c r="BR90" i="24"/>
  <c r="BR91" i="24"/>
  <c r="BR92" i="24"/>
  <c r="BR93" i="24"/>
  <c r="BR94" i="24"/>
  <c r="BR95" i="24"/>
  <c r="BR96" i="24"/>
  <c r="BR97" i="24"/>
  <c r="BR98" i="24"/>
  <c r="BR99" i="24"/>
  <c r="BR100" i="24"/>
  <c r="BR101" i="24"/>
  <c r="BR102" i="24"/>
  <c r="BR103" i="24"/>
  <c r="BR104" i="24"/>
  <c r="BR105" i="24"/>
  <c r="BR106" i="24"/>
  <c r="BR107" i="24"/>
  <c r="BR108" i="24"/>
  <c r="BR109" i="24"/>
  <c r="BR110" i="24"/>
  <c r="BR111" i="24"/>
  <c r="BR112" i="24"/>
  <c r="BR113" i="24"/>
  <c r="BR114" i="24"/>
  <c r="BR115" i="24"/>
  <c r="BR116" i="24"/>
  <c r="BR117" i="24"/>
  <c r="BR118" i="24"/>
  <c r="BR119" i="24"/>
  <c r="BR120" i="24"/>
  <c r="BR121" i="24"/>
  <c r="BR122" i="24"/>
  <c r="BR123" i="24"/>
  <c r="BR124" i="24"/>
  <c r="BR125" i="24"/>
  <c r="BR126" i="24"/>
  <c r="BR127" i="24"/>
  <c r="BT127" i="24" s="1"/>
  <c r="BR128" i="24"/>
  <c r="BR129" i="24"/>
  <c r="BR130" i="24"/>
  <c r="BR131" i="24"/>
  <c r="BR132" i="24"/>
  <c r="BR133" i="24"/>
  <c r="BR134" i="24"/>
  <c r="BR135" i="24"/>
  <c r="BR136" i="24"/>
  <c r="BR137" i="24"/>
  <c r="BR138" i="24"/>
  <c r="BR139" i="24"/>
  <c r="BR140" i="24"/>
  <c r="BR141" i="24"/>
  <c r="BR142" i="24"/>
  <c r="BR143" i="24"/>
  <c r="BR144" i="24"/>
  <c r="BR145" i="24"/>
  <c r="BR146" i="24"/>
  <c r="BR147" i="24"/>
  <c r="BR148" i="24"/>
  <c r="BR149" i="24"/>
  <c r="BR150" i="24"/>
  <c r="BR151" i="24"/>
  <c r="BR152" i="24"/>
  <c r="BR153" i="24"/>
  <c r="BR154" i="24"/>
  <c r="BR155" i="24"/>
  <c r="BR156" i="24"/>
  <c r="BR157" i="24"/>
  <c r="BR158" i="24"/>
  <c r="BR159" i="24"/>
  <c r="BR160" i="24"/>
  <c r="BR161" i="24"/>
  <c r="BR162" i="24"/>
  <c r="BR163" i="24"/>
  <c r="BR164" i="24"/>
  <c r="BR165" i="24"/>
  <c r="BR166" i="24"/>
  <c r="BR167" i="24"/>
  <c r="BR168" i="24"/>
  <c r="BR169" i="24"/>
  <c r="BR170" i="24"/>
  <c r="BR171" i="24"/>
  <c r="BR172" i="24"/>
  <c r="BR173" i="24"/>
  <c r="BR174" i="24"/>
  <c r="BR175" i="24"/>
  <c r="BR176" i="24"/>
  <c r="BR177" i="24"/>
  <c r="BR178" i="24"/>
  <c r="BR179" i="24"/>
  <c r="BR180" i="24"/>
  <c r="BR181" i="24"/>
  <c r="BR182" i="24"/>
  <c r="BR183" i="24"/>
  <c r="BR184" i="24"/>
  <c r="AW8" i="24"/>
  <c r="AW9" i="24"/>
  <c r="AW10" i="24"/>
  <c r="AW11" i="24"/>
  <c r="AW12" i="24"/>
  <c r="AW13" i="24"/>
  <c r="AX13" i="24" s="1"/>
  <c r="AW14" i="24"/>
  <c r="AW15" i="24"/>
  <c r="AW16" i="24"/>
  <c r="AW17" i="24"/>
  <c r="AW18" i="24"/>
  <c r="AX18" i="24" s="1"/>
  <c r="AW19" i="24"/>
  <c r="AW20" i="24"/>
  <c r="AW21" i="24"/>
  <c r="AW22" i="24"/>
  <c r="AW23" i="24"/>
  <c r="AW24" i="24"/>
  <c r="AW25" i="24"/>
  <c r="AW26" i="24"/>
  <c r="AW27" i="24"/>
  <c r="AW28" i="24"/>
  <c r="AX28" i="24" s="1"/>
  <c r="AW29" i="24"/>
  <c r="AX29" i="24" s="1"/>
  <c r="AW30" i="24"/>
  <c r="AY30" i="24" s="1"/>
  <c r="AW31" i="24"/>
  <c r="AW32" i="24"/>
  <c r="AW33" i="24"/>
  <c r="AW34" i="24"/>
  <c r="AW35" i="24"/>
  <c r="AW36" i="24"/>
  <c r="AW37" i="24"/>
  <c r="AY37" i="24" s="1"/>
  <c r="AW38" i="24"/>
  <c r="AW39" i="24"/>
  <c r="AW40" i="24"/>
  <c r="AW41" i="24"/>
  <c r="AX41" i="24" s="1"/>
  <c r="AW42" i="24"/>
  <c r="AW43" i="24"/>
  <c r="AW44" i="24"/>
  <c r="AW45" i="24"/>
  <c r="AW46" i="24"/>
  <c r="AW47" i="24"/>
  <c r="AW48" i="24"/>
  <c r="AX48" i="24" s="1"/>
  <c r="AW49" i="24"/>
  <c r="AY49" i="24" s="1"/>
  <c r="AW50" i="24"/>
  <c r="AW51" i="24"/>
  <c r="AW52" i="24"/>
  <c r="AW53" i="24"/>
  <c r="AW54" i="24"/>
  <c r="AX54" i="24" s="1"/>
  <c r="AW55" i="24"/>
  <c r="AW56" i="24"/>
  <c r="AW57" i="24"/>
  <c r="AW58" i="24"/>
  <c r="AW59" i="24"/>
  <c r="AY59" i="24" s="1"/>
  <c r="AW60" i="24"/>
  <c r="AY60" i="24" s="1"/>
  <c r="AW61" i="24"/>
  <c r="AW62" i="24"/>
  <c r="AY62" i="24" s="1"/>
  <c r="AW63" i="24"/>
  <c r="AW64" i="24"/>
  <c r="AW65" i="24"/>
  <c r="AW66" i="24"/>
  <c r="AW67" i="24"/>
  <c r="AW68" i="24"/>
  <c r="AW69" i="24"/>
  <c r="AW70" i="24"/>
  <c r="AW71" i="24"/>
  <c r="AW72" i="24"/>
  <c r="AW73" i="24"/>
  <c r="AW74" i="24"/>
  <c r="AW75" i="24"/>
  <c r="AW76" i="24"/>
  <c r="AW77" i="24"/>
  <c r="AW78" i="24"/>
  <c r="AW79" i="24"/>
  <c r="AW80" i="24"/>
  <c r="AW81" i="24"/>
  <c r="AW82" i="24"/>
  <c r="AW83" i="24"/>
  <c r="AW84" i="24"/>
  <c r="AW85" i="24"/>
  <c r="AW86" i="24"/>
  <c r="AW87" i="24"/>
  <c r="AW88" i="24"/>
  <c r="AW89" i="24"/>
  <c r="AW90" i="24"/>
  <c r="AW91" i="24"/>
  <c r="AW92" i="24"/>
  <c r="AW93" i="24"/>
  <c r="AW94" i="24"/>
  <c r="AW95" i="24"/>
  <c r="AW96" i="24"/>
  <c r="AW97" i="24"/>
  <c r="AW98" i="24"/>
  <c r="AW99" i="24"/>
  <c r="AW100" i="24"/>
  <c r="AW101" i="24"/>
  <c r="AW102" i="24"/>
  <c r="AW103" i="24"/>
  <c r="AW104" i="24"/>
  <c r="AW105" i="24"/>
  <c r="AW106" i="24"/>
  <c r="AW107" i="24"/>
  <c r="AW108" i="24"/>
  <c r="AW109" i="24"/>
  <c r="AW110" i="24"/>
  <c r="AW111" i="24"/>
  <c r="AW112" i="24"/>
  <c r="AW113" i="24"/>
  <c r="AW114" i="24"/>
  <c r="AW115" i="24"/>
  <c r="AW116" i="24"/>
  <c r="AW117" i="24"/>
  <c r="AW118" i="24"/>
  <c r="AW119" i="24"/>
  <c r="AW120" i="24"/>
  <c r="AW121" i="24"/>
  <c r="AW122" i="24"/>
  <c r="AW123" i="24"/>
  <c r="AW124" i="24"/>
  <c r="AW125" i="24"/>
  <c r="AW126" i="24"/>
  <c r="AY126" i="24" s="1"/>
  <c r="AW127" i="24"/>
  <c r="AY127" i="24" s="1"/>
  <c r="AW128" i="24"/>
  <c r="AY128" i="24" s="1"/>
  <c r="AW129" i="24"/>
  <c r="AY129" i="24" s="1"/>
  <c r="AW130" i="24"/>
  <c r="AY130" i="24" s="1"/>
  <c r="AW131" i="24"/>
  <c r="AY131" i="24" s="1"/>
  <c r="AW132" i="24"/>
  <c r="AY132" i="24" s="1"/>
  <c r="AW133" i="24"/>
  <c r="AY133" i="24" s="1"/>
  <c r="AW134" i="24"/>
  <c r="AY134" i="24" s="1"/>
  <c r="AW135" i="24"/>
  <c r="AY135" i="24" s="1"/>
  <c r="AW136" i="24"/>
  <c r="AY136" i="24" s="1"/>
  <c r="AW137" i="24"/>
  <c r="AY137" i="24" s="1"/>
  <c r="AW138" i="24"/>
  <c r="AY138" i="24" s="1"/>
  <c r="AW139" i="24"/>
  <c r="AY139" i="24" s="1"/>
  <c r="AW140" i="24"/>
  <c r="AY140" i="24" s="1"/>
  <c r="AW141" i="24"/>
  <c r="AY141" i="24" s="1"/>
  <c r="AW142" i="24"/>
  <c r="AY142" i="24" s="1"/>
  <c r="AW143" i="24"/>
  <c r="AY143" i="24" s="1"/>
  <c r="AW144" i="24"/>
  <c r="AY144" i="24" s="1"/>
  <c r="AW145" i="24"/>
  <c r="AY145" i="24" s="1"/>
  <c r="AW146" i="24"/>
  <c r="AY146" i="24" s="1"/>
  <c r="AW147" i="24"/>
  <c r="AY147" i="24" s="1"/>
  <c r="AW148" i="24"/>
  <c r="AY148" i="24" s="1"/>
  <c r="AW149" i="24"/>
  <c r="AY149" i="24" s="1"/>
  <c r="AW150" i="24"/>
  <c r="AY150" i="24" s="1"/>
  <c r="AW151" i="24"/>
  <c r="AY151" i="24" s="1"/>
  <c r="AW152" i="24"/>
  <c r="AY152" i="24" s="1"/>
  <c r="AW153" i="24"/>
  <c r="AY153" i="24" s="1"/>
  <c r="AW154" i="24"/>
  <c r="AY154" i="24" s="1"/>
  <c r="AW155" i="24"/>
  <c r="AY155" i="24" s="1"/>
  <c r="AW156" i="24"/>
  <c r="AY156" i="24" s="1"/>
  <c r="AW157" i="24"/>
  <c r="AY157" i="24" s="1"/>
  <c r="AW158" i="24"/>
  <c r="AY158" i="24" s="1"/>
  <c r="AW159" i="24"/>
  <c r="AY159" i="24" s="1"/>
  <c r="AW160" i="24"/>
  <c r="AY160" i="24" s="1"/>
  <c r="AW161" i="24"/>
  <c r="AY161" i="24" s="1"/>
  <c r="AW162" i="24"/>
  <c r="AY162" i="24" s="1"/>
  <c r="AW163" i="24"/>
  <c r="AY163" i="24" s="1"/>
  <c r="AW164" i="24"/>
  <c r="AY164" i="24" s="1"/>
  <c r="AW165" i="24"/>
  <c r="AY165" i="24" s="1"/>
  <c r="AW166" i="24"/>
  <c r="AY166" i="24" s="1"/>
  <c r="AW167" i="24"/>
  <c r="AY167" i="24" s="1"/>
  <c r="AW168" i="24"/>
  <c r="AY168" i="24" s="1"/>
  <c r="AW169" i="24"/>
  <c r="AY169" i="24" s="1"/>
  <c r="AW170" i="24"/>
  <c r="AY170" i="24" s="1"/>
  <c r="AW171" i="24"/>
  <c r="AY171" i="24" s="1"/>
  <c r="AW172" i="24"/>
  <c r="AY172" i="24" s="1"/>
  <c r="AW173" i="24"/>
  <c r="AY173" i="24" s="1"/>
  <c r="AW174" i="24"/>
  <c r="AY174" i="24" s="1"/>
  <c r="AW175" i="24"/>
  <c r="AY175" i="24" s="1"/>
  <c r="AW176" i="24"/>
  <c r="AY176" i="24" s="1"/>
  <c r="AW177" i="24"/>
  <c r="AY177" i="24" s="1"/>
  <c r="AW178" i="24"/>
  <c r="AY178" i="24" s="1"/>
  <c r="AW179" i="24"/>
  <c r="AY179" i="24" s="1"/>
  <c r="AW180" i="24"/>
  <c r="AY180" i="24" s="1"/>
  <c r="AW181" i="24"/>
  <c r="AY181" i="24" s="1"/>
  <c r="AW182" i="24"/>
  <c r="AY182" i="24" s="1"/>
  <c r="AW183" i="24"/>
  <c r="AY183" i="24" s="1"/>
  <c r="AW184" i="24"/>
  <c r="AY184" i="24" s="1"/>
  <c r="Z8" i="24"/>
  <c r="Z9" i="24"/>
  <c r="Z10" i="24"/>
  <c r="Z11" i="24"/>
  <c r="Z12" i="24"/>
  <c r="Z13" i="24"/>
  <c r="Z14" i="24"/>
  <c r="Z15" i="24"/>
  <c r="Z16" i="24"/>
  <c r="Z17" i="24"/>
  <c r="Z18" i="24"/>
  <c r="Z19" i="24"/>
  <c r="Z20" i="24"/>
  <c r="Z21" i="24"/>
  <c r="Z22" i="24"/>
  <c r="Z23" i="24"/>
  <c r="Z24" i="24"/>
  <c r="Z25" i="24"/>
  <c r="Z26" i="24"/>
  <c r="Z27" i="24"/>
  <c r="Z28" i="24"/>
  <c r="Z29" i="24"/>
  <c r="Z30" i="24"/>
  <c r="Z31" i="24"/>
  <c r="Z32" i="24"/>
  <c r="Z33" i="24"/>
  <c r="Z34" i="24"/>
  <c r="Z35" i="24"/>
  <c r="Z36" i="24"/>
  <c r="Z37" i="24"/>
  <c r="Z38" i="24"/>
  <c r="Z39" i="24"/>
  <c r="Z40" i="24"/>
  <c r="Z41" i="24"/>
  <c r="Z42" i="24"/>
  <c r="Z43" i="24"/>
  <c r="Z44" i="24"/>
  <c r="Z45" i="24"/>
  <c r="Z46" i="24"/>
  <c r="Z47" i="24"/>
  <c r="Z48" i="24"/>
  <c r="Z49" i="24"/>
  <c r="Z50" i="24"/>
  <c r="Z51" i="24"/>
  <c r="Z52" i="24"/>
  <c r="Z53" i="24"/>
  <c r="Z54" i="24"/>
  <c r="Z55" i="24"/>
  <c r="Z56" i="24"/>
  <c r="Z57" i="24"/>
  <c r="Z58" i="24"/>
  <c r="Z59" i="24"/>
  <c r="Z60" i="24"/>
  <c r="Z61" i="24"/>
  <c r="Z62" i="24"/>
  <c r="Z63" i="24"/>
  <c r="Z64" i="24"/>
  <c r="Z65" i="24"/>
  <c r="Z66" i="24"/>
  <c r="Z67" i="24"/>
  <c r="Z68" i="24"/>
  <c r="Z69" i="24"/>
  <c r="Z70" i="24"/>
  <c r="Z71" i="24"/>
  <c r="Z72" i="24"/>
  <c r="Z73" i="24"/>
  <c r="Z74" i="24"/>
  <c r="Z75" i="24"/>
  <c r="Z76" i="24"/>
  <c r="Z77" i="24"/>
  <c r="Z78" i="24"/>
  <c r="Z79" i="24"/>
  <c r="Z80" i="24"/>
  <c r="Z81" i="24"/>
  <c r="Z82" i="24"/>
  <c r="Z83" i="24"/>
  <c r="Z84" i="24"/>
  <c r="Z85" i="24"/>
  <c r="Z86" i="24"/>
  <c r="Z87" i="24"/>
  <c r="Z88" i="24"/>
  <c r="Z89" i="24"/>
  <c r="Z90" i="24"/>
  <c r="Z91" i="24"/>
  <c r="Z92" i="24"/>
  <c r="Z93" i="24"/>
  <c r="Z94" i="24"/>
  <c r="Z95" i="24"/>
  <c r="Z96" i="24"/>
  <c r="Z97" i="24"/>
  <c r="Z98" i="24"/>
  <c r="Z99" i="24"/>
  <c r="Z100" i="24"/>
  <c r="Z101" i="24"/>
  <c r="Z102" i="24"/>
  <c r="Z103" i="24"/>
  <c r="Z104" i="24"/>
  <c r="Z105" i="24"/>
  <c r="Z106" i="24"/>
  <c r="Z107" i="24"/>
  <c r="Z108" i="24"/>
  <c r="Z109" i="24"/>
  <c r="Z110" i="24"/>
  <c r="Z111" i="24"/>
  <c r="Z112" i="24"/>
  <c r="Z113" i="24"/>
  <c r="Z114" i="24"/>
  <c r="Z115" i="24"/>
  <c r="Z116" i="24"/>
  <c r="Z117" i="24"/>
  <c r="Z118" i="24"/>
  <c r="Z119" i="24"/>
  <c r="Z120" i="24"/>
  <c r="Z121" i="24"/>
  <c r="Z122" i="24"/>
  <c r="Z123" i="24"/>
  <c r="Z124" i="24"/>
  <c r="Z125" i="24"/>
  <c r="Z126" i="24"/>
  <c r="Z127" i="24"/>
  <c r="Z128" i="24"/>
  <c r="Z129" i="24"/>
  <c r="Z130" i="24"/>
  <c r="Z131" i="24"/>
  <c r="Z132" i="24"/>
  <c r="Z133" i="24"/>
  <c r="Z134" i="24"/>
  <c r="Z135" i="24"/>
  <c r="Z136" i="24"/>
  <c r="Z137" i="24"/>
  <c r="Z138" i="24"/>
  <c r="Z139" i="24"/>
  <c r="Z140" i="24"/>
  <c r="Z141" i="24"/>
  <c r="Z142" i="24"/>
  <c r="Z143" i="24"/>
  <c r="Z144" i="24"/>
  <c r="Z145" i="24"/>
  <c r="Z146" i="24"/>
  <c r="Z147" i="24"/>
  <c r="Z148" i="24"/>
  <c r="Z149" i="24"/>
  <c r="Z150" i="24"/>
  <c r="Z151" i="24"/>
  <c r="Z152" i="24"/>
  <c r="Z153" i="24"/>
  <c r="Z154" i="24"/>
  <c r="Z155" i="24"/>
  <c r="Z156" i="24"/>
  <c r="Z157" i="24"/>
  <c r="Z158" i="24"/>
  <c r="Z159" i="24"/>
  <c r="Z160" i="24"/>
  <c r="Z161" i="24"/>
  <c r="Z162" i="24"/>
  <c r="Z163" i="24"/>
  <c r="Z164" i="24"/>
  <c r="Z165" i="24"/>
  <c r="Z166" i="24"/>
  <c r="Z167" i="24"/>
  <c r="Z168" i="24"/>
  <c r="Z169" i="24"/>
  <c r="Z170" i="24"/>
  <c r="Z171" i="24"/>
  <c r="Z172" i="24"/>
  <c r="Z173" i="24"/>
  <c r="Z174" i="24"/>
  <c r="Z175" i="24"/>
  <c r="Z176" i="24"/>
  <c r="Z177" i="24"/>
  <c r="Z178" i="24"/>
  <c r="Z179" i="24"/>
  <c r="Z180" i="24"/>
  <c r="Z181" i="24"/>
  <c r="Z182" i="24"/>
  <c r="Z183" i="24"/>
  <c r="Z184" i="24"/>
  <c r="G19" i="24"/>
  <c r="D61" i="24"/>
  <c r="D30" i="24"/>
  <c r="D31" i="24"/>
  <c r="D32" i="24"/>
  <c r="D33" i="24"/>
  <c r="D34" i="24"/>
  <c r="D35" i="24"/>
  <c r="D36" i="24"/>
  <c r="D37" i="24"/>
  <c r="D38" i="24"/>
  <c r="D39" i="24"/>
  <c r="D40" i="24"/>
  <c r="D41" i="24"/>
  <c r="D42" i="24"/>
  <c r="D43" i="24"/>
  <c r="D44" i="24"/>
  <c r="D45" i="24"/>
  <c r="D46" i="24"/>
  <c r="D47" i="24"/>
  <c r="D48" i="24"/>
  <c r="D49" i="24"/>
  <c r="D50" i="24"/>
  <c r="D51" i="24"/>
  <c r="D52" i="24"/>
  <c r="D53" i="24"/>
  <c r="D54" i="24"/>
  <c r="D55" i="24"/>
  <c r="D56" i="24"/>
  <c r="D57" i="24"/>
  <c r="D58" i="24"/>
  <c r="D59" i="24"/>
  <c r="D60" i="24"/>
  <c r="D29" i="24"/>
  <c r="G8" i="24"/>
  <c r="G9" i="24"/>
  <c r="G10" i="24"/>
  <c r="G11" i="24"/>
  <c r="G12" i="24"/>
  <c r="G13" i="24"/>
  <c r="G14" i="24"/>
  <c r="G15" i="24"/>
  <c r="G16" i="24"/>
  <c r="G17" i="24"/>
  <c r="K8" i="24"/>
  <c r="K9" i="24"/>
  <c r="K11" i="24"/>
  <c r="K12" i="24"/>
  <c r="K13" i="24"/>
  <c r="K14" i="24"/>
  <c r="K15" i="24"/>
  <c r="K16" i="24"/>
  <c r="K10" i="24"/>
  <c r="K17" i="24"/>
  <c r="AJ8" i="24"/>
  <c r="AJ9" i="24"/>
  <c r="AJ10" i="24"/>
  <c r="AJ11" i="24"/>
  <c r="AJ12" i="24"/>
  <c r="AJ13" i="24"/>
  <c r="AJ14" i="24"/>
  <c r="AJ15" i="24"/>
  <c r="AJ16" i="24"/>
  <c r="AJ17" i="24"/>
  <c r="AK8" i="24"/>
  <c r="AL8" i="24" s="1"/>
  <c r="AK9" i="24"/>
  <c r="AL9" i="24" s="1"/>
  <c r="AK10" i="24"/>
  <c r="AL10" i="24" s="1"/>
  <c r="AK11" i="24"/>
  <c r="AL11" i="24" s="1"/>
  <c r="AK12" i="24"/>
  <c r="AL12" i="24" s="1"/>
  <c r="AK13" i="24"/>
  <c r="AL13" i="24" s="1"/>
  <c r="AK14" i="24"/>
  <c r="AL14" i="24" s="1"/>
  <c r="AK15" i="24"/>
  <c r="AL15" i="24" s="1"/>
  <c r="AK16" i="24"/>
  <c r="AL16" i="24" s="1"/>
  <c r="AK17" i="24"/>
  <c r="AX15" i="24"/>
  <c r="BE8" i="24"/>
  <c r="BE9" i="24"/>
  <c r="BE10" i="24"/>
  <c r="BE11" i="24"/>
  <c r="BE12" i="24"/>
  <c r="BE13" i="24"/>
  <c r="BE14" i="24"/>
  <c r="BE15" i="24"/>
  <c r="BE16" i="24"/>
  <c r="BE17" i="24"/>
  <c r="BF8" i="24"/>
  <c r="BJ8" i="24" s="1"/>
  <c r="BF9" i="24"/>
  <c r="BJ9" i="24" s="1"/>
  <c r="BF10" i="24"/>
  <c r="BJ10" i="24" s="1"/>
  <c r="BF11" i="24"/>
  <c r="BJ11" i="24" s="1"/>
  <c r="BF12" i="24"/>
  <c r="BJ12" i="24" s="1"/>
  <c r="BF13" i="24"/>
  <c r="BJ13" i="24" s="1"/>
  <c r="BF14" i="24"/>
  <c r="BJ14" i="24" s="1"/>
  <c r="BF15" i="24"/>
  <c r="BJ15" i="24" s="1"/>
  <c r="BF16" i="24"/>
  <c r="BJ16" i="24" s="1"/>
  <c r="BF17" i="24"/>
  <c r="BJ17" i="24" s="1"/>
  <c r="BS10" i="24"/>
  <c r="BS11" i="24"/>
  <c r="BS12" i="24"/>
  <c r="BT12" i="24"/>
  <c r="K18" i="24"/>
  <c r="AJ18" i="24"/>
  <c r="AK18" i="24"/>
  <c r="AL18" i="24" s="1"/>
  <c r="BE18" i="24"/>
  <c r="BF18" i="24"/>
  <c r="BJ18" i="24" s="1"/>
  <c r="G20" i="24"/>
  <c r="G21" i="24"/>
  <c r="G22" i="24"/>
  <c r="G23" i="24"/>
  <c r="G24" i="24"/>
  <c r="G25" i="24"/>
  <c r="G26" i="24"/>
  <c r="G27" i="24"/>
  <c r="K19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20" i="24"/>
  <c r="AJ19" i="24"/>
  <c r="AJ20" i="24"/>
  <c r="AJ21" i="24"/>
  <c r="AJ22" i="24"/>
  <c r="AJ23" i="24"/>
  <c r="AJ24" i="24"/>
  <c r="AJ25" i="24"/>
  <c r="AJ26" i="24"/>
  <c r="AJ27" i="24"/>
  <c r="AJ28" i="24"/>
  <c r="AJ29" i="24"/>
  <c r="AJ30" i="24"/>
  <c r="AJ31" i="24"/>
  <c r="AJ32" i="24"/>
  <c r="AJ33" i="24"/>
  <c r="AJ34" i="24"/>
  <c r="AJ35" i="24"/>
  <c r="AJ36" i="24"/>
  <c r="AJ37" i="24"/>
  <c r="AJ38" i="24"/>
  <c r="AJ39" i="24"/>
  <c r="AK19" i="24"/>
  <c r="AL19" i="24" s="1"/>
  <c r="AK20" i="24"/>
  <c r="AL20" i="24" s="1"/>
  <c r="AK21" i="24"/>
  <c r="AL21" i="24" s="1"/>
  <c r="AK22" i="24"/>
  <c r="AL22" i="24" s="1"/>
  <c r="AK23" i="24"/>
  <c r="AL23" i="24" s="1"/>
  <c r="AK24" i="24"/>
  <c r="AL24" i="24" s="1"/>
  <c r="AK25" i="24"/>
  <c r="AL25" i="24" s="1"/>
  <c r="AK26" i="24"/>
  <c r="AL26" i="24" s="1"/>
  <c r="AK27" i="24"/>
  <c r="AL27" i="24" s="1"/>
  <c r="AK28" i="24"/>
  <c r="AL28" i="24" s="1"/>
  <c r="AK29" i="24"/>
  <c r="AK30" i="24"/>
  <c r="AL30" i="24" s="1"/>
  <c r="AK31" i="24"/>
  <c r="AL31" i="24" s="1"/>
  <c r="AK32" i="24"/>
  <c r="AL32" i="24" s="1"/>
  <c r="AK33" i="24"/>
  <c r="AL33" i="24" s="1"/>
  <c r="AK34" i="24"/>
  <c r="AL34" i="24" s="1"/>
  <c r="AK35" i="24"/>
  <c r="AL35" i="24" s="1"/>
  <c r="AK36" i="24"/>
  <c r="AL36" i="24" s="1"/>
  <c r="AK37" i="24"/>
  <c r="AL37" i="24" s="1"/>
  <c r="AK38" i="24"/>
  <c r="AL38" i="24" s="1"/>
  <c r="AK39" i="24"/>
  <c r="AL39" i="24" s="1"/>
  <c r="BE19" i="24"/>
  <c r="BE20" i="24"/>
  <c r="BE21" i="24"/>
  <c r="BE22" i="24"/>
  <c r="BE23" i="24"/>
  <c r="BE24" i="24"/>
  <c r="BE25" i="24"/>
  <c r="BE26" i="24"/>
  <c r="BE27" i="24"/>
  <c r="BE28" i="24"/>
  <c r="BE29" i="24"/>
  <c r="BE30" i="24"/>
  <c r="BE31" i="24"/>
  <c r="BE32" i="24"/>
  <c r="BE33" i="24"/>
  <c r="BE34" i="24"/>
  <c r="BE35" i="24"/>
  <c r="BE36" i="24"/>
  <c r="BE37" i="24"/>
  <c r="BE38" i="24"/>
  <c r="BE39" i="24"/>
  <c r="BF19" i="24"/>
  <c r="BJ19" i="24" s="1"/>
  <c r="BF20" i="24"/>
  <c r="BJ20" i="24" s="1"/>
  <c r="BF21" i="24"/>
  <c r="BJ21" i="24" s="1"/>
  <c r="BF22" i="24"/>
  <c r="BJ22" i="24" s="1"/>
  <c r="BF23" i="24"/>
  <c r="BJ23" i="24" s="1"/>
  <c r="BF24" i="24"/>
  <c r="BJ24" i="24" s="1"/>
  <c r="BF25" i="24"/>
  <c r="BJ25" i="24" s="1"/>
  <c r="BF26" i="24"/>
  <c r="BJ26" i="24" s="1"/>
  <c r="BF27" i="24"/>
  <c r="BJ27" i="24" s="1"/>
  <c r="BF28" i="24"/>
  <c r="BJ28" i="24" s="1"/>
  <c r="BF29" i="24"/>
  <c r="BJ29" i="24" s="1"/>
  <c r="BF30" i="24"/>
  <c r="BJ30" i="24" s="1"/>
  <c r="BF31" i="24"/>
  <c r="BJ31" i="24" s="1"/>
  <c r="BF32" i="24"/>
  <c r="BJ32" i="24" s="1"/>
  <c r="BF33" i="24"/>
  <c r="BJ33" i="24" s="1"/>
  <c r="BF34" i="24"/>
  <c r="BJ34" i="24" s="1"/>
  <c r="BF35" i="24"/>
  <c r="BJ35" i="24" s="1"/>
  <c r="BF36" i="24"/>
  <c r="BJ36" i="24" s="1"/>
  <c r="BF37" i="24"/>
  <c r="BJ37" i="24" s="1"/>
  <c r="BF38" i="24"/>
  <c r="BJ38" i="24" s="1"/>
  <c r="BF39" i="24"/>
  <c r="BJ39" i="24" s="1"/>
  <c r="BT24" i="24"/>
  <c r="BT36" i="24"/>
  <c r="BS38" i="24"/>
  <c r="K40" i="24"/>
  <c r="K41" i="24"/>
  <c r="K43" i="24"/>
  <c r="K44" i="24"/>
  <c r="K45" i="24"/>
  <c r="K46" i="24"/>
  <c r="K47" i="24"/>
  <c r="K48" i="24"/>
  <c r="K50" i="24"/>
  <c r="K51" i="24"/>
  <c r="K52" i="24"/>
  <c r="K53" i="24"/>
  <c r="K54" i="24"/>
  <c r="K55" i="24"/>
  <c r="K56" i="24"/>
  <c r="K57" i="24"/>
  <c r="K58" i="24"/>
  <c r="K59" i="24"/>
  <c r="K42" i="24"/>
  <c r="K49" i="24"/>
  <c r="AJ40" i="24"/>
  <c r="AJ41" i="24"/>
  <c r="AJ42" i="24"/>
  <c r="AJ43" i="24"/>
  <c r="AJ44" i="24"/>
  <c r="AJ45" i="24"/>
  <c r="AJ46" i="24"/>
  <c r="AJ47" i="24"/>
  <c r="AJ48" i="24"/>
  <c r="AJ49" i="24"/>
  <c r="AJ50" i="24"/>
  <c r="AJ51" i="24"/>
  <c r="AJ52" i="24"/>
  <c r="AJ53" i="24"/>
  <c r="AJ54" i="24"/>
  <c r="AJ55" i="24"/>
  <c r="AJ56" i="24"/>
  <c r="AJ57" i="24"/>
  <c r="AJ58" i="24"/>
  <c r="AJ59" i="24"/>
  <c r="AK40" i="24"/>
  <c r="AL40" i="24" s="1"/>
  <c r="AK41" i="24"/>
  <c r="AK42" i="24"/>
  <c r="AL42" i="24" s="1"/>
  <c r="AK43" i="24"/>
  <c r="AL43" i="24" s="1"/>
  <c r="AK44" i="24"/>
  <c r="AL44" i="24" s="1"/>
  <c r="AK45" i="24"/>
  <c r="AL45" i="24" s="1"/>
  <c r="AK46" i="24"/>
  <c r="AL46" i="24" s="1"/>
  <c r="AK47" i="24"/>
  <c r="AL47" i="24" s="1"/>
  <c r="AK48" i="24"/>
  <c r="AL48" i="24" s="1"/>
  <c r="AK49" i="24"/>
  <c r="AL49" i="24" s="1"/>
  <c r="AK50" i="24"/>
  <c r="AL50" i="24" s="1"/>
  <c r="AK51" i="24"/>
  <c r="AL51" i="24" s="1"/>
  <c r="AK52" i="24"/>
  <c r="AL52" i="24" s="1"/>
  <c r="AK53" i="24"/>
  <c r="AK54" i="24"/>
  <c r="AL54" i="24" s="1"/>
  <c r="AK55" i="24"/>
  <c r="AL55" i="24" s="1"/>
  <c r="AK56" i="24"/>
  <c r="AL56" i="24" s="1"/>
  <c r="AK57" i="24"/>
  <c r="AL57" i="24" s="1"/>
  <c r="AK58" i="24"/>
  <c r="AL58" i="24" s="1"/>
  <c r="AK59" i="24"/>
  <c r="AL59" i="24" s="1"/>
  <c r="AX51" i="24"/>
  <c r="BE40" i="24"/>
  <c r="BE41" i="24"/>
  <c r="BE42" i="24"/>
  <c r="BE43" i="24"/>
  <c r="BE44" i="24"/>
  <c r="BE45" i="24"/>
  <c r="BE46" i="24"/>
  <c r="BE47" i="24"/>
  <c r="BE48" i="24"/>
  <c r="BE49" i="24"/>
  <c r="BE50" i="24"/>
  <c r="BE51" i="24"/>
  <c r="BE52" i="24"/>
  <c r="BE53" i="24"/>
  <c r="BE54" i="24"/>
  <c r="BE55" i="24"/>
  <c r="BE56" i="24"/>
  <c r="BE57" i="24"/>
  <c r="BE58" i="24"/>
  <c r="BE59" i="24"/>
  <c r="BF40" i="24"/>
  <c r="BJ40" i="24" s="1"/>
  <c r="BF41" i="24"/>
  <c r="BJ41" i="24" s="1"/>
  <c r="BF42" i="24"/>
  <c r="BJ42" i="24" s="1"/>
  <c r="BF43" i="24"/>
  <c r="BJ43" i="24" s="1"/>
  <c r="BF44" i="24"/>
  <c r="BJ44" i="24" s="1"/>
  <c r="BF45" i="24"/>
  <c r="BJ45" i="24" s="1"/>
  <c r="BF46" i="24"/>
  <c r="BJ46" i="24" s="1"/>
  <c r="BF47" i="24"/>
  <c r="BJ47" i="24" s="1"/>
  <c r="BF48" i="24"/>
  <c r="BJ48" i="24" s="1"/>
  <c r="BF49" i="24"/>
  <c r="BJ49" i="24" s="1"/>
  <c r="BF50" i="24"/>
  <c r="BJ50" i="24" s="1"/>
  <c r="BF51" i="24"/>
  <c r="BJ51" i="24" s="1"/>
  <c r="BF52" i="24"/>
  <c r="BJ52" i="24" s="1"/>
  <c r="BF53" i="24"/>
  <c r="BJ53" i="24" s="1"/>
  <c r="BF54" i="24"/>
  <c r="BJ54" i="24" s="1"/>
  <c r="BF55" i="24"/>
  <c r="BJ55" i="24" s="1"/>
  <c r="BF56" i="24"/>
  <c r="BJ56" i="24" s="1"/>
  <c r="BF57" i="24"/>
  <c r="BJ57" i="24" s="1"/>
  <c r="BF58" i="24"/>
  <c r="BJ58" i="24" s="1"/>
  <c r="BF59" i="24"/>
  <c r="BJ59" i="24" s="1"/>
  <c r="BT48" i="24"/>
  <c r="K60" i="24"/>
  <c r="AJ60" i="24"/>
  <c r="AK60" i="24"/>
  <c r="AL60" i="24" s="1"/>
  <c r="BE60" i="24"/>
  <c r="BF60" i="24"/>
  <c r="BJ60" i="24" s="1"/>
  <c r="BS60" i="24"/>
  <c r="K61" i="24"/>
  <c r="AJ61" i="24"/>
  <c r="AK61" i="24"/>
  <c r="AL61" i="24" s="1"/>
  <c r="BE61" i="24"/>
  <c r="BF61" i="24"/>
  <c r="BJ61" i="24" s="1"/>
  <c r="F280" i="23"/>
  <c r="G280" i="23"/>
  <c r="H280" i="23"/>
  <c r="K280" i="23"/>
  <c r="L280" i="23" s="1"/>
  <c r="S280" i="23"/>
  <c r="U280" i="23"/>
  <c r="V280" i="23"/>
  <c r="W280" i="23" s="1"/>
  <c r="X280" i="23"/>
  <c r="AC280" i="23"/>
  <c r="AD280" i="23"/>
  <c r="AE280" i="23"/>
  <c r="AF280" i="23"/>
  <c r="AG280" i="23" s="1"/>
  <c r="F281" i="23"/>
  <c r="G281" i="23"/>
  <c r="H281" i="23"/>
  <c r="K281" i="23"/>
  <c r="L281" i="23" s="1"/>
  <c r="S281" i="23"/>
  <c r="V281" i="23"/>
  <c r="I281" i="23" s="1"/>
  <c r="X281" i="23"/>
  <c r="AC281" i="23"/>
  <c r="AD281" i="23"/>
  <c r="AE281" i="23"/>
  <c r="AF281" i="23"/>
  <c r="AH281" i="23" s="1"/>
  <c r="AG281" i="23"/>
  <c r="F247" i="23"/>
  <c r="G247" i="23"/>
  <c r="H247" i="23"/>
  <c r="K247" i="23"/>
  <c r="L247" i="23" s="1"/>
  <c r="S247" i="23"/>
  <c r="V247" i="23"/>
  <c r="W247" i="23" s="1"/>
  <c r="AC247" i="23"/>
  <c r="AD247" i="23"/>
  <c r="AE247" i="23"/>
  <c r="AF247" i="23"/>
  <c r="AG247" i="23" s="1"/>
  <c r="F248" i="23"/>
  <c r="G248" i="23"/>
  <c r="H248" i="23"/>
  <c r="K248" i="23"/>
  <c r="L248" i="23" s="1"/>
  <c r="S248" i="23"/>
  <c r="V248" i="23"/>
  <c r="X248" i="23" s="1"/>
  <c r="AC248" i="23"/>
  <c r="AD248" i="23"/>
  <c r="AE248" i="23"/>
  <c r="AF248" i="23"/>
  <c r="AG248" i="23" s="1"/>
  <c r="F249" i="23"/>
  <c r="G249" i="23"/>
  <c r="H249" i="23"/>
  <c r="I249" i="23"/>
  <c r="M249" i="23" s="1"/>
  <c r="K249" i="23"/>
  <c r="L249" i="23" s="1"/>
  <c r="S249" i="23"/>
  <c r="U249" i="23"/>
  <c r="V249" i="23"/>
  <c r="W249" i="23" s="1"/>
  <c r="X249" i="23"/>
  <c r="AC249" i="23"/>
  <c r="AD249" i="23"/>
  <c r="AE249" i="23"/>
  <c r="AF249" i="23"/>
  <c r="AG249" i="23" s="1"/>
  <c r="F250" i="23"/>
  <c r="G250" i="23"/>
  <c r="H250" i="23"/>
  <c r="K250" i="23"/>
  <c r="L250" i="23" s="1"/>
  <c r="S250" i="23"/>
  <c r="U250" i="23"/>
  <c r="V250" i="23"/>
  <c r="W250" i="23" s="1"/>
  <c r="X250" i="23"/>
  <c r="AC250" i="23"/>
  <c r="AD250" i="23"/>
  <c r="AE250" i="23"/>
  <c r="AF250" i="23"/>
  <c r="I250" i="23" s="1"/>
  <c r="AH250" i="23"/>
  <c r="F251" i="23"/>
  <c r="G251" i="23"/>
  <c r="H251" i="23"/>
  <c r="K251" i="23"/>
  <c r="L251" i="23" s="1"/>
  <c r="N251" i="23"/>
  <c r="S251" i="23"/>
  <c r="U251" i="23"/>
  <c r="V251" i="23"/>
  <c r="W251" i="23" s="1"/>
  <c r="AC251" i="23"/>
  <c r="AD251" i="23"/>
  <c r="AE251" i="23"/>
  <c r="AF251" i="23"/>
  <c r="AG251" i="23" s="1"/>
  <c r="AH251" i="23"/>
  <c r="F252" i="23"/>
  <c r="G252" i="23"/>
  <c r="H252" i="23"/>
  <c r="K252" i="23"/>
  <c r="L252" i="23" s="1"/>
  <c r="N252" i="23"/>
  <c r="S252" i="23"/>
  <c r="U252" i="23"/>
  <c r="V252" i="23"/>
  <c r="X252" i="23"/>
  <c r="AC252" i="23"/>
  <c r="AD252" i="23"/>
  <c r="AE252" i="23"/>
  <c r="AF252" i="23"/>
  <c r="AG252" i="23" s="1"/>
  <c r="AH252" i="23"/>
  <c r="F253" i="23"/>
  <c r="G253" i="23"/>
  <c r="H253" i="23"/>
  <c r="K253" i="23"/>
  <c r="L253" i="23" s="1"/>
  <c r="S253" i="23"/>
  <c r="U253" i="23"/>
  <c r="V253" i="23"/>
  <c r="W253" i="23" s="1"/>
  <c r="AC253" i="23"/>
  <c r="AD253" i="23"/>
  <c r="AE253" i="23"/>
  <c r="AF253" i="23"/>
  <c r="AG253" i="23" s="1"/>
  <c r="F254" i="23"/>
  <c r="G254" i="23"/>
  <c r="H254" i="23"/>
  <c r="K254" i="23"/>
  <c r="L254" i="23" s="1"/>
  <c r="S254" i="23"/>
  <c r="U254" i="23"/>
  <c r="V254" i="23"/>
  <c r="W254" i="23" s="1"/>
  <c r="AC254" i="23"/>
  <c r="AD254" i="23"/>
  <c r="AE254" i="23"/>
  <c r="AF254" i="23"/>
  <c r="AH254" i="23" s="1"/>
  <c r="F255" i="23"/>
  <c r="G255" i="23"/>
  <c r="H255" i="23"/>
  <c r="K255" i="23"/>
  <c r="L255" i="23"/>
  <c r="N255" i="23"/>
  <c r="S255" i="23"/>
  <c r="U255" i="23"/>
  <c r="V255" i="23"/>
  <c r="W255" i="23" s="1"/>
  <c r="AC255" i="23"/>
  <c r="AD255" i="23"/>
  <c r="AE255" i="23"/>
  <c r="AF255" i="23"/>
  <c r="AG255" i="23" s="1"/>
  <c r="AH255" i="23"/>
  <c r="F256" i="23"/>
  <c r="G256" i="23"/>
  <c r="H256" i="23"/>
  <c r="K256" i="23"/>
  <c r="L256" i="23"/>
  <c r="N256" i="23"/>
  <c r="S256" i="23"/>
  <c r="U256" i="23"/>
  <c r="V256" i="23"/>
  <c r="X256" i="23" s="1"/>
  <c r="AC256" i="23"/>
  <c r="AD256" i="23"/>
  <c r="AE256" i="23"/>
  <c r="AF256" i="23"/>
  <c r="AG256" i="23" s="1"/>
  <c r="F257" i="23"/>
  <c r="G257" i="23"/>
  <c r="H257" i="23"/>
  <c r="I257" i="23"/>
  <c r="M257" i="23" s="1"/>
  <c r="K257" i="23"/>
  <c r="L257" i="23" s="1"/>
  <c r="S257" i="23"/>
  <c r="V257" i="23"/>
  <c r="W257" i="23" s="1"/>
  <c r="X257" i="23"/>
  <c r="AC257" i="23"/>
  <c r="AD257" i="23"/>
  <c r="AE257" i="23"/>
  <c r="AF257" i="23"/>
  <c r="AG257" i="23" s="1"/>
  <c r="F258" i="23"/>
  <c r="G258" i="23"/>
  <c r="H258" i="23"/>
  <c r="K258" i="23"/>
  <c r="L258" i="23" s="1"/>
  <c r="S258" i="23"/>
  <c r="V258" i="23"/>
  <c r="W258" i="23" s="1"/>
  <c r="X258" i="23"/>
  <c r="AC258" i="23"/>
  <c r="AD258" i="23"/>
  <c r="AE258" i="23"/>
  <c r="AF258" i="23"/>
  <c r="I258" i="23" s="1"/>
  <c r="AH258" i="23"/>
  <c r="F259" i="23"/>
  <c r="G259" i="23"/>
  <c r="H259" i="23"/>
  <c r="K259" i="23"/>
  <c r="N259" i="23" s="1"/>
  <c r="L259" i="23"/>
  <c r="S259" i="23"/>
  <c r="V259" i="23"/>
  <c r="W259" i="23" s="1"/>
  <c r="AC259" i="23"/>
  <c r="AD259" i="23"/>
  <c r="AE259" i="23"/>
  <c r="AF259" i="23"/>
  <c r="AG259" i="23" s="1"/>
  <c r="F260" i="23"/>
  <c r="G260" i="23"/>
  <c r="H260" i="23"/>
  <c r="K260" i="23"/>
  <c r="L260" i="23" s="1"/>
  <c r="S260" i="23"/>
  <c r="V260" i="23"/>
  <c r="X260" i="23"/>
  <c r="AC260" i="23"/>
  <c r="AD260" i="23"/>
  <c r="AE260" i="23"/>
  <c r="AF260" i="23"/>
  <c r="AG260" i="23" s="1"/>
  <c r="AH260" i="23"/>
  <c r="F261" i="23"/>
  <c r="G261" i="23"/>
  <c r="H261" i="23"/>
  <c r="K261" i="23"/>
  <c r="L261" i="23" s="1"/>
  <c r="S261" i="23"/>
  <c r="U261" i="23"/>
  <c r="V261" i="23"/>
  <c r="W261" i="23" s="1"/>
  <c r="X261" i="23"/>
  <c r="AC261" i="23"/>
  <c r="AD261" i="23"/>
  <c r="AE261" i="23"/>
  <c r="AF261" i="23"/>
  <c r="AG261" i="23" s="1"/>
  <c r="F262" i="23"/>
  <c r="G262" i="23"/>
  <c r="H262" i="23"/>
  <c r="K262" i="23"/>
  <c r="L262" i="23"/>
  <c r="N262" i="23"/>
  <c r="S262" i="23"/>
  <c r="U262" i="23"/>
  <c r="V262" i="23"/>
  <c r="W262" i="23" s="1"/>
  <c r="AC262" i="23"/>
  <c r="AD262" i="23"/>
  <c r="AE262" i="23"/>
  <c r="AF262" i="23"/>
  <c r="AH262" i="23" s="1"/>
  <c r="F263" i="23"/>
  <c r="G263" i="23"/>
  <c r="H263" i="23"/>
  <c r="K263" i="23"/>
  <c r="L263" i="23" s="1"/>
  <c r="N263" i="23"/>
  <c r="S263" i="23"/>
  <c r="U263" i="23"/>
  <c r="V263" i="23"/>
  <c r="W263" i="23" s="1"/>
  <c r="AC263" i="23"/>
  <c r="AD263" i="23"/>
  <c r="AE263" i="23"/>
  <c r="AF263" i="23"/>
  <c r="AG263" i="23" s="1"/>
  <c r="AH263" i="23"/>
  <c r="F264" i="23"/>
  <c r="G264" i="23"/>
  <c r="H264" i="23"/>
  <c r="K264" i="23"/>
  <c r="L264" i="23" s="1"/>
  <c r="N264" i="23"/>
  <c r="S264" i="23"/>
  <c r="U264" i="23"/>
  <c r="V264" i="23"/>
  <c r="X264" i="23" s="1"/>
  <c r="AC264" i="23"/>
  <c r="AD264" i="23"/>
  <c r="AE264" i="23"/>
  <c r="AF264" i="23"/>
  <c r="AG264" i="23" s="1"/>
  <c r="F265" i="23"/>
  <c r="G265" i="23"/>
  <c r="H265" i="23"/>
  <c r="K265" i="23"/>
  <c r="L265" i="23" s="1"/>
  <c r="S265" i="23"/>
  <c r="V265" i="23"/>
  <c r="W265" i="23" s="1"/>
  <c r="AC265" i="23"/>
  <c r="AD265" i="23"/>
  <c r="AE265" i="23"/>
  <c r="AF265" i="23"/>
  <c r="AG265" i="23" s="1"/>
  <c r="F266" i="23"/>
  <c r="G266" i="23"/>
  <c r="H266" i="23"/>
  <c r="K266" i="23"/>
  <c r="L266" i="23" s="1"/>
  <c r="N266" i="23"/>
  <c r="S266" i="23"/>
  <c r="U266" i="23"/>
  <c r="V266" i="23"/>
  <c r="W266" i="23" s="1"/>
  <c r="AC266" i="23"/>
  <c r="AD266" i="23"/>
  <c r="AE266" i="23"/>
  <c r="AF266" i="23"/>
  <c r="I266" i="23" s="1"/>
  <c r="AH266" i="23"/>
  <c r="F267" i="23"/>
  <c r="G267" i="23"/>
  <c r="H267" i="23"/>
  <c r="K267" i="23"/>
  <c r="L267" i="23"/>
  <c r="N267" i="23"/>
  <c r="S267" i="23"/>
  <c r="U267" i="23"/>
  <c r="V267" i="23"/>
  <c r="W267" i="23" s="1"/>
  <c r="AC267" i="23"/>
  <c r="AD267" i="23"/>
  <c r="AE267" i="23"/>
  <c r="AF267" i="23"/>
  <c r="AG267" i="23" s="1"/>
  <c r="AH267" i="23"/>
  <c r="F268" i="23"/>
  <c r="G268" i="23"/>
  <c r="H268" i="23"/>
  <c r="K268" i="23"/>
  <c r="L268" i="23"/>
  <c r="N268" i="23"/>
  <c r="S268" i="23"/>
  <c r="U268" i="23"/>
  <c r="V268" i="23"/>
  <c r="X268" i="23"/>
  <c r="AC268" i="23"/>
  <c r="AD268" i="23"/>
  <c r="AE268" i="23"/>
  <c r="AF268" i="23"/>
  <c r="AG268" i="23" s="1"/>
  <c r="F269" i="23"/>
  <c r="G269" i="23"/>
  <c r="H269" i="23"/>
  <c r="K269" i="23"/>
  <c r="L269" i="23" s="1"/>
  <c r="S269" i="23"/>
  <c r="U269" i="23"/>
  <c r="V269" i="23"/>
  <c r="W269" i="23" s="1"/>
  <c r="X269" i="23"/>
  <c r="AC269" i="23"/>
  <c r="AD269" i="23"/>
  <c r="AE269" i="23"/>
  <c r="AF269" i="23"/>
  <c r="AG269" i="23" s="1"/>
  <c r="F270" i="23"/>
  <c r="G270" i="23"/>
  <c r="H270" i="23"/>
  <c r="K270" i="23"/>
  <c r="L270" i="23"/>
  <c r="N270" i="23"/>
  <c r="S270" i="23"/>
  <c r="U270" i="23"/>
  <c r="V270" i="23"/>
  <c r="W270" i="23" s="1"/>
  <c r="X270" i="23"/>
  <c r="AC270" i="23"/>
  <c r="AD270" i="23"/>
  <c r="AE270" i="23"/>
  <c r="AF270" i="23"/>
  <c r="I270" i="23" s="1"/>
  <c r="F271" i="23"/>
  <c r="G271" i="23"/>
  <c r="H271" i="23"/>
  <c r="K271" i="23"/>
  <c r="L271" i="23" s="1"/>
  <c r="S271" i="23"/>
  <c r="U271" i="23"/>
  <c r="V271" i="23"/>
  <c r="W271" i="23" s="1"/>
  <c r="AC271" i="23"/>
  <c r="AD271" i="23"/>
  <c r="AE271" i="23"/>
  <c r="AF271" i="23"/>
  <c r="AG271" i="23" s="1"/>
  <c r="F272" i="23"/>
  <c r="G272" i="23"/>
  <c r="H272" i="23"/>
  <c r="K272" i="23"/>
  <c r="L272" i="23" s="1"/>
  <c r="S272" i="23"/>
  <c r="V272" i="23"/>
  <c r="I272" i="23" s="1"/>
  <c r="X272" i="23"/>
  <c r="AC272" i="23"/>
  <c r="AD272" i="23"/>
  <c r="AE272" i="23"/>
  <c r="AF272" i="23"/>
  <c r="AG272" i="23" s="1"/>
  <c r="AH272" i="23"/>
  <c r="F273" i="23"/>
  <c r="G273" i="23"/>
  <c r="H273" i="23"/>
  <c r="K273" i="23"/>
  <c r="L273" i="23" s="1"/>
  <c r="S273" i="23"/>
  <c r="U273" i="23"/>
  <c r="V273" i="23"/>
  <c r="W273" i="23" s="1"/>
  <c r="AC273" i="23"/>
  <c r="AD273" i="23"/>
  <c r="AE273" i="23"/>
  <c r="AF273" i="23"/>
  <c r="AG273" i="23" s="1"/>
  <c r="F274" i="23"/>
  <c r="G274" i="23"/>
  <c r="H274" i="23"/>
  <c r="K274" i="23"/>
  <c r="N274" i="23" s="1"/>
  <c r="L274" i="23"/>
  <c r="S274" i="23"/>
  <c r="U274" i="23"/>
  <c r="V274" i="23"/>
  <c r="W274" i="23" s="1"/>
  <c r="AC274" i="23"/>
  <c r="AD274" i="23"/>
  <c r="AE274" i="23"/>
  <c r="AF274" i="23"/>
  <c r="AH274" i="23"/>
  <c r="F275" i="23"/>
  <c r="G275" i="23"/>
  <c r="H275" i="23"/>
  <c r="K275" i="23"/>
  <c r="L275" i="23" s="1"/>
  <c r="N275" i="23"/>
  <c r="S275" i="23"/>
  <c r="U275" i="23"/>
  <c r="V275" i="23"/>
  <c r="W275" i="23" s="1"/>
  <c r="AC275" i="23"/>
  <c r="AD275" i="23"/>
  <c r="AE275" i="23"/>
  <c r="AF275" i="23"/>
  <c r="AG275" i="23" s="1"/>
  <c r="AH275" i="23"/>
  <c r="F276" i="23"/>
  <c r="G276" i="23"/>
  <c r="H276" i="23"/>
  <c r="K276" i="23"/>
  <c r="N276" i="23" s="1"/>
  <c r="L276" i="23"/>
  <c r="S276" i="23"/>
  <c r="U276" i="23"/>
  <c r="V276" i="23"/>
  <c r="I276" i="23" s="1"/>
  <c r="AC276" i="23"/>
  <c r="AD276" i="23"/>
  <c r="AE276" i="23"/>
  <c r="AF276" i="23"/>
  <c r="AG276" i="23" s="1"/>
  <c r="F277" i="23"/>
  <c r="G277" i="23"/>
  <c r="H277" i="23"/>
  <c r="I277" i="23"/>
  <c r="M277" i="23" s="1"/>
  <c r="K277" i="23"/>
  <c r="L277" i="23" s="1"/>
  <c r="S277" i="23"/>
  <c r="V277" i="23"/>
  <c r="W277" i="23" s="1"/>
  <c r="AC277" i="23"/>
  <c r="AD277" i="23"/>
  <c r="AE277" i="23"/>
  <c r="AF277" i="23"/>
  <c r="AG277" i="23" s="1"/>
  <c r="F278" i="23"/>
  <c r="G278" i="23"/>
  <c r="H278" i="23"/>
  <c r="K278" i="23"/>
  <c r="L278" i="23" s="1"/>
  <c r="N278" i="23"/>
  <c r="S278" i="23"/>
  <c r="U278" i="23"/>
  <c r="V278" i="23"/>
  <c r="W278" i="23" s="1"/>
  <c r="X278" i="23"/>
  <c r="AC278" i="23"/>
  <c r="AD278" i="23"/>
  <c r="AE278" i="23"/>
  <c r="AF278" i="23"/>
  <c r="I278" i="23" s="1"/>
  <c r="AH278" i="23"/>
  <c r="F279" i="23"/>
  <c r="G279" i="23"/>
  <c r="H279" i="23"/>
  <c r="K279" i="23"/>
  <c r="L279" i="23"/>
  <c r="N279" i="23"/>
  <c r="S279" i="23"/>
  <c r="U279" i="23"/>
  <c r="V279" i="23"/>
  <c r="W279" i="23" s="1"/>
  <c r="AC279" i="23"/>
  <c r="AD279" i="23"/>
  <c r="AE279" i="23"/>
  <c r="AF279" i="23"/>
  <c r="AG279" i="23" s="1"/>
  <c r="F222" i="23"/>
  <c r="G222" i="23"/>
  <c r="H222" i="23"/>
  <c r="K222" i="23"/>
  <c r="L222" i="23" s="1"/>
  <c r="S222" i="23"/>
  <c r="V222" i="23"/>
  <c r="I222" i="23" s="1"/>
  <c r="X222" i="23"/>
  <c r="AC222" i="23"/>
  <c r="AD222" i="23"/>
  <c r="AE222" i="23"/>
  <c r="AF222" i="23"/>
  <c r="AH222" i="23" s="1"/>
  <c r="F223" i="23"/>
  <c r="G223" i="23"/>
  <c r="H223" i="23"/>
  <c r="K223" i="23"/>
  <c r="L223" i="23" s="1"/>
  <c r="S223" i="23"/>
  <c r="V223" i="23"/>
  <c r="W223" i="23" s="1"/>
  <c r="AC223" i="23"/>
  <c r="AD223" i="23"/>
  <c r="AE223" i="23"/>
  <c r="AF223" i="23"/>
  <c r="F224" i="23"/>
  <c r="G224" i="23"/>
  <c r="H224" i="23"/>
  <c r="K224" i="23"/>
  <c r="L224" i="23" s="1"/>
  <c r="S224" i="23"/>
  <c r="V224" i="23"/>
  <c r="X224" i="23" s="1"/>
  <c r="AC224" i="23"/>
  <c r="AD224" i="23"/>
  <c r="AE224" i="23"/>
  <c r="AF224" i="23"/>
  <c r="AG224" i="23" s="1"/>
  <c r="F225" i="23"/>
  <c r="G225" i="23"/>
  <c r="H225" i="23"/>
  <c r="K225" i="23"/>
  <c r="L225" i="23" s="1"/>
  <c r="N225" i="23"/>
  <c r="S225" i="23"/>
  <c r="U225" i="23"/>
  <c r="V225" i="23"/>
  <c r="W225" i="23" s="1"/>
  <c r="AC225" i="23"/>
  <c r="AD225" i="23"/>
  <c r="AE225" i="23"/>
  <c r="AF225" i="23"/>
  <c r="AG225" i="23" s="1"/>
  <c r="F226" i="23"/>
  <c r="G226" i="23"/>
  <c r="H226" i="23"/>
  <c r="K226" i="23"/>
  <c r="L226" i="23" s="1"/>
  <c r="S226" i="23"/>
  <c r="U226" i="23"/>
  <c r="V226" i="23"/>
  <c r="W226" i="23"/>
  <c r="AC226" i="23"/>
  <c r="AD226" i="23"/>
  <c r="AE226" i="23"/>
  <c r="AF226" i="23"/>
  <c r="AH226" i="23" s="1"/>
  <c r="F227" i="23"/>
  <c r="G227" i="23"/>
  <c r="H227" i="23"/>
  <c r="K227" i="23"/>
  <c r="L227" i="23" s="1"/>
  <c r="S227" i="23"/>
  <c r="U227" i="23"/>
  <c r="V227" i="23"/>
  <c r="W227" i="23" s="1"/>
  <c r="AC227" i="23"/>
  <c r="AD227" i="23"/>
  <c r="AE227" i="23"/>
  <c r="AF227" i="23"/>
  <c r="F228" i="23"/>
  <c r="G228" i="23"/>
  <c r="H228" i="23"/>
  <c r="K228" i="23"/>
  <c r="L228" i="23" s="1"/>
  <c r="S228" i="23"/>
  <c r="U228" i="23"/>
  <c r="V228" i="23"/>
  <c r="X228" i="23" s="1"/>
  <c r="AC228" i="23"/>
  <c r="AD228" i="23"/>
  <c r="AE228" i="23"/>
  <c r="AF228" i="23"/>
  <c r="AH228" i="23" s="1"/>
  <c r="AG228" i="23"/>
  <c r="F229" i="23"/>
  <c r="G229" i="23"/>
  <c r="H229" i="23"/>
  <c r="K229" i="23"/>
  <c r="N229" i="23" s="1"/>
  <c r="L229" i="23"/>
  <c r="S229" i="23"/>
  <c r="V229" i="23"/>
  <c r="W229" i="23" s="1"/>
  <c r="AC229" i="23"/>
  <c r="AD229" i="23"/>
  <c r="AE229" i="23"/>
  <c r="AF229" i="23"/>
  <c r="AG229" i="23" s="1"/>
  <c r="F230" i="23"/>
  <c r="G230" i="23"/>
  <c r="H230" i="23"/>
  <c r="K230" i="23"/>
  <c r="L230" i="23" s="1"/>
  <c r="S230" i="23"/>
  <c r="U230" i="23"/>
  <c r="V230" i="23"/>
  <c r="I230" i="23" s="1"/>
  <c r="J230" i="23" s="1"/>
  <c r="X230" i="23"/>
  <c r="AC230" i="23"/>
  <c r="AD230" i="23"/>
  <c r="AE230" i="23"/>
  <c r="AF230" i="23"/>
  <c r="AH230" i="23" s="1"/>
  <c r="F231" i="23"/>
  <c r="G231" i="23"/>
  <c r="H231" i="23"/>
  <c r="K231" i="23"/>
  <c r="N231" i="23" s="1"/>
  <c r="S231" i="23"/>
  <c r="U231" i="23"/>
  <c r="V231" i="23"/>
  <c r="W231" i="23" s="1"/>
  <c r="AC231" i="23"/>
  <c r="AD231" i="23"/>
  <c r="AE231" i="23"/>
  <c r="AF231" i="23"/>
  <c r="F232" i="23"/>
  <c r="G232" i="23"/>
  <c r="H232" i="23"/>
  <c r="K232" i="23"/>
  <c r="L232" i="23" s="1"/>
  <c r="S232" i="23"/>
  <c r="U232" i="23"/>
  <c r="V232" i="23"/>
  <c r="X232" i="23" s="1"/>
  <c r="AC232" i="23"/>
  <c r="AD232" i="23"/>
  <c r="AE232" i="23"/>
  <c r="AF232" i="23"/>
  <c r="AH232" i="23" s="1"/>
  <c r="F233" i="23"/>
  <c r="G233" i="23"/>
  <c r="H233" i="23"/>
  <c r="K233" i="23"/>
  <c r="N233" i="23" s="1"/>
  <c r="L233" i="23"/>
  <c r="S233" i="23"/>
  <c r="U233" i="23"/>
  <c r="V233" i="23"/>
  <c r="W233" i="23" s="1"/>
  <c r="AC233" i="23"/>
  <c r="AD233" i="23"/>
  <c r="AE233" i="23"/>
  <c r="AF233" i="23"/>
  <c r="AG233" i="23" s="1"/>
  <c r="F234" i="23"/>
  <c r="G234" i="23"/>
  <c r="H234" i="23"/>
  <c r="I234" i="23"/>
  <c r="J234" i="23" s="1"/>
  <c r="K234" i="23"/>
  <c r="L234" i="23" s="1"/>
  <c r="S234" i="23"/>
  <c r="U234" i="23"/>
  <c r="V234" i="23"/>
  <c r="X234" i="23" s="1"/>
  <c r="W234" i="23"/>
  <c r="AC234" i="23"/>
  <c r="AD234" i="23"/>
  <c r="AE234" i="23"/>
  <c r="AF234" i="23"/>
  <c r="AH234" i="23" s="1"/>
  <c r="AG234" i="23"/>
  <c r="F235" i="23"/>
  <c r="G235" i="23"/>
  <c r="H235" i="23"/>
  <c r="K235" i="23"/>
  <c r="L235" i="23" s="1"/>
  <c r="S235" i="23"/>
  <c r="U235" i="23"/>
  <c r="V235" i="23"/>
  <c r="X235" i="23" s="1"/>
  <c r="AC235" i="23"/>
  <c r="AD235" i="23"/>
  <c r="AE235" i="23"/>
  <c r="AF235" i="23"/>
  <c r="AG235" i="23" s="1"/>
  <c r="F236" i="23"/>
  <c r="G236" i="23"/>
  <c r="H236" i="23"/>
  <c r="K236" i="23"/>
  <c r="L236" i="23" s="1"/>
  <c r="S236" i="23"/>
  <c r="V236" i="23"/>
  <c r="X236" i="23" s="1"/>
  <c r="W236" i="23"/>
  <c r="AC236" i="23"/>
  <c r="AD236" i="23"/>
  <c r="AE236" i="23"/>
  <c r="AF236" i="23"/>
  <c r="AG236" i="23"/>
  <c r="AH236" i="23"/>
  <c r="F237" i="23"/>
  <c r="G237" i="23"/>
  <c r="H237" i="23"/>
  <c r="K237" i="23"/>
  <c r="L237" i="23" s="1"/>
  <c r="S237" i="23"/>
  <c r="U237" i="23"/>
  <c r="V237" i="23"/>
  <c r="W237" i="23" s="1"/>
  <c r="AC237" i="23"/>
  <c r="AD237" i="23"/>
  <c r="AE237" i="23"/>
  <c r="AF237" i="23"/>
  <c r="AG237" i="23" s="1"/>
  <c r="F238" i="23"/>
  <c r="G238" i="23"/>
  <c r="H238" i="23"/>
  <c r="K238" i="23"/>
  <c r="L238" i="23" s="1"/>
  <c r="S238" i="23"/>
  <c r="U238" i="23"/>
  <c r="V238" i="23"/>
  <c r="W238" i="23" s="1"/>
  <c r="X238" i="23"/>
  <c r="AC238" i="23"/>
  <c r="AD238" i="23"/>
  <c r="AE238" i="23"/>
  <c r="AF238" i="23"/>
  <c r="AH238" i="23" s="1"/>
  <c r="F239" i="23"/>
  <c r="G239" i="23"/>
  <c r="H239" i="23"/>
  <c r="K239" i="23"/>
  <c r="L239" i="23" s="1"/>
  <c r="S239" i="23"/>
  <c r="U239" i="23"/>
  <c r="V239" i="23"/>
  <c r="X239" i="23" s="1"/>
  <c r="AC239" i="23"/>
  <c r="AD239" i="23"/>
  <c r="AE239" i="23"/>
  <c r="AF239" i="23"/>
  <c r="AG239" i="23" s="1"/>
  <c r="F240" i="23"/>
  <c r="G240" i="23"/>
  <c r="H240" i="23"/>
  <c r="K240" i="23"/>
  <c r="L240" i="23" s="1"/>
  <c r="S240" i="23"/>
  <c r="U240" i="23"/>
  <c r="V240" i="23"/>
  <c r="X240" i="23" s="1"/>
  <c r="AC240" i="23"/>
  <c r="AD240" i="23"/>
  <c r="AE240" i="23"/>
  <c r="AF240" i="23"/>
  <c r="AH240" i="23" s="1"/>
  <c r="AG240" i="23"/>
  <c r="F241" i="23"/>
  <c r="G241" i="23"/>
  <c r="H241" i="23"/>
  <c r="K241" i="23"/>
  <c r="N241" i="23" s="1"/>
  <c r="L241" i="23"/>
  <c r="S241" i="23"/>
  <c r="U241" i="23"/>
  <c r="V241" i="23"/>
  <c r="W241" i="23" s="1"/>
  <c r="AC241" i="23"/>
  <c r="AD241" i="23"/>
  <c r="AE241" i="23"/>
  <c r="AF241" i="23"/>
  <c r="AG241" i="23" s="1"/>
  <c r="F242" i="23"/>
  <c r="G242" i="23"/>
  <c r="H242" i="23"/>
  <c r="I242" i="23"/>
  <c r="J242" i="23" s="1"/>
  <c r="K242" i="23"/>
  <c r="L242" i="23" s="1"/>
  <c r="S242" i="23"/>
  <c r="U242" i="23"/>
  <c r="V242" i="23"/>
  <c r="W242" i="23" s="1"/>
  <c r="AC242" i="23"/>
  <c r="AD242" i="23"/>
  <c r="AE242" i="23"/>
  <c r="AF242" i="23"/>
  <c r="AH242" i="23" s="1"/>
  <c r="AG242" i="23"/>
  <c r="F243" i="23"/>
  <c r="G243" i="23"/>
  <c r="H243" i="23"/>
  <c r="K243" i="23"/>
  <c r="L243" i="23" s="1"/>
  <c r="S243" i="23"/>
  <c r="U243" i="23"/>
  <c r="V243" i="23"/>
  <c r="X243" i="23"/>
  <c r="AC243" i="23"/>
  <c r="AD243" i="23"/>
  <c r="AE243" i="23"/>
  <c r="AF243" i="23"/>
  <c r="AG243" i="23" s="1"/>
  <c r="F244" i="23"/>
  <c r="G244" i="23"/>
  <c r="H244" i="23"/>
  <c r="K244" i="23"/>
  <c r="L244" i="23" s="1"/>
  <c r="S244" i="23"/>
  <c r="U244" i="23"/>
  <c r="V244" i="23"/>
  <c r="X244" i="23" s="1"/>
  <c r="AC244" i="23"/>
  <c r="AD244" i="23"/>
  <c r="AE244" i="23"/>
  <c r="AF244" i="23"/>
  <c r="AG244" i="23" s="1"/>
  <c r="F245" i="23"/>
  <c r="G245" i="23"/>
  <c r="H245" i="23"/>
  <c r="K245" i="23"/>
  <c r="L245" i="23" s="1"/>
  <c r="S245" i="23"/>
  <c r="U245" i="23"/>
  <c r="V245" i="23"/>
  <c r="W245" i="23" s="1"/>
  <c r="AC245" i="23"/>
  <c r="AD245" i="23"/>
  <c r="AE245" i="23"/>
  <c r="AF245" i="23"/>
  <c r="AG245" i="23" s="1"/>
  <c r="AH245" i="23"/>
  <c r="F246" i="23"/>
  <c r="G246" i="23"/>
  <c r="H246" i="23"/>
  <c r="K246" i="23"/>
  <c r="L246" i="23" s="1"/>
  <c r="S246" i="23"/>
  <c r="U246" i="23"/>
  <c r="V246" i="23"/>
  <c r="W246" i="23"/>
  <c r="AC246" i="23"/>
  <c r="AD246" i="23"/>
  <c r="AE246" i="23"/>
  <c r="AF246" i="23"/>
  <c r="AH246" i="23" s="1"/>
  <c r="U189" i="23"/>
  <c r="U190" i="23"/>
  <c r="U191" i="23"/>
  <c r="U192" i="23"/>
  <c r="U194" i="23"/>
  <c r="U195" i="23"/>
  <c r="U196" i="23"/>
  <c r="U201" i="23"/>
  <c r="U202" i="23"/>
  <c r="U203" i="23"/>
  <c r="U204" i="23"/>
  <c r="U206" i="23"/>
  <c r="U207" i="23"/>
  <c r="U208" i="23"/>
  <c r="U213" i="23"/>
  <c r="U214" i="23"/>
  <c r="U215" i="23"/>
  <c r="U216" i="23"/>
  <c r="U218" i="23"/>
  <c r="U219" i="23"/>
  <c r="U220" i="23"/>
  <c r="G183" i="23"/>
  <c r="G184" i="23"/>
  <c r="G185" i="23"/>
  <c r="G186" i="23"/>
  <c r="H186" i="23" s="1"/>
  <c r="G187" i="23"/>
  <c r="G188" i="23"/>
  <c r="G189" i="23"/>
  <c r="G190" i="23"/>
  <c r="H190" i="23" s="1"/>
  <c r="G191" i="23"/>
  <c r="H191" i="23" s="1"/>
  <c r="G192" i="23"/>
  <c r="H192" i="23" s="1"/>
  <c r="G193" i="23"/>
  <c r="H193" i="23" s="1"/>
  <c r="G194" i="23"/>
  <c r="G195" i="23"/>
  <c r="G196" i="23"/>
  <c r="G197" i="23"/>
  <c r="G198" i="23"/>
  <c r="G199" i="23"/>
  <c r="G200" i="23"/>
  <c r="G201" i="23"/>
  <c r="G202" i="23"/>
  <c r="H202" i="23" s="1"/>
  <c r="G203" i="23"/>
  <c r="H203" i="23" s="1"/>
  <c r="G204" i="23"/>
  <c r="H204" i="23" s="1"/>
  <c r="G205" i="23"/>
  <c r="H205" i="23" s="1"/>
  <c r="G206" i="23"/>
  <c r="G207" i="23"/>
  <c r="G208" i="23"/>
  <c r="G209" i="23"/>
  <c r="G210" i="23"/>
  <c r="G211" i="23"/>
  <c r="G212" i="23"/>
  <c r="G213" i="23"/>
  <c r="G214" i="23"/>
  <c r="G215" i="23"/>
  <c r="H215" i="23" s="1"/>
  <c r="G216" i="23"/>
  <c r="H216" i="23" s="1"/>
  <c r="G217" i="23"/>
  <c r="G218" i="23"/>
  <c r="G219" i="23"/>
  <c r="G220" i="23"/>
  <c r="G221" i="23"/>
  <c r="F185" i="23"/>
  <c r="H185" i="23"/>
  <c r="K185" i="23"/>
  <c r="L185" i="23" s="1"/>
  <c r="S185" i="23"/>
  <c r="V185" i="23"/>
  <c r="W185" i="23" s="1"/>
  <c r="AC185" i="23"/>
  <c r="AD185" i="23"/>
  <c r="AE185" i="23"/>
  <c r="AF185" i="23"/>
  <c r="AG185" i="23" s="1"/>
  <c r="F186" i="23"/>
  <c r="K186" i="23"/>
  <c r="L186" i="23" s="1"/>
  <c r="S186" i="23"/>
  <c r="V186" i="23"/>
  <c r="W186" i="23" s="1"/>
  <c r="AC186" i="23"/>
  <c r="AD186" i="23"/>
  <c r="AE186" i="23" s="1"/>
  <c r="AF186" i="23"/>
  <c r="AG186" i="23" s="1"/>
  <c r="F187" i="23"/>
  <c r="H187" i="23"/>
  <c r="K187" i="23"/>
  <c r="L187" i="23" s="1"/>
  <c r="S187" i="23"/>
  <c r="V187" i="23"/>
  <c r="W187" i="23" s="1"/>
  <c r="AC187" i="23"/>
  <c r="AD187" i="23"/>
  <c r="AE187" i="23"/>
  <c r="AF187" i="23"/>
  <c r="AG187" i="23" s="1"/>
  <c r="F188" i="23"/>
  <c r="H188" i="23"/>
  <c r="K188" i="23"/>
  <c r="L188" i="23" s="1"/>
  <c r="S188" i="23"/>
  <c r="V188" i="23"/>
  <c r="W188" i="23" s="1"/>
  <c r="AC188" i="23"/>
  <c r="AD188" i="23"/>
  <c r="AE188" i="23"/>
  <c r="AF188" i="23"/>
  <c r="AG188" i="23" s="1"/>
  <c r="F189" i="23"/>
  <c r="H189" i="23"/>
  <c r="K189" i="23"/>
  <c r="L189" i="23" s="1"/>
  <c r="S189" i="23"/>
  <c r="V189" i="23"/>
  <c r="W189" i="23" s="1"/>
  <c r="AC189" i="23"/>
  <c r="AD189" i="23"/>
  <c r="AE189" i="23"/>
  <c r="AF189" i="23"/>
  <c r="AG189" i="23" s="1"/>
  <c r="F190" i="23"/>
  <c r="K190" i="23"/>
  <c r="N190" i="23" s="1"/>
  <c r="S190" i="23"/>
  <c r="V190" i="23"/>
  <c r="W190" i="23" s="1"/>
  <c r="AC190" i="23"/>
  <c r="AD190" i="23"/>
  <c r="AE190" i="23" s="1"/>
  <c r="AF190" i="23"/>
  <c r="AG190" i="23" s="1"/>
  <c r="F191" i="23"/>
  <c r="K191" i="23"/>
  <c r="N191" i="23" s="1"/>
  <c r="S191" i="23"/>
  <c r="V191" i="23"/>
  <c r="W191" i="23" s="1"/>
  <c r="AC191" i="23"/>
  <c r="AD191" i="23"/>
  <c r="AE191" i="23"/>
  <c r="AF191" i="23"/>
  <c r="AG191" i="23" s="1"/>
  <c r="F192" i="23"/>
  <c r="K192" i="23"/>
  <c r="N192" i="23" s="1"/>
  <c r="S192" i="23"/>
  <c r="V192" i="23"/>
  <c r="W192" i="23" s="1"/>
  <c r="AC192" i="23"/>
  <c r="AD192" i="23"/>
  <c r="AE192" i="23"/>
  <c r="AF192" i="23"/>
  <c r="AG192" i="23" s="1"/>
  <c r="F193" i="23"/>
  <c r="K193" i="23"/>
  <c r="L193" i="23" s="1"/>
  <c r="S193" i="23"/>
  <c r="V193" i="23"/>
  <c r="W193" i="23" s="1"/>
  <c r="AC193" i="23"/>
  <c r="AD193" i="23"/>
  <c r="AE193" i="23"/>
  <c r="AF193" i="23"/>
  <c r="AG193" i="23" s="1"/>
  <c r="F194" i="23"/>
  <c r="H194" i="23"/>
  <c r="K194" i="23"/>
  <c r="L194" i="23" s="1"/>
  <c r="S194" i="23"/>
  <c r="V194" i="23"/>
  <c r="W194" i="23" s="1"/>
  <c r="AC194" i="23"/>
  <c r="AD194" i="23"/>
  <c r="AE194" i="23"/>
  <c r="AF194" i="23"/>
  <c r="AG194" i="23" s="1"/>
  <c r="F195" i="23"/>
  <c r="H195" i="23"/>
  <c r="K195" i="23"/>
  <c r="L195" i="23" s="1"/>
  <c r="S195" i="23"/>
  <c r="V195" i="23"/>
  <c r="W195" i="23" s="1"/>
  <c r="AC195" i="23"/>
  <c r="AD195" i="23"/>
  <c r="AE195" i="23"/>
  <c r="AF195" i="23"/>
  <c r="AG195" i="23" s="1"/>
  <c r="F196" i="23"/>
  <c r="H196" i="23"/>
  <c r="K196" i="23"/>
  <c r="N196" i="23" s="1"/>
  <c r="S196" i="23"/>
  <c r="V196" i="23"/>
  <c r="W196" i="23" s="1"/>
  <c r="AC196" i="23"/>
  <c r="AD196" i="23"/>
  <c r="AE196" i="23"/>
  <c r="AF196" i="23"/>
  <c r="AG196" i="23" s="1"/>
  <c r="F197" i="23"/>
  <c r="H197" i="23"/>
  <c r="K197" i="23"/>
  <c r="L197" i="23" s="1"/>
  <c r="S197" i="23"/>
  <c r="V197" i="23"/>
  <c r="W197" i="23" s="1"/>
  <c r="AC197" i="23"/>
  <c r="AD197" i="23"/>
  <c r="AE197" i="23"/>
  <c r="AF197" i="23"/>
  <c r="AG197" i="23" s="1"/>
  <c r="F198" i="23"/>
  <c r="H198" i="23"/>
  <c r="K198" i="23"/>
  <c r="N198" i="23" s="1"/>
  <c r="L198" i="23"/>
  <c r="S198" i="23"/>
  <c r="V198" i="23"/>
  <c r="W198" i="23" s="1"/>
  <c r="AC198" i="23"/>
  <c r="AD198" i="23"/>
  <c r="AE198" i="23"/>
  <c r="AF198" i="23"/>
  <c r="AG198" i="23" s="1"/>
  <c r="F199" i="23"/>
  <c r="H199" i="23"/>
  <c r="K199" i="23"/>
  <c r="N199" i="23" s="1"/>
  <c r="S199" i="23"/>
  <c r="V199" i="23"/>
  <c r="W199" i="23" s="1"/>
  <c r="AC199" i="23"/>
  <c r="AD199" i="23"/>
  <c r="AE199" i="23"/>
  <c r="AF199" i="23"/>
  <c r="AG199" i="23" s="1"/>
  <c r="F200" i="23"/>
  <c r="H200" i="23"/>
  <c r="K200" i="23"/>
  <c r="N200" i="23" s="1"/>
  <c r="L200" i="23"/>
  <c r="S200" i="23"/>
  <c r="V200" i="23"/>
  <c r="W200" i="23" s="1"/>
  <c r="AC200" i="23"/>
  <c r="AD200" i="23"/>
  <c r="AE200" i="23"/>
  <c r="AF200" i="23"/>
  <c r="AG200" i="23" s="1"/>
  <c r="F201" i="23"/>
  <c r="H201" i="23"/>
  <c r="K201" i="23"/>
  <c r="L201" i="23" s="1"/>
  <c r="S201" i="23"/>
  <c r="V201" i="23"/>
  <c r="W201" i="23" s="1"/>
  <c r="AC201" i="23"/>
  <c r="AD201" i="23"/>
  <c r="AE201" i="23"/>
  <c r="AF201" i="23"/>
  <c r="AG201" i="23" s="1"/>
  <c r="F202" i="23"/>
  <c r="K202" i="23"/>
  <c r="L202" i="23" s="1"/>
  <c r="S202" i="23"/>
  <c r="V202" i="23"/>
  <c r="W202" i="23" s="1"/>
  <c r="AC202" i="23"/>
  <c r="AD202" i="23"/>
  <c r="AE202" i="23"/>
  <c r="AF202" i="23"/>
  <c r="AG202" i="23" s="1"/>
  <c r="F203" i="23"/>
  <c r="K203" i="23"/>
  <c r="N203" i="23" s="1"/>
  <c r="S203" i="23"/>
  <c r="V203" i="23"/>
  <c r="W203" i="23" s="1"/>
  <c r="AC203" i="23"/>
  <c r="AD203" i="23"/>
  <c r="AE203" i="23"/>
  <c r="AF203" i="23"/>
  <c r="AG203" i="23" s="1"/>
  <c r="F204" i="23"/>
  <c r="K204" i="23"/>
  <c r="N204" i="23" s="1"/>
  <c r="S204" i="23"/>
  <c r="V204" i="23"/>
  <c r="W204" i="23" s="1"/>
  <c r="AC204" i="23"/>
  <c r="AD204" i="23"/>
  <c r="AE204" i="23"/>
  <c r="AF204" i="23"/>
  <c r="AG204" i="23" s="1"/>
  <c r="F205" i="23"/>
  <c r="K205" i="23"/>
  <c r="L205" i="23" s="1"/>
  <c r="S205" i="23"/>
  <c r="V205" i="23"/>
  <c r="W205" i="23" s="1"/>
  <c r="AC205" i="23"/>
  <c r="AD205" i="23"/>
  <c r="AE205" i="23"/>
  <c r="AF205" i="23"/>
  <c r="AG205" i="23" s="1"/>
  <c r="F206" i="23"/>
  <c r="H206" i="23"/>
  <c r="K206" i="23"/>
  <c r="L206" i="23" s="1"/>
  <c r="S206" i="23"/>
  <c r="V206" i="23"/>
  <c r="W206" i="23" s="1"/>
  <c r="AC206" i="23"/>
  <c r="AD206" i="23"/>
  <c r="AE206" i="23"/>
  <c r="AF206" i="23"/>
  <c r="AG206" i="23" s="1"/>
  <c r="F207" i="23"/>
  <c r="H207" i="23"/>
  <c r="K207" i="23"/>
  <c r="L207" i="23" s="1"/>
  <c r="S207" i="23"/>
  <c r="V207" i="23"/>
  <c r="W207" i="23" s="1"/>
  <c r="AC207" i="23"/>
  <c r="AD207" i="23"/>
  <c r="AE207" i="23"/>
  <c r="AF207" i="23"/>
  <c r="AG207" i="23" s="1"/>
  <c r="F208" i="23"/>
  <c r="H208" i="23"/>
  <c r="K208" i="23"/>
  <c r="N208" i="23" s="1"/>
  <c r="S208" i="23"/>
  <c r="V208" i="23"/>
  <c r="W208" i="23" s="1"/>
  <c r="AC208" i="23"/>
  <c r="AD208" i="23"/>
  <c r="AE208" i="23"/>
  <c r="AF208" i="23"/>
  <c r="AG208" i="23" s="1"/>
  <c r="F209" i="23"/>
  <c r="H209" i="23"/>
  <c r="K209" i="23"/>
  <c r="L209" i="23" s="1"/>
  <c r="S209" i="23"/>
  <c r="V209" i="23"/>
  <c r="W209" i="23" s="1"/>
  <c r="AC209" i="23"/>
  <c r="AD209" i="23"/>
  <c r="AE209" i="23"/>
  <c r="AF209" i="23"/>
  <c r="AG209" i="23" s="1"/>
  <c r="F210" i="23"/>
  <c r="H210" i="23"/>
  <c r="K210" i="23"/>
  <c r="L210" i="23" s="1"/>
  <c r="S210" i="23"/>
  <c r="V210" i="23"/>
  <c r="W210" i="23" s="1"/>
  <c r="AC210" i="23"/>
  <c r="AD210" i="23"/>
  <c r="AE210" i="23"/>
  <c r="AF210" i="23"/>
  <c r="AG210" i="23" s="1"/>
  <c r="F211" i="23"/>
  <c r="H211" i="23"/>
  <c r="K211" i="23"/>
  <c r="L211" i="23" s="1"/>
  <c r="S211" i="23"/>
  <c r="V211" i="23"/>
  <c r="W211" i="23" s="1"/>
  <c r="AC211" i="23"/>
  <c r="AD211" i="23"/>
  <c r="AE211" i="23"/>
  <c r="AF211" i="23"/>
  <c r="AG211" i="23" s="1"/>
  <c r="F212" i="23"/>
  <c r="H212" i="23"/>
  <c r="K212" i="23"/>
  <c r="N212" i="23" s="1"/>
  <c r="S212" i="23"/>
  <c r="V212" i="23"/>
  <c r="W212" i="23" s="1"/>
  <c r="AC212" i="23"/>
  <c r="AD212" i="23"/>
  <c r="AE212" i="23"/>
  <c r="AF212" i="23"/>
  <c r="AG212" i="23" s="1"/>
  <c r="F213" i="23"/>
  <c r="H213" i="23"/>
  <c r="K213" i="23"/>
  <c r="L213" i="23" s="1"/>
  <c r="S213" i="23"/>
  <c r="V213" i="23"/>
  <c r="W213" i="23" s="1"/>
  <c r="AC213" i="23"/>
  <c r="AD213" i="23"/>
  <c r="AE213" i="23"/>
  <c r="AF213" i="23"/>
  <c r="AG213" i="23" s="1"/>
  <c r="F214" i="23"/>
  <c r="H214" i="23"/>
  <c r="K214" i="23"/>
  <c r="N214" i="23" s="1"/>
  <c r="S214" i="23"/>
  <c r="V214" i="23"/>
  <c r="W214" i="23" s="1"/>
  <c r="AC214" i="23"/>
  <c r="AD214" i="23"/>
  <c r="AE214" i="23"/>
  <c r="AF214" i="23"/>
  <c r="AG214" i="23" s="1"/>
  <c r="F215" i="23"/>
  <c r="K215" i="23"/>
  <c r="L215" i="23" s="1"/>
  <c r="S215" i="23"/>
  <c r="V215" i="23"/>
  <c r="W215" i="23" s="1"/>
  <c r="AC215" i="23"/>
  <c r="AD215" i="23"/>
  <c r="AE215" i="23"/>
  <c r="AF215" i="23"/>
  <c r="AG215" i="23" s="1"/>
  <c r="F216" i="23"/>
  <c r="K216" i="23"/>
  <c r="N216" i="23" s="1"/>
  <c r="S216" i="23"/>
  <c r="V216" i="23"/>
  <c r="W216" i="23" s="1"/>
  <c r="AC216" i="23"/>
  <c r="AD216" i="23"/>
  <c r="AE216" i="23"/>
  <c r="AF216" i="23"/>
  <c r="AG216" i="23" s="1"/>
  <c r="F217" i="23"/>
  <c r="H217" i="23"/>
  <c r="K217" i="23"/>
  <c r="L217" i="23" s="1"/>
  <c r="S217" i="23"/>
  <c r="V217" i="23"/>
  <c r="W217" i="23" s="1"/>
  <c r="AC217" i="23"/>
  <c r="AD217" i="23"/>
  <c r="AE217" i="23"/>
  <c r="AF217" i="23"/>
  <c r="AG217" i="23" s="1"/>
  <c r="F218" i="23"/>
  <c r="H218" i="23"/>
  <c r="K218" i="23"/>
  <c r="N218" i="23" s="1"/>
  <c r="L218" i="23"/>
  <c r="S218" i="23"/>
  <c r="V218" i="23"/>
  <c r="W218" i="23" s="1"/>
  <c r="AC218" i="23"/>
  <c r="AD218" i="23"/>
  <c r="AE218" i="23"/>
  <c r="AF218" i="23"/>
  <c r="AG218" i="23" s="1"/>
  <c r="F219" i="23"/>
  <c r="H219" i="23"/>
  <c r="K219" i="23"/>
  <c r="N219" i="23" s="1"/>
  <c r="S219" i="23"/>
  <c r="V219" i="23"/>
  <c r="W219" i="23" s="1"/>
  <c r="AC219" i="23"/>
  <c r="AD219" i="23"/>
  <c r="AE219" i="23"/>
  <c r="AF219" i="23"/>
  <c r="AG219" i="23" s="1"/>
  <c r="F220" i="23"/>
  <c r="H220" i="23"/>
  <c r="K220" i="23"/>
  <c r="N220" i="23" s="1"/>
  <c r="S220" i="23"/>
  <c r="V220" i="23"/>
  <c r="W220" i="23" s="1"/>
  <c r="AC220" i="23"/>
  <c r="AD220" i="23"/>
  <c r="AE220" i="23"/>
  <c r="AF220" i="23"/>
  <c r="AG220" i="23" s="1"/>
  <c r="F221" i="23"/>
  <c r="H221" i="23"/>
  <c r="K221" i="23"/>
  <c r="N221" i="23" s="1"/>
  <c r="S221" i="23"/>
  <c r="V221" i="23"/>
  <c r="W221" i="23" s="1"/>
  <c r="AC221" i="23"/>
  <c r="AD221" i="23"/>
  <c r="AE221" i="23"/>
  <c r="AF221" i="23"/>
  <c r="AG221" i="23" s="1"/>
  <c r="AM56" i="23"/>
  <c r="AM43" i="23"/>
  <c r="AM30" i="23"/>
  <c r="AM48" i="23"/>
  <c r="K20" i="23" s="1"/>
  <c r="N20" i="23" s="1"/>
  <c r="AM47" i="23"/>
  <c r="K19" i="23" s="1"/>
  <c r="N19" i="23" s="1"/>
  <c r="AM46" i="23"/>
  <c r="AF9" i="23"/>
  <c r="AF10" i="23"/>
  <c r="AF11" i="23"/>
  <c r="AF12" i="23"/>
  <c r="AF13" i="23"/>
  <c r="AF14" i="23"/>
  <c r="AF15" i="23"/>
  <c r="AF16" i="23"/>
  <c r="AF17" i="23"/>
  <c r="AF18" i="23"/>
  <c r="AF19" i="23"/>
  <c r="AF20" i="23"/>
  <c r="AF21" i="23"/>
  <c r="AF22" i="23"/>
  <c r="AF23" i="23"/>
  <c r="AF24" i="23"/>
  <c r="AF25" i="23"/>
  <c r="AF26" i="23"/>
  <c r="AF27" i="23"/>
  <c r="AF28" i="23"/>
  <c r="AF29" i="23"/>
  <c r="AF30" i="23"/>
  <c r="AF31" i="23"/>
  <c r="AF32" i="23"/>
  <c r="AF33" i="23"/>
  <c r="AF34" i="23"/>
  <c r="AF35" i="23"/>
  <c r="AF36" i="23"/>
  <c r="AF37" i="23"/>
  <c r="AF38" i="23"/>
  <c r="AF39" i="23"/>
  <c r="AF40" i="23"/>
  <c r="AF41" i="23"/>
  <c r="AF42" i="23"/>
  <c r="AF43" i="23"/>
  <c r="AF44" i="23"/>
  <c r="AF45" i="23"/>
  <c r="AF46" i="23"/>
  <c r="AF47" i="23"/>
  <c r="AF48" i="23"/>
  <c r="AF49" i="23"/>
  <c r="AF50" i="23"/>
  <c r="AF51" i="23"/>
  <c r="AF52" i="23"/>
  <c r="AF53" i="23"/>
  <c r="AF54" i="23"/>
  <c r="AF55" i="23"/>
  <c r="AF56" i="23"/>
  <c r="AF57" i="23"/>
  <c r="AF58" i="23"/>
  <c r="AF59" i="23"/>
  <c r="AF60" i="23"/>
  <c r="AF61" i="23"/>
  <c r="AF62" i="23"/>
  <c r="AF63" i="23"/>
  <c r="AF64" i="23"/>
  <c r="AF65" i="23"/>
  <c r="AF66" i="23"/>
  <c r="AF67" i="23"/>
  <c r="AF68" i="23"/>
  <c r="AF69" i="23"/>
  <c r="AF70" i="23"/>
  <c r="AF71" i="23"/>
  <c r="AF72" i="23"/>
  <c r="AF73" i="23"/>
  <c r="AF74" i="23"/>
  <c r="AF75" i="23"/>
  <c r="AF76" i="23"/>
  <c r="AF77" i="23"/>
  <c r="AF78" i="23"/>
  <c r="AF79" i="23"/>
  <c r="AF80" i="23"/>
  <c r="AF81" i="23"/>
  <c r="AF82" i="23"/>
  <c r="AF83" i="23"/>
  <c r="AF84" i="23"/>
  <c r="AF85" i="23"/>
  <c r="AF86" i="23"/>
  <c r="AF87" i="23"/>
  <c r="AF88" i="23"/>
  <c r="AF89" i="23"/>
  <c r="AF90" i="23"/>
  <c r="AF91" i="23"/>
  <c r="AF92" i="23"/>
  <c r="AF93" i="23"/>
  <c r="AF94" i="23"/>
  <c r="AF95" i="23"/>
  <c r="AF96" i="23"/>
  <c r="AF97" i="23"/>
  <c r="AF98" i="23"/>
  <c r="AF99" i="23"/>
  <c r="AF100" i="23"/>
  <c r="AF101" i="23"/>
  <c r="AF102" i="23"/>
  <c r="AF103" i="23"/>
  <c r="AF104" i="23"/>
  <c r="AF105" i="23"/>
  <c r="AF106" i="23"/>
  <c r="AF107" i="23"/>
  <c r="AF108" i="23"/>
  <c r="AF109" i="23"/>
  <c r="AF110" i="23"/>
  <c r="AF111" i="23"/>
  <c r="AF112" i="23"/>
  <c r="AF113" i="23"/>
  <c r="AF114" i="23"/>
  <c r="AF115" i="23"/>
  <c r="AF116" i="23"/>
  <c r="AF117" i="23"/>
  <c r="AF118" i="23"/>
  <c r="AF119" i="23"/>
  <c r="AF120" i="23"/>
  <c r="AF121" i="23"/>
  <c r="AF122" i="23"/>
  <c r="AF123" i="23"/>
  <c r="AF124" i="23"/>
  <c r="AF125" i="23"/>
  <c r="AF126" i="23"/>
  <c r="AF127" i="23"/>
  <c r="AF128" i="23"/>
  <c r="AF129" i="23"/>
  <c r="AF130" i="23"/>
  <c r="AF131" i="23"/>
  <c r="AF132" i="23"/>
  <c r="AF133" i="23"/>
  <c r="AF134" i="23"/>
  <c r="AF135" i="23"/>
  <c r="AF136" i="23"/>
  <c r="AF137" i="23"/>
  <c r="AF138" i="23"/>
  <c r="AF139" i="23"/>
  <c r="AF140" i="23"/>
  <c r="AF141" i="23"/>
  <c r="AF142" i="23"/>
  <c r="AF143" i="23"/>
  <c r="AF144" i="23"/>
  <c r="AF145" i="23"/>
  <c r="AF146" i="23"/>
  <c r="AF147" i="23"/>
  <c r="AF148" i="23"/>
  <c r="AF149" i="23"/>
  <c r="AF150" i="23"/>
  <c r="AF151" i="23"/>
  <c r="AF152" i="23"/>
  <c r="AF153" i="23"/>
  <c r="AF154" i="23"/>
  <c r="AF155" i="23"/>
  <c r="AF156" i="23"/>
  <c r="AF157" i="23"/>
  <c r="AF158" i="23"/>
  <c r="AF159" i="23"/>
  <c r="AF160" i="23"/>
  <c r="AF161" i="23"/>
  <c r="AF162" i="23"/>
  <c r="AF163" i="23"/>
  <c r="AF164" i="23"/>
  <c r="AF165" i="23"/>
  <c r="AF166" i="23"/>
  <c r="AF167" i="23"/>
  <c r="AF168" i="23"/>
  <c r="AF169" i="23"/>
  <c r="AF170" i="23"/>
  <c r="AF171" i="23"/>
  <c r="AF172" i="23"/>
  <c r="AF173" i="23"/>
  <c r="AF174" i="23"/>
  <c r="AF175" i="23"/>
  <c r="AF176" i="23"/>
  <c r="AF177" i="23"/>
  <c r="AF178" i="23"/>
  <c r="AF179" i="23"/>
  <c r="AF180" i="23"/>
  <c r="AF181" i="23"/>
  <c r="AF182" i="23"/>
  <c r="AF183" i="23"/>
  <c r="AF184" i="23"/>
  <c r="AF8" i="23"/>
  <c r="AE8" i="23"/>
  <c r="AE9" i="23"/>
  <c r="AE10" i="23"/>
  <c r="AE11" i="23"/>
  <c r="AE12" i="23"/>
  <c r="AE13" i="23"/>
  <c r="AE14" i="23"/>
  <c r="AE15" i="23"/>
  <c r="AE16" i="23"/>
  <c r="AE17" i="23"/>
  <c r="AE18" i="23"/>
  <c r="AE19" i="23"/>
  <c r="AE20" i="23"/>
  <c r="AE21" i="23"/>
  <c r="AE22" i="23"/>
  <c r="AE23" i="23"/>
  <c r="AE24" i="23"/>
  <c r="AE25" i="23"/>
  <c r="AE26" i="23"/>
  <c r="AE27" i="23"/>
  <c r="AE28" i="23"/>
  <c r="AE29" i="23"/>
  <c r="AE30" i="23"/>
  <c r="AE31" i="23"/>
  <c r="AE32" i="23"/>
  <c r="AE33" i="23"/>
  <c r="AE34" i="23"/>
  <c r="AE35" i="23"/>
  <c r="AE36" i="23"/>
  <c r="AE37" i="23"/>
  <c r="AE38" i="23"/>
  <c r="AE39" i="23"/>
  <c r="AE40" i="23"/>
  <c r="AE41" i="23"/>
  <c r="AE42" i="23"/>
  <c r="AE43" i="23"/>
  <c r="AE44" i="23"/>
  <c r="AC15" i="23"/>
  <c r="AC19" i="23"/>
  <c r="AC27" i="23"/>
  <c r="AC31" i="23"/>
  <c r="AC43" i="23"/>
  <c r="AC44" i="23"/>
  <c r="AC45" i="23"/>
  <c r="AC55" i="23"/>
  <c r="AC56" i="23"/>
  <c r="AC57" i="23"/>
  <c r="V9" i="23"/>
  <c r="V10" i="23"/>
  <c r="V11" i="23"/>
  <c r="V12" i="23"/>
  <c r="V13" i="23"/>
  <c r="V14" i="23"/>
  <c r="V15" i="23"/>
  <c r="V16" i="23"/>
  <c r="V17" i="23"/>
  <c r="V18" i="23"/>
  <c r="V19" i="23"/>
  <c r="V20" i="23"/>
  <c r="V21" i="23"/>
  <c r="V22" i="23"/>
  <c r="V23" i="23"/>
  <c r="V24" i="23"/>
  <c r="V25" i="23"/>
  <c r="V26" i="23"/>
  <c r="V27" i="23"/>
  <c r="V28" i="23"/>
  <c r="V29" i="23"/>
  <c r="V30" i="23"/>
  <c r="V31" i="23"/>
  <c r="V32" i="23"/>
  <c r="V33" i="23"/>
  <c r="V34" i="23"/>
  <c r="V35" i="23"/>
  <c r="V36" i="23"/>
  <c r="V37" i="23"/>
  <c r="V38" i="23"/>
  <c r="V39" i="23"/>
  <c r="V40" i="23"/>
  <c r="V41" i="23"/>
  <c r="V42" i="23"/>
  <c r="V43" i="23"/>
  <c r="V44" i="23"/>
  <c r="V45" i="23"/>
  <c r="V46" i="23"/>
  <c r="V47" i="23"/>
  <c r="V48" i="23"/>
  <c r="V49" i="23"/>
  <c r="V50" i="23"/>
  <c r="V51" i="23"/>
  <c r="V52" i="23"/>
  <c r="V53" i="23"/>
  <c r="V54" i="23"/>
  <c r="V55" i="23"/>
  <c r="V56" i="23"/>
  <c r="V57" i="23"/>
  <c r="V58" i="23"/>
  <c r="V59" i="23"/>
  <c r="V60" i="23"/>
  <c r="V61" i="23"/>
  <c r="V62" i="23"/>
  <c r="V63" i="23"/>
  <c r="V64" i="23"/>
  <c r="V65" i="23"/>
  <c r="V66" i="23"/>
  <c r="V67" i="23"/>
  <c r="V68" i="23"/>
  <c r="V69" i="23"/>
  <c r="V70" i="23"/>
  <c r="V71" i="23"/>
  <c r="V72" i="23"/>
  <c r="V73" i="23"/>
  <c r="V74" i="23"/>
  <c r="V75" i="23"/>
  <c r="V76" i="23"/>
  <c r="V77" i="23"/>
  <c r="V78" i="23"/>
  <c r="V79" i="23"/>
  <c r="V80" i="23"/>
  <c r="V81" i="23"/>
  <c r="V82" i="23"/>
  <c r="V83" i="23"/>
  <c r="V84" i="23"/>
  <c r="V85" i="23"/>
  <c r="V86" i="23"/>
  <c r="V87" i="23"/>
  <c r="V88" i="23"/>
  <c r="V89" i="23"/>
  <c r="V90" i="23"/>
  <c r="V91" i="23"/>
  <c r="V92" i="23"/>
  <c r="V93" i="23"/>
  <c r="V94" i="23"/>
  <c r="V95" i="23"/>
  <c r="V96" i="23"/>
  <c r="V97" i="23"/>
  <c r="V98" i="23"/>
  <c r="V99" i="23"/>
  <c r="V100" i="23"/>
  <c r="V101" i="23"/>
  <c r="V102" i="23"/>
  <c r="V103" i="23"/>
  <c r="V104" i="23"/>
  <c r="V105" i="23"/>
  <c r="V106" i="23"/>
  <c r="V107" i="23"/>
  <c r="V108" i="23"/>
  <c r="V109" i="23"/>
  <c r="V110" i="23"/>
  <c r="V111" i="23"/>
  <c r="V112" i="23"/>
  <c r="V113" i="23"/>
  <c r="V114" i="23"/>
  <c r="V115" i="23"/>
  <c r="V116" i="23"/>
  <c r="V117" i="23"/>
  <c r="V118" i="23"/>
  <c r="V119" i="23"/>
  <c r="V120" i="23"/>
  <c r="V121" i="23"/>
  <c r="V122" i="23"/>
  <c r="V123" i="23"/>
  <c r="V124" i="23"/>
  <c r="V125" i="23"/>
  <c r="V126" i="23"/>
  <c r="V127" i="23"/>
  <c r="V128" i="23"/>
  <c r="V129" i="23"/>
  <c r="V130" i="23"/>
  <c r="V131" i="23"/>
  <c r="V132" i="23"/>
  <c r="V133" i="23"/>
  <c r="V134" i="23"/>
  <c r="V135" i="23"/>
  <c r="V136" i="23"/>
  <c r="V137" i="23"/>
  <c r="V138" i="23"/>
  <c r="V139" i="23"/>
  <c r="V140" i="23"/>
  <c r="V141" i="23"/>
  <c r="V142" i="23"/>
  <c r="V143" i="23"/>
  <c r="V144" i="23"/>
  <c r="V145" i="23"/>
  <c r="V146" i="23"/>
  <c r="V147" i="23"/>
  <c r="V148" i="23"/>
  <c r="V149" i="23"/>
  <c r="V150" i="23"/>
  <c r="V151" i="23"/>
  <c r="V152" i="23"/>
  <c r="V153" i="23"/>
  <c r="V154" i="23"/>
  <c r="V155" i="23"/>
  <c r="V156" i="23"/>
  <c r="V157" i="23"/>
  <c r="V158" i="23"/>
  <c r="V159" i="23"/>
  <c r="V160" i="23"/>
  <c r="V161" i="23"/>
  <c r="V162" i="23"/>
  <c r="V163" i="23"/>
  <c r="V164" i="23"/>
  <c r="V165" i="23"/>
  <c r="V166" i="23"/>
  <c r="V167" i="23"/>
  <c r="V168" i="23"/>
  <c r="V169" i="23"/>
  <c r="V170" i="23"/>
  <c r="V171" i="23"/>
  <c r="V172" i="23"/>
  <c r="V173" i="23"/>
  <c r="V174" i="23"/>
  <c r="V175" i="23"/>
  <c r="V176" i="23"/>
  <c r="V177" i="23"/>
  <c r="V178" i="23"/>
  <c r="V179" i="23"/>
  <c r="V180" i="23"/>
  <c r="V181" i="23"/>
  <c r="V182" i="23"/>
  <c r="V183" i="23"/>
  <c r="V184" i="23"/>
  <c r="V8" i="23"/>
  <c r="S8" i="23"/>
  <c r="S19" i="23"/>
  <c r="S20" i="23"/>
  <c r="S31" i="23"/>
  <c r="S32" i="23"/>
  <c r="S43" i="23"/>
  <c r="S55" i="23"/>
  <c r="K9" i="23"/>
  <c r="N9" i="23" s="1"/>
  <c r="K10" i="23"/>
  <c r="N10" i="23" s="1"/>
  <c r="K11" i="23"/>
  <c r="N11" i="23" s="1"/>
  <c r="K14" i="23"/>
  <c r="N14" i="23" s="1"/>
  <c r="K15" i="23"/>
  <c r="N15" i="23" s="1"/>
  <c r="K16" i="23"/>
  <c r="N16" i="23" s="1"/>
  <c r="K17" i="23"/>
  <c r="N17" i="23" s="1"/>
  <c r="K18" i="23"/>
  <c r="N18" i="23" s="1"/>
  <c r="K21" i="23"/>
  <c r="N21" i="23" s="1"/>
  <c r="K22" i="23"/>
  <c r="N22" i="23" s="1"/>
  <c r="K23" i="23"/>
  <c r="N23" i="23" s="1"/>
  <c r="K24" i="23"/>
  <c r="N24" i="23" s="1"/>
  <c r="K26" i="23"/>
  <c r="N26" i="23" s="1"/>
  <c r="K28" i="23"/>
  <c r="N28" i="23" s="1"/>
  <c r="K29" i="23"/>
  <c r="N29" i="23" s="1"/>
  <c r="K30" i="23"/>
  <c r="K32" i="23"/>
  <c r="K33" i="23"/>
  <c r="K35" i="23"/>
  <c r="N35" i="23" s="1"/>
  <c r="K36" i="23"/>
  <c r="K38" i="23"/>
  <c r="K39" i="23"/>
  <c r="K40" i="23"/>
  <c r="K42" i="23"/>
  <c r="K44" i="23"/>
  <c r="K45" i="23"/>
  <c r="K46" i="23"/>
  <c r="K47" i="23"/>
  <c r="K50" i="23"/>
  <c r="K51" i="23"/>
  <c r="K52" i="23"/>
  <c r="K53" i="23"/>
  <c r="K54" i="23"/>
  <c r="K57" i="23"/>
  <c r="K58" i="23"/>
  <c r="K59" i="23"/>
  <c r="K60" i="23"/>
  <c r="K62" i="23"/>
  <c r="K64" i="23"/>
  <c r="K65" i="23"/>
  <c r="K66" i="23"/>
  <c r="K68" i="23"/>
  <c r="K69" i="23"/>
  <c r="K71" i="23"/>
  <c r="K72" i="23"/>
  <c r="K74" i="23"/>
  <c r="K75" i="23"/>
  <c r="K76" i="23"/>
  <c r="K78" i="23"/>
  <c r="K80" i="23"/>
  <c r="K81" i="23"/>
  <c r="K82" i="23"/>
  <c r="K83" i="23"/>
  <c r="K86" i="23"/>
  <c r="K87" i="23"/>
  <c r="K88" i="23"/>
  <c r="K89" i="23"/>
  <c r="K90" i="23"/>
  <c r="K93" i="23"/>
  <c r="K94" i="23"/>
  <c r="K95" i="23"/>
  <c r="K96" i="23"/>
  <c r="K98" i="23"/>
  <c r="K100" i="23"/>
  <c r="K101" i="23"/>
  <c r="K102" i="23"/>
  <c r="K104" i="23"/>
  <c r="K105" i="23"/>
  <c r="K107" i="23"/>
  <c r="K108" i="23"/>
  <c r="K110" i="23"/>
  <c r="K111" i="23"/>
  <c r="K112" i="23"/>
  <c r="K114" i="23"/>
  <c r="K116" i="23"/>
  <c r="K117" i="23"/>
  <c r="K118" i="23"/>
  <c r="K119" i="23"/>
  <c r="K122" i="23"/>
  <c r="K123" i="23"/>
  <c r="K124" i="23"/>
  <c r="K125" i="23"/>
  <c r="K126" i="23"/>
  <c r="K129" i="23"/>
  <c r="K130" i="23"/>
  <c r="K131" i="23"/>
  <c r="K132" i="23"/>
  <c r="K134" i="23"/>
  <c r="K136" i="23"/>
  <c r="K137" i="23"/>
  <c r="K138" i="23"/>
  <c r="K140" i="23"/>
  <c r="K141" i="23"/>
  <c r="K143" i="23"/>
  <c r="K144" i="23"/>
  <c r="K146" i="23"/>
  <c r="K147" i="23"/>
  <c r="K148" i="23"/>
  <c r="K150" i="23"/>
  <c r="K152" i="23"/>
  <c r="K153" i="23"/>
  <c r="K154" i="23"/>
  <c r="K155" i="23"/>
  <c r="K158" i="23"/>
  <c r="K159" i="23"/>
  <c r="K160" i="23"/>
  <c r="K161" i="23"/>
  <c r="K162" i="23"/>
  <c r="K165" i="23"/>
  <c r="K166" i="23"/>
  <c r="K167" i="23"/>
  <c r="K168" i="23"/>
  <c r="K170" i="23"/>
  <c r="K172" i="23"/>
  <c r="K173" i="23"/>
  <c r="K174" i="23"/>
  <c r="K176" i="23"/>
  <c r="K177" i="23"/>
  <c r="K179" i="23"/>
  <c r="K180" i="23"/>
  <c r="K182" i="23"/>
  <c r="K183" i="23"/>
  <c r="K184" i="23"/>
  <c r="AM57" i="23"/>
  <c r="AM44" i="23"/>
  <c r="AM31" i="23"/>
  <c r="F17" i="23"/>
  <c r="F19" i="23"/>
  <c r="F29" i="23"/>
  <c r="E30" i="23"/>
  <c r="F30" i="23" s="1"/>
  <c r="E31" i="23"/>
  <c r="F31" i="23" s="1"/>
  <c r="E32" i="23"/>
  <c r="F32" i="23" s="1"/>
  <c r="E33" i="23"/>
  <c r="E34" i="23"/>
  <c r="F34" i="23" s="1"/>
  <c r="E35" i="23"/>
  <c r="E36" i="23"/>
  <c r="F36" i="23" s="1"/>
  <c r="E37" i="23"/>
  <c r="E38" i="23"/>
  <c r="F38" i="23" s="1"/>
  <c r="E39" i="23"/>
  <c r="F39" i="23" s="1"/>
  <c r="E40" i="23"/>
  <c r="E41" i="23"/>
  <c r="F41" i="23" s="1"/>
  <c r="E42" i="23"/>
  <c r="F42" i="23" s="1"/>
  <c r="E43" i="23"/>
  <c r="F43" i="23" s="1"/>
  <c r="E44" i="23"/>
  <c r="E45" i="23"/>
  <c r="F45" i="23" s="1"/>
  <c r="E46" i="23"/>
  <c r="F46" i="23" s="1"/>
  <c r="E47" i="23"/>
  <c r="E48" i="23"/>
  <c r="F48" i="23" s="1"/>
  <c r="E49" i="23"/>
  <c r="F49" i="23" s="1"/>
  <c r="E50" i="23"/>
  <c r="F50" i="23" s="1"/>
  <c r="E51" i="23"/>
  <c r="F51" i="23" s="1"/>
  <c r="E52" i="23"/>
  <c r="F52" i="23" s="1"/>
  <c r="E53" i="23"/>
  <c r="F53" i="23" s="1"/>
  <c r="E54" i="23"/>
  <c r="F54" i="23" s="1"/>
  <c r="E55" i="23"/>
  <c r="F55" i="23" s="1"/>
  <c r="E56" i="23"/>
  <c r="E57" i="23"/>
  <c r="F57" i="23" s="1"/>
  <c r="E58" i="23"/>
  <c r="F58" i="23" s="1"/>
  <c r="E59" i="23"/>
  <c r="F59" i="23" s="1"/>
  <c r="E60" i="23"/>
  <c r="F60" i="23" s="1"/>
  <c r="E61" i="23"/>
  <c r="D29" i="23"/>
  <c r="D30" i="23"/>
  <c r="D31" i="23"/>
  <c r="D32" i="23"/>
  <c r="D33" i="23"/>
  <c r="D34" i="23"/>
  <c r="D35" i="23"/>
  <c r="D36" i="23"/>
  <c r="D37" i="23"/>
  <c r="D38" i="23"/>
  <c r="D39" i="23"/>
  <c r="D40" i="23"/>
  <c r="D41" i="23"/>
  <c r="D42" i="23"/>
  <c r="D43" i="23"/>
  <c r="D44" i="23"/>
  <c r="D45" i="23"/>
  <c r="D46" i="23"/>
  <c r="D47" i="23"/>
  <c r="D48" i="23"/>
  <c r="D49" i="23"/>
  <c r="D50" i="23"/>
  <c r="D51" i="23"/>
  <c r="D52" i="23"/>
  <c r="D53" i="23"/>
  <c r="D54" i="23"/>
  <c r="D55" i="23"/>
  <c r="D56" i="23"/>
  <c r="D57" i="23"/>
  <c r="D58" i="23"/>
  <c r="D59" i="23"/>
  <c r="D60" i="23"/>
  <c r="D61" i="23"/>
  <c r="F8" i="23"/>
  <c r="F9" i="23"/>
  <c r="F10" i="23"/>
  <c r="F11" i="23"/>
  <c r="F12" i="23"/>
  <c r="F13" i="23"/>
  <c r="F14" i="23"/>
  <c r="F15" i="23"/>
  <c r="F16" i="23"/>
  <c r="F18" i="23"/>
  <c r="F20" i="23"/>
  <c r="F21" i="23"/>
  <c r="F22" i="23"/>
  <c r="F23" i="23"/>
  <c r="F24" i="23"/>
  <c r="F25" i="23"/>
  <c r="F26" i="23"/>
  <c r="F27" i="23"/>
  <c r="F28" i="23"/>
  <c r="F33" i="23"/>
  <c r="S9" i="23"/>
  <c r="S10" i="23"/>
  <c r="S11" i="23"/>
  <c r="S12" i="23"/>
  <c r="S13" i="23"/>
  <c r="S14" i="23"/>
  <c r="S15" i="23"/>
  <c r="S16" i="23"/>
  <c r="S17" i="23"/>
  <c r="S18" i="23"/>
  <c r="S21" i="23"/>
  <c r="S22" i="23"/>
  <c r="S23" i="23"/>
  <c r="S24" i="23"/>
  <c r="S25" i="23"/>
  <c r="S26" i="23"/>
  <c r="S27" i="23"/>
  <c r="S28" i="23"/>
  <c r="S29" i="23"/>
  <c r="S30" i="23"/>
  <c r="S33" i="23"/>
  <c r="T8" i="23"/>
  <c r="G8" i="23" s="1"/>
  <c r="H8" i="23" s="1"/>
  <c r="T9" i="23"/>
  <c r="T10" i="23"/>
  <c r="T11" i="23"/>
  <c r="T12" i="23"/>
  <c r="G12" i="23" s="1"/>
  <c r="H12" i="23" s="1"/>
  <c r="T13" i="23"/>
  <c r="T14" i="23"/>
  <c r="T15" i="23"/>
  <c r="G15" i="23" s="1"/>
  <c r="H15" i="23" s="1"/>
  <c r="T16" i="23"/>
  <c r="T17" i="23"/>
  <c r="G17" i="23" s="1"/>
  <c r="H17" i="23" s="1"/>
  <c r="T18" i="23"/>
  <c r="T19" i="23"/>
  <c r="T20" i="23"/>
  <c r="G20" i="23" s="1"/>
  <c r="H20" i="23" s="1"/>
  <c r="T21" i="23"/>
  <c r="T22" i="23"/>
  <c r="T23" i="23"/>
  <c r="T24" i="23"/>
  <c r="G24" i="23" s="1"/>
  <c r="H24" i="23" s="1"/>
  <c r="T25" i="23"/>
  <c r="T26" i="23"/>
  <c r="T27" i="23"/>
  <c r="G27" i="23" s="1"/>
  <c r="H27" i="23" s="1"/>
  <c r="T28" i="23"/>
  <c r="T29" i="23"/>
  <c r="G29" i="23" s="1"/>
  <c r="H29" i="23" s="1"/>
  <c r="T30" i="23"/>
  <c r="T31" i="23"/>
  <c r="T32" i="23"/>
  <c r="G32" i="23" s="1"/>
  <c r="H32" i="23" s="1"/>
  <c r="T33" i="23"/>
  <c r="AC8" i="23"/>
  <c r="AC9" i="23"/>
  <c r="AC10" i="23"/>
  <c r="AC11" i="23"/>
  <c r="AC12" i="23"/>
  <c r="AC13" i="23"/>
  <c r="AC14" i="23"/>
  <c r="AC16" i="23"/>
  <c r="AC17" i="23"/>
  <c r="AC18" i="23"/>
  <c r="AC20" i="23"/>
  <c r="AC21" i="23"/>
  <c r="AC22" i="23"/>
  <c r="AC23" i="23"/>
  <c r="AC24" i="23"/>
  <c r="AC25" i="23"/>
  <c r="AC26" i="23"/>
  <c r="AC28" i="23"/>
  <c r="AC29" i="23"/>
  <c r="AC30" i="23"/>
  <c r="AC32" i="23"/>
  <c r="AC33" i="23"/>
  <c r="AD8" i="23"/>
  <c r="AD9" i="23"/>
  <c r="AD10" i="23"/>
  <c r="AD11" i="23"/>
  <c r="AD12" i="23"/>
  <c r="AD13" i="23"/>
  <c r="AD14" i="23"/>
  <c r="AD15" i="23"/>
  <c r="AD16" i="23"/>
  <c r="AD17" i="23"/>
  <c r="AD18" i="23"/>
  <c r="AD19" i="23"/>
  <c r="AD20" i="23"/>
  <c r="AD21" i="23"/>
  <c r="AD22" i="23"/>
  <c r="AD23" i="23"/>
  <c r="AD24" i="23"/>
  <c r="AD25" i="23"/>
  <c r="AD26" i="23"/>
  <c r="AD27" i="23"/>
  <c r="AD28" i="23"/>
  <c r="AD29" i="23"/>
  <c r="AD30" i="23"/>
  <c r="AD31" i="23"/>
  <c r="AD32" i="23"/>
  <c r="AD33" i="23"/>
  <c r="F35" i="23"/>
  <c r="F37" i="23"/>
  <c r="F40" i="23"/>
  <c r="F44" i="23"/>
  <c r="F47" i="23"/>
  <c r="F56" i="23"/>
  <c r="F61" i="23"/>
  <c r="S34" i="23"/>
  <c r="S35" i="23"/>
  <c r="S36" i="23"/>
  <c r="S37" i="23"/>
  <c r="S38" i="23"/>
  <c r="S39" i="23"/>
  <c r="S40" i="23"/>
  <c r="S41" i="23"/>
  <c r="S42" i="23"/>
  <c r="S44" i="23"/>
  <c r="S45" i="23"/>
  <c r="S46" i="23"/>
  <c r="S47" i="23"/>
  <c r="S48" i="23"/>
  <c r="S49" i="23"/>
  <c r="S50" i="23"/>
  <c r="S51" i="23"/>
  <c r="S52" i="23"/>
  <c r="S53" i="23"/>
  <c r="S54" i="23"/>
  <c r="S56" i="23"/>
  <c r="S57" i="23"/>
  <c r="S58" i="23"/>
  <c r="S59" i="23"/>
  <c r="S60" i="23"/>
  <c r="S61" i="23"/>
  <c r="T34" i="23"/>
  <c r="T35" i="23"/>
  <c r="T36" i="23"/>
  <c r="T37" i="23"/>
  <c r="G37" i="23" s="1"/>
  <c r="H37" i="23" s="1"/>
  <c r="T38" i="23"/>
  <c r="T39" i="23"/>
  <c r="G39" i="23" s="1"/>
  <c r="H39" i="23" s="1"/>
  <c r="T40" i="23"/>
  <c r="T41" i="23"/>
  <c r="T42" i="23"/>
  <c r="T43" i="23"/>
  <c r="T44" i="23"/>
  <c r="T45" i="23"/>
  <c r="T46" i="23"/>
  <c r="T47" i="23"/>
  <c r="T48" i="23"/>
  <c r="T49" i="23"/>
  <c r="G49" i="23" s="1"/>
  <c r="H49" i="23" s="1"/>
  <c r="T50" i="23"/>
  <c r="T51" i="23"/>
  <c r="G51" i="23" s="1"/>
  <c r="H51" i="23" s="1"/>
  <c r="T52" i="23"/>
  <c r="T53" i="23"/>
  <c r="T54" i="23"/>
  <c r="T55" i="23"/>
  <c r="T56" i="23"/>
  <c r="T57" i="23"/>
  <c r="T58" i="23"/>
  <c r="T59" i="23"/>
  <c r="T60" i="23"/>
  <c r="T61" i="23"/>
  <c r="G61" i="23" s="1"/>
  <c r="H61" i="23" s="1"/>
  <c r="AC34" i="23"/>
  <c r="AC35" i="23"/>
  <c r="AC36" i="23"/>
  <c r="AC37" i="23"/>
  <c r="AC38" i="23"/>
  <c r="AC39" i="23"/>
  <c r="AC40" i="23"/>
  <c r="AC41" i="23"/>
  <c r="AC42" i="23"/>
  <c r="AC46" i="23"/>
  <c r="AC47" i="23"/>
  <c r="AC48" i="23"/>
  <c r="AC49" i="23"/>
  <c r="AC50" i="23"/>
  <c r="AC51" i="23"/>
  <c r="AC52" i="23"/>
  <c r="AC53" i="23"/>
  <c r="AC54" i="23"/>
  <c r="AC58" i="23"/>
  <c r="AC59" i="23"/>
  <c r="AC60" i="23"/>
  <c r="AC61" i="23"/>
  <c r="AD34" i="23"/>
  <c r="AD35" i="23"/>
  <c r="AD36" i="23"/>
  <c r="AD37" i="23"/>
  <c r="AD38" i="23"/>
  <c r="AD39" i="23"/>
  <c r="AD40" i="23"/>
  <c r="AD41" i="23"/>
  <c r="AD42" i="23"/>
  <c r="AD43" i="23"/>
  <c r="AD44" i="23"/>
  <c r="AD45" i="23"/>
  <c r="AD46" i="23"/>
  <c r="AD47" i="23"/>
  <c r="AD48" i="23"/>
  <c r="AD49" i="23"/>
  <c r="AD50" i="23"/>
  <c r="AD51" i="23"/>
  <c r="AD52" i="23"/>
  <c r="AD53" i="23"/>
  <c r="AD54" i="23"/>
  <c r="AD55" i="23"/>
  <c r="AD56" i="23"/>
  <c r="AD57" i="23"/>
  <c r="AD58" i="23"/>
  <c r="AD59" i="23"/>
  <c r="AD60" i="23"/>
  <c r="AD61" i="23"/>
  <c r="X9" i="22"/>
  <c r="X10" i="22"/>
  <c r="X11" i="22"/>
  <c r="X12" i="22"/>
  <c r="X13" i="22"/>
  <c r="X14" i="22"/>
  <c r="X15" i="22"/>
  <c r="X16" i="22"/>
  <c r="X17" i="22"/>
  <c r="X18" i="22"/>
  <c r="X19" i="22"/>
  <c r="X20" i="22"/>
  <c r="X21" i="22"/>
  <c r="X22" i="22"/>
  <c r="X23" i="22"/>
  <c r="X24" i="22"/>
  <c r="X25" i="22"/>
  <c r="X26" i="22"/>
  <c r="X27" i="22"/>
  <c r="X28" i="22"/>
  <c r="X29" i="22"/>
  <c r="X30" i="22"/>
  <c r="X31" i="22"/>
  <c r="X32" i="22"/>
  <c r="X33" i="22"/>
  <c r="X34" i="22"/>
  <c r="X35" i="22"/>
  <c r="X36" i="22"/>
  <c r="X37" i="22"/>
  <c r="X38" i="22"/>
  <c r="X39" i="22"/>
  <c r="X40" i="22"/>
  <c r="X41" i="22"/>
  <c r="X42" i="22"/>
  <c r="X43" i="22"/>
  <c r="X44" i="22"/>
  <c r="X45" i="22"/>
  <c r="X46" i="22"/>
  <c r="X47" i="22"/>
  <c r="X48" i="22"/>
  <c r="X49" i="22"/>
  <c r="X50" i="22"/>
  <c r="X51" i="22"/>
  <c r="X52" i="22"/>
  <c r="X53" i="22"/>
  <c r="X54" i="22"/>
  <c r="X55" i="22"/>
  <c r="X56" i="22"/>
  <c r="X57" i="22"/>
  <c r="X58" i="22"/>
  <c r="X59" i="22"/>
  <c r="X60" i="22"/>
  <c r="X61" i="22"/>
  <c r="X62" i="22"/>
  <c r="X63" i="22"/>
  <c r="X64" i="22"/>
  <c r="X65" i="22"/>
  <c r="X66" i="22"/>
  <c r="X67" i="22"/>
  <c r="X68" i="22"/>
  <c r="X69" i="22"/>
  <c r="X70" i="22"/>
  <c r="X71" i="22"/>
  <c r="X72" i="22"/>
  <c r="X73" i="22"/>
  <c r="X74" i="22"/>
  <c r="X75" i="22"/>
  <c r="X76" i="22"/>
  <c r="X77" i="22"/>
  <c r="X78" i="22"/>
  <c r="X79" i="22"/>
  <c r="X80" i="22"/>
  <c r="X81" i="22"/>
  <c r="X82" i="22"/>
  <c r="X83" i="22"/>
  <c r="X84" i="22"/>
  <c r="X85" i="22"/>
  <c r="X86" i="22"/>
  <c r="X87" i="22"/>
  <c r="X88" i="22"/>
  <c r="X89" i="22"/>
  <c r="X90" i="22"/>
  <c r="X91" i="22"/>
  <c r="X92" i="22"/>
  <c r="X93" i="22"/>
  <c r="X94" i="22"/>
  <c r="X95" i="22"/>
  <c r="X96" i="22"/>
  <c r="X97" i="22"/>
  <c r="X98" i="22"/>
  <c r="X99" i="22"/>
  <c r="X100" i="22"/>
  <c r="X101" i="22"/>
  <c r="X102" i="22"/>
  <c r="X103" i="22"/>
  <c r="X104" i="22"/>
  <c r="X105" i="22"/>
  <c r="X106" i="22"/>
  <c r="X107" i="22"/>
  <c r="X108" i="22"/>
  <c r="X109" i="22"/>
  <c r="X110" i="22"/>
  <c r="X111" i="22"/>
  <c r="X112" i="22"/>
  <c r="X113" i="22"/>
  <c r="X114" i="22"/>
  <c r="X115" i="22"/>
  <c r="X116" i="22"/>
  <c r="X117" i="22"/>
  <c r="X118" i="22"/>
  <c r="X119" i="22"/>
  <c r="X120" i="22"/>
  <c r="X121" i="22"/>
  <c r="X122" i="22"/>
  <c r="X123" i="22"/>
  <c r="X124" i="22"/>
  <c r="X125" i="22"/>
  <c r="X126" i="22"/>
  <c r="X127" i="22"/>
  <c r="X128" i="22"/>
  <c r="X129" i="22"/>
  <c r="X130" i="22"/>
  <c r="X131" i="22"/>
  <c r="X132" i="22"/>
  <c r="X133" i="22"/>
  <c r="X134" i="22"/>
  <c r="X135" i="22"/>
  <c r="X136" i="22"/>
  <c r="X137" i="22"/>
  <c r="X138" i="22"/>
  <c r="X139" i="22"/>
  <c r="X140" i="22"/>
  <c r="X141" i="22"/>
  <c r="X142" i="22"/>
  <c r="X143" i="22"/>
  <c r="X144" i="22"/>
  <c r="X145" i="22"/>
  <c r="X146" i="22"/>
  <c r="X147" i="22"/>
  <c r="X148" i="22"/>
  <c r="X149" i="22"/>
  <c r="X150" i="22"/>
  <c r="X151" i="22"/>
  <c r="X152" i="22"/>
  <c r="X153" i="22"/>
  <c r="X154" i="22"/>
  <c r="X155" i="22"/>
  <c r="X156" i="22"/>
  <c r="X157" i="22"/>
  <c r="X158" i="22"/>
  <c r="X159" i="22"/>
  <c r="X160" i="22"/>
  <c r="X161" i="22"/>
  <c r="X162" i="22"/>
  <c r="X163" i="22"/>
  <c r="X164" i="22"/>
  <c r="X165" i="22"/>
  <c r="X166" i="22"/>
  <c r="X167" i="22"/>
  <c r="X168" i="22"/>
  <c r="X169" i="22"/>
  <c r="X170" i="22"/>
  <c r="X171" i="22"/>
  <c r="X172" i="22"/>
  <c r="X173" i="22"/>
  <c r="X174" i="22"/>
  <c r="X175" i="22"/>
  <c r="X176" i="22"/>
  <c r="X177" i="22"/>
  <c r="X178" i="22"/>
  <c r="X179" i="22"/>
  <c r="X180" i="22"/>
  <c r="X181" i="22"/>
  <c r="X182" i="22"/>
  <c r="X183" i="22"/>
  <c r="X184" i="22"/>
  <c r="W9" i="22"/>
  <c r="W10" i="22"/>
  <c r="W11" i="22"/>
  <c r="W12" i="22"/>
  <c r="W13" i="22"/>
  <c r="W14" i="22"/>
  <c r="W15" i="22"/>
  <c r="W16" i="22"/>
  <c r="W17" i="22"/>
  <c r="W18" i="22"/>
  <c r="W19" i="22"/>
  <c r="W20" i="22"/>
  <c r="W21" i="22"/>
  <c r="W22" i="22"/>
  <c r="W23" i="22"/>
  <c r="W24" i="22"/>
  <c r="W25" i="22"/>
  <c r="W26" i="22"/>
  <c r="W27" i="22"/>
  <c r="W28" i="22"/>
  <c r="W29" i="22"/>
  <c r="W30" i="22"/>
  <c r="W31" i="22"/>
  <c r="W32" i="22"/>
  <c r="W33" i="22"/>
  <c r="W34" i="22"/>
  <c r="W35" i="22"/>
  <c r="W36" i="22"/>
  <c r="W37" i="22"/>
  <c r="W38" i="22"/>
  <c r="W39" i="22"/>
  <c r="W40" i="22"/>
  <c r="W41" i="22"/>
  <c r="W42" i="22"/>
  <c r="W43" i="22"/>
  <c r="W44" i="22"/>
  <c r="W45" i="22"/>
  <c r="W46" i="22"/>
  <c r="W47" i="22"/>
  <c r="W48" i="22"/>
  <c r="W49" i="22"/>
  <c r="W50" i="22"/>
  <c r="W51" i="22"/>
  <c r="W52" i="22"/>
  <c r="W53" i="22"/>
  <c r="W54" i="22"/>
  <c r="W55" i="22"/>
  <c r="W56" i="22"/>
  <c r="W57" i="22"/>
  <c r="W58" i="22"/>
  <c r="W59" i="22"/>
  <c r="W60" i="22"/>
  <c r="W61" i="22"/>
  <c r="W62" i="22"/>
  <c r="W63" i="22"/>
  <c r="W64" i="22"/>
  <c r="W65" i="22"/>
  <c r="W66" i="22"/>
  <c r="W67" i="22"/>
  <c r="W68" i="22"/>
  <c r="W69" i="22"/>
  <c r="W70" i="22"/>
  <c r="W71" i="22"/>
  <c r="W72" i="22"/>
  <c r="W73" i="22"/>
  <c r="W74" i="22"/>
  <c r="W75" i="22"/>
  <c r="W76" i="22"/>
  <c r="W77" i="22"/>
  <c r="W78" i="22"/>
  <c r="W79" i="22"/>
  <c r="W80" i="22"/>
  <c r="W81" i="22"/>
  <c r="W82" i="22"/>
  <c r="W83" i="22"/>
  <c r="W84" i="22"/>
  <c r="W85" i="22"/>
  <c r="W86" i="22"/>
  <c r="W87" i="22"/>
  <c r="W88" i="22"/>
  <c r="W89" i="22"/>
  <c r="W90" i="22"/>
  <c r="W91" i="22"/>
  <c r="W92" i="22"/>
  <c r="W93" i="22"/>
  <c r="W94" i="22"/>
  <c r="W95" i="22"/>
  <c r="W96" i="22"/>
  <c r="W97" i="22"/>
  <c r="W98" i="22"/>
  <c r="W99" i="22"/>
  <c r="W100" i="22"/>
  <c r="W101" i="22"/>
  <c r="W102" i="22"/>
  <c r="W103" i="22"/>
  <c r="W104" i="22"/>
  <c r="W105" i="22"/>
  <c r="W106" i="22"/>
  <c r="W107" i="22"/>
  <c r="W108" i="22"/>
  <c r="W109" i="22"/>
  <c r="W110" i="22"/>
  <c r="W111" i="22"/>
  <c r="W112" i="22"/>
  <c r="W113" i="22"/>
  <c r="W114" i="22"/>
  <c r="W115" i="22"/>
  <c r="W116" i="22"/>
  <c r="W117" i="22"/>
  <c r="W118" i="22"/>
  <c r="W119" i="22"/>
  <c r="W120" i="22"/>
  <c r="W121" i="22"/>
  <c r="W122" i="22"/>
  <c r="W123" i="22"/>
  <c r="W124" i="22"/>
  <c r="W125" i="22"/>
  <c r="W126" i="22"/>
  <c r="W127" i="22"/>
  <c r="W128" i="22"/>
  <c r="W129" i="22"/>
  <c r="W130" i="22"/>
  <c r="W131" i="22"/>
  <c r="W132" i="22"/>
  <c r="W133" i="22"/>
  <c r="W134" i="22"/>
  <c r="W135" i="22"/>
  <c r="W136" i="22"/>
  <c r="W137" i="22"/>
  <c r="W138" i="22"/>
  <c r="W139" i="22"/>
  <c r="W140" i="22"/>
  <c r="W141" i="22"/>
  <c r="W142" i="22"/>
  <c r="W143" i="22"/>
  <c r="W144" i="22"/>
  <c r="W145" i="22"/>
  <c r="W146" i="22"/>
  <c r="W147" i="22"/>
  <c r="W148" i="22"/>
  <c r="W149" i="22"/>
  <c r="W150" i="22"/>
  <c r="W151" i="22"/>
  <c r="W152" i="22"/>
  <c r="W153" i="22"/>
  <c r="W154" i="22"/>
  <c r="W155" i="22"/>
  <c r="W156" i="22"/>
  <c r="W157" i="22"/>
  <c r="W158" i="22"/>
  <c r="W159" i="22"/>
  <c r="W160" i="22"/>
  <c r="W161" i="22"/>
  <c r="W162" i="22"/>
  <c r="W163" i="22"/>
  <c r="W164" i="22"/>
  <c r="W165" i="22"/>
  <c r="W166" i="22"/>
  <c r="W167" i="22"/>
  <c r="W168" i="22"/>
  <c r="W169" i="22"/>
  <c r="W170" i="22"/>
  <c r="W171" i="22"/>
  <c r="W172" i="22"/>
  <c r="W173" i="22"/>
  <c r="W174" i="22"/>
  <c r="W175" i="22"/>
  <c r="W176" i="22"/>
  <c r="W177" i="22"/>
  <c r="W178" i="22"/>
  <c r="W179" i="22"/>
  <c r="W180" i="22"/>
  <c r="W181" i="22"/>
  <c r="W182" i="22"/>
  <c r="W183" i="22"/>
  <c r="W184" i="22"/>
  <c r="D121" i="24"/>
  <c r="D122" i="24"/>
  <c r="E123" i="24" s="1"/>
  <c r="F124" i="24" s="1"/>
  <c r="P9" i="22"/>
  <c r="P10" i="22"/>
  <c r="P11" i="22"/>
  <c r="P12" i="22"/>
  <c r="P13" i="22"/>
  <c r="P14" i="22"/>
  <c r="P15" i="22"/>
  <c r="P16" i="22"/>
  <c r="P17" i="22"/>
  <c r="P18" i="22"/>
  <c r="P19" i="22"/>
  <c r="P20" i="22"/>
  <c r="P21" i="22"/>
  <c r="P22" i="22"/>
  <c r="P23" i="22"/>
  <c r="P24" i="22"/>
  <c r="P25" i="22"/>
  <c r="P26" i="22"/>
  <c r="P27" i="22"/>
  <c r="P28" i="22"/>
  <c r="P29" i="22"/>
  <c r="P30" i="22"/>
  <c r="P31" i="22"/>
  <c r="P32" i="22"/>
  <c r="P33" i="22"/>
  <c r="P34" i="22"/>
  <c r="P35" i="22"/>
  <c r="P36" i="22"/>
  <c r="P37" i="22"/>
  <c r="P38" i="22"/>
  <c r="P39" i="22"/>
  <c r="P40" i="22"/>
  <c r="P41" i="22"/>
  <c r="P42" i="22"/>
  <c r="P43" i="22"/>
  <c r="P44" i="22"/>
  <c r="P45" i="22"/>
  <c r="P46" i="22"/>
  <c r="P47" i="22"/>
  <c r="P48" i="22"/>
  <c r="P49" i="22"/>
  <c r="P50" i="22"/>
  <c r="P51" i="22"/>
  <c r="P52" i="22"/>
  <c r="P53" i="22"/>
  <c r="P54" i="22"/>
  <c r="P55" i="22"/>
  <c r="P56" i="22"/>
  <c r="P57" i="22"/>
  <c r="P58" i="22"/>
  <c r="P59" i="22"/>
  <c r="P60" i="22"/>
  <c r="P61" i="22"/>
  <c r="P62" i="22"/>
  <c r="P63" i="22"/>
  <c r="P64" i="22"/>
  <c r="P65" i="22"/>
  <c r="P66" i="22"/>
  <c r="P67" i="22"/>
  <c r="P68" i="22"/>
  <c r="P69" i="22"/>
  <c r="P70" i="22"/>
  <c r="P71" i="22"/>
  <c r="P72" i="22"/>
  <c r="P73" i="22"/>
  <c r="P74" i="22"/>
  <c r="P75" i="22"/>
  <c r="P76" i="22"/>
  <c r="P77" i="22"/>
  <c r="P78" i="22"/>
  <c r="P79" i="22"/>
  <c r="P80" i="22"/>
  <c r="P81" i="22"/>
  <c r="P82" i="22"/>
  <c r="P83" i="22"/>
  <c r="P84" i="22"/>
  <c r="P85" i="22"/>
  <c r="P86" i="22"/>
  <c r="P87" i="22"/>
  <c r="P88" i="22"/>
  <c r="P89" i="22"/>
  <c r="P90" i="22"/>
  <c r="P91" i="22"/>
  <c r="P92" i="22"/>
  <c r="P93" i="22"/>
  <c r="P94" i="22"/>
  <c r="P95" i="22"/>
  <c r="P96" i="22"/>
  <c r="P97" i="22"/>
  <c r="P98" i="22"/>
  <c r="P99" i="22"/>
  <c r="P100" i="22"/>
  <c r="P101" i="22"/>
  <c r="P102" i="22"/>
  <c r="P103" i="22"/>
  <c r="P104" i="22"/>
  <c r="P105" i="22"/>
  <c r="P106" i="22"/>
  <c r="P107" i="22"/>
  <c r="P108" i="22"/>
  <c r="P109" i="22"/>
  <c r="P110" i="22"/>
  <c r="P111" i="22"/>
  <c r="P112" i="22"/>
  <c r="P113" i="22"/>
  <c r="P114" i="22"/>
  <c r="P115" i="22"/>
  <c r="P116" i="22"/>
  <c r="P117" i="22"/>
  <c r="P118" i="22"/>
  <c r="P119" i="22"/>
  <c r="P120" i="22"/>
  <c r="P121" i="22"/>
  <c r="P122" i="22"/>
  <c r="P123" i="22"/>
  <c r="P124" i="22"/>
  <c r="P125" i="22"/>
  <c r="P126" i="22"/>
  <c r="P127" i="22"/>
  <c r="P128" i="22"/>
  <c r="P129" i="22"/>
  <c r="P130" i="22"/>
  <c r="P131" i="22"/>
  <c r="P132" i="22"/>
  <c r="P133" i="22"/>
  <c r="P134" i="22"/>
  <c r="P135" i="22"/>
  <c r="P136" i="22"/>
  <c r="P137" i="22"/>
  <c r="P138" i="22"/>
  <c r="P139" i="22"/>
  <c r="P140" i="22"/>
  <c r="P141" i="22"/>
  <c r="P142" i="22"/>
  <c r="P143" i="22"/>
  <c r="P144" i="22"/>
  <c r="P145" i="22"/>
  <c r="P146" i="22"/>
  <c r="P147" i="22"/>
  <c r="P148" i="22"/>
  <c r="P149" i="22"/>
  <c r="P150" i="22"/>
  <c r="P151" i="22"/>
  <c r="P152" i="22"/>
  <c r="P153" i="22"/>
  <c r="P154" i="22"/>
  <c r="P155" i="22"/>
  <c r="P156" i="22"/>
  <c r="P157" i="22"/>
  <c r="P158" i="22"/>
  <c r="P159" i="22"/>
  <c r="P160" i="22"/>
  <c r="P161" i="22"/>
  <c r="P162" i="22"/>
  <c r="P163" i="22"/>
  <c r="P164" i="22"/>
  <c r="P165" i="22"/>
  <c r="P166" i="22"/>
  <c r="P167" i="22"/>
  <c r="P168" i="22"/>
  <c r="P169" i="22"/>
  <c r="P170" i="22"/>
  <c r="P171" i="22"/>
  <c r="P172" i="22"/>
  <c r="P173" i="22"/>
  <c r="P174" i="22"/>
  <c r="P175" i="22"/>
  <c r="P176" i="22"/>
  <c r="P177" i="22"/>
  <c r="P178" i="22"/>
  <c r="P179" i="22"/>
  <c r="P180" i="22"/>
  <c r="P181" i="22"/>
  <c r="P182" i="22"/>
  <c r="P183" i="22"/>
  <c r="P184" i="22"/>
  <c r="P8" i="22"/>
  <c r="W8" i="22"/>
  <c r="AR32" i="22"/>
  <c r="AR31" i="22"/>
  <c r="AR30" i="22"/>
  <c r="AR29" i="22"/>
  <c r="J165" i="24" l="1"/>
  <c r="J182" i="24"/>
  <c r="J87" i="24"/>
  <c r="J22" i="24"/>
  <c r="J48" i="24"/>
  <c r="J172" i="24"/>
  <c r="J154" i="24"/>
  <c r="J145" i="24"/>
  <c r="J92" i="24"/>
  <c r="BU126" i="24"/>
  <c r="BV126" i="24"/>
  <c r="J117" i="24"/>
  <c r="J70" i="24"/>
  <c r="J175" i="24"/>
  <c r="J155" i="24"/>
  <c r="J120" i="24"/>
  <c r="J13" i="24"/>
  <c r="J122" i="24"/>
  <c r="J183" i="24"/>
  <c r="J136" i="24"/>
  <c r="J43" i="24"/>
  <c r="BU125" i="24"/>
  <c r="BV125" i="24"/>
  <c r="J129" i="24"/>
  <c r="J82" i="24"/>
  <c r="J80" i="24"/>
  <c r="J167" i="24"/>
  <c r="J144" i="24"/>
  <c r="J25" i="24"/>
  <c r="J115" i="24"/>
  <c r="J52" i="24"/>
  <c r="J184" i="24"/>
  <c r="J30" i="24"/>
  <c r="J141" i="24"/>
  <c r="J94" i="24"/>
  <c r="J11" i="24"/>
  <c r="J50" i="24"/>
  <c r="J168" i="24"/>
  <c r="J37" i="24"/>
  <c r="J15" i="24"/>
  <c r="J88" i="24"/>
  <c r="J173" i="24"/>
  <c r="J54" i="24"/>
  <c r="J27" i="24"/>
  <c r="J124" i="24"/>
  <c r="J103" i="24"/>
  <c r="J78" i="24"/>
  <c r="J33" i="24"/>
  <c r="J177" i="24"/>
  <c r="J130" i="24"/>
  <c r="J59" i="24"/>
  <c r="J68" i="24"/>
  <c r="J85" i="24"/>
  <c r="J181" i="24"/>
  <c r="J51" i="24"/>
  <c r="J161" i="24"/>
  <c r="J17" i="24"/>
  <c r="J90" i="24"/>
  <c r="J45" i="24"/>
  <c r="J128" i="24"/>
  <c r="J142" i="24"/>
  <c r="J71" i="24"/>
  <c r="J24" i="24"/>
  <c r="J109" i="24"/>
  <c r="J62" i="24"/>
  <c r="J63" i="24"/>
  <c r="J79" i="24"/>
  <c r="J65" i="24"/>
  <c r="J102" i="24"/>
  <c r="J162" i="24"/>
  <c r="J81" i="24"/>
  <c r="J34" i="24"/>
  <c r="J178" i="24"/>
  <c r="J119" i="24"/>
  <c r="J60" i="24"/>
  <c r="J134" i="24"/>
  <c r="J127" i="24"/>
  <c r="J135" i="24"/>
  <c r="J176" i="24"/>
  <c r="J125" i="24"/>
  <c r="J19" i="24"/>
  <c r="J93" i="24"/>
  <c r="J46" i="24"/>
  <c r="J146" i="24"/>
  <c r="J131" i="24"/>
  <c r="J72" i="24"/>
  <c r="J163" i="24"/>
  <c r="J20" i="24"/>
  <c r="J159" i="24"/>
  <c r="J16" i="24"/>
  <c r="J149" i="24"/>
  <c r="J44" i="24"/>
  <c r="J105" i="24"/>
  <c r="J58" i="24"/>
  <c r="J67" i="24"/>
  <c r="J143" i="24"/>
  <c r="J96" i="24"/>
  <c r="J152" i="24"/>
  <c r="J14" i="24"/>
  <c r="J171" i="24"/>
  <c r="J76" i="24"/>
  <c r="J8" i="24"/>
  <c r="X4" i="24"/>
  <c r="Y76" i="24" s="1"/>
  <c r="Y91" i="24"/>
  <c r="Y115" i="24"/>
  <c r="J35" i="24"/>
  <c r="J179" i="24"/>
  <c r="J84" i="24"/>
  <c r="J133" i="24"/>
  <c r="J49" i="24"/>
  <c r="J116" i="24"/>
  <c r="J75" i="24"/>
  <c r="J100" i="24"/>
  <c r="J28" i="24"/>
  <c r="J29" i="24"/>
  <c r="J151" i="24"/>
  <c r="J126" i="24"/>
  <c r="J40" i="24"/>
  <c r="J41" i="24"/>
  <c r="J56" i="24"/>
  <c r="J138" i="24"/>
  <c r="J108" i="24"/>
  <c r="J169" i="24"/>
  <c r="J97" i="24"/>
  <c r="J74" i="24"/>
  <c r="J99" i="24"/>
  <c r="J148" i="24"/>
  <c r="J64" i="24"/>
  <c r="J53" i="24"/>
  <c r="J18" i="24"/>
  <c r="J150" i="24"/>
  <c r="P4" i="24"/>
  <c r="W184" i="24" s="1"/>
  <c r="W160" i="24"/>
  <c r="J83" i="24"/>
  <c r="J139" i="24"/>
  <c r="J132" i="24"/>
  <c r="J86" i="24"/>
  <c r="J157" i="24"/>
  <c r="J170" i="24"/>
  <c r="J123" i="24"/>
  <c r="J137" i="24"/>
  <c r="J112" i="24"/>
  <c r="J77" i="24"/>
  <c r="J42" i="24"/>
  <c r="J174" i="24"/>
  <c r="W30" i="24"/>
  <c r="W86" i="24"/>
  <c r="J12" i="24"/>
  <c r="J156" i="24"/>
  <c r="J55" i="24"/>
  <c r="J26" i="24"/>
  <c r="J164" i="24"/>
  <c r="J147" i="24"/>
  <c r="J31" i="24"/>
  <c r="J160" i="24"/>
  <c r="J101" i="24"/>
  <c r="J66" i="24"/>
  <c r="J91" i="24"/>
  <c r="W113" i="24"/>
  <c r="BS14" i="24"/>
  <c r="AD176" i="24"/>
  <c r="AD164" i="24"/>
  <c r="AD152" i="24"/>
  <c r="AD140" i="24"/>
  <c r="AD128" i="24"/>
  <c r="AB32" i="24"/>
  <c r="AD20" i="24"/>
  <c r="AD9" i="24"/>
  <c r="AD174" i="24"/>
  <c r="AD162" i="24"/>
  <c r="AD150" i="24"/>
  <c r="AD138" i="24"/>
  <c r="AD126" i="24"/>
  <c r="Z4" i="24"/>
  <c r="AA104" i="24" s="1"/>
  <c r="AD18" i="24"/>
  <c r="AD129" i="24"/>
  <c r="AD173" i="24"/>
  <c r="AD161" i="24"/>
  <c r="AD149" i="24"/>
  <c r="AD137" i="24"/>
  <c r="AD125" i="24"/>
  <c r="AD29" i="24"/>
  <c r="AD17" i="24"/>
  <c r="AD165" i="24"/>
  <c r="AD160" i="24"/>
  <c r="AD28" i="24"/>
  <c r="AD151" i="24"/>
  <c r="AD184" i="24"/>
  <c r="AD183" i="24"/>
  <c r="AD171" i="24"/>
  <c r="AD159" i="24"/>
  <c r="AD147" i="24"/>
  <c r="AD135" i="24"/>
  <c r="AD27" i="24"/>
  <c r="AD15" i="24"/>
  <c r="AD153" i="24"/>
  <c r="AD139" i="24"/>
  <c r="AD172" i="24"/>
  <c r="AD182" i="24"/>
  <c r="AD170" i="24"/>
  <c r="AD158" i="24"/>
  <c r="AD146" i="24"/>
  <c r="AD134" i="24"/>
  <c r="AB50" i="24"/>
  <c r="AB38" i="24"/>
  <c r="AD26" i="24"/>
  <c r="AD14" i="24"/>
  <c r="AD163" i="24"/>
  <c r="AD136" i="24"/>
  <c r="AD16" i="24"/>
  <c r="AD181" i="24"/>
  <c r="AD169" i="24"/>
  <c r="AD157" i="24"/>
  <c r="AD145" i="24"/>
  <c r="AD133" i="24"/>
  <c r="AD25" i="24"/>
  <c r="AD13" i="24"/>
  <c r="AD21" i="24"/>
  <c r="AD19" i="24"/>
  <c r="AD180" i="24"/>
  <c r="AD144" i="24"/>
  <c r="AD132" i="24"/>
  <c r="AD24" i="24"/>
  <c r="AD12" i="24"/>
  <c r="AD141" i="24"/>
  <c r="AD127" i="24"/>
  <c r="AD156" i="24"/>
  <c r="AD179" i="24"/>
  <c r="AD167" i="24"/>
  <c r="AD155" i="24"/>
  <c r="AD143" i="24"/>
  <c r="AD131" i="24"/>
  <c r="AB59" i="24"/>
  <c r="AD23" i="24"/>
  <c r="AD177" i="24"/>
  <c r="AD175" i="24"/>
  <c r="AD148" i="24"/>
  <c r="AD168" i="24"/>
  <c r="AD178" i="24"/>
  <c r="AD166" i="24"/>
  <c r="AD154" i="24"/>
  <c r="AD142" i="24"/>
  <c r="AD130" i="24"/>
  <c r="AD22" i="24"/>
  <c r="AD10" i="24"/>
  <c r="L36" i="24"/>
  <c r="L24" i="24"/>
  <c r="AC24" i="24" s="1"/>
  <c r="L12" i="24"/>
  <c r="AC12" i="24" s="1"/>
  <c r="BS27" i="24"/>
  <c r="L39" i="24"/>
  <c r="BS39" i="24"/>
  <c r="AB20" i="24"/>
  <c r="AX12" i="24"/>
  <c r="AB35" i="24"/>
  <c r="AB11" i="24"/>
  <c r="AD11" i="24"/>
  <c r="AX60" i="24"/>
  <c r="AB47" i="24"/>
  <c r="AB26" i="24"/>
  <c r="AB23" i="24"/>
  <c r="AX61" i="24"/>
  <c r="AY61" i="24"/>
  <c r="AG121" i="24"/>
  <c r="AG124" i="24"/>
  <c r="AH125" i="24" s="1"/>
  <c r="AI126" i="24" s="1"/>
  <c r="Q124" i="23"/>
  <c r="AG123" i="24"/>
  <c r="U123" i="22"/>
  <c r="AG122" i="24"/>
  <c r="AX49" i="24"/>
  <c r="AB53" i="24"/>
  <c r="AB41" i="24"/>
  <c r="AB29" i="24"/>
  <c r="AX57" i="24"/>
  <c r="L33" i="24"/>
  <c r="M33" i="24" s="1"/>
  <c r="AY21" i="24"/>
  <c r="L9" i="24"/>
  <c r="AB52" i="24"/>
  <c r="AB40" i="24"/>
  <c r="AB28" i="24"/>
  <c r="AB16" i="24"/>
  <c r="AX32" i="24"/>
  <c r="AY20" i="24"/>
  <c r="AX8" i="24"/>
  <c r="AB18" i="24"/>
  <c r="AX10" i="24"/>
  <c r="AB51" i="24"/>
  <c r="AB27" i="24"/>
  <c r="AB15" i="24"/>
  <c r="AY43" i="24"/>
  <c r="AY31" i="24"/>
  <c r="AY19" i="24"/>
  <c r="AB54" i="24"/>
  <c r="L10" i="24"/>
  <c r="AC10" i="24" s="1"/>
  <c r="AY58" i="24"/>
  <c r="AB25" i="24"/>
  <c r="AX22" i="24"/>
  <c r="AB60" i="24"/>
  <c r="AB48" i="24"/>
  <c r="AX52" i="24"/>
  <c r="AY16" i="24"/>
  <c r="AO61" i="24"/>
  <c r="L34" i="24"/>
  <c r="AO16" i="24"/>
  <c r="L27" i="24"/>
  <c r="AB58" i="24"/>
  <c r="AB46" i="24"/>
  <c r="AB22" i="24"/>
  <c r="AY50" i="24"/>
  <c r="L38" i="24"/>
  <c r="L26" i="24"/>
  <c r="L14" i="24"/>
  <c r="AO21" i="24"/>
  <c r="AB61" i="24"/>
  <c r="AB45" i="24"/>
  <c r="AB9" i="24"/>
  <c r="AO45" i="24"/>
  <c r="AY10" i="24"/>
  <c r="L22" i="24"/>
  <c r="AC22" i="24" s="1"/>
  <c r="AB8" i="24"/>
  <c r="AO10" i="24"/>
  <c r="AB49" i="24"/>
  <c r="AX53" i="24"/>
  <c r="AX46" i="24"/>
  <c r="AX17" i="24"/>
  <c r="L15" i="24"/>
  <c r="AC15" i="24" s="1"/>
  <c r="AB55" i="24"/>
  <c r="AB31" i="24"/>
  <c r="AB19" i="24"/>
  <c r="AY35" i="24"/>
  <c r="L23" i="24"/>
  <c r="AC23" i="24" s="1"/>
  <c r="AX11" i="24"/>
  <c r="AO56" i="24"/>
  <c r="AO18" i="24"/>
  <c r="AL53" i="24"/>
  <c r="AO53" i="24"/>
  <c r="AL41" i="24"/>
  <c r="AO41" i="24"/>
  <c r="AL29" i="24"/>
  <c r="AO29" i="24"/>
  <c r="AL17" i="24"/>
  <c r="AO17" i="24"/>
  <c r="AO28" i="24"/>
  <c r="AO30" i="24"/>
  <c r="AO57" i="24"/>
  <c r="AO22" i="24"/>
  <c r="AO14" i="24"/>
  <c r="AO40" i="24"/>
  <c r="AO42" i="24"/>
  <c r="AO19" i="24"/>
  <c r="AO34" i="24"/>
  <c r="AO26" i="24"/>
  <c r="AO52" i="24"/>
  <c r="AO31" i="24"/>
  <c r="AO54" i="24"/>
  <c r="AO43" i="24"/>
  <c r="AO47" i="24"/>
  <c r="AO46" i="24"/>
  <c r="AO35" i="24"/>
  <c r="AO38" i="24"/>
  <c r="AO55" i="24"/>
  <c r="AO58" i="24"/>
  <c r="AO11" i="24"/>
  <c r="AO50" i="24"/>
  <c r="AO15" i="24"/>
  <c r="AO59" i="24"/>
  <c r="AO48" i="24"/>
  <c r="AO23" i="24"/>
  <c r="AO27" i="24"/>
  <c r="AO60" i="24"/>
  <c r="AO36" i="24"/>
  <c r="AO39" i="24"/>
  <c r="AO25" i="24"/>
  <c r="AO51" i="24"/>
  <c r="AO24" i="24"/>
  <c r="AO12" i="24"/>
  <c r="AO37" i="24"/>
  <c r="AO8" i="24"/>
  <c r="AO9" i="24"/>
  <c r="AO13" i="24"/>
  <c r="AO20" i="24"/>
  <c r="AO44" i="24"/>
  <c r="AO32" i="24"/>
  <c r="AO49" i="24"/>
  <c r="AO33" i="24"/>
  <c r="AX20" i="24"/>
  <c r="L17" i="24"/>
  <c r="AC17" i="24" s="1"/>
  <c r="L41" i="24"/>
  <c r="L29" i="24"/>
  <c r="AC29" i="24" s="1"/>
  <c r="L31" i="24"/>
  <c r="AY32" i="24"/>
  <c r="AY14" i="24"/>
  <c r="E49" i="24"/>
  <c r="G49" i="24" s="1"/>
  <c r="E58" i="24"/>
  <c r="G58" i="24" s="1"/>
  <c r="E46" i="24"/>
  <c r="G46" i="24" s="1"/>
  <c r="E34" i="24"/>
  <c r="AD34" i="24" s="1"/>
  <c r="E56" i="24"/>
  <c r="G56" i="24" s="1"/>
  <c r="E44" i="24"/>
  <c r="G44" i="24" s="1"/>
  <c r="E32" i="24"/>
  <c r="G32" i="24" s="1"/>
  <c r="BH37" i="24"/>
  <c r="BG37" i="24"/>
  <c r="L18" i="24"/>
  <c r="AC18" i="24" s="1"/>
  <c r="BH55" i="24"/>
  <c r="BG55" i="24"/>
  <c r="BH43" i="24"/>
  <c r="BG43" i="24"/>
  <c r="BH25" i="24"/>
  <c r="BG25" i="24"/>
  <c r="BH17" i="24"/>
  <c r="BG17" i="24"/>
  <c r="BH54" i="24"/>
  <c r="BG54" i="24"/>
  <c r="BH42" i="24"/>
  <c r="BG42" i="24"/>
  <c r="BH36" i="24"/>
  <c r="BG36" i="24"/>
  <c r="BH24" i="24"/>
  <c r="BG24" i="24"/>
  <c r="BH16" i="24"/>
  <c r="BG16" i="24"/>
  <c r="E122" i="24"/>
  <c r="F123" i="24" s="1"/>
  <c r="BH15" i="24"/>
  <c r="BG15" i="24"/>
  <c r="BH52" i="24"/>
  <c r="BG52" i="24"/>
  <c r="BH40" i="24"/>
  <c r="BG40" i="24"/>
  <c r="BH34" i="24"/>
  <c r="BG34" i="24"/>
  <c r="BH22" i="24"/>
  <c r="BG22" i="24"/>
  <c r="BH14" i="24"/>
  <c r="BG14" i="24"/>
  <c r="E60" i="24"/>
  <c r="AD60" i="24" s="1"/>
  <c r="E48" i="24"/>
  <c r="AD48" i="24" s="1"/>
  <c r="E36" i="24"/>
  <c r="BH61" i="24"/>
  <c r="BG61" i="24"/>
  <c r="BH51" i="24"/>
  <c r="BG51" i="24"/>
  <c r="BH33" i="24"/>
  <c r="BG33" i="24"/>
  <c r="BH21" i="24"/>
  <c r="BG21" i="24"/>
  <c r="BH13" i="24"/>
  <c r="BG13" i="24"/>
  <c r="AM8" i="24"/>
  <c r="BH50" i="24"/>
  <c r="BG50" i="24"/>
  <c r="BH32" i="24"/>
  <c r="BG32" i="24"/>
  <c r="BH20" i="24"/>
  <c r="BG20" i="24"/>
  <c r="BH12" i="24"/>
  <c r="BG12" i="24"/>
  <c r="BH53" i="24"/>
  <c r="BG53" i="24"/>
  <c r="BH49" i="24"/>
  <c r="BG49" i="24"/>
  <c r="BH31" i="24"/>
  <c r="BG31" i="24"/>
  <c r="BH19" i="24"/>
  <c r="BG19" i="24"/>
  <c r="BH11" i="24"/>
  <c r="BG11" i="24"/>
  <c r="BH41" i="24"/>
  <c r="BG41" i="24"/>
  <c r="BH23" i="24"/>
  <c r="BG23" i="24"/>
  <c r="BH59" i="24"/>
  <c r="BG59" i="24"/>
  <c r="BH47" i="24"/>
  <c r="BG47" i="24"/>
  <c r="BH29" i="24"/>
  <c r="BG29" i="24"/>
  <c r="BH18" i="24"/>
  <c r="BG18" i="24"/>
  <c r="BH9" i="24"/>
  <c r="BG9" i="24"/>
  <c r="BH35" i="24"/>
  <c r="BG35" i="24"/>
  <c r="BH10" i="24"/>
  <c r="BG10" i="24"/>
  <c r="BH58" i="24"/>
  <c r="BG58" i="24"/>
  <c r="BH46" i="24"/>
  <c r="BG46" i="24"/>
  <c r="BH28" i="24"/>
  <c r="BG28" i="24"/>
  <c r="BH8" i="24"/>
  <c r="BG8" i="24"/>
  <c r="L43" i="24"/>
  <c r="BH30" i="24"/>
  <c r="BG30" i="24"/>
  <c r="BH57" i="24"/>
  <c r="BG57" i="24"/>
  <c r="BH45" i="24"/>
  <c r="BG45" i="24"/>
  <c r="BH39" i="24"/>
  <c r="BG39" i="24"/>
  <c r="BH27" i="24"/>
  <c r="BG27" i="24"/>
  <c r="L44" i="24"/>
  <c r="L8" i="24"/>
  <c r="BH48" i="24"/>
  <c r="BG48" i="24"/>
  <c r="BH60" i="24"/>
  <c r="BG60" i="24"/>
  <c r="BH56" i="24"/>
  <c r="BG56" i="24"/>
  <c r="BH44" i="24"/>
  <c r="BG44" i="24"/>
  <c r="BH38" i="24"/>
  <c r="BG38" i="24"/>
  <c r="BH26" i="24"/>
  <c r="BG26" i="24"/>
  <c r="AM9" i="24"/>
  <c r="AM59" i="24"/>
  <c r="AM47" i="24"/>
  <c r="AM30" i="24"/>
  <c r="L20" i="24"/>
  <c r="AC20" i="24" s="1"/>
  <c r="AM58" i="24"/>
  <c r="AM46" i="24"/>
  <c r="AM36" i="24"/>
  <c r="AM29" i="24"/>
  <c r="AM17" i="24"/>
  <c r="AM31" i="24"/>
  <c r="AM60" i="24"/>
  <c r="AM57" i="24"/>
  <c r="AM45" i="24"/>
  <c r="AY23" i="24"/>
  <c r="AM19" i="24"/>
  <c r="AM28" i="24"/>
  <c r="AM16" i="24"/>
  <c r="L35" i="24"/>
  <c r="AM21" i="24"/>
  <c r="AM56" i="24"/>
  <c r="AM44" i="24"/>
  <c r="AM39" i="24"/>
  <c r="AM27" i="24"/>
  <c r="AM18" i="24"/>
  <c r="AM15" i="24"/>
  <c r="E61" i="24"/>
  <c r="AD61" i="24" s="1"/>
  <c r="AM50" i="24"/>
  <c r="AM33" i="24"/>
  <c r="AM48" i="24"/>
  <c r="AM55" i="24"/>
  <c r="AM43" i="24"/>
  <c r="AM38" i="24"/>
  <c r="AM26" i="24"/>
  <c r="BT8" i="24"/>
  <c r="AM14" i="24"/>
  <c r="L32" i="24"/>
  <c r="AM54" i="24"/>
  <c r="AM42" i="24"/>
  <c r="AM37" i="24"/>
  <c r="AM25" i="24"/>
  <c r="AM13" i="24"/>
  <c r="L11" i="24"/>
  <c r="AC11" i="24" s="1"/>
  <c r="AM41" i="24"/>
  <c r="AM12" i="24"/>
  <c r="AM53" i="24"/>
  <c r="AM61" i="24"/>
  <c r="BS44" i="24"/>
  <c r="AM52" i="24"/>
  <c r="AM40" i="24"/>
  <c r="AM35" i="24"/>
  <c r="AM23" i="24"/>
  <c r="AM11" i="24"/>
  <c r="E53" i="24"/>
  <c r="G53" i="24" s="1"/>
  <c r="E41" i="24"/>
  <c r="G41" i="24" s="1"/>
  <c r="AM24" i="24"/>
  <c r="AM51" i="24"/>
  <c r="AM34" i="24"/>
  <c r="AM22" i="24"/>
  <c r="AM10" i="24"/>
  <c r="AM49" i="24"/>
  <c r="AX23" i="24"/>
  <c r="AM32" i="24"/>
  <c r="AM20" i="24"/>
  <c r="E51" i="24"/>
  <c r="G51" i="24" s="1"/>
  <c r="E39" i="24"/>
  <c r="AC39" i="24" s="1"/>
  <c r="L30" i="24"/>
  <c r="BT42" i="24"/>
  <c r="BT30" i="24"/>
  <c r="AY9" i="24"/>
  <c r="E55" i="24"/>
  <c r="G55" i="24" s="1"/>
  <c r="E43" i="24"/>
  <c r="G43" i="24" s="1"/>
  <c r="E31" i="24"/>
  <c r="G31" i="24" s="1"/>
  <c r="L42" i="24"/>
  <c r="BS18" i="24"/>
  <c r="E57" i="24"/>
  <c r="AD57" i="24" s="1"/>
  <c r="L40" i="24"/>
  <c r="L28" i="24"/>
  <c r="L37" i="24"/>
  <c r="L25" i="24"/>
  <c r="AC25" i="24" s="1"/>
  <c r="L13" i="24"/>
  <c r="AC13" i="24" s="1"/>
  <c r="E52" i="24"/>
  <c r="G52" i="24" s="1"/>
  <c r="E40" i="24"/>
  <c r="G40" i="24" s="1"/>
  <c r="AX33" i="24"/>
  <c r="E30" i="24"/>
  <c r="AD30" i="24" s="1"/>
  <c r="E50" i="24"/>
  <c r="G50" i="24" s="1"/>
  <c r="E38" i="24"/>
  <c r="G38" i="24" s="1"/>
  <c r="E45" i="24"/>
  <c r="G45" i="24" s="1"/>
  <c r="L21" i="24"/>
  <c r="AC21" i="24" s="1"/>
  <c r="E37" i="24"/>
  <c r="AD37" i="24" s="1"/>
  <c r="L19" i="24"/>
  <c r="AC19" i="24" s="1"/>
  <c r="E59" i="24"/>
  <c r="AD59" i="24" s="1"/>
  <c r="E47" i="24"/>
  <c r="G47" i="24" s="1"/>
  <c r="E35" i="24"/>
  <c r="AD35" i="24" s="1"/>
  <c r="E33" i="24"/>
  <c r="AD33" i="24" s="1"/>
  <c r="E54" i="24"/>
  <c r="AD54" i="24" s="1"/>
  <c r="E42" i="24"/>
  <c r="AD42" i="24" s="1"/>
  <c r="BT13" i="24"/>
  <c r="AX40" i="24"/>
  <c r="BT37" i="24"/>
  <c r="BT25" i="24"/>
  <c r="L16" i="24"/>
  <c r="AC16" i="24" s="1"/>
  <c r="AB42" i="24"/>
  <c r="G29" i="24"/>
  <c r="G28" i="24"/>
  <c r="G18" i="24"/>
  <c r="BS29" i="24"/>
  <c r="BS13" i="24"/>
  <c r="AB17" i="24"/>
  <c r="AX14" i="24"/>
  <c r="AB14" i="24"/>
  <c r="L55" i="24"/>
  <c r="AB10" i="24"/>
  <c r="AY22" i="24"/>
  <c r="AB37" i="24"/>
  <c r="AB34" i="24"/>
  <c r="BT43" i="24"/>
  <c r="AY46" i="24"/>
  <c r="AX58" i="24"/>
  <c r="BS47" i="24"/>
  <c r="BS37" i="24"/>
  <c r="BS40" i="24"/>
  <c r="AY41" i="24"/>
  <c r="BT20" i="24"/>
  <c r="AY28" i="24"/>
  <c r="AB39" i="24"/>
  <c r="BT17" i="24"/>
  <c r="BT59" i="24"/>
  <c r="AX55" i="24"/>
  <c r="AX35" i="24"/>
  <c r="BT10" i="24"/>
  <c r="AX9" i="24"/>
  <c r="BT9" i="24"/>
  <c r="BS52" i="24"/>
  <c r="AB57" i="24"/>
  <c r="BT32" i="24"/>
  <c r="AY11" i="24"/>
  <c r="BS49" i="24"/>
  <c r="BS8" i="24"/>
  <c r="BS55" i="24"/>
  <c r="AX43" i="24"/>
  <c r="BS34" i="24"/>
  <c r="BT16" i="24"/>
  <c r="AY13" i="24"/>
  <c r="AX16" i="24"/>
  <c r="BT15" i="24"/>
  <c r="AY12" i="24"/>
  <c r="L59" i="24"/>
  <c r="AB44" i="24"/>
  <c r="AD8" i="24"/>
  <c r="BT61" i="24"/>
  <c r="AB43" i="24"/>
  <c r="BS25" i="24"/>
  <c r="AX21" i="24"/>
  <c r="AB33" i="24"/>
  <c r="AB13" i="24"/>
  <c r="AB12" i="24"/>
  <c r="BT53" i="24"/>
  <c r="AY55" i="24"/>
  <c r="M39" i="24"/>
  <c r="BT11" i="24"/>
  <c r="AY8" i="24"/>
  <c r="BT18" i="24"/>
  <c r="AY17" i="24"/>
  <c r="AB21" i="24"/>
  <c r="AY15" i="24"/>
  <c r="BS28" i="24"/>
  <c r="AX30" i="24"/>
  <c r="M36" i="24"/>
  <c r="M24" i="24"/>
  <c r="AB30" i="24"/>
  <c r="AY53" i="24"/>
  <c r="AY25" i="24"/>
  <c r="AY52" i="24"/>
  <c r="AX27" i="24"/>
  <c r="AY51" i="24"/>
  <c r="BS24" i="24"/>
  <c r="AX25" i="24"/>
  <c r="BT56" i="24"/>
  <c r="BS50" i="24"/>
  <c r="L47" i="24"/>
  <c r="BT22" i="24"/>
  <c r="AY18" i="24"/>
  <c r="L57" i="24"/>
  <c r="L45" i="24"/>
  <c r="L56" i="24"/>
  <c r="AX39" i="24"/>
  <c r="BT45" i="24"/>
  <c r="AY40" i="24"/>
  <c r="BS36" i="24"/>
  <c r="AY33" i="24"/>
  <c r="AX37" i="24"/>
  <c r="AX19" i="24"/>
  <c r="BT54" i="24"/>
  <c r="BS58" i="24"/>
  <c r="BT38" i="24"/>
  <c r="BT26" i="24"/>
  <c r="BS35" i="24"/>
  <c r="BS23" i="24"/>
  <c r="AY29" i="24"/>
  <c r="AX38" i="24"/>
  <c r="AX26" i="24"/>
  <c r="AY48" i="24"/>
  <c r="AB56" i="24"/>
  <c r="BS33" i="24"/>
  <c r="BS21" i="24"/>
  <c r="AY39" i="24"/>
  <c r="AY27" i="24"/>
  <c r="AX36" i="24"/>
  <c r="AX24" i="24"/>
  <c r="AB36" i="24"/>
  <c r="AB24" i="24"/>
  <c r="AY38" i="24"/>
  <c r="AY26" i="24"/>
  <c r="AY45" i="24"/>
  <c r="AX45" i="24"/>
  <c r="L51" i="24"/>
  <c r="BS31" i="24"/>
  <c r="BS19" i="24"/>
  <c r="AX34" i="24"/>
  <c r="L50" i="24"/>
  <c r="AY36" i="24"/>
  <c r="AY24" i="24"/>
  <c r="BS48" i="24"/>
  <c r="AY42" i="24"/>
  <c r="AX42" i="24"/>
  <c r="L49" i="24"/>
  <c r="L48" i="24"/>
  <c r="AY34" i="24"/>
  <c r="AX31" i="24"/>
  <c r="BS46" i="24"/>
  <c r="BT41" i="24"/>
  <c r="L58" i="24"/>
  <c r="L46" i="24"/>
  <c r="AY54" i="24"/>
  <c r="AX50" i="24"/>
  <c r="L54" i="24"/>
  <c r="BT57" i="24"/>
  <c r="L53" i="24"/>
  <c r="L52" i="24"/>
  <c r="BS51" i="24"/>
  <c r="AX59" i="24"/>
  <c r="AX47" i="24"/>
  <c r="AX56" i="24"/>
  <c r="AX44" i="24"/>
  <c r="AY47" i="24"/>
  <c r="BT60" i="24"/>
  <c r="AY57" i="24"/>
  <c r="AY56" i="24"/>
  <c r="AY44" i="24"/>
  <c r="L60" i="24"/>
  <c r="L61" i="24"/>
  <c r="J281" i="23"/>
  <c r="M281" i="23"/>
  <c r="L190" i="23"/>
  <c r="I246" i="23"/>
  <c r="J246" i="23" s="1"/>
  <c r="X231" i="23"/>
  <c r="W224" i="23"/>
  <c r="X276" i="23"/>
  <c r="AH271" i="23"/>
  <c r="X265" i="23"/>
  <c r="AH256" i="23"/>
  <c r="X254" i="23"/>
  <c r="AH248" i="23"/>
  <c r="N247" i="23"/>
  <c r="W281" i="23"/>
  <c r="L220" i="23"/>
  <c r="AH280" i="23"/>
  <c r="N280" i="23"/>
  <c r="L214" i="23"/>
  <c r="L191" i="23"/>
  <c r="W244" i="23"/>
  <c r="W230" i="23"/>
  <c r="I274" i="23"/>
  <c r="J274" i="23" s="1"/>
  <c r="AH270" i="23"/>
  <c r="I268" i="23"/>
  <c r="J268" i="23" s="1"/>
  <c r="AH259" i="23"/>
  <c r="X253" i="23"/>
  <c r="AH247" i="23"/>
  <c r="N237" i="23"/>
  <c r="I273" i="23"/>
  <c r="M273" i="23" s="1"/>
  <c r="I264" i="23"/>
  <c r="N258" i="23"/>
  <c r="N250" i="23"/>
  <c r="N57" i="23"/>
  <c r="N215" i="23"/>
  <c r="N245" i="23"/>
  <c r="AH225" i="23"/>
  <c r="I269" i="23"/>
  <c r="M269" i="23" s="1"/>
  <c r="I260" i="23"/>
  <c r="N254" i="23"/>
  <c r="N281" i="23"/>
  <c r="X242" i="23"/>
  <c r="N272" i="23"/>
  <c r="I265" i="23"/>
  <c r="M265" i="23" s="1"/>
  <c r="I262" i="23"/>
  <c r="I256" i="23"/>
  <c r="I248" i="23"/>
  <c r="J248" i="23" s="1"/>
  <c r="N53" i="23"/>
  <c r="N36" i="23"/>
  <c r="L199" i="23"/>
  <c r="AG232" i="23"/>
  <c r="X227" i="23"/>
  <c r="AH224" i="23"/>
  <c r="AH276" i="23"/>
  <c r="X274" i="23"/>
  <c r="I261" i="23"/>
  <c r="M261" i="23" s="1"/>
  <c r="I252" i="23"/>
  <c r="I280" i="23"/>
  <c r="I254" i="23"/>
  <c r="J254" i="23" s="1"/>
  <c r="AG230" i="23"/>
  <c r="I226" i="23"/>
  <c r="J226" i="23" s="1"/>
  <c r="X277" i="23"/>
  <c r="N271" i="23"/>
  <c r="AH268" i="23"/>
  <c r="X266" i="23"/>
  <c r="N260" i="23"/>
  <c r="I253" i="23"/>
  <c r="M253" i="23" s="1"/>
  <c r="AH244" i="23"/>
  <c r="AH279" i="23"/>
  <c r="X273" i="23"/>
  <c r="AH264" i="23"/>
  <c r="X262" i="23"/>
  <c r="N248" i="23"/>
  <c r="J262" i="23"/>
  <c r="M262" i="23"/>
  <c r="J256" i="23"/>
  <c r="M256" i="23"/>
  <c r="J258" i="23"/>
  <c r="M258" i="23"/>
  <c r="J252" i="23"/>
  <c r="M252" i="23"/>
  <c r="J250" i="23"/>
  <c r="M250" i="23"/>
  <c r="J260" i="23"/>
  <c r="M260" i="23"/>
  <c r="J266" i="23"/>
  <c r="M266" i="23"/>
  <c r="J276" i="23"/>
  <c r="M276" i="23"/>
  <c r="J222" i="23"/>
  <c r="M222" i="23"/>
  <c r="J278" i="23"/>
  <c r="M278" i="23"/>
  <c r="J272" i="23"/>
  <c r="M272" i="23"/>
  <c r="J270" i="23"/>
  <c r="M270" i="23"/>
  <c r="J264" i="23"/>
  <c r="M264" i="23"/>
  <c r="I210" i="23"/>
  <c r="J210" i="23" s="1"/>
  <c r="I194" i="23"/>
  <c r="J194" i="23" s="1"/>
  <c r="W240" i="23"/>
  <c r="AG238" i="23"/>
  <c r="I238" i="23"/>
  <c r="J238" i="23" s="1"/>
  <c r="W232" i="23"/>
  <c r="W228" i="23"/>
  <c r="X223" i="23"/>
  <c r="AG278" i="23"/>
  <c r="J277" i="23"/>
  <c r="W276" i="23"/>
  <c r="AG274" i="23"/>
  <c r="W272" i="23"/>
  <c r="AG270" i="23"/>
  <c r="J269" i="23"/>
  <c r="W268" i="23"/>
  <c r="AG266" i="23"/>
  <c r="J265" i="23"/>
  <c r="W264" i="23"/>
  <c r="AG262" i="23"/>
  <c r="J261" i="23"/>
  <c r="W260" i="23"/>
  <c r="AG258" i="23"/>
  <c r="J257" i="23"/>
  <c r="W256" i="23"/>
  <c r="AG254" i="23"/>
  <c r="J253" i="23"/>
  <c r="W252" i="23"/>
  <c r="AG250" i="23"/>
  <c r="J249" i="23"/>
  <c r="W248" i="23"/>
  <c r="N33" i="23"/>
  <c r="X246" i="23"/>
  <c r="I243" i="23"/>
  <c r="J243" i="23" s="1"/>
  <c r="AH241" i="23"/>
  <c r="I235" i="23"/>
  <c r="AH233" i="23"/>
  <c r="AH229" i="23"/>
  <c r="X226" i="23"/>
  <c r="W222" i="23"/>
  <c r="N32" i="23"/>
  <c r="L216" i="23"/>
  <c r="I239" i="23"/>
  <c r="AH237" i="23"/>
  <c r="I244" i="23"/>
  <c r="L231" i="23"/>
  <c r="N45" i="23"/>
  <c r="N187" i="23"/>
  <c r="I240" i="23"/>
  <c r="I279" i="23"/>
  <c r="I275" i="23"/>
  <c r="I271" i="23"/>
  <c r="I267" i="23"/>
  <c r="I263" i="23"/>
  <c r="I259" i="23"/>
  <c r="I255" i="23"/>
  <c r="I251" i="23"/>
  <c r="I247" i="23"/>
  <c r="L219" i="23"/>
  <c r="L203" i="23"/>
  <c r="I223" i="23"/>
  <c r="J223" i="23" s="1"/>
  <c r="X279" i="23"/>
  <c r="AH277" i="23"/>
  <c r="N277" i="23"/>
  <c r="X275" i="23"/>
  <c r="AH273" i="23"/>
  <c r="N273" i="23"/>
  <c r="X271" i="23"/>
  <c r="AH269" i="23"/>
  <c r="N269" i="23"/>
  <c r="X267" i="23"/>
  <c r="AH265" i="23"/>
  <c r="N265" i="23"/>
  <c r="X263" i="23"/>
  <c r="AH261" i="23"/>
  <c r="N261" i="23"/>
  <c r="X259" i="23"/>
  <c r="AH257" i="23"/>
  <c r="N257" i="23"/>
  <c r="X255" i="23"/>
  <c r="AH253" i="23"/>
  <c r="N253" i="23"/>
  <c r="X251" i="23"/>
  <c r="AH249" i="23"/>
  <c r="N249" i="23"/>
  <c r="X247" i="23"/>
  <c r="N211" i="23"/>
  <c r="N210" i="23"/>
  <c r="N195" i="23"/>
  <c r="N194" i="23"/>
  <c r="I231" i="23"/>
  <c r="I227" i="23"/>
  <c r="J227" i="23" s="1"/>
  <c r="AG222" i="23"/>
  <c r="L212" i="23"/>
  <c r="L196" i="23"/>
  <c r="AG246" i="23"/>
  <c r="AG226" i="23"/>
  <c r="M243" i="23"/>
  <c r="J235" i="23"/>
  <c r="M235" i="23"/>
  <c r="J239" i="23"/>
  <c r="M239" i="23"/>
  <c r="J231" i="23"/>
  <c r="M231" i="23"/>
  <c r="M227" i="23"/>
  <c r="N60" i="23"/>
  <c r="N44" i="23"/>
  <c r="W243" i="23"/>
  <c r="W239" i="23"/>
  <c r="W235" i="23"/>
  <c r="N59" i="23"/>
  <c r="N42" i="23"/>
  <c r="I214" i="23"/>
  <c r="J214" i="23" s="1"/>
  <c r="N202" i="23"/>
  <c r="I198" i="23"/>
  <c r="J198" i="23" s="1"/>
  <c r="I236" i="23"/>
  <c r="I232" i="23"/>
  <c r="I228" i="23"/>
  <c r="I224" i="23"/>
  <c r="N58" i="23"/>
  <c r="N40" i="23"/>
  <c r="N246" i="23"/>
  <c r="N242" i="23"/>
  <c r="N238" i="23"/>
  <c r="N234" i="23"/>
  <c r="N230" i="23"/>
  <c r="N226" i="23"/>
  <c r="N222" i="23"/>
  <c r="N39" i="23"/>
  <c r="M246" i="23"/>
  <c r="M242" i="23"/>
  <c r="M238" i="23"/>
  <c r="M234" i="23"/>
  <c r="M230" i="23"/>
  <c r="N54" i="23"/>
  <c r="N38" i="23"/>
  <c r="L221" i="23"/>
  <c r="L204" i="23"/>
  <c r="I202" i="23"/>
  <c r="J202" i="23" s="1"/>
  <c r="I245" i="23"/>
  <c r="I241" i="23"/>
  <c r="I237" i="23"/>
  <c r="I233" i="23"/>
  <c r="I229" i="23"/>
  <c r="I225" i="23"/>
  <c r="I218" i="23"/>
  <c r="J218" i="23" s="1"/>
  <c r="I190" i="23"/>
  <c r="J190" i="23" s="1"/>
  <c r="X245" i="23"/>
  <c r="AH243" i="23"/>
  <c r="N243" i="23"/>
  <c r="X241" i="23"/>
  <c r="AH239" i="23"/>
  <c r="N239" i="23"/>
  <c r="X237" i="23"/>
  <c r="AH235" i="23"/>
  <c r="N235" i="23"/>
  <c r="X233" i="23"/>
  <c r="AH231" i="23"/>
  <c r="X229" i="23"/>
  <c r="AH227" i="23"/>
  <c r="N227" i="23"/>
  <c r="X225" i="23"/>
  <c r="AH223" i="23"/>
  <c r="N223" i="23"/>
  <c r="N52" i="23"/>
  <c r="N207" i="23"/>
  <c r="N206" i="23"/>
  <c r="L192" i="23"/>
  <c r="AG231" i="23"/>
  <c r="AG227" i="23"/>
  <c r="AG223" i="23"/>
  <c r="N51" i="23"/>
  <c r="L208" i="23"/>
  <c r="N244" i="23"/>
  <c r="N240" i="23"/>
  <c r="N236" i="23"/>
  <c r="N232" i="23"/>
  <c r="N228" i="23"/>
  <c r="N224" i="23"/>
  <c r="N47" i="23"/>
  <c r="N30" i="23"/>
  <c r="I206" i="23"/>
  <c r="J206" i="23" s="1"/>
  <c r="N50" i="23"/>
  <c r="N46" i="23"/>
  <c r="I186" i="23"/>
  <c r="J186" i="23" s="1"/>
  <c r="AH220" i="23"/>
  <c r="X218" i="23"/>
  <c r="AH216" i="23"/>
  <c r="X214" i="23"/>
  <c r="AH212" i="23"/>
  <c r="X210" i="23"/>
  <c r="AH208" i="23"/>
  <c r="X206" i="23"/>
  <c r="AH204" i="23"/>
  <c r="X202" i="23"/>
  <c r="AH200" i="23"/>
  <c r="X198" i="23"/>
  <c r="AH196" i="23"/>
  <c r="X194" i="23"/>
  <c r="AH192" i="23"/>
  <c r="X190" i="23"/>
  <c r="AH188" i="23"/>
  <c r="N188" i="23"/>
  <c r="X186" i="23"/>
  <c r="I219" i="23"/>
  <c r="I215" i="23"/>
  <c r="I211" i="23"/>
  <c r="I207" i="23"/>
  <c r="I203" i="23"/>
  <c r="I199" i="23"/>
  <c r="I195" i="23"/>
  <c r="I191" i="23"/>
  <c r="I187" i="23"/>
  <c r="AH221" i="23"/>
  <c r="X219" i="23"/>
  <c r="AH217" i="23"/>
  <c r="N217" i="23"/>
  <c r="X215" i="23"/>
  <c r="AH213" i="23"/>
  <c r="N213" i="23"/>
  <c r="X211" i="23"/>
  <c r="AH209" i="23"/>
  <c r="N209" i="23"/>
  <c r="X207" i="23"/>
  <c r="AH205" i="23"/>
  <c r="N205" i="23"/>
  <c r="X203" i="23"/>
  <c r="AH201" i="23"/>
  <c r="N201" i="23"/>
  <c r="X199" i="23"/>
  <c r="AH197" i="23"/>
  <c r="N197" i="23"/>
  <c r="X195" i="23"/>
  <c r="AH193" i="23"/>
  <c r="N193" i="23"/>
  <c r="X191" i="23"/>
  <c r="AH189" i="23"/>
  <c r="N189" i="23"/>
  <c r="X187" i="23"/>
  <c r="AH185" i="23"/>
  <c r="N185" i="23"/>
  <c r="I220" i="23"/>
  <c r="I216" i="23"/>
  <c r="I212" i="23"/>
  <c r="I208" i="23"/>
  <c r="I204" i="23"/>
  <c r="I200" i="23"/>
  <c r="I196" i="23"/>
  <c r="I192" i="23"/>
  <c r="I188" i="23"/>
  <c r="X220" i="23"/>
  <c r="AH218" i="23"/>
  <c r="X216" i="23"/>
  <c r="AH214" i="23"/>
  <c r="X212" i="23"/>
  <c r="AH210" i="23"/>
  <c r="X208" i="23"/>
  <c r="AH206" i="23"/>
  <c r="X204" i="23"/>
  <c r="AH202" i="23"/>
  <c r="X200" i="23"/>
  <c r="AH198" i="23"/>
  <c r="X196" i="23"/>
  <c r="AH194" i="23"/>
  <c r="X192" i="23"/>
  <c r="AH190" i="23"/>
  <c r="X188" i="23"/>
  <c r="AH186" i="23"/>
  <c r="N186" i="23"/>
  <c r="M218" i="23"/>
  <c r="M210" i="23"/>
  <c r="M206" i="23"/>
  <c r="M202" i="23"/>
  <c r="M198" i="23"/>
  <c r="M194" i="23"/>
  <c r="M190" i="23"/>
  <c r="M186" i="23"/>
  <c r="I213" i="23"/>
  <c r="I209" i="23"/>
  <c r="I205" i="23"/>
  <c r="I201" i="23"/>
  <c r="I197" i="23"/>
  <c r="I193" i="23"/>
  <c r="I189" i="23"/>
  <c r="I185" i="23"/>
  <c r="I221" i="23"/>
  <c r="X221" i="23"/>
  <c r="AH219" i="23"/>
  <c r="X217" i="23"/>
  <c r="AH215" i="23"/>
  <c r="X213" i="23"/>
  <c r="AH211" i="23"/>
  <c r="X209" i="23"/>
  <c r="AH207" i="23"/>
  <c r="X205" i="23"/>
  <c r="AH203" i="23"/>
  <c r="X201" i="23"/>
  <c r="AH199" i="23"/>
  <c r="X197" i="23"/>
  <c r="AH195" i="23"/>
  <c r="X193" i="23"/>
  <c r="AH191" i="23"/>
  <c r="X189" i="23"/>
  <c r="AH187" i="23"/>
  <c r="X185" i="23"/>
  <c r="I217" i="23"/>
  <c r="K8" i="23"/>
  <c r="N8" i="23" s="1"/>
  <c r="K171" i="23"/>
  <c r="K156" i="23"/>
  <c r="K142" i="23"/>
  <c r="K128" i="23"/>
  <c r="K113" i="23"/>
  <c r="K99" i="23"/>
  <c r="K84" i="23"/>
  <c r="K70" i="23"/>
  <c r="K56" i="23"/>
  <c r="N56" i="23" s="1"/>
  <c r="K41" i="23"/>
  <c r="N41" i="23" s="1"/>
  <c r="K27" i="23"/>
  <c r="N27" i="23" s="1"/>
  <c r="K12" i="23"/>
  <c r="N12" i="23" s="1"/>
  <c r="K178" i="23"/>
  <c r="K164" i="23"/>
  <c r="K149" i="23"/>
  <c r="K135" i="23"/>
  <c r="K120" i="23"/>
  <c r="K106" i="23"/>
  <c r="K92" i="23"/>
  <c r="K77" i="23"/>
  <c r="K63" i="23"/>
  <c r="K48" i="23"/>
  <c r="N48" i="23" s="1"/>
  <c r="K34" i="23"/>
  <c r="N34" i="23" s="1"/>
  <c r="K181" i="23"/>
  <c r="K169" i="23"/>
  <c r="K157" i="23"/>
  <c r="K145" i="23"/>
  <c r="K133" i="23"/>
  <c r="K121" i="23"/>
  <c r="K109" i="23"/>
  <c r="K97" i="23"/>
  <c r="K85" i="23"/>
  <c r="K73" i="23"/>
  <c r="K61" i="23"/>
  <c r="N61" i="23" s="1"/>
  <c r="K49" i="23"/>
  <c r="N49" i="23" s="1"/>
  <c r="K37" i="23"/>
  <c r="N37" i="23" s="1"/>
  <c r="K25" i="23"/>
  <c r="N25" i="23" s="1"/>
  <c r="K13" i="23"/>
  <c r="N13" i="23" s="1"/>
  <c r="K175" i="23"/>
  <c r="K163" i="23"/>
  <c r="K151" i="23"/>
  <c r="K139" i="23"/>
  <c r="K127" i="23"/>
  <c r="K115" i="23"/>
  <c r="K103" i="23"/>
  <c r="K91" i="23"/>
  <c r="K79" i="23"/>
  <c r="K67" i="23"/>
  <c r="K55" i="23"/>
  <c r="N55" i="23" s="1"/>
  <c r="K43" i="23"/>
  <c r="N43" i="23" s="1"/>
  <c r="K31" i="23"/>
  <c r="N31" i="23" s="1"/>
  <c r="G26" i="23"/>
  <c r="H26" i="23" s="1"/>
  <c r="G14" i="23"/>
  <c r="H14" i="23" s="1"/>
  <c r="G25" i="23"/>
  <c r="H25" i="23" s="1"/>
  <c r="G13" i="23"/>
  <c r="H13" i="23" s="1"/>
  <c r="G59" i="23"/>
  <c r="H59" i="23" s="1"/>
  <c r="G47" i="23"/>
  <c r="H47" i="23" s="1"/>
  <c r="G35" i="23"/>
  <c r="H35" i="23" s="1"/>
  <c r="G23" i="23"/>
  <c r="H23" i="23" s="1"/>
  <c r="G11" i="23"/>
  <c r="H11" i="23" s="1"/>
  <c r="G58" i="23"/>
  <c r="H58" i="23" s="1"/>
  <c r="G46" i="23"/>
  <c r="H46" i="23" s="1"/>
  <c r="G34" i="23"/>
  <c r="H34" i="23" s="1"/>
  <c r="G22" i="23"/>
  <c r="H22" i="23" s="1"/>
  <c r="G10" i="23"/>
  <c r="H10" i="23" s="1"/>
  <c r="G33" i="23"/>
  <c r="H33" i="23" s="1"/>
  <c r="G21" i="23"/>
  <c r="H21" i="23" s="1"/>
  <c r="G9" i="23"/>
  <c r="H9" i="23" s="1"/>
  <c r="G31" i="23"/>
  <c r="H31" i="23" s="1"/>
  <c r="G19" i="23"/>
  <c r="H19" i="23" s="1"/>
  <c r="G30" i="23"/>
  <c r="H30" i="23" s="1"/>
  <c r="G18" i="23"/>
  <c r="H18" i="23" s="1"/>
  <c r="G52" i="23"/>
  <c r="H52" i="23" s="1"/>
  <c r="G40" i="23"/>
  <c r="H40" i="23" s="1"/>
  <c r="G28" i="23"/>
  <c r="H28" i="23" s="1"/>
  <c r="G16" i="23"/>
  <c r="H16" i="23" s="1"/>
  <c r="G60" i="23"/>
  <c r="H60" i="23" s="1"/>
  <c r="G48" i="23"/>
  <c r="H48" i="23" s="1"/>
  <c r="G36" i="23"/>
  <c r="H36" i="23" s="1"/>
  <c r="G45" i="23"/>
  <c r="H45" i="23" s="1"/>
  <c r="G57" i="23"/>
  <c r="H57" i="23" s="1"/>
  <c r="G56" i="23"/>
  <c r="H56" i="23" s="1"/>
  <c r="G44" i="23"/>
  <c r="H44" i="23" s="1"/>
  <c r="G55" i="23"/>
  <c r="H55" i="23" s="1"/>
  <c r="G43" i="23"/>
  <c r="H43" i="23" s="1"/>
  <c r="G54" i="23"/>
  <c r="H54" i="23" s="1"/>
  <c r="G42" i="23"/>
  <c r="H42" i="23" s="1"/>
  <c r="G53" i="23"/>
  <c r="H53" i="23" s="1"/>
  <c r="G41" i="23"/>
  <c r="H41" i="23" s="1"/>
  <c r="G50" i="23"/>
  <c r="H50" i="23" s="1"/>
  <c r="G38" i="23"/>
  <c r="H38" i="23" s="1"/>
  <c r="AA111" i="24" l="1"/>
  <c r="Y113" i="24"/>
  <c r="AC36" i="24"/>
  <c r="W74" i="24"/>
  <c r="W22" i="24"/>
  <c r="W144" i="24"/>
  <c r="W115" i="24"/>
  <c r="W128" i="24"/>
  <c r="W42" i="24"/>
  <c r="W183" i="24"/>
  <c r="W36" i="24"/>
  <c r="W27" i="24"/>
  <c r="W122" i="24"/>
  <c r="W88" i="24"/>
  <c r="W134" i="24"/>
  <c r="Y97" i="24"/>
  <c r="W48" i="24"/>
  <c r="W102" i="24"/>
  <c r="W111" i="24"/>
  <c r="W23" i="24"/>
  <c r="W56" i="24"/>
  <c r="W91" i="24"/>
  <c r="W54" i="24"/>
  <c r="W14" i="24"/>
  <c r="W158" i="24"/>
  <c r="W118" i="24"/>
  <c r="AA96" i="24"/>
  <c r="W75" i="24"/>
  <c r="W9" i="24"/>
  <c r="W180" i="24"/>
  <c r="W129" i="24"/>
  <c r="W69" i="24"/>
  <c r="W96" i="24"/>
  <c r="W124" i="24"/>
  <c r="W55" i="24"/>
  <c r="W135" i="24"/>
  <c r="W148" i="24"/>
  <c r="AA108" i="24"/>
  <c r="W61" i="24"/>
  <c r="W149" i="24"/>
  <c r="W29" i="24"/>
  <c r="W68" i="24"/>
  <c r="W95" i="24"/>
  <c r="W76" i="24"/>
  <c r="W140" i="24"/>
  <c r="W58" i="24"/>
  <c r="W79" i="24"/>
  <c r="W87" i="24"/>
  <c r="W60" i="24"/>
  <c r="W21" i="24"/>
  <c r="W103" i="24"/>
  <c r="W112" i="24"/>
  <c r="W179" i="24"/>
  <c r="W123" i="24"/>
  <c r="W173" i="24"/>
  <c r="W52" i="24"/>
  <c r="W151" i="24"/>
  <c r="AA85" i="24"/>
  <c r="W101" i="24"/>
  <c r="W44" i="24"/>
  <c r="W47" i="24"/>
  <c r="W15" i="24"/>
  <c r="W37" i="24"/>
  <c r="W20" i="24"/>
  <c r="W172" i="24"/>
  <c r="W97" i="24"/>
  <c r="W108" i="24"/>
  <c r="W182" i="24"/>
  <c r="AA98" i="24"/>
  <c r="W114" i="24"/>
  <c r="W72" i="24"/>
  <c r="W46" i="24"/>
  <c r="W110" i="24"/>
  <c r="W78" i="24"/>
  <c r="W18" i="24"/>
  <c r="W168" i="24"/>
  <c r="W156" i="24"/>
  <c r="W177" i="24"/>
  <c r="W162" i="24"/>
  <c r="AA99" i="24"/>
  <c r="W181" i="24"/>
  <c r="W142" i="24"/>
  <c r="W155" i="24"/>
  <c r="W175" i="24"/>
  <c r="W35" i="24"/>
  <c r="W139" i="24"/>
  <c r="W165" i="24"/>
  <c r="W100" i="24"/>
  <c r="W57" i="24"/>
  <c r="W89" i="24"/>
  <c r="W137" i="24"/>
  <c r="W41" i="24"/>
  <c r="W82" i="24"/>
  <c r="W26" i="24"/>
  <c r="W152" i="24"/>
  <c r="W92" i="24"/>
  <c r="AA100" i="24"/>
  <c r="W126" i="24"/>
  <c r="W170" i="24"/>
  <c r="W99" i="24"/>
  <c r="W70" i="24"/>
  <c r="W8" i="24"/>
  <c r="W38" i="24"/>
  <c r="W178" i="24"/>
  <c r="W119" i="24"/>
  <c r="W40" i="24"/>
  <c r="W10" i="24"/>
  <c r="W117" i="24"/>
  <c r="AY125" i="24"/>
  <c r="W161" i="24"/>
  <c r="W93" i="24"/>
  <c r="W127" i="24"/>
  <c r="W146" i="24"/>
  <c r="W85" i="24"/>
  <c r="W33" i="24"/>
  <c r="W19" i="24"/>
  <c r="W53" i="24"/>
  <c r="W11" i="24"/>
  <c r="W77" i="24"/>
  <c r="W131" i="24"/>
  <c r="AA77" i="24"/>
  <c r="W150" i="24"/>
  <c r="W24" i="24"/>
  <c r="W166" i="24"/>
  <c r="W83" i="24"/>
  <c r="W32" i="24"/>
  <c r="W12" i="24"/>
  <c r="W98" i="24"/>
  <c r="W94" i="24"/>
  <c r="W106" i="24"/>
  <c r="W116" i="24"/>
  <c r="AA86" i="24"/>
  <c r="AA65" i="24"/>
  <c r="Y109" i="24"/>
  <c r="AA66" i="24"/>
  <c r="Y69" i="24"/>
  <c r="AA78" i="24"/>
  <c r="Y112" i="24"/>
  <c r="Y68" i="24"/>
  <c r="Y99" i="24"/>
  <c r="Y121" i="24"/>
  <c r="Y114" i="24"/>
  <c r="AA112" i="24"/>
  <c r="AA79" i="24"/>
  <c r="AA73" i="24"/>
  <c r="Y80" i="24"/>
  <c r="AA21" i="24"/>
  <c r="AA33" i="24"/>
  <c r="AA57" i="24"/>
  <c r="AA129" i="24"/>
  <c r="AA153" i="24"/>
  <c r="AA177" i="24"/>
  <c r="AA10" i="24"/>
  <c r="AA34" i="24"/>
  <c r="AA58" i="24"/>
  <c r="AA130" i="24"/>
  <c r="AA154" i="24"/>
  <c r="AA178" i="24"/>
  <c r="AA11" i="24"/>
  <c r="AA35" i="24"/>
  <c r="AA13" i="24"/>
  <c r="AA25" i="24"/>
  <c r="AA37" i="24"/>
  <c r="AA49" i="24"/>
  <c r="AA61" i="24"/>
  <c r="AA133" i="24"/>
  <c r="AA145" i="24"/>
  <c r="AA157" i="24"/>
  <c r="AA169" i="24"/>
  <c r="AA181" i="24"/>
  <c r="AA14" i="24"/>
  <c r="AA26" i="24"/>
  <c r="AA38" i="24"/>
  <c r="AA50" i="24"/>
  <c r="AA134" i="24"/>
  <c r="AA146" i="24"/>
  <c r="AA158" i="24"/>
  <c r="AA170" i="24"/>
  <c r="AA182" i="24"/>
  <c r="AA27" i="24"/>
  <c r="AA51" i="24"/>
  <c r="AA147" i="24"/>
  <c r="AA171" i="24"/>
  <c r="AA28" i="24"/>
  <c r="AA136" i="24"/>
  <c r="AA160" i="24"/>
  <c r="AA184" i="24"/>
  <c r="AA29" i="24"/>
  <c r="AA15" i="24"/>
  <c r="AA39" i="24"/>
  <c r="AA135" i="24"/>
  <c r="AA159" i="24"/>
  <c r="AA183" i="24"/>
  <c r="AA16" i="24"/>
  <c r="AA40" i="24"/>
  <c r="AA52" i="24"/>
  <c r="AA148" i="24"/>
  <c r="AA172" i="24"/>
  <c r="AA17" i="24"/>
  <c r="AA41" i="24"/>
  <c r="AA19" i="24"/>
  <c r="AA31" i="24"/>
  <c r="AA43" i="24"/>
  <c r="AA55" i="24"/>
  <c r="AA127" i="24"/>
  <c r="AA139" i="24"/>
  <c r="AA151" i="24"/>
  <c r="AA163" i="24"/>
  <c r="AA175" i="24"/>
  <c r="AA8" i="24"/>
  <c r="AA20" i="24"/>
  <c r="AA32" i="24"/>
  <c r="AA44" i="24"/>
  <c r="AA56" i="24"/>
  <c r="AA128" i="24"/>
  <c r="AA140" i="24"/>
  <c r="AA152" i="24"/>
  <c r="AA164" i="24"/>
  <c r="AA176" i="24"/>
  <c r="AA9" i="24"/>
  <c r="AA45" i="24"/>
  <c r="AA141" i="24"/>
  <c r="AA165" i="24"/>
  <c r="AA22" i="24"/>
  <c r="AA46" i="24"/>
  <c r="AA142" i="24"/>
  <c r="AA166" i="24"/>
  <c r="AA23" i="24"/>
  <c r="AA47" i="24"/>
  <c r="AA42" i="24"/>
  <c r="AA155" i="24"/>
  <c r="AA48" i="24"/>
  <c r="AA156" i="24"/>
  <c r="AA53" i="24"/>
  <c r="AA125" i="24"/>
  <c r="AA161" i="24"/>
  <c r="AA54" i="24"/>
  <c r="AA126" i="24"/>
  <c r="AA162" i="24"/>
  <c r="AA59" i="24"/>
  <c r="AA131" i="24"/>
  <c r="AA167" i="24"/>
  <c r="AA60" i="24"/>
  <c r="AA132" i="24"/>
  <c r="AA168" i="24"/>
  <c r="AA150" i="24"/>
  <c r="AA137" i="24"/>
  <c r="AA173" i="24"/>
  <c r="AA12" i="24"/>
  <c r="AA138" i="24"/>
  <c r="AA174" i="24"/>
  <c r="AA18" i="24"/>
  <c r="AA143" i="24"/>
  <c r="AA179" i="24"/>
  <c r="AA24" i="24"/>
  <c r="AA144" i="24"/>
  <c r="AA180" i="24"/>
  <c r="AA30" i="24"/>
  <c r="AA149" i="24"/>
  <c r="AA36" i="24"/>
  <c r="AA109" i="24"/>
  <c r="Y92" i="24"/>
  <c r="AA123" i="24"/>
  <c r="Y90" i="24"/>
  <c r="AA90" i="24"/>
  <c r="AA116" i="24"/>
  <c r="AA69" i="24"/>
  <c r="AA107" i="24"/>
  <c r="Y81" i="24"/>
  <c r="AA62" i="24"/>
  <c r="Y102" i="24"/>
  <c r="AA76" i="24"/>
  <c r="Y87" i="24"/>
  <c r="AA114" i="24"/>
  <c r="Y75" i="24"/>
  <c r="Y119" i="24"/>
  <c r="AA93" i="24"/>
  <c r="Y116" i="24"/>
  <c r="AA97" i="24"/>
  <c r="Y104" i="24"/>
  <c r="AA74" i="24"/>
  <c r="Y65" i="24"/>
  <c r="AA88" i="24"/>
  <c r="Y74" i="24"/>
  <c r="Y96" i="24"/>
  <c r="Y62" i="24"/>
  <c r="Y118" i="24"/>
  <c r="AA105" i="24"/>
  <c r="Y106" i="24"/>
  <c r="Y117" i="24"/>
  <c r="AA67" i="24"/>
  <c r="Y105" i="24"/>
  <c r="AA117" i="24"/>
  <c r="Y82" i="24"/>
  <c r="Y94" i="24"/>
  <c r="AA70" i="24"/>
  <c r="Y89" i="24"/>
  <c r="AA82" i="24"/>
  <c r="Y124" i="24"/>
  <c r="AA122" i="24"/>
  <c r="AA63" i="24"/>
  <c r="Y108" i="24"/>
  <c r="AA101" i="24"/>
  <c r="Y79" i="24"/>
  <c r="AA115" i="24"/>
  <c r="Y66" i="24"/>
  <c r="AA94" i="24"/>
  <c r="Y123" i="24"/>
  <c r="Y77" i="24"/>
  <c r="AA110" i="24"/>
  <c r="Y86" i="24"/>
  <c r="AA124" i="24"/>
  <c r="AA89" i="24"/>
  <c r="AA103" i="24"/>
  <c r="Y67" i="24"/>
  <c r="Y64" i="24"/>
  <c r="AA72" i="24"/>
  <c r="Y111" i="24"/>
  <c r="Y120" i="24"/>
  <c r="AA75" i="24"/>
  <c r="Y71" i="24"/>
  <c r="AA113" i="24"/>
  <c r="Y85" i="24"/>
  <c r="AA68" i="24"/>
  <c r="Y101" i="24"/>
  <c r="AA106" i="24"/>
  <c r="Y110" i="24"/>
  <c r="AA84" i="24"/>
  <c r="Y98" i="24"/>
  <c r="Y83" i="24"/>
  <c r="AA87" i="24"/>
  <c r="Y73" i="24"/>
  <c r="AA91" i="24"/>
  <c r="Y78" i="24"/>
  <c r="AA80" i="24"/>
  <c r="AA118" i="24"/>
  <c r="AA71" i="24"/>
  <c r="Y11" i="24"/>
  <c r="Y131" i="24"/>
  <c r="Y155" i="24"/>
  <c r="Y179" i="24"/>
  <c r="Y24" i="24"/>
  <c r="Y48" i="24"/>
  <c r="Y144" i="24"/>
  <c r="Y168" i="24"/>
  <c r="Y25" i="24"/>
  <c r="Y49" i="24"/>
  <c r="Y145" i="24"/>
  <c r="Y169" i="24"/>
  <c r="Y16" i="24"/>
  <c r="Y28" i="24"/>
  <c r="Y40" i="24"/>
  <c r="Y52" i="24"/>
  <c r="Y136" i="24"/>
  <c r="Y148" i="24"/>
  <c r="Y160" i="24"/>
  <c r="Y172" i="24"/>
  <c r="Y184" i="24"/>
  <c r="Y17" i="24"/>
  <c r="Y29" i="24"/>
  <c r="Y53" i="24"/>
  <c r="Y137" i="24"/>
  <c r="Y149" i="24"/>
  <c r="Y173" i="24"/>
  <c r="Y18" i="24"/>
  <c r="Y42" i="24"/>
  <c r="Y126" i="24"/>
  <c r="Y150" i="24"/>
  <c r="Y174" i="24"/>
  <c r="Y31" i="24"/>
  <c r="Y43" i="24"/>
  <c r="Y127" i="24"/>
  <c r="Y151" i="24"/>
  <c r="Y175" i="24"/>
  <c r="Y41" i="24"/>
  <c r="Y125" i="24"/>
  <c r="Y161" i="24"/>
  <c r="Y30" i="24"/>
  <c r="Y54" i="24"/>
  <c r="Y138" i="24"/>
  <c r="Y162" i="24"/>
  <c r="Y19" i="24"/>
  <c r="Y55" i="24"/>
  <c r="Y139" i="24"/>
  <c r="Y163" i="24"/>
  <c r="Y10" i="24"/>
  <c r="Y22" i="24"/>
  <c r="Y34" i="24"/>
  <c r="Y46" i="24"/>
  <c r="Y58" i="24"/>
  <c r="Y130" i="24"/>
  <c r="Y142" i="24"/>
  <c r="Y154" i="24"/>
  <c r="Y166" i="24"/>
  <c r="Y178" i="24"/>
  <c r="Y23" i="24"/>
  <c r="Y35" i="24"/>
  <c r="Y47" i="24"/>
  <c r="Y59" i="24"/>
  <c r="Y143" i="24"/>
  <c r="Y167" i="24"/>
  <c r="Y12" i="24"/>
  <c r="Y36" i="24"/>
  <c r="Y60" i="24"/>
  <c r="Y132" i="24"/>
  <c r="Y156" i="24"/>
  <c r="Y180" i="24"/>
  <c r="Y13" i="24"/>
  <c r="Y37" i="24"/>
  <c r="Y61" i="24"/>
  <c r="Y133" i="24"/>
  <c r="Y157" i="24"/>
  <c r="Y181" i="24"/>
  <c r="Y14" i="24"/>
  <c r="Y50" i="24"/>
  <c r="Y158" i="24"/>
  <c r="Y15" i="24"/>
  <c r="Y51" i="24"/>
  <c r="Y159" i="24"/>
  <c r="Y20" i="24"/>
  <c r="Y56" i="24"/>
  <c r="Y128" i="24"/>
  <c r="Y164" i="24"/>
  <c r="Y21" i="24"/>
  <c r="Y57" i="24"/>
  <c r="Y129" i="24"/>
  <c r="Y165" i="24"/>
  <c r="Y26" i="24"/>
  <c r="Y134" i="24"/>
  <c r="Y170" i="24"/>
  <c r="Y27" i="24"/>
  <c r="Y135" i="24"/>
  <c r="Y171" i="24"/>
  <c r="Y152" i="24"/>
  <c r="Y45" i="24"/>
  <c r="Y153" i="24"/>
  <c r="Y32" i="24"/>
  <c r="Y140" i="24"/>
  <c r="Y176" i="24"/>
  <c r="Y33" i="24"/>
  <c r="Y141" i="24"/>
  <c r="Y177" i="24"/>
  <c r="Y38" i="24"/>
  <c r="Y146" i="24"/>
  <c r="Y182" i="24"/>
  <c r="Y39" i="24"/>
  <c r="Y147" i="24"/>
  <c r="Y183" i="24"/>
  <c r="Y8" i="24"/>
  <c r="Y44" i="24"/>
  <c r="Y9" i="24"/>
  <c r="AA92" i="24"/>
  <c r="Y63" i="24"/>
  <c r="Y72" i="24"/>
  <c r="AA83" i="24"/>
  <c r="Y122" i="24"/>
  <c r="Y107" i="24"/>
  <c r="AA95" i="24"/>
  <c r="AA120" i="24"/>
  <c r="Y70" i="24"/>
  <c r="Y95" i="24"/>
  <c r="AA121" i="24"/>
  <c r="Y103" i="24"/>
  <c r="AA64" i="24"/>
  <c r="Y100" i="24"/>
  <c r="AA102" i="24"/>
  <c r="Y88" i="24"/>
  <c r="Y84" i="24"/>
  <c r="AA81" i="24"/>
  <c r="Y93" i="24"/>
  <c r="AA119" i="24"/>
  <c r="W169" i="24"/>
  <c r="W164" i="24"/>
  <c r="W130" i="24"/>
  <c r="W157" i="24"/>
  <c r="W63" i="24"/>
  <c r="W133" i="24"/>
  <c r="W62" i="24"/>
  <c r="W141" i="24"/>
  <c r="W71" i="24"/>
  <c r="W28" i="24"/>
  <c r="W81" i="24"/>
  <c r="W66" i="24"/>
  <c r="W171" i="24"/>
  <c r="W163" i="24"/>
  <c r="W147" i="24"/>
  <c r="W90" i="24"/>
  <c r="W64" i="24"/>
  <c r="W138" i="24"/>
  <c r="W84" i="24"/>
  <c r="W145" i="24"/>
  <c r="W45" i="24"/>
  <c r="W73" i="24"/>
  <c r="W136" i="24"/>
  <c r="W167" i="24"/>
  <c r="W67" i="24"/>
  <c r="W39" i="24"/>
  <c r="W109" i="24"/>
  <c r="W105" i="24"/>
  <c r="W143" i="24"/>
  <c r="W51" i="24"/>
  <c r="W176" i="24"/>
  <c r="W104" i="24"/>
  <c r="W80" i="24"/>
  <c r="W65" i="24"/>
  <c r="W174" i="24"/>
  <c r="W43" i="24"/>
  <c r="W13" i="24"/>
  <c r="W49" i="24"/>
  <c r="W120" i="24"/>
  <c r="W132" i="24"/>
  <c r="AC58" i="24"/>
  <c r="W59" i="24"/>
  <c r="W34" i="24"/>
  <c r="W125" i="24"/>
  <c r="W153" i="24"/>
  <c r="W17" i="24"/>
  <c r="W121" i="24"/>
  <c r="W16" i="24"/>
  <c r="W159" i="24"/>
  <c r="W154" i="24"/>
  <c r="W50" i="24"/>
  <c r="W31" i="24"/>
  <c r="W107" i="24"/>
  <c r="W25" i="24"/>
  <c r="M22" i="24"/>
  <c r="AC52" i="24"/>
  <c r="M23" i="24"/>
  <c r="M10" i="24"/>
  <c r="AC53" i="24"/>
  <c r="AC56" i="24"/>
  <c r="AC54" i="24"/>
  <c r="AC59" i="24"/>
  <c r="AC46" i="24"/>
  <c r="AC32" i="24"/>
  <c r="M9" i="24"/>
  <c r="AC9" i="24"/>
  <c r="AD39" i="24"/>
  <c r="AD47" i="24"/>
  <c r="AD50" i="24"/>
  <c r="M50" i="24"/>
  <c r="AC50" i="24"/>
  <c r="M43" i="24"/>
  <c r="AC43" i="24"/>
  <c r="M14" i="24"/>
  <c r="AC14" i="24"/>
  <c r="M42" i="24"/>
  <c r="AC42" i="24"/>
  <c r="M15" i="24"/>
  <c r="M26" i="24"/>
  <c r="AC26" i="24"/>
  <c r="AC33" i="24"/>
  <c r="AD31" i="24"/>
  <c r="AD45" i="24"/>
  <c r="AC38" i="24"/>
  <c r="AD43" i="24"/>
  <c r="AD36" i="24"/>
  <c r="M44" i="24"/>
  <c r="AC44" i="24"/>
  <c r="M45" i="24"/>
  <c r="AC45" i="24"/>
  <c r="AC57" i="24"/>
  <c r="AD40" i="24"/>
  <c r="AD55" i="24"/>
  <c r="AD52" i="24"/>
  <c r="AD51" i="24"/>
  <c r="M34" i="24"/>
  <c r="AC34" i="24"/>
  <c r="M51" i="24"/>
  <c r="AC51" i="24"/>
  <c r="M37" i="24"/>
  <c r="AC37" i="24"/>
  <c r="M30" i="24"/>
  <c r="AC30" i="24"/>
  <c r="M35" i="24"/>
  <c r="AC35" i="24"/>
  <c r="AD41" i="24"/>
  <c r="AD32" i="24"/>
  <c r="AD46" i="24"/>
  <c r="AC61" i="24"/>
  <c r="M48" i="24"/>
  <c r="AC48" i="24"/>
  <c r="AC60" i="24"/>
  <c r="M49" i="24"/>
  <c r="AC49" i="24"/>
  <c r="AC47" i="24"/>
  <c r="M55" i="24"/>
  <c r="AC55" i="24"/>
  <c r="M28" i="24"/>
  <c r="AC28" i="24"/>
  <c r="M31" i="24"/>
  <c r="AC31" i="24"/>
  <c r="AD53" i="24"/>
  <c r="AD44" i="24"/>
  <c r="AD58" i="24"/>
  <c r="AD49" i="24"/>
  <c r="AC40" i="24"/>
  <c r="M27" i="24"/>
  <c r="AC27" i="24"/>
  <c r="AD56" i="24"/>
  <c r="M41" i="24"/>
  <c r="AC41" i="24"/>
  <c r="AD38" i="24"/>
  <c r="AD124" i="24"/>
  <c r="AD123" i="24"/>
  <c r="AD122" i="24"/>
  <c r="V123" i="22"/>
  <c r="BB123" i="24"/>
  <c r="BC124" i="24" s="1"/>
  <c r="BD125" i="24" s="1"/>
  <c r="AH122" i="24"/>
  <c r="AY122" i="24" s="1"/>
  <c r="AH123" i="24"/>
  <c r="AH124" i="24"/>
  <c r="AI125" i="24" s="1"/>
  <c r="AA124" i="23"/>
  <c r="G36" i="24"/>
  <c r="F36" i="24"/>
  <c r="M17" i="24"/>
  <c r="G57" i="24"/>
  <c r="F54" i="24"/>
  <c r="F58" i="24"/>
  <c r="F32" i="24"/>
  <c r="F49" i="24"/>
  <c r="F48" i="24"/>
  <c r="G48" i="24"/>
  <c r="F44" i="24"/>
  <c r="G34" i="24"/>
  <c r="F57" i="24"/>
  <c r="F56" i="24"/>
  <c r="F46" i="24"/>
  <c r="G61" i="24"/>
  <c r="F33" i="24"/>
  <c r="G33" i="24"/>
  <c r="F34" i="24"/>
  <c r="F38" i="24"/>
  <c r="G37" i="24"/>
  <c r="G60" i="24"/>
  <c r="F61" i="24"/>
  <c r="F60" i="24"/>
  <c r="F50" i="24"/>
  <c r="F42" i="24"/>
  <c r="F39" i="24"/>
  <c r="G39" i="24"/>
  <c r="F53" i="24"/>
  <c r="F37" i="24"/>
  <c r="G35" i="24"/>
  <c r="F35" i="24"/>
  <c r="F51" i="24"/>
  <c r="G59" i="24"/>
  <c r="F31" i="24"/>
  <c r="F59" i="24"/>
  <c r="G30" i="24"/>
  <c r="F52" i="24"/>
  <c r="F47" i="24"/>
  <c r="F40" i="24"/>
  <c r="F41" i="24"/>
  <c r="F45" i="24"/>
  <c r="G42" i="24"/>
  <c r="F43" i="24"/>
  <c r="G54" i="24"/>
  <c r="F55" i="24"/>
  <c r="M16" i="24"/>
  <c r="M57" i="24"/>
  <c r="M56" i="24"/>
  <c r="M38" i="24"/>
  <c r="M20" i="24"/>
  <c r="M46" i="24"/>
  <c r="M47" i="24"/>
  <c r="M19" i="24"/>
  <c r="M25" i="24"/>
  <c r="M12" i="24"/>
  <c r="M59" i="24"/>
  <c r="M21" i="24"/>
  <c r="AC8" i="24"/>
  <c r="M8" i="24"/>
  <c r="M13" i="24"/>
  <c r="M11" i="24"/>
  <c r="M32" i="24"/>
  <c r="M18" i="24"/>
  <c r="M58" i="24"/>
  <c r="M29" i="24"/>
  <c r="M40" i="24"/>
  <c r="M52" i="24"/>
  <c r="M53" i="24"/>
  <c r="M54" i="24"/>
  <c r="M60" i="24"/>
  <c r="M61" i="24"/>
  <c r="J273" i="23"/>
  <c r="J280" i="23"/>
  <c r="M280" i="23"/>
  <c r="M268" i="23"/>
  <c r="M248" i="23"/>
  <c r="M274" i="23"/>
  <c r="M226" i="23"/>
  <c r="M254" i="23"/>
  <c r="J240" i="23"/>
  <c r="M240" i="23"/>
  <c r="J247" i="23"/>
  <c r="M247" i="23"/>
  <c r="M223" i="23"/>
  <c r="J251" i="23"/>
  <c r="M251" i="23"/>
  <c r="J244" i="23"/>
  <c r="M244" i="23"/>
  <c r="J255" i="23"/>
  <c r="M255" i="23"/>
  <c r="J259" i="23"/>
  <c r="M259" i="23"/>
  <c r="J263" i="23"/>
  <c r="M263" i="23"/>
  <c r="J267" i="23"/>
  <c r="M267" i="23"/>
  <c r="J271" i="23"/>
  <c r="M271" i="23"/>
  <c r="J275" i="23"/>
  <c r="M275" i="23"/>
  <c r="J279" i="23"/>
  <c r="M279" i="23"/>
  <c r="M214" i="23"/>
  <c r="M236" i="23"/>
  <c r="J236" i="23"/>
  <c r="J225" i="23"/>
  <c r="M225" i="23"/>
  <c r="J229" i="23"/>
  <c r="M229" i="23"/>
  <c r="J233" i="23"/>
  <c r="M233" i="23"/>
  <c r="J237" i="23"/>
  <c r="M237" i="23"/>
  <c r="M224" i="23"/>
  <c r="J224" i="23"/>
  <c r="J241" i="23"/>
  <c r="M241" i="23"/>
  <c r="M228" i="23"/>
  <c r="J228" i="23"/>
  <c r="J245" i="23"/>
  <c r="M245" i="23"/>
  <c r="M232" i="23"/>
  <c r="J232" i="23"/>
  <c r="J205" i="23"/>
  <c r="M205" i="23"/>
  <c r="J208" i="23"/>
  <c r="M208" i="23"/>
  <c r="M203" i="23"/>
  <c r="J203" i="23"/>
  <c r="J209" i="23"/>
  <c r="M209" i="23"/>
  <c r="J212" i="23"/>
  <c r="M212" i="23"/>
  <c r="M207" i="23"/>
  <c r="J207" i="23"/>
  <c r="J213" i="23"/>
  <c r="M213" i="23"/>
  <c r="J216" i="23"/>
  <c r="M216" i="23"/>
  <c r="M211" i="23"/>
  <c r="J211" i="23"/>
  <c r="J220" i="23"/>
  <c r="M220" i="23"/>
  <c r="M215" i="23"/>
  <c r="J215" i="23"/>
  <c r="M219" i="23"/>
  <c r="J219" i="23"/>
  <c r="J221" i="23"/>
  <c r="M221" i="23"/>
  <c r="J185" i="23"/>
  <c r="M185" i="23"/>
  <c r="J188" i="23"/>
  <c r="M188" i="23"/>
  <c r="J189" i="23"/>
  <c r="M189" i="23"/>
  <c r="J192" i="23"/>
  <c r="M192" i="23"/>
  <c r="M187" i="23"/>
  <c r="J187" i="23"/>
  <c r="J196" i="23"/>
  <c r="M196" i="23"/>
  <c r="M191" i="23"/>
  <c r="J191" i="23"/>
  <c r="J193" i="23"/>
  <c r="M193" i="23"/>
  <c r="J200" i="23"/>
  <c r="M200" i="23"/>
  <c r="M195" i="23"/>
  <c r="J195" i="23"/>
  <c r="J217" i="23"/>
  <c r="M217" i="23"/>
  <c r="J197" i="23"/>
  <c r="M197" i="23"/>
  <c r="J201" i="23"/>
  <c r="M201" i="23"/>
  <c r="J204" i="23"/>
  <c r="M204" i="23"/>
  <c r="M199" i="23"/>
  <c r="J199" i="23"/>
  <c r="AI124" i="24" l="1"/>
  <c r="AY124" i="24"/>
  <c r="AI123" i="24"/>
  <c r="AY123" i="24"/>
  <c r="AR22" i="22"/>
  <c r="AR21" i="22"/>
  <c r="AR20" i="22"/>
  <c r="AR19" i="22"/>
  <c r="AR42" i="22"/>
  <c r="AR41" i="22"/>
  <c r="AR40" i="22"/>
  <c r="AR39" i="22"/>
  <c r="AR43" i="22" l="1"/>
  <c r="V11" i="22"/>
  <c r="V16" i="22"/>
  <c r="V17" i="22"/>
  <c r="V18" i="22"/>
  <c r="V23" i="22"/>
  <c r="V30" i="22"/>
  <c r="V31" i="22"/>
  <c r="V34" i="22"/>
  <c r="V41" i="22"/>
  <c r="V42" i="22"/>
  <c r="V43" i="22"/>
  <c r="V45" i="22"/>
  <c r="V47" i="22"/>
  <c r="V48" i="22"/>
  <c r="V52" i="22"/>
  <c r="V54" i="22"/>
  <c r="V55" i="22"/>
  <c r="V58" i="22"/>
  <c r="V60" i="22"/>
  <c r="H6" i="22"/>
  <c r="E29" i="22"/>
  <c r="O29" i="22"/>
  <c r="V29" i="22"/>
  <c r="E30" i="22"/>
  <c r="O30" i="22"/>
  <c r="Q30" i="22"/>
  <c r="E31" i="22"/>
  <c r="O31" i="22"/>
  <c r="Q31" i="22"/>
  <c r="E32" i="22"/>
  <c r="O32" i="22"/>
  <c r="V32" i="22"/>
  <c r="E33" i="22"/>
  <c r="O33" i="22"/>
  <c r="V33" i="22"/>
  <c r="E34" i="22"/>
  <c r="O34" i="22"/>
  <c r="E35" i="22"/>
  <c r="O35" i="22"/>
  <c r="V35" i="22"/>
  <c r="E36" i="22"/>
  <c r="O36" i="22"/>
  <c r="V36" i="22"/>
  <c r="E37" i="22"/>
  <c r="O37" i="22"/>
  <c r="R37" i="22"/>
  <c r="V37" i="22"/>
  <c r="E38" i="22"/>
  <c r="O38" i="22"/>
  <c r="Q38" i="22"/>
  <c r="V38" i="22"/>
  <c r="E39" i="22"/>
  <c r="O39" i="22"/>
  <c r="V39" i="22"/>
  <c r="E40" i="22"/>
  <c r="O40" i="22"/>
  <c r="V40" i="22"/>
  <c r="E41" i="22"/>
  <c r="O41" i="22"/>
  <c r="E42" i="22"/>
  <c r="O42" i="22"/>
  <c r="E43" i="22"/>
  <c r="O43" i="22"/>
  <c r="Q43" i="22"/>
  <c r="E44" i="22"/>
  <c r="O44" i="22"/>
  <c r="R44" i="22"/>
  <c r="V44" i="22"/>
  <c r="E45" i="22"/>
  <c r="O45" i="22"/>
  <c r="E46" i="22"/>
  <c r="O46" i="22"/>
  <c r="V46" i="22"/>
  <c r="E47" i="22"/>
  <c r="O47" i="22"/>
  <c r="Q47" i="22"/>
  <c r="E48" i="22"/>
  <c r="O48" i="22"/>
  <c r="E49" i="22"/>
  <c r="O49" i="22"/>
  <c r="Q49" i="22"/>
  <c r="V49" i="22"/>
  <c r="Y49" i="22"/>
  <c r="E50" i="22"/>
  <c r="O50" i="22"/>
  <c r="Q50" i="22"/>
  <c r="V50" i="22"/>
  <c r="Y50" i="22"/>
  <c r="E51" i="22"/>
  <c r="O51" i="22"/>
  <c r="V51" i="22"/>
  <c r="Y51" i="22"/>
  <c r="E52" i="22"/>
  <c r="O52" i="22"/>
  <c r="Y52" i="22"/>
  <c r="E53" i="22"/>
  <c r="O53" i="22"/>
  <c r="V53" i="22"/>
  <c r="E54" i="22"/>
  <c r="O54" i="22"/>
  <c r="E55" i="22"/>
  <c r="O55" i="22"/>
  <c r="R55" i="22"/>
  <c r="E56" i="22"/>
  <c r="O56" i="22"/>
  <c r="V56" i="22"/>
  <c r="Y56" i="22"/>
  <c r="E57" i="22"/>
  <c r="O57" i="22"/>
  <c r="V57" i="22"/>
  <c r="E58" i="22"/>
  <c r="O58" i="22"/>
  <c r="R58" i="22"/>
  <c r="E59" i="22"/>
  <c r="O59" i="22"/>
  <c r="V59" i="22"/>
  <c r="E60" i="22"/>
  <c r="O60" i="22"/>
  <c r="R60" i="22"/>
  <c r="E61" i="22"/>
  <c r="O61" i="22"/>
  <c r="R61" i="22"/>
  <c r="V61" i="22"/>
  <c r="E28" i="22"/>
  <c r="E8" i="22"/>
  <c r="E9" i="22"/>
  <c r="E10" i="22"/>
  <c r="E11" i="22"/>
  <c r="E12" i="22"/>
  <c r="E13" i="22"/>
  <c r="E14" i="22"/>
  <c r="E15" i="22"/>
  <c r="E16" i="22"/>
  <c r="E17" i="22"/>
  <c r="E18" i="22"/>
  <c r="E19" i="22"/>
  <c r="E20" i="22"/>
  <c r="E21" i="22"/>
  <c r="E22" i="22"/>
  <c r="E23" i="22"/>
  <c r="E24" i="22"/>
  <c r="E25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R8" i="22"/>
  <c r="Q11" i="22"/>
  <c r="R13" i="22"/>
  <c r="Q14" i="22"/>
  <c r="R15" i="22"/>
  <c r="Q18" i="22"/>
  <c r="R19" i="22"/>
  <c r="R20" i="22"/>
  <c r="R23" i="22"/>
  <c r="R25" i="22"/>
  <c r="V8" i="22"/>
  <c r="V9" i="22"/>
  <c r="V10" i="22"/>
  <c r="V12" i="22"/>
  <c r="V13" i="22"/>
  <c r="V14" i="22"/>
  <c r="V15" i="22"/>
  <c r="V20" i="22"/>
  <c r="V21" i="22"/>
  <c r="V22" i="22"/>
  <c r="V24" i="22"/>
  <c r="V25" i="22"/>
  <c r="Y8" i="22"/>
  <c r="Y9" i="22"/>
  <c r="Y13" i="22"/>
  <c r="Y14" i="22"/>
  <c r="Y17" i="22"/>
  <c r="Y20" i="22"/>
  <c r="Y21" i="22"/>
  <c r="Y25" i="22"/>
  <c r="E26" i="22"/>
  <c r="E27" i="22"/>
  <c r="O26" i="22"/>
  <c r="O27" i="22"/>
  <c r="O28" i="22"/>
  <c r="V26" i="22"/>
  <c r="V27" i="22"/>
  <c r="V28" i="22"/>
  <c r="Y28" i="22"/>
  <c r="D62" i="22"/>
  <c r="N62" i="22"/>
  <c r="E62" i="22" l="1"/>
  <c r="D62" i="24"/>
  <c r="I13" i="22"/>
  <c r="I25" i="22"/>
  <c r="I37" i="22"/>
  <c r="J37" i="22" s="1"/>
  <c r="I49" i="22"/>
  <c r="J49" i="22" s="1"/>
  <c r="I61" i="22"/>
  <c r="K61" i="22" s="1"/>
  <c r="I73" i="22"/>
  <c r="I85" i="22"/>
  <c r="I97" i="22"/>
  <c r="I109" i="22"/>
  <c r="I121" i="22"/>
  <c r="I133" i="22"/>
  <c r="I145" i="22"/>
  <c r="I157" i="22"/>
  <c r="I169" i="22"/>
  <c r="I181" i="22"/>
  <c r="I50" i="22"/>
  <c r="J50" i="22" s="1"/>
  <c r="I98" i="22"/>
  <c r="I158" i="22"/>
  <c r="I159" i="22"/>
  <c r="I14" i="22"/>
  <c r="I26" i="22"/>
  <c r="I38" i="22"/>
  <c r="J38" i="22" s="1"/>
  <c r="I62" i="22"/>
  <c r="I74" i="22"/>
  <c r="I86" i="22"/>
  <c r="I122" i="22"/>
  <c r="I15" i="22"/>
  <c r="I27" i="22"/>
  <c r="I39" i="22"/>
  <c r="J39" i="22" s="1"/>
  <c r="I51" i="22"/>
  <c r="J51" i="22" s="1"/>
  <c r="I63" i="22"/>
  <c r="I75" i="22"/>
  <c r="I87" i="22"/>
  <c r="I99" i="22"/>
  <c r="I111" i="22"/>
  <c r="I123" i="22"/>
  <c r="I135" i="22"/>
  <c r="I16" i="22"/>
  <c r="I28" i="22"/>
  <c r="I40" i="22"/>
  <c r="J40" i="22" s="1"/>
  <c r="I52" i="22"/>
  <c r="J52" i="22" s="1"/>
  <c r="I64" i="22"/>
  <c r="I76" i="22"/>
  <c r="I88" i="22"/>
  <c r="I100" i="22"/>
  <c r="I112" i="22"/>
  <c r="I124" i="22"/>
  <c r="I136" i="22"/>
  <c r="I148" i="22"/>
  <c r="I160" i="22"/>
  <c r="I172" i="22"/>
  <c r="I184" i="22"/>
  <c r="I17" i="22"/>
  <c r="I29" i="22"/>
  <c r="J29" i="22" s="1"/>
  <c r="I41" i="22"/>
  <c r="I53" i="22"/>
  <c r="K53" i="22" s="1"/>
  <c r="I65" i="22"/>
  <c r="I77" i="22"/>
  <c r="I89" i="22"/>
  <c r="I101" i="22"/>
  <c r="I113" i="22"/>
  <c r="I125" i="22"/>
  <c r="I137" i="22"/>
  <c r="I149" i="22"/>
  <c r="I161" i="22"/>
  <c r="I173" i="22"/>
  <c r="I8" i="22"/>
  <c r="I18" i="22"/>
  <c r="I30" i="22"/>
  <c r="J30" i="22" s="1"/>
  <c r="I42" i="22"/>
  <c r="I54" i="22"/>
  <c r="J54" i="22" s="1"/>
  <c r="I66" i="22"/>
  <c r="I78" i="22"/>
  <c r="I90" i="22"/>
  <c r="I102" i="22"/>
  <c r="I114" i="22"/>
  <c r="I126" i="22"/>
  <c r="I138" i="22"/>
  <c r="I150" i="22"/>
  <c r="I162" i="22"/>
  <c r="I174" i="22"/>
  <c r="I19" i="22"/>
  <c r="I31" i="22"/>
  <c r="J31" i="22" s="1"/>
  <c r="I43" i="22"/>
  <c r="I55" i="22"/>
  <c r="J55" i="22" s="1"/>
  <c r="I67" i="22"/>
  <c r="I79" i="22"/>
  <c r="I91" i="22"/>
  <c r="I103" i="22"/>
  <c r="I115" i="22"/>
  <c r="I127" i="22"/>
  <c r="I139" i="22"/>
  <c r="I151" i="22"/>
  <c r="I163" i="22"/>
  <c r="I175" i="22"/>
  <c r="I134" i="22"/>
  <c r="I20" i="22"/>
  <c r="I32" i="22"/>
  <c r="J32" i="22" s="1"/>
  <c r="I44" i="22"/>
  <c r="J44" i="22" s="1"/>
  <c r="I56" i="22"/>
  <c r="J56" i="22" s="1"/>
  <c r="I68" i="22"/>
  <c r="I80" i="22"/>
  <c r="I92" i="22"/>
  <c r="I104" i="22"/>
  <c r="I116" i="22"/>
  <c r="I128" i="22"/>
  <c r="I140" i="22"/>
  <c r="I152" i="22"/>
  <c r="I164" i="22"/>
  <c r="I176" i="22"/>
  <c r="I9" i="22"/>
  <c r="I21" i="22"/>
  <c r="I33" i="22"/>
  <c r="I45" i="22"/>
  <c r="I69" i="22"/>
  <c r="I81" i="22"/>
  <c r="I93" i="22"/>
  <c r="I105" i="22"/>
  <c r="I117" i="22"/>
  <c r="I129" i="22"/>
  <c r="I141" i="22"/>
  <c r="I153" i="22"/>
  <c r="I177" i="22"/>
  <c r="I146" i="22"/>
  <c r="I171" i="22"/>
  <c r="I57" i="22"/>
  <c r="K57" i="22" s="1"/>
  <c r="I165" i="22"/>
  <c r="I182" i="22"/>
  <c r="I183" i="22"/>
  <c r="I10" i="22"/>
  <c r="I22" i="22"/>
  <c r="I34" i="22"/>
  <c r="K34" i="22" s="1"/>
  <c r="I46" i="22"/>
  <c r="J46" i="22" s="1"/>
  <c r="I58" i="22"/>
  <c r="J58" i="22" s="1"/>
  <c r="I70" i="22"/>
  <c r="I82" i="22"/>
  <c r="I94" i="22"/>
  <c r="I106" i="22"/>
  <c r="I118" i="22"/>
  <c r="I130" i="22"/>
  <c r="I142" i="22"/>
  <c r="I154" i="22"/>
  <c r="I166" i="22"/>
  <c r="I178" i="22"/>
  <c r="I180" i="22"/>
  <c r="I170" i="22"/>
  <c r="I11" i="22"/>
  <c r="I23" i="22"/>
  <c r="I35" i="22"/>
  <c r="J35" i="22" s="1"/>
  <c r="I47" i="22"/>
  <c r="I59" i="22"/>
  <c r="J59" i="22" s="1"/>
  <c r="I71" i="22"/>
  <c r="I83" i="22"/>
  <c r="I95" i="22"/>
  <c r="I107" i="22"/>
  <c r="I119" i="22"/>
  <c r="I131" i="22"/>
  <c r="I143" i="22"/>
  <c r="I155" i="22"/>
  <c r="I167" i="22"/>
  <c r="I179" i="22"/>
  <c r="I12" i="22"/>
  <c r="I24" i="22"/>
  <c r="I36" i="22"/>
  <c r="J36" i="22" s="1"/>
  <c r="I48" i="22"/>
  <c r="K48" i="22" s="1"/>
  <c r="I60" i="22"/>
  <c r="I72" i="22"/>
  <c r="I84" i="22"/>
  <c r="I96" i="22"/>
  <c r="I108" i="22"/>
  <c r="I120" i="22"/>
  <c r="I132" i="22"/>
  <c r="I144" i="22"/>
  <c r="I156" i="22"/>
  <c r="I168" i="22"/>
  <c r="I110" i="22"/>
  <c r="I147" i="22"/>
  <c r="Y44" i="22"/>
  <c r="F41" i="22"/>
  <c r="H41" i="22" s="1"/>
  <c r="F33" i="22"/>
  <c r="H33" i="22" s="1"/>
  <c r="F34" i="22"/>
  <c r="H34" i="22" s="1"/>
  <c r="Y40" i="22"/>
  <c r="Y34" i="22"/>
  <c r="F26" i="22"/>
  <c r="H26" i="22" s="1"/>
  <c r="F29" i="22"/>
  <c r="H29" i="22" s="1"/>
  <c r="Y29" i="22"/>
  <c r="Y33" i="22"/>
  <c r="F12" i="22"/>
  <c r="H12" i="22" s="1"/>
  <c r="F57" i="22"/>
  <c r="H57" i="22" s="1"/>
  <c r="Y27" i="22"/>
  <c r="F53" i="22"/>
  <c r="H53" i="22" s="1"/>
  <c r="Y26" i="22"/>
  <c r="F51" i="22"/>
  <c r="H51" i="22" s="1"/>
  <c r="F46" i="22"/>
  <c r="H46" i="22" s="1"/>
  <c r="F24" i="22"/>
  <c r="H24" i="22" s="1"/>
  <c r="F52" i="22"/>
  <c r="H52" i="22" s="1"/>
  <c r="Q37" i="22"/>
  <c r="Q55" i="22"/>
  <c r="Q33" i="22"/>
  <c r="Q25" i="22"/>
  <c r="R11" i="22"/>
  <c r="R51" i="22"/>
  <c r="R49" i="22"/>
  <c r="Q52" i="22"/>
  <c r="Q23" i="22"/>
  <c r="R47" i="22"/>
  <c r="Q26" i="22"/>
  <c r="Q19" i="22"/>
  <c r="R46" i="22"/>
  <c r="Q13" i="22"/>
  <c r="F50" i="22"/>
  <c r="H50" i="22" s="1"/>
  <c r="Q42" i="22"/>
  <c r="R36" i="22"/>
  <c r="R12" i="22"/>
  <c r="Q40" i="22"/>
  <c r="Q28" i="22"/>
  <c r="Q16" i="22"/>
  <c r="R34" i="22"/>
  <c r="R22" i="22"/>
  <c r="R10" i="22"/>
  <c r="Q51" i="22"/>
  <c r="Q39" i="22"/>
  <c r="Q27" i="22"/>
  <c r="Q15" i="22"/>
  <c r="R57" i="22"/>
  <c r="R45" i="22"/>
  <c r="R33" i="22"/>
  <c r="R21" i="22"/>
  <c r="R9" i="22"/>
  <c r="Q61" i="22"/>
  <c r="R43" i="22"/>
  <c r="R31" i="22"/>
  <c r="Q60" i="22"/>
  <c r="Q48" i="22"/>
  <c r="Q36" i="22"/>
  <c r="Q24" i="22"/>
  <c r="Q12" i="22"/>
  <c r="R54" i="22"/>
  <c r="R42" i="22"/>
  <c r="R30" i="22"/>
  <c r="R18" i="22"/>
  <c r="R32" i="22"/>
  <c r="F39" i="22"/>
  <c r="H39" i="22" s="1"/>
  <c r="R29" i="22"/>
  <c r="R56" i="22"/>
  <c r="Q59" i="22"/>
  <c r="Q35" i="22"/>
  <c r="R53" i="22"/>
  <c r="R41" i="22"/>
  <c r="R17" i="22"/>
  <c r="Q58" i="22"/>
  <c r="Q46" i="22"/>
  <c r="Q34" i="22"/>
  <c r="Q22" i="22"/>
  <c r="Q10" i="22"/>
  <c r="R52" i="22"/>
  <c r="R40" i="22"/>
  <c r="R28" i="22"/>
  <c r="R16" i="22"/>
  <c r="Q57" i="22"/>
  <c r="Q45" i="22"/>
  <c r="Q21" i="22"/>
  <c r="Q9" i="22"/>
  <c r="R39" i="22"/>
  <c r="R27" i="22"/>
  <c r="F32" i="22"/>
  <c r="H32" i="22" s="1"/>
  <c r="Q56" i="22"/>
  <c r="Q44" i="22"/>
  <c r="Q32" i="22"/>
  <c r="Q20" i="22"/>
  <c r="Q8" i="22"/>
  <c r="R50" i="22"/>
  <c r="R38" i="22"/>
  <c r="R26" i="22"/>
  <c r="R14" i="22"/>
  <c r="Q54" i="22"/>
  <c r="R48" i="22"/>
  <c r="R24" i="22"/>
  <c r="Q53" i="22"/>
  <c r="Q41" i="22"/>
  <c r="Q29" i="22"/>
  <c r="Q17" i="22"/>
  <c r="R59" i="22"/>
  <c r="R35" i="22"/>
  <c r="Y24" i="22"/>
  <c r="Y12" i="22"/>
  <c r="Y60" i="22"/>
  <c r="Y41" i="22"/>
  <c r="V19" i="22"/>
  <c r="Y23" i="22"/>
  <c r="Y11" i="22"/>
  <c r="Y22" i="22"/>
  <c r="Y10" i="22"/>
  <c r="F19" i="22"/>
  <c r="H19" i="22" s="1"/>
  <c r="F54" i="22"/>
  <c r="Y45" i="22"/>
  <c r="F56" i="22"/>
  <c r="F55" i="22"/>
  <c r="H55" i="22" s="1"/>
  <c r="Y55" i="22"/>
  <c r="Y54" i="22"/>
  <c r="F35" i="22"/>
  <c r="H35" i="22" s="1"/>
  <c r="F61" i="22"/>
  <c r="H61" i="22" s="1"/>
  <c r="Y47" i="22"/>
  <c r="F58" i="22"/>
  <c r="F38" i="22"/>
  <c r="F59" i="22"/>
  <c r="H59" i="22" s="1"/>
  <c r="F60" i="22"/>
  <c r="F48" i="22"/>
  <c r="H48" i="22" s="1"/>
  <c r="F43" i="22"/>
  <c r="Y58" i="22"/>
  <c r="Y38" i="22"/>
  <c r="Y37" i="22"/>
  <c r="Y31" i="22"/>
  <c r="Y59" i="22"/>
  <c r="F42" i="22"/>
  <c r="H42" i="22" s="1"/>
  <c r="F36" i="22"/>
  <c r="H36" i="22" s="1"/>
  <c r="Y32" i="22"/>
  <c r="F45" i="22"/>
  <c r="Y35" i="22"/>
  <c r="F31" i="22"/>
  <c r="F47" i="22"/>
  <c r="F37" i="22"/>
  <c r="Y61" i="22"/>
  <c r="Y57" i="22"/>
  <c r="Y53" i="22"/>
  <c r="F44" i="22"/>
  <c r="F40" i="22"/>
  <c r="Y30" i="22"/>
  <c r="F49" i="22"/>
  <c r="F30" i="22"/>
  <c r="Y43" i="22"/>
  <c r="Y39" i="22"/>
  <c r="Y46" i="22"/>
  <c r="Y36" i="22"/>
  <c r="Y48" i="22"/>
  <c r="Y42" i="22"/>
  <c r="F18" i="22"/>
  <c r="H18" i="22" s="1"/>
  <c r="Y19" i="22"/>
  <c r="F20" i="22"/>
  <c r="H20" i="22" s="1"/>
  <c r="Y16" i="22"/>
  <c r="F23" i="22"/>
  <c r="H23" i="22" s="1"/>
  <c r="F11" i="22"/>
  <c r="H11" i="22" s="1"/>
  <c r="F8" i="22"/>
  <c r="H8" i="22" s="1"/>
  <c r="X8" i="22"/>
  <c r="F14" i="22"/>
  <c r="H14" i="22" s="1"/>
  <c r="F21" i="22"/>
  <c r="H21" i="22" s="1"/>
  <c r="F9" i="22"/>
  <c r="H9" i="22" s="1"/>
  <c r="F17" i="22"/>
  <c r="H17" i="22" s="1"/>
  <c r="Y18" i="22"/>
  <c r="F16" i="22"/>
  <c r="H16" i="22" s="1"/>
  <c r="F15" i="22"/>
  <c r="H15" i="22" s="1"/>
  <c r="Y15" i="22"/>
  <c r="F25" i="22"/>
  <c r="H25" i="22" s="1"/>
  <c r="F13" i="22"/>
  <c r="H13" i="22" s="1"/>
  <c r="F27" i="22"/>
  <c r="H27" i="22" s="1"/>
  <c r="F22" i="22"/>
  <c r="H22" i="22" s="1"/>
  <c r="F10" i="22"/>
  <c r="H10" i="22" s="1"/>
  <c r="F28" i="22"/>
  <c r="H28" i="22" s="1"/>
  <c r="O62" i="22"/>
  <c r="R62" i="22"/>
  <c r="U62" i="22"/>
  <c r="B63" i="22"/>
  <c r="D63" i="22"/>
  <c r="D63" i="24" s="1"/>
  <c r="N63" i="22"/>
  <c r="E63" i="24" l="1"/>
  <c r="E62" i="24"/>
  <c r="K39" i="22"/>
  <c r="E63" i="22"/>
  <c r="V62" i="22"/>
  <c r="H38" i="22"/>
  <c r="K46" i="22"/>
  <c r="J61" i="22"/>
  <c r="K59" i="22"/>
  <c r="J34" i="22"/>
  <c r="K31" i="22"/>
  <c r="K49" i="22"/>
  <c r="K52" i="22"/>
  <c r="K40" i="22"/>
  <c r="J48" i="22"/>
  <c r="K58" i="22"/>
  <c r="K38" i="22"/>
  <c r="K51" i="22"/>
  <c r="J57" i="22"/>
  <c r="K55" i="22"/>
  <c r="K30" i="22"/>
  <c r="J53" i="22"/>
  <c r="K56" i="22"/>
  <c r="K37" i="22"/>
  <c r="K29" i="22"/>
  <c r="K35" i="22"/>
  <c r="K32" i="22"/>
  <c r="K42" i="22"/>
  <c r="J42" i="22"/>
  <c r="K43" i="22"/>
  <c r="J43" i="22"/>
  <c r="K45" i="22"/>
  <c r="J45" i="22"/>
  <c r="J47" i="22"/>
  <c r="K47" i="22"/>
  <c r="K50" i="22"/>
  <c r="K44" i="22"/>
  <c r="K41" i="22"/>
  <c r="J41" i="22"/>
  <c r="K33" i="22"/>
  <c r="J33" i="22"/>
  <c r="K36" i="22"/>
  <c r="K54" i="22"/>
  <c r="J60" i="22"/>
  <c r="K60" i="22"/>
  <c r="H60" i="22"/>
  <c r="H43" i="22"/>
  <c r="H54" i="22"/>
  <c r="H56" i="22"/>
  <c r="H58" i="22"/>
  <c r="H40" i="22"/>
  <c r="H49" i="22"/>
  <c r="H44" i="22"/>
  <c r="H45" i="22"/>
  <c r="H37" i="22"/>
  <c r="H30" i="22"/>
  <c r="H47" i="22"/>
  <c r="H31" i="22"/>
  <c r="F62" i="22"/>
  <c r="Y62" i="22"/>
  <c r="Q62" i="22"/>
  <c r="O63" i="22"/>
  <c r="R63" i="22"/>
  <c r="U63" i="22"/>
  <c r="V63" i="22" s="1"/>
  <c r="D64" i="22"/>
  <c r="D64" i="24" s="1"/>
  <c r="E64" i="24" s="1"/>
  <c r="N64" i="22"/>
  <c r="AD63" i="24" l="1"/>
  <c r="F64" i="24"/>
  <c r="AD64" i="24"/>
  <c r="AD62" i="24"/>
  <c r="F63" i="24"/>
  <c r="F62" i="24"/>
  <c r="E64" i="22"/>
  <c r="Y63" i="22"/>
  <c r="H62" i="22"/>
  <c r="F63" i="22"/>
  <c r="Q63" i="22"/>
  <c r="O64" i="22"/>
  <c r="R64" i="22"/>
  <c r="U64" i="22"/>
  <c r="D65" i="22"/>
  <c r="D65" i="24" s="1"/>
  <c r="E65" i="22"/>
  <c r="N65" i="22"/>
  <c r="E65" i="24" l="1"/>
  <c r="V64" i="22"/>
  <c r="Q64" i="22"/>
  <c r="Y64" i="22"/>
  <c r="H63" i="22"/>
  <c r="F64" i="22"/>
  <c r="O65" i="22"/>
  <c r="U65" i="22"/>
  <c r="V65" i="22" s="1"/>
  <c r="D66" i="22"/>
  <c r="D66" i="24" s="1"/>
  <c r="E66" i="24" s="1"/>
  <c r="N66" i="22"/>
  <c r="E66" i="22" l="1"/>
  <c r="AD65" i="24"/>
  <c r="F66" i="24"/>
  <c r="F65" i="24"/>
  <c r="AD66" i="24"/>
  <c r="F65" i="22"/>
  <c r="Y65" i="22"/>
  <c r="H64" i="22"/>
  <c r="R65" i="22"/>
  <c r="Q65" i="22"/>
  <c r="O66" i="22"/>
  <c r="U66" i="22"/>
  <c r="D67" i="22"/>
  <c r="D67" i="24" s="1"/>
  <c r="N67" i="22"/>
  <c r="E67" i="24" l="1"/>
  <c r="E67" i="22"/>
  <c r="V66" i="22"/>
  <c r="H65" i="22"/>
  <c r="F66" i="22"/>
  <c r="R66" i="22"/>
  <c r="Y66" i="22"/>
  <c r="Q66" i="22"/>
  <c r="O67" i="22"/>
  <c r="U67" i="22"/>
  <c r="V67" i="22" s="1"/>
  <c r="D68" i="22"/>
  <c r="N68" i="22"/>
  <c r="AD67" i="24" l="1"/>
  <c r="E68" i="22"/>
  <c r="D68" i="24"/>
  <c r="F67" i="22"/>
  <c r="H67" i="22" s="1"/>
  <c r="Y67" i="22"/>
  <c r="Q67" i="22"/>
  <c r="R67" i="22"/>
  <c r="H66" i="22"/>
  <c r="O68" i="22"/>
  <c r="Q68" i="22"/>
  <c r="U68" i="22"/>
  <c r="Y68" i="22" s="1"/>
  <c r="D69" i="22"/>
  <c r="N69" i="22"/>
  <c r="E69" i="22" l="1"/>
  <c r="D69" i="24"/>
  <c r="E68" i="24"/>
  <c r="V68" i="22"/>
  <c r="R68" i="22"/>
  <c r="F68" i="22"/>
  <c r="O69" i="22"/>
  <c r="U69" i="22"/>
  <c r="V69" i="22" s="1"/>
  <c r="D70" i="22"/>
  <c r="N70" i="22"/>
  <c r="AD68" i="24" l="1"/>
  <c r="E69" i="24"/>
  <c r="E70" i="22"/>
  <c r="D70" i="24"/>
  <c r="E70" i="24" s="1"/>
  <c r="F69" i="22"/>
  <c r="H69" i="22" s="1"/>
  <c r="R69" i="22"/>
  <c r="Q69" i="22"/>
  <c r="Y69" i="22"/>
  <c r="H68" i="22"/>
  <c r="O70" i="22"/>
  <c r="Q70" i="22"/>
  <c r="U70" i="22"/>
  <c r="Y70" i="22" s="1"/>
  <c r="D71" i="22"/>
  <c r="N71" i="22"/>
  <c r="AD69" i="24" l="1"/>
  <c r="AD70" i="24"/>
  <c r="E71" i="22"/>
  <c r="D71" i="24"/>
  <c r="E71" i="24" s="1"/>
  <c r="V70" i="22"/>
  <c r="R70" i="22"/>
  <c r="F70" i="22"/>
  <c r="O71" i="22"/>
  <c r="Q71" i="22"/>
  <c r="U71" i="22"/>
  <c r="V71" i="22" s="1"/>
  <c r="D72" i="22"/>
  <c r="N72" i="22"/>
  <c r="E72" i="22" l="1"/>
  <c r="D72" i="24"/>
  <c r="AD71" i="24"/>
  <c r="R71" i="22"/>
  <c r="H70" i="22"/>
  <c r="F71" i="22"/>
  <c r="Y71" i="22"/>
  <c r="O72" i="22"/>
  <c r="Q72" i="22"/>
  <c r="U72" i="22"/>
  <c r="V72" i="22" s="1"/>
  <c r="D73" i="22"/>
  <c r="D73" i="24" s="1"/>
  <c r="N73" i="22"/>
  <c r="E73" i="22" l="1"/>
  <c r="Y72" i="22"/>
  <c r="H71" i="22"/>
  <c r="R72" i="22"/>
  <c r="F72" i="22"/>
  <c r="O73" i="22"/>
  <c r="U73" i="22"/>
  <c r="V73" i="22" s="1"/>
  <c r="D74" i="22"/>
  <c r="N74" i="22"/>
  <c r="E74" i="22" l="1"/>
  <c r="D74" i="24"/>
  <c r="F73" i="22"/>
  <c r="H73" i="22" s="1"/>
  <c r="H72" i="22"/>
  <c r="Q73" i="22"/>
  <c r="Y73" i="22"/>
  <c r="R73" i="22"/>
  <c r="O74" i="22"/>
  <c r="Q74" i="22"/>
  <c r="U74" i="22"/>
  <c r="V74" i="22" s="1"/>
  <c r="D75" i="22"/>
  <c r="D75" i="24" s="1"/>
  <c r="N75" i="22"/>
  <c r="E75" i="22" l="1"/>
  <c r="R74" i="22"/>
  <c r="F74" i="22"/>
  <c r="Y74" i="22"/>
  <c r="O75" i="22"/>
  <c r="U75" i="22"/>
  <c r="V75" i="22" s="1"/>
  <c r="D76" i="22"/>
  <c r="N76" i="22"/>
  <c r="E76" i="22" l="1"/>
  <c r="D76" i="24"/>
  <c r="Y75" i="22"/>
  <c r="F75" i="22"/>
  <c r="H75" i="22" s="1"/>
  <c r="R75" i="22"/>
  <c r="Q75" i="22"/>
  <c r="H74" i="22"/>
  <c r="O76" i="22"/>
  <c r="Q76" i="22"/>
  <c r="U76" i="22"/>
  <c r="V76" i="22" s="1"/>
  <c r="D77" i="22"/>
  <c r="N77" i="22"/>
  <c r="E77" i="22" l="1"/>
  <c r="D77" i="24"/>
  <c r="R76" i="22"/>
  <c r="Y76" i="22"/>
  <c r="F76" i="22"/>
  <c r="O77" i="22"/>
  <c r="U77" i="22"/>
  <c r="V77" i="22" s="1"/>
  <c r="D78" i="22"/>
  <c r="D78" i="24" s="1"/>
  <c r="N78" i="22"/>
  <c r="E78" i="22" l="1"/>
  <c r="F77" i="22"/>
  <c r="H76" i="22"/>
  <c r="R77" i="22"/>
  <c r="Q77" i="22"/>
  <c r="Y77" i="22"/>
  <c r="O78" i="22"/>
  <c r="R78" i="22"/>
  <c r="U78" i="22"/>
  <c r="V78" i="22" s="1"/>
  <c r="D79" i="22"/>
  <c r="D79" i="24" s="1"/>
  <c r="N79" i="22"/>
  <c r="E79" i="22" l="1"/>
  <c r="H77" i="22"/>
  <c r="Y78" i="22"/>
  <c r="F78" i="22"/>
  <c r="Q78" i="22"/>
  <c r="O79" i="22"/>
  <c r="U79" i="22"/>
  <c r="V79" i="22" s="1"/>
  <c r="D80" i="22"/>
  <c r="N80" i="22"/>
  <c r="E80" i="22" l="1"/>
  <c r="D80" i="24"/>
  <c r="F79" i="22"/>
  <c r="H79" i="22" s="1"/>
  <c r="Y79" i="22"/>
  <c r="R79" i="22"/>
  <c r="H78" i="22"/>
  <c r="Q79" i="22"/>
  <c r="O80" i="22"/>
  <c r="U80" i="22"/>
  <c r="V80" i="22" s="1"/>
  <c r="D81" i="22"/>
  <c r="D81" i="24" s="1"/>
  <c r="E81" i="22"/>
  <c r="N81" i="22"/>
  <c r="Y80" i="22" l="1"/>
  <c r="F80" i="22"/>
  <c r="R80" i="22"/>
  <c r="Q80" i="22"/>
  <c r="O81" i="22"/>
  <c r="R81" i="22"/>
  <c r="U81" i="22"/>
  <c r="V81" i="22" s="1"/>
  <c r="D82" i="22"/>
  <c r="N82" i="22"/>
  <c r="E82" i="22" l="1"/>
  <c r="D82" i="24"/>
  <c r="F81" i="22"/>
  <c r="H81" i="22" s="1"/>
  <c r="Q81" i="22"/>
  <c r="Y81" i="22"/>
  <c r="H80" i="22"/>
  <c r="O82" i="22"/>
  <c r="R82" i="22"/>
  <c r="U82" i="22"/>
  <c r="V82" i="22" s="1"/>
  <c r="D83" i="22"/>
  <c r="N83" i="22"/>
  <c r="E83" i="22" l="1"/>
  <c r="D83" i="24"/>
  <c r="Y82" i="22"/>
  <c r="F82" i="22"/>
  <c r="Q82" i="22"/>
  <c r="O83" i="22"/>
  <c r="U83" i="22"/>
  <c r="V83" i="22" s="1"/>
  <c r="D84" i="22"/>
  <c r="D84" i="24" s="1"/>
  <c r="N84" i="22"/>
  <c r="E84" i="22" l="1"/>
  <c r="F83" i="22"/>
  <c r="H83" i="22" s="1"/>
  <c r="R83" i="22"/>
  <c r="Q83" i="22"/>
  <c r="Y83" i="22"/>
  <c r="H82" i="22"/>
  <c r="O84" i="22"/>
  <c r="U84" i="22"/>
  <c r="V84" i="22" s="1"/>
  <c r="D85" i="22"/>
  <c r="N85" i="22"/>
  <c r="E85" i="22" l="1"/>
  <c r="D85" i="24"/>
  <c r="F84" i="22"/>
  <c r="R84" i="22"/>
  <c r="Q84" i="22"/>
  <c r="Y84" i="22"/>
  <c r="O85" i="22"/>
  <c r="U85" i="22"/>
  <c r="V85" i="22" s="1"/>
  <c r="D86" i="22"/>
  <c r="N86" i="22"/>
  <c r="E86" i="22" l="1"/>
  <c r="D86" i="24"/>
  <c r="F85" i="22"/>
  <c r="H85" i="22" s="1"/>
  <c r="H84" i="22"/>
  <c r="Y85" i="22"/>
  <c r="Q85" i="22"/>
  <c r="R85" i="22"/>
  <c r="O86" i="22"/>
  <c r="R86" i="22"/>
  <c r="U86" i="22"/>
  <c r="V86" i="22" s="1"/>
  <c r="D87" i="22"/>
  <c r="N87" i="22"/>
  <c r="E87" i="22" l="1"/>
  <c r="D87" i="24"/>
  <c r="Y86" i="22"/>
  <c r="F86" i="22"/>
  <c r="Q86" i="22"/>
  <c r="O87" i="22"/>
  <c r="U87" i="22"/>
  <c r="V87" i="22" s="1"/>
  <c r="D88" i="22"/>
  <c r="N88" i="22"/>
  <c r="E88" i="22" l="1"/>
  <c r="D88" i="24"/>
  <c r="Y87" i="22"/>
  <c r="F87" i="22"/>
  <c r="R87" i="22"/>
  <c r="H86" i="22"/>
  <c r="Q87" i="22"/>
  <c r="O88" i="22"/>
  <c r="Q88" i="22"/>
  <c r="U88" i="22"/>
  <c r="V88" i="22" s="1"/>
  <c r="D89" i="22"/>
  <c r="N89" i="22"/>
  <c r="E89" i="22" l="1"/>
  <c r="D89" i="24"/>
  <c r="R88" i="22"/>
  <c r="H87" i="22"/>
  <c r="Y88" i="22"/>
  <c r="F88" i="22"/>
  <c r="O89" i="22"/>
  <c r="U89" i="22"/>
  <c r="V89" i="22" s="1"/>
  <c r="D90" i="22"/>
  <c r="D90" i="24" s="1"/>
  <c r="N90" i="22"/>
  <c r="E90" i="22" l="1"/>
  <c r="F89" i="22"/>
  <c r="H89" i="22" s="1"/>
  <c r="Q89" i="22"/>
  <c r="Y89" i="22"/>
  <c r="H88" i="22"/>
  <c r="R89" i="22"/>
  <c r="O90" i="22"/>
  <c r="U90" i="22"/>
  <c r="V90" i="22" s="1"/>
  <c r="D91" i="22"/>
  <c r="N91" i="22"/>
  <c r="E91" i="22" l="1"/>
  <c r="D91" i="24"/>
  <c r="F90" i="22"/>
  <c r="H90" i="22" s="1"/>
  <c r="Q90" i="22"/>
  <c r="Y90" i="22"/>
  <c r="R90" i="22"/>
  <c r="O91" i="22"/>
  <c r="U91" i="22"/>
  <c r="V91" i="22" s="1"/>
  <c r="D92" i="22"/>
  <c r="N92" i="22"/>
  <c r="E92" i="22" l="1"/>
  <c r="D92" i="24"/>
  <c r="F91" i="22"/>
  <c r="H91" i="22" s="1"/>
  <c r="Y91" i="22"/>
  <c r="Q91" i="22"/>
  <c r="R91" i="22"/>
  <c r="O92" i="22"/>
  <c r="U92" i="22"/>
  <c r="V92" i="22" s="1"/>
  <c r="D93" i="22"/>
  <c r="N93" i="22"/>
  <c r="E93" i="22" l="1"/>
  <c r="D93" i="24"/>
  <c r="Y92" i="22"/>
  <c r="F92" i="22"/>
  <c r="H92" i="22" s="1"/>
  <c r="Q92" i="22"/>
  <c r="R92" i="22"/>
  <c r="O93" i="22"/>
  <c r="R93" i="22"/>
  <c r="U93" i="22"/>
  <c r="V93" i="22" s="1"/>
  <c r="D94" i="22"/>
  <c r="N94" i="22"/>
  <c r="E94" i="22" l="1"/>
  <c r="D94" i="24"/>
  <c r="Y93" i="22"/>
  <c r="F93" i="22"/>
  <c r="Q93" i="22"/>
  <c r="O94" i="22"/>
  <c r="U94" i="22"/>
  <c r="V94" i="22" s="1"/>
  <c r="D95" i="22"/>
  <c r="N95" i="22"/>
  <c r="E95" i="22" l="1"/>
  <c r="D95" i="24"/>
  <c r="F94" i="22"/>
  <c r="H94" i="22" s="1"/>
  <c r="H93" i="22"/>
  <c r="Y94" i="22"/>
  <c r="R94" i="22"/>
  <c r="Q94" i="22"/>
  <c r="O95" i="22"/>
  <c r="Q95" i="22"/>
  <c r="U95" i="22"/>
  <c r="V95" i="22" s="1"/>
  <c r="D96" i="22"/>
  <c r="N96" i="22"/>
  <c r="E96" i="22" l="1"/>
  <c r="D96" i="24"/>
  <c r="Y95" i="22"/>
  <c r="R95" i="22"/>
  <c r="F95" i="22"/>
  <c r="O96" i="22"/>
  <c r="R96" i="22"/>
  <c r="U96" i="22"/>
  <c r="V96" i="22" s="1"/>
  <c r="D97" i="22"/>
  <c r="N97" i="22"/>
  <c r="E97" i="22" l="1"/>
  <c r="D97" i="24"/>
  <c r="Q96" i="22"/>
  <c r="Y96" i="22"/>
  <c r="F96" i="22"/>
  <c r="H95" i="22"/>
  <c r="O97" i="22"/>
  <c r="U97" i="22"/>
  <c r="V97" i="22" s="1"/>
  <c r="D98" i="22"/>
  <c r="N98" i="22"/>
  <c r="E98" i="22" l="1"/>
  <c r="D98" i="24"/>
  <c r="F97" i="22"/>
  <c r="H97" i="22" s="1"/>
  <c r="Y97" i="22"/>
  <c r="H96" i="22"/>
  <c r="R97" i="22"/>
  <c r="Q97" i="22"/>
  <c r="O98" i="22"/>
  <c r="U98" i="22"/>
  <c r="V98" i="22" s="1"/>
  <c r="D99" i="22"/>
  <c r="D99" i="24" s="1"/>
  <c r="N99" i="22"/>
  <c r="E99" i="22" l="1"/>
  <c r="F98" i="22"/>
  <c r="R98" i="22"/>
  <c r="Q98" i="22"/>
  <c r="Y98" i="22"/>
  <c r="O99" i="22"/>
  <c r="U99" i="22"/>
  <c r="V99" i="22" s="1"/>
  <c r="D100" i="22"/>
  <c r="N100" i="22"/>
  <c r="Y99" i="22" l="1"/>
  <c r="E100" i="22"/>
  <c r="D100" i="24"/>
  <c r="F99" i="22"/>
  <c r="H99" i="22" s="1"/>
  <c r="R99" i="22"/>
  <c r="Q99" i="22"/>
  <c r="H98" i="22"/>
  <c r="O100" i="22"/>
  <c r="U100" i="22"/>
  <c r="V100" i="22" s="1"/>
  <c r="D101" i="22"/>
  <c r="N101" i="22"/>
  <c r="E101" i="22" l="1"/>
  <c r="D101" i="24"/>
  <c r="F100" i="22"/>
  <c r="R100" i="22"/>
  <c r="Q100" i="22"/>
  <c r="Y100" i="22"/>
  <c r="O101" i="22"/>
  <c r="U101" i="22"/>
  <c r="V101" i="22" s="1"/>
  <c r="D102" i="22"/>
  <c r="N102" i="22"/>
  <c r="E102" i="22" l="1"/>
  <c r="D102" i="24"/>
  <c r="F101" i="22"/>
  <c r="H101" i="22" s="1"/>
  <c r="R101" i="22"/>
  <c r="Q101" i="22"/>
  <c r="Y101" i="22"/>
  <c r="H100" i="22"/>
  <c r="O102" i="22"/>
  <c r="R102" i="22"/>
  <c r="U102" i="22"/>
  <c r="V102" i="22" s="1"/>
  <c r="D103" i="22"/>
  <c r="N103" i="22"/>
  <c r="E103" i="22" l="1"/>
  <c r="D103" i="24"/>
  <c r="Y102" i="22"/>
  <c r="F102" i="22"/>
  <c r="Q102" i="22"/>
  <c r="O103" i="22"/>
  <c r="U103" i="22"/>
  <c r="V103" i="22" s="1"/>
  <c r="D104" i="22"/>
  <c r="N104" i="22"/>
  <c r="E104" i="22" l="1"/>
  <c r="D104" i="24"/>
  <c r="F103" i="22"/>
  <c r="H103" i="22" s="1"/>
  <c r="R103" i="22"/>
  <c r="Q103" i="22"/>
  <c r="H102" i="22"/>
  <c r="Y103" i="22"/>
  <c r="O104" i="22"/>
  <c r="R104" i="22"/>
  <c r="U104" i="22"/>
  <c r="V104" i="22" s="1"/>
  <c r="D105" i="22"/>
  <c r="N105" i="22"/>
  <c r="E105" i="22" l="1"/>
  <c r="D105" i="24"/>
  <c r="Q104" i="22"/>
  <c r="F104" i="22"/>
  <c r="Y104" i="22"/>
  <c r="O105" i="22"/>
  <c r="U105" i="22"/>
  <c r="V105" i="22" s="1"/>
  <c r="D106" i="22"/>
  <c r="N106" i="22"/>
  <c r="E106" i="22" l="1"/>
  <c r="D106" i="24"/>
  <c r="F105" i="22"/>
  <c r="H105" i="22" s="1"/>
  <c r="Q105" i="22"/>
  <c r="R105" i="22"/>
  <c r="Y105" i="22"/>
  <c r="H104" i="22"/>
  <c r="O106" i="22"/>
  <c r="U106" i="22"/>
  <c r="V106" i="22" s="1"/>
  <c r="D107" i="22"/>
  <c r="N107" i="22"/>
  <c r="E107" i="22" l="1"/>
  <c r="D107" i="24"/>
  <c r="F106" i="22"/>
  <c r="H106" i="22" s="1"/>
  <c r="R106" i="22"/>
  <c r="Q106" i="22"/>
  <c r="Y106" i="22"/>
  <c r="O107" i="22"/>
  <c r="U107" i="22"/>
  <c r="V107" i="22" s="1"/>
  <c r="D108" i="22"/>
  <c r="N108" i="22"/>
  <c r="E108" i="22" l="1"/>
  <c r="D108" i="24"/>
  <c r="F107" i="22"/>
  <c r="H107" i="22" s="1"/>
  <c r="Y107" i="22"/>
  <c r="R107" i="22"/>
  <c r="Q107" i="22"/>
  <c r="O108" i="22"/>
  <c r="U108" i="22"/>
  <c r="D109" i="22"/>
  <c r="N109" i="22"/>
  <c r="E109" i="22" l="1"/>
  <c r="D109" i="24"/>
  <c r="F108" i="22"/>
  <c r="H108" i="22" s="1"/>
  <c r="Y108" i="22"/>
  <c r="V108" i="22"/>
  <c r="R108" i="22"/>
  <c r="Q108" i="22"/>
  <c r="O109" i="22"/>
  <c r="U109" i="22"/>
  <c r="V109" i="22" s="1"/>
  <c r="D110" i="22"/>
  <c r="N110" i="22"/>
  <c r="E110" i="22" l="1"/>
  <c r="D110" i="24"/>
  <c r="F109" i="22"/>
  <c r="Y109" i="22"/>
  <c r="R109" i="22"/>
  <c r="Q109" i="22"/>
  <c r="O110" i="22"/>
  <c r="U110" i="22"/>
  <c r="V110" i="22" s="1"/>
  <c r="D111" i="22"/>
  <c r="D111" i="24" s="1"/>
  <c r="N111" i="22"/>
  <c r="E111" i="22" l="1"/>
  <c r="F110" i="22"/>
  <c r="H110" i="22" s="1"/>
  <c r="H109" i="22"/>
  <c r="Y110" i="22"/>
  <c r="R110" i="22"/>
  <c r="Q110" i="22"/>
  <c r="O111" i="22"/>
  <c r="Q111" i="22"/>
  <c r="U111" i="22"/>
  <c r="V111" i="22" s="1"/>
  <c r="D112" i="22"/>
  <c r="N112" i="22"/>
  <c r="E112" i="22" l="1"/>
  <c r="D112" i="24"/>
  <c r="R111" i="22"/>
  <c r="Y111" i="22"/>
  <c r="F111" i="22"/>
  <c r="O112" i="22"/>
  <c r="U112" i="22"/>
  <c r="V112" i="22" s="1"/>
  <c r="D113" i="22"/>
  <c r="N113" i="22"/>
  <c r="E113" i="22" l="1"/>
  <c r="D113" i="24"/>
  <c r="AG113" i="24"/>
  <c r="F112" i="22"/>
  <c r="H112" i="22" s="1"/>
  <c r="R112" i="22"/>
  <c r="Q112" i="22"/>
  <c r="Y112" i="22"/>
  <c r="H111" i="22"/>
  <c r="O113" i="22"/>
  <c r="Q113" i="22"/>
  <c r="U113" i="22"/>
  <c r="V113" i="22" s="1"/>
  <c r="D114" i="22"/>
  <c r="N114" i="22"/>
  <c r="E114" i="22" l="1"/>
  <c r="D114" i="24"/>
  <c r="AG114" i="24"/>
  <c r="AH114" i="24" s="1"/>
  <c r="R113" i="22"/>
  <c r="F113" i="22"/>
  <c r="Y113" i="22"/>
  <c r="O114" i="22"/>
  <c r="R114" i="22"/>
  <c r="U114" i="22"/>
  <c r="V114" i="22" s="1"/>
  <c r="D115" i="22"/>
  <c r="N115" i="22"/>
  <c r="E115" i="22" l="1"/>
  <c r="D115" i="24"/>
  <c r="AG115" i="24"/>
  <c r="AH115" i="24" s="1"/>
  <c r="AI115" i="24" s="1"/>
  <c r="AY114" i="24"/>
  <c r="F114" i="22"/>
  <c r="H114" i="22" s="1"/>
  <c r="Q114" i="22"/>
  <c r="Y114" i="22"/>
  <c r="H113" i="22"/>
  <c r="O115" i="22"/>
  <c r="Q115" i="22"/>
  <c r="U115" i="22"/>
  <c r="V115" i="22" s="1"/>
  <c r="D116" i="22"/>
  <c r="E116" i="22" l="1"/>
  <c r="D116" i="24"/>
  <c r="AG116" i="24"/>
  <c r="AH116" i="24" s="1"/>
  <c r="AI116" i="24" s="1"/>
  <c r="AY115" i="24"/>
  <c r="R115" i="22"/>
  <c r="Y115" i="22"/>
  <c r="F115" i="22"/>
  <c r="O116" i="22"/>
  <c r="R116" i="22"/>
  <c r="U116" i="22"/>
  <c r="V116" i="22" s="1"/>
  <c r="D117" i="22"/>
  <c r="E117" i="22" l="1"/>
  <c r="D117" i="24"/>
  <c r="AG117" i="24"/>
  <c r="AH117" i="24" s="1"/>
  <c r="AI117" i="24" s="1"/>
  <c r="AY116" i="24"/>
  <c r="F116" i="22"/>
  <c r="H116" i="22" s="1"/>
  <c r="Q116" i="22"/>
  <c r="H115" i="22"/>
  <c r="Y116" i="22"/>
  <c r="O117" i="22"/>
  <c r="Q117" i="22"/>
  <c r="U117" i="22"/>
  <c r="V117" i="22" s="1"/>
  <c r="D118" i="22"/>
  <c r="E118" i="22" l="1"/>
  <c r="D118" i="24"/>
  <c r="AG118" i="24"/>
  <c r="AY117" i="24"/>
  <c r="R117" i="22"/>
  <c r="Y117" i="22"/>
  <c r="F117" i="22"/>
  <c r="O118" i="22"/>
  <c r="U118" i="22"/>
  <c r="V118" i="22" s="1"/>
  <c r="D119" i="22"/>
  <c r="E119" i="22" l="1"/>
  <c r="D119" i="24"/>
  <c r="E119" i="24" s="1"/>
  <c r="E118" i="24"/>
  <c r="AG119" i="24"/>
  <c r="AH119" i="24" s="1"/>
  <c r="AH118" i="24"/>
  <c r="F118" i="22"/>
  <c r="H118" i="22" s="1"/>
  <c r="Q118" i="22"/>
  <c r="Y118" i="22"/>
  <c r="R118" i="22"/>
  <c r="H117" i="22"/>
  <c r="O119" i="22"/>
  <c r="U119" i="22"/>
  <c r="V119" i="22" s="1"/>
  <c r="E120" i="22" l="1"/>
  <c r="D120" i="24"/>
  <c r="E121" i="24" s="1"/>
  <c r="AD118" i="24"/>
  <c r="F119" i="24"/>
  <c r="AD119" i="24"/>
  <c r="AG120" i="24"/>
  <c r="AY118" i="24"/>
  <c r="AI118" i="24"/>
  <c r="AI119" i="24"/>
  <c r="AY119" i="24"/>
  <c r="Y119" i="22"/>
  <c r="F119" i="22"/>
  <c r="R119" i="22"/>
  <c r="Q119" i="22"/>
  <c r="O120" i="22"/>
  <c r="U120" i="22"/>
  <c r="V120" i="22" s="1"/>
  <c r="E121" i="22"/>
  <c r="AD121" i="24" l="1"/>
  <c r="F122" i="24"/>
  <c r="E120" i="24"/>
  <c r="AH120" i="24"/>
  <c r="AH121" i="24"/>
  <c r="Y120" i="22"/>
  <c r="F120" i="22"/>
  <c r="H120" i="22" s="1"/>
  <c r="R120" i="22"/>
  <c r="Q120" i="22"/>
  <c r="H119" i="22"/>
  <c r="O121" i="22"/>
  <c r="Q121" i="22"/>
  <c r="U121" i="22"/>
  <c r="E122" i="22"/>
  <c r="AD120" i="24" l="1"/>
  <c r="F121" i="24"/>
  <c r="F120" i="24"/>
  <c r="AI121" i="24"/>
  <c r="AY121" i="24"/>
  <c r="AI122" i="24"/>
  <c r="AY120" i="24"/>
  <c r="AI120" i="24"/>
  <c r="V121" i="22"/>
  <c r="BB121" i="24"/>
  <c r="Y121" i="22"/>
  <c r="R121" i="22"/>
  <c r="F121" i="22"/>
  <c r="O122" i="22"/>
  <c r="U122" i="22"/>
  <c r="V122" i="22" l="1"/>
  <c r="BB122" i="24"/>
  <c r="BC123" i="24" s="1"/>
  <c r="BD124" i="24" s="1"/>
  <c r="E123" i="22"/>
  <c r="AD44" i="22"/>
  <c r="AD45" i="22"/>
  <c r="AD48" i="22" s="1"/>
  <c r="F122" i="22"/>
  <c r="Y122" i="22"/>
  <c r="R122" i="22"/>
  <c r="Q122" i="22"/>
  <c r="H121" i="22"/>
  <c r="O123" i="22"/>
  <c r="Q123" i="22"/>
  <c r="E124" i="22"/>
  <c r="O124" i="22"/>
  <c r="E125" i="22"/>
  <c r="O125" i="22"/>
  <c r="E126" i="22"/>
  <c r="O126" i="22"/>
  <c r="V126" i="22"/>
  <c r="E127" i="22"/>
  <c r="O127" i="22"/>
  <c r="V127" i="22"/>
  <c r="E128" i="22"/>
  <c r="O128" i="22"/>
  <c r="V128" i="22"/>
  <c r="E129" i="22"/>
  <c r="O129" i="22"/>
  <c r="V129" i="22"/>
  <c r="E130" i="22"/>
  <c r="O130" i="22"/>
  <c r="V130" i="22"/>
  <c r="E131" i="22"/>
  <c r="O131" i="22"/>
  <c r="V131" i="22"/>
  <c r="E132" i="22"/>
  <c r="O132" i="22"/>
  <c r="V132" i="22"/>
  <c r="E133" i="22"/>
  <c r="O133" i="22"/>
  <c r="V133" i="22"/>
  <c r="E134" i="22"/>
  <c r="O134" i="22"/>
  <c r="V134" i="22"/>
  <c r="E135" i="22"/>
  <c r="O135" i="22"/>
  <c r="V135" i="22"/>
  <c r="E136" i="22"/>
  <c r="O136" i="22"/>
  <c r="V136" i="22"/>
  <c r="E137" i="22"/>
  <c r="O137" i="22"/>
  <c r="V137" i="22"/>
  <c r="E138" i="22"/>
  <c r="O138" i="22"/>
  <c r="V138" i="22"/>
  <c r="E139" i="22"/>
  <c r="O139" i="22"/>
  <c r="V139" i="22"/>
  <c r="E140" i="22"/>
  <c r="O140" i="22"/>
  <c r="V140" i="22"/>
  <c r="E141" i="22"/>
  <c r="O141" i="22"/>
  <c r="V141" i="22"/>
  <c r="E142" i="22"/>
  <c r="O142" i="22"/>
  <c r="V142" i="22"/>
  <c r="E143" i="22"/>
  <c r="O143" i="22"/>
  <c r="V143" i="22"/>
  <c r="E144" i="22"/>
  <c r="O144" i="22"/>
  <c r="V144" i="22"/>
  <c r="E145" i="22"/>
  <c r="O145" i="22"/>
  <c r="V145" i="22"/>
  <c r="E146" i="22"/>
  <c r="O146" i="22"/>
  <c r="V146" i="22"/>
  <c r="E147" i="22"/>
  <c r="O147" i="22"/>
  <c r="V147" i="22"/>
  <c r="E148" i="22"/>
  <c r="O148" i="22"/>
  <c r="V148" i="22"/>
  <c r="E149" i="22"/>
  <c r="O149" i="22"/>
  <c r="V149" i="22"/>
  <c r="E150" i="22"/>
  <c r="O150" i="22"/>
  <c r="V150" i="22"/>
  <c r="E151" i="22"/>
  <c r="O151" i="22"/>
  <c r="V151" i="22"/>
  <c r="E152" i="22"/>
  <c r="O152" i="22"/>
  <c r="V152" i="22"/>
  <c r="E153" i="22"/>
  <c r="O153" i="22"/>
  <c r="V153" i="22"/>
  <c r="E154" i="22"/>
  <c r="O154" i="22"/>
  <c r="V154" i="22"/>
  <c r="E155" i="22"/>
  <c r="O155" i="22"/>
  <c r="V155" i="22"/>
  <c r="E156" i="22"/>
  <c r="O156" i="22"/>
  <c r="V156" i="22"/>
  <c r="E157" i="22"/>
  <c r="O157" i="22"/>
  <c r="V157" i="22"/>
  <c r="E158" i="22"/>
  <c r="O158" i="22"/>
  <c r="V158" i="22"/>
  <c r="E159" i="22"/>
  <c r="O159" i="22"/>
  <c r="V159" i="22"/>
  <c r="E160" i="22"/>
  <c r="O160" i="22"/>
  <c r="V160" i="22"/>
  <c r="E161" i="22"/>
  <c r="O161" i="22"/>
  <c r="V161" i="22"/>
  <c r="E162" i="22"/>
  <c r="O162" i="22"/>
  <c r="V162" i="22"/>
  <c r="E163" i="22"/>
  <c r="O163" i="22"/>
  <c r="V163" i="22"/>
  <c r="E164" i="22"/>
  <c r="O164" i="22"/>
  <c r="V164" i="22"/>
  <c r="E165" i="22"/>
  <c r="O165" i="22"/>
  <c r="V165" i="22"/>
  <c r="E166" i="22"/>
  <c r="O166" i="22"/>
  <c r="V166" i="22"/>
  <c r="E167" i="22"/>
  <c r="O167" i="22"/>
  <c r="V167" i="22"/>
  <c r="E168" i="22"/>
  <c r="O168" i="22"/>
  <c r="V168" i="22"/>
  <c r="E169" i="22"/>
  <c r="O169" i="22"/>
  <c r="V169" i="22"/>
  <c r="E170" i="22"/>
  <c r="O170" i="22"/>
  <c r="V170" i="22"/>
  <c r="E171" i="22"/>
  <c r="O171" i="22"/>
  <c r="V171" i="22"/>
  <c r="E172" i="22"/>
  <c r="O172" i="22"/>
  <c r="V172" i="22"/>
  <c r="E173" i="22"/>
  <c r="O173" i="22"/>
  <c r="V173" i="22"/>
  <c r="E174" i="22"/>
  <c r="O174" i="22"/>
  <c r="V174" i="22"/>
  <c r="E175" i="22"/>
  <c r="O175" i="22"/>
  <c r="V175" i="22"/>
  <c r="E176" i="22"/>
  <c r="O176" i="22"/>
  <c r="V176" i="22"/>
  <c r="E177" i="22"/>
  <c r="O177" i="22"/>
  <c r="V177" i="22"/>
  <c r="E178" i="22"/>
  <c r="O178" i="22"/>
  <c r="V178" i="22"/>
  <c r="E179" i="22"/>
  <c r="O179" i="22"/>
  <c r="V179" i="22"/>
  <c r="BC122" i="24" l="1"/>
  <c r="BD123" i="24" s="1"/>
  <c r="AD34" i="22"/>
  <c r="AD37" i="22" s="1"/>
  <c r="AD33" i="22"/>
  <c r="Q125" i="22"/>
  <c r="Y123" i="22"/>
  <c r="H122" i="22"/>
  <c r="Q124" i="22"/>
  <c r="R124" i="22"/>
  <c r="R123" i="22"/>
  <c r="F123" i="22"/>
  <c r="R5" i="22"/>
  <c r="Y5" i="22"/>
  <c r="D63" i="23"/>
  <c r="D64" i="23"/>
  <c r="D65" i="23"/>
  <c r="D66" i="23"/>
  <c r="D67" i="23"/>
  <c r="D68" i="23"/>
  <c r="D69" i="23"/>
  <c r="D70" i="23"/>
  <c r="D71" i="23"/>
  <c r="D72" i="23"/>
  <c r="D73" i="23"/>
  <c r="D74" i="23"/>
  <c r="D75" i="23"/>
  <c r="D76" i="23"/>
  <c r="D77" i="23"/>
  <c r="D78" i="23"/>
  <c r="D79" i="23"/>
  <c r="D80" i="23"/>
  <c r="D81" i="23"/>
  <c r="D82" i="23"/>
  <c r="D83" i="23"/>
  <c r="D84" i="23"/>
  <c r="D85" i="23"/>
  <c r="D86" i="23"/>
  <c r="D87" i="23"/>
  <c r="D88" i="23"/>
  <c r="D89" i="23"/>
  <c r="D90" i="23"/>
  <c r="D91" i="23"/>
  <c r="D92" i="23"/>
  <c r="D93" i="23"/>
  <c r="D94" i="23"/>
  <c r="D95" i="23"/>
  <c r="D96" i="23"/>
  <c r="D97" i="23"/>
  <c r="D98" i="23"/>
  <c r="D99" i="23"/>
  <c r="D100" i="23"/>
  <c r="D101" i="23"/>
  <c r="D102" i="23"/>
  <c r="D103" i="23"/>
  <c r="D104" i="23"/>
  <c r="D105" i="23"/>
  <c r="D106" i="23"/>
  <c r="D107" i="23"/>
  <c r="D108" i="23"/>
  <c r="D109" i="23"/>
  <c r="D110" i="23"/>
  <c r="D111" i="23"/>
  <c r="D112" i="23"/>
  <c r="D113" i="23"/>
  <c r="D114" i="23"/>
  <c r="D115" i="23"/>
  <c r="D116" i="23"/>
  <c r="D117" i="23"/>
  <c r="D118" i="23"/>
  <c r="D119" i="23"/>
  <c r="D120" i="23"/>
  <c r="E121" i="23" s="1"/>
  <c r="F121" i="23" s="1"/>
  <c r="D62" i="23"/>
  <c r="E62" i="23" s="1"/>
  <c r="Y124" i="22" l="1"/>
  <c r="Y125" i="22"/>
  <c r="R125" i="22"/>
  <c r="F125" i="22"/>
  <c r="H125" i="22" s="1"/>
  <c r="F124" i="22"/>
  <c r="F126" i="22"/>
  <c r="Q126" i="22"/>
  <c r="R126" i="22"/>
  <c r="H123" i="22"/>
  <c r="BF62" i="24"/>
  <c r="AK62" i="24"/>
  <c r="AJ184" i="24"/>
  <c r="G184" i="24"/>
  <c r="AJ183" i="24"/>
  <c r="G183" i="24"/>
  <c r="AJ182" i="24"/>
  <c r="G182" i="24"/>
  <c r="AJ181" i="24"/>
  <c r="G181" i="24"/>
  <c r="AJ180" i="24"/>
  <c r="G180" i="24"/>
  <c r="AJ179" i="24"/>
  <c r="G179" i="24"/>
  <c r="AJ178" i="24"/>
  <c r="G178" i="24"/>
  <c r="AJ177" i="24"/>
  <c r="G177" i="24"/>
  <c r="AJ176" i="24"/>
  <c r="G176" i="24"/>
  <c r="AJ175" i="24"/>
  <c r="G175" i="24"/>
  <c r="AJ174" i="24"/>
  <c r="G174" i="24"/>
  <c r="AJ173" i="24"/>
  <c r="G173" i="24"/>
  <c r="AJ172" i="24"/>
  <c r="G172" i="24"/>
  <c r="AJ171" i="24"/>
  <c r="G171" i="24"/>
  <c r="AJ170" i="24"/>
  <c r="G170" i="24"/>
  <c r="AJ169" i="24"/>
  <c r="G169" i="24"/>
  <c r="AJ168" i="24"/>
  <c r="G168" i="24"/>
  <c r="AJ167" i="24"/>
  <c r="G167" i="24"/>
  <c r="AJ166" i="24"/>
  <c r="G166" i="24"/>
  <c r="AJ165" i="24"/>
  <c r="G165" i="24"/>
  <c r="AJ164" i="24"/>
  <c r="G164" i="24"/>
  <c r="AJ163" i="24"/>
  <c r="G163" i="24"/>
  <c r="AJ162" i="24"/>
  <c r="G162" i="24"/>
  <c r="AJ161" i="24"/>
  <c r="G161" i="24"/>
  <c r="AJ160" i="24"/>
  <c r="G160" i="24"/>
  <c r="AJ159" i="24"/>
  <c r="G159" i="24"/>
  <c r="AJ158" i="24"/>
  <c r="G158" i="24"/>
  <c r="AJ157" i="24"/>
  <c r="G157" i="24"/>
  <c r="AJ156" i="24"/>
  <c r="G156" i="24"/>
  <c r="AJ155" i="24"/>
  <c r="G155" i="24"/>
  <c r="AJ154" i="24"/>
  <c r="G154" i="24"/>
  <c r="AJ153" i="24"/>
  <c r="G153" i="24"/>
  <c r="AJ152" i="24"/>
  <c r="G152" i="24"/>
  <c r="AJ151" i="24"/>
  <c r="G151" i="24"/>
  <c r="AJ150" i="24"/>
  <c r="G150" i="24"/>
  <c r="AJ149" i="24"/>
  <c r="G149" i="24"/>
  <c r="AJ148" i="24"/>
  <c r="G148" i="24"/>
  <c r="AJ147" i="24"/>
  <c r="G147" i="24"/>
  <c r="AJ146" i="24"/>
  <c r="G146" i="24"/>
  <c r="AJ145" i="24"/>
  <c r="G145" i="24"/>
  <c r="AJ144" i="24"/>
  <c r="G144" i="24"/>
  <c r="AJ143" i="24"/>
  <c r="G143" i="24"/>
  <c r="AJ142" i="24"/>
  <c r="G142" i="24"/>
  <c r="AJ141" i="24"/>
  <c r="G141" i="24"/>
  <c r="AJ140" i="24"/>
  <c r="G140" i="24"/>
  <c r="AJ139" i="24"/>
  <c r="G139" i="24"/>
  <c r="AJ138" i="24"/>
  <c r="G138" i="24"/>
  <c r="AJ137" i="24"/>
  <c r="G137" i="24"/>
  <c r="AJ136" i="24"/>
  <c r="G136" i="24"/>
  <c r="AJ135" i="24"/>
  <c r="G135" i="24"/>
  <c r="AJ134" i="24"/>
  <c r="G134" i="24"/>
  <c r="AJ133" i="24"/>
  <c r="G133" i="24"/>
  <c r="AJ132" i="24"/>
  <c r="G132" i="24"/>
  <c r="AJ131" i="24"/>
  <c r="G131" i="24"/>
  <c r="AJ130" i="24"/>
  <c r="G130" i="24"/>
  <c r="AJ129" i="24"/>
  <c r="G129" i="24"/>
  <c r="AJ128" i="24"/>
  <c r="G128" i="24"/>
  <c r="AJ127" i="24"/>
  <c r="G127" i="24"/>
  <c r="AJ126" i="24"/>
  <c r="G126" i="24"/>
  <c r="AJ125" i="24"/>
  <c r="G125" i="24"/>
  <c r="BE124" i="24"/>
  <c r="AJ124" i="24"/>
  <c r="G124" i="24"/>
  <c r="BE123" i="24"/>
  <c r="AJ123" i="24"/>
  <c r="G123" i="24"/>
  <c r="BY57" i="24"/>
  <c r="E111" i="24"/>
  <c r="CL48" i="24"/>
  <c r="BY48" i="24"/>
  <c r="CL47" i="24"/>
  <c r="BY47" i="24"/>
  <c r="BY46" i="24"/>
  <c r="BY44" i="24"/>
  <c r="BY35" i="24"/>
  <c r="BY34" i="24"/>
  <c r="CL33" i="24"/>
  <c r="BY33" i="24"/>
  <c r="CL32" i="24"/>
  <c r="BY31" i="24"/>
  <c r="E79" i="24"/>
  <c r="CL23" i="24"/>
  <c r="CL22" i="24"/>
  <c r="BY22" i="24"/>
  <c r="BY21" i="24"/>
  <c r="BY20" i="24"/>
  <c r="E73" i="24"/>
  <c r="G65" i="24"/>
  <c r="G64" i="24"/>
  <c r="BE62" i="24"/>
  <c r="AJ62" i="24"/>
  <c r="G62" i="24"/>
  <c r="B6" i="24"/>
  <c r="AZ48" i="23"/>
  <c r="AZ47" i="23"/>
  <c r="AZ33" i="23"/>
  <c r="AZ32" i="23"/>
  <c r="AZ23" i="23"/>
  <c r="AZ22" i="23"/>
  <c r="AR33" i="22"/>
  <c r="AR23" i="22"/>
  <c r="Y6" i="22"/>
  <c r="AG5" i="23"/>
  <c r="R6" i="22"/>
  <c r="AX5" i="24"/>
  <c r="H5" i="22"/>
  <c r="J5" i="23" s="1"/>
  <c r="AZ45" i="23"/>
  <c r="BS6" i="24"/>
  <c r="W6" i="23"/>
  <c r="G79" i="24" l="1"/>
  <c r="AD79" i="24"/>
  <c r="G111" i="24"/>
  <c r="AD111" i="24"/>
  <c r="G73" i="24"/>
  <c r="AD73" i="24"/>
  <c r="BG62" i="24"/>
  <c r="BJ62" i="24"/>
  <c r="AL62" i="24"/>
  <c r="AO62" i="24"/>
  <c r="H124" i="22"/>
  <c r="Y126" i="22"/>
  <c r="H126" i="22"/>
  <c r="Q123" i="23"/>
  <c r="R124" i="23" s="1"/>
  <c r="S124" i="23" s="1"/>
  <c r="Q122" i="23"/>
  <c r="Q121" i="23"/>
  <c r="BF63" i="24"/>
  <c r="CL30" i="24"/>
  <c r="AD63" i="23"/>
  <c r="AG6" i="23"/>
  <c r="AZ30" i="23"/>
  <c r="AX6" i="24"/>
  <c r="AK63" i="24"/>
  <c r="AZ20" i="23"/>
  <c r="CL20" i="24"/>
  <c r="CL19" i="24"/>
  <c r="E90" i="24"/>
  <c r="E106" i="24"/>
  <c r="E97" i="24"/>
  <c r="G119" i="24"/>
  <c r="G68" i="24"/>
  <c r="E115" i="24"/>
  <c r="E104" i="24"/>
  <c r="W5" i="23"/>
  <c r="CL45" i="24"/>
  <c r="M5" i="24"/>
  <c r="J6" i="23"/>
  <c r="BS5" i="24"/>
  <c r="M6" i="24"/>
  <c r="E109" i="24"/>
  <c r="E95" i="24"/>
  <c r="G120" i="24"/>
  <c r="E85" i="24"/>
  <c r="CL29" i="24"/>
  <c r="E99" i="24"/>
  <c r="E87" i="24"/>
  <c r="E89" i="24"/>
  <c r="G122" i="24"/>
  <c r="E93" i="24"/>
  <c r="E98" i="24"/>
  <c r="E100" i="24"/>
  <c r="E113" i="24"/>
  <c r="E72" i="24"/>
  <c r="E96" i="24"/>
  <c r="CL44" i="24"/>
  <c r="E82" i="24"/>
  <c r="E84" i="24"/>
  <c r="E86" i="24"/>
  <c r="E92" i="24"/>
  <c r="E114" i="24"/>
  <c r="E74" i="24"/>
  <c r="E91" i="24"/>
  <c r="E105" i="24"/>
  <c r="E116" i="24"/>
  <c r="E81" i="24"/>
  <c r="E107" i="24"/>
  <c r="E78" i="24"/>
  <c r="E76" i="24"/>
  <c r="E110" i="24"/>
  <c r="E108" i="24"/>
  <c r="E83" i="24"/>
  <c r="E102" i="24"/>
  <c r="E88" i="24"/>
  <c r="E75" i="24"/>
  <c r="E112" i="24"/>
  <c r="E80" i="24"/>
  <c r="E77" i="24"/>
  <c r="E94" i="24"/>
  <c r="E103" i="24"/>
  <c r="E101" i="24"/>
  <c r="E117" i="24"/>
  <c r="AD110" i="24" l="1"/>
  <c r="AD82" i="24"/>
  <c r="AD77" i="24"/>
  <c r="G99" i="24"/>
  <c r="AD99" i="24"/>
  <c r="G115" i="24"/>
  <c r="AD115" i="24"/>
  <c r="AD107" i="24"/>
  <c r="AD76" i="24"/>
  <c r="G104" i="24"/>
  <c r="AD104" i="24"/>
  <c r="F79" i="24"/>
  <c r="AD78" i="24"/>
  <c r="G97" i="24"/>
  <c r="AD97" i="24"/>
  <c r="G106" i="24"/>
  <c r="AD106" i="24"/>
  <c r="G109" i="24"/>
  <c r="AD109" i="24"/>
  <c r="AD84" i="24"/>
  <c r="AD103" i="24"/>
  <c r="G95" i="24"/>
  <c r="AD95" i="24"/>
  <c r="AD80" i="24"/>
  <c r="AD116" i="24"/>
  <c r="AD112" i="24"/>
  <c r="AD100" i="24"/>
  <c r="AD75" i="24"/>
  <c r="AD98" i="24"/>
  <c r="AD102" i="24"/>
  <c r="AD94" i="24"/>
  <c r="AD96" i="24"/>
  <c r="F73" i="24"/>
  <c r="AD72" i="24"/>
  <c r="AD105" i="24"/>
  <c r="G90" i="24"/>
  <c r="AD90" i="24"/>
  <c r="AD91" i="24"/>
  <c r="AD88" i="24"/>
  <c r="AD74" i="24"/>
  <c r="AD83" i="24"/>
  <c r="G89" i="24"/>
  <c r="AD89" i="24"/>
  <c r="F118" i="24"/>
  <c r="AD117" i="24"/>
  <c r="AD101" i="24"/>
  <c r="G85" i="24"/>
  <c r="AD85" i="24"/>
  <c r="AD81" i="24"/>
  <c r="AD113" i="24"/>
  <c r="AD93" i="24"/>
  <c r="AD114" i="24"/>
  <c r="AD92" i="24"/>
  <c r="AD108" i="24"/>
  <c r="AD86" i="24"/>
  <c r="G87" i="24"/>
  <c r="AD87" i="24"/>
  <c r="BG63" i="24"/>
  <c r="BJ63" i="24"/>
  <c r="AL63" i="24"/>
  <c r="AO63" i="24"/>
  <c r="F109" i="24"/>
  <c r="K18" i="22"/>
  <c r="J18" i="22"/>
  <c r="K23" i="22"/>
  <c r="J23" i="22"/>
  <c r="K17" i="22"/>
  <c r="J17" i="22"/>
  <c r="K11" i="22"/>
  <c r="J11" i="22"/>
  <c r="K22" i="22"/>
  <c r="J22" i="22"/>
  <c r="K16" i="22"/>
  <c r="J16" i="22"/>
  <c r="K10" i="22"/>
  <c r="J10" i="22"/>
  <c r="K21" i="22"/>
  <c r="J21" i="22"/>
  <c r="J15" i="22"/>
  <c r="K15" i="22"/>
  <c r="K9" i="22"/>
  <c r="J9" i="22"/>
  <c r="J14" i="22"/>
  <c r="K14" i="22"/>
  <c r="K20" i="22"/>
  <c r="J20" i="22"/>
  <c r="K25" i="22"/>
  <c r="J25" i="22"/>
  <c r="K8" i="22"/>
  <c r="J8" i="22"/>
  <c r="K13" i="22"/>
  <c r="J13" i="22"/>
  <c r="K19" i="22"/>
  <c r="J19" i="22"/>
  <c r="K24" i="22"/>
  <c r="J24" i="22"/>
  <c r="K12" i="22"/>
  <c r="J12" i="22"/>
  <c r="K28" i="22"/>
  <c r="J28" i="22"/>
  <c r="K27" i="22"/>
  <c r="J27" i="22"/>
  <c r="K26" i="22"/>
  <c r="J26" i="22"/>
  <c r="J109" i="22"/>
  <c r="K109" i="22"/>
  <c r="K97" i="22"/>
  <c r="J97" i="22"/>
  <c r="K85" i="22"/>
  <c r="J85" i="22"/>
  <c r="J73" i="22"/>
  <c r="K73" i="22"/>
  <c r="K62" i="22"/>
  <c r="J62" i="22"/>
  <c r="J96" i="22"/>
  <c r="K96" i="22"/>
  <c r="J84" i="22"/>
  <c r="K84" i="22"/>
  <c r="K72" i="22"/>
  <c r="J72" i="22"/>
  <c r="J107" i="22"/>
  <c r="K107" i="22"/>
  <c r="J95" i="22"/>
  <c r="K95" i="22"/>
  <c r="K83" i="22"/>
  <c r="J83" i="22"/>
  <c r="K71" i="22"/>
  <c r="J71" i="22"/>
  <c r="J120" i="22"/>
  <c r="K120" i="22"/>
  <c r="J106" i="22"/>
  <c r="K106" i="22"/>
  <c r="K94" i="22"/>
  <c r="J94" i="22"/>
  <c r="K82" i="22"/>
  <c r="J82" i="22"/>
  <c r="K70" i="22"/>
  <c r="J70" i="22"/>
  <c r="K117" i="22"/>
  <c r="J117" i="22"/>
  <c r="K105" i="22"/>
  <c r="J105" i="22"/>
  <c r="K93" i="22"/>
  <c r="J93" i="22"/>
  <c r="J81" i="22"/>
  <c r="K81" i="22"/>
  <c r="J69" i="22"/>
  <c r="K69" i="22"/>
  <c r="J116" i="22"/>
  <c r="K116" i="22"/>
  <c r="J104" i="22"/>
  <c r="K104" i="22"/>
  <c r="K92" i="22"/>
  <c r="J92" i="22"/>
  <c r="K80" i="22"/>
  <c r="J80" i="22"/>
  <c r="J68" i="22"/>
  <c r="K68" i="22"/>
  <c r="J119" i="22"/>
  <c r="K119" i="22"/>
  <c r="K115" i="22"/>
  <c r="J115" i="22"/>
  <c r="J103" i="22"/>
  <c r="K103" i="22"/>
  <c r="J91" i="22"/>
  <c r="K91" i="22"/>
  <c r="J79" i="22"/>
  <c r="K79" i="22"/>
  <c r="K67" i="22"/>
  <c r="J67" i="22"/>
  <c r="J126" i="22"/>
  <c r="K126" i="22"/>
  <c r="K114" i="22"/>
  <c r="J114" i="22"/>
  <c r="J102" i="22"/>
  <c r="K102" i="22"/>
  <c r="J90" i="22"/>
  <c r="K90" i="22"/>
  <c r="J78" i="22"/>
  <c r="K78" i="22"/>
  <c r="J66" i="22"/>
  <c r="K66" i="22"/>
  <c r="J127" i="22"/>
  <c r="K127" i="22"/>
  <c r="K108" i="22"/>
  <c r="J108" i="22"/>
  <c r="J125" i="22"/>
  <c r="K125" i="22"/>
  <c r="J113" i="22"/>
  <c r="K113" i="22"/>
  <c r="K101" i="22"/>
  <c r="J101" i="22"/>
  <c r="J89" i="22"/>
  <c r="K89" i="22"/>
  <c r="J77" i="22"/>
  <c r="K77" i="22"/>
  <c r="K65" i="22"/>
  <c r="J65" i="22"/>
  <c r="Y127" i="22"/>
  <c r="J124" i="22"/>
  <c r="K124" i="22"/>
  <c r="J112" i="22"/>
  <c r="K112" i="22"/>
  <c r="K100" i="22"/>
  <c r="J100" i="22"/>
  <c r="J88" i="22"/>
  <c r="K88" i="22"/>
  <c r="K76" i="22"/>
  <c r="J76" i="22"/>
  <c r="K64" i="22"/>
  <c r="J64" i="22"/>
  <c r="R127" i="22"/>
  <c r="Q127" i="22"/>
  <c r="F127" i="22"/>
  <c r="J123" i="22"/>
  <c r="K123" i="22"/>
  <c r="K111" i="22"/>
  <c r="J111" i="22"/>
  <c r="K99" i="22"/>
  <c r="J99" i="22"/>
  <c r="J87" i="22"/>
  <c r="K87" i="22"/>
  <c r="K75" i="22"/>
  <c r="J75" i="22"/>
  <c r="J63" i="22"/>
  <c r="K63" i="22"/>
  <c r="K121" i="22"/>
  <c r="J121" i="22"/>
  <c r="J118" i="22"/>
  <c r="K118" i="22"/>
  <c r="K122" i="22"/>
  <c r="J122" i="22"/>
  <c r="J110" i="22"/>
  <c r="K110" i="22"/>
  <c r="J98" i="22"/>
  <c r="K98" i="22"/>
  <c r="K86" i="22"/>
  <c r="J86" i="22"/>
  <c r="K74" i="22"/>
  <c r="J74" i="22"/>
  <c r="R123" i="23"/>
  <c r="R122" i="23"/>
  <c r="F85" i="24"/>
  <c r="F97" i="24"/>
  <c r="F115" i="24"/>
  <c r="F87" i="24"/>
  <c r="F104" i="24"/>
  <c r="F90" i="24"/>
  <c r="F95" i="24"/>
  <c r="G117" i="24"/>
  <c r="F117" i="24"/>
  <c r="G121" i="24"/>
  <c r="G77" i="24"/>
  <c r="F77" i="24"/>
  <c r="G88" i="24"/>
  <c r="F88" i="24"/>
  <c r="G110" i="24"/>
  <c r="F110" i="24"/>
  <c r="G116" i="24"/>
  <c r="F116" i="24"/>
  <c r="G67" i="24"/>
  <c r="F67" i="24"/>
  <c r="F68" i="24"/>
  <c r="G113" i="24"/>
  <c r="F113" i="24"/>
  <c r="G92" i="24"/>
  <c r="F92" i="24"/>
  <c r="G98" i="24"/>
  <c r="F98" i="24"/>
  <c r="G72" i="24"/>
  <c r="F72" i="24"/>
  <c r="G93" i="24"/>
  <c r="F93" i="24"/>
  <c r="G101" i="24"/>
  <c r="F101" i="24"/>
  <c r="G105" i="24"/>
  <c r="F105" i="24"/>
  <c r="G112" i="24"/>
  <c r="F112" i="24"/>
  <c r="F106" i="24"/>
  <c r="G102" i="24"/>
  <c r="F102" i="24"/>
  <c r="G70" i="24"/>
  <c r="F70" i="24"/>
  <c r="G86" i="24"/>
  <c r="F86" i="24"/>
  <c r="F111" i="24"/>
  <c r="G100" i="24"/>
  <c r="F100" i="24"/>
  <c r="G83" i="24"/>
  <c r="F83" i="24"/>
  <c r="G103" i="24"/>
  <c r="F103" i="24"/>
  <c r="G108" i="24"/>
  <c r="F108" i="24"/>
  <c r="G76" i="24"/>
  <c r="F76" i="24"/>
  <c r="G91" i="24"/>
  <c r="F91" i="24"/>
  <c r="G84" i="24"/>
  <c r="F84" i="24"/>
  <c r="G80" i="24"/>
  <c r="F80" i="24"/>
  <c r="G107" i="24"/>
  <c r="F107" i="24"/>
  <c r="G82" i="24"/>
  <c r="F82" i="24"/>
  <c r="G96" i="24"/>
  <c r="F96" i="24"/>
  <c r="G81" i="24"/>
  <c r="F81" i="24"/>
  <c r="G114" i="24"/>
  <c r="F114" i="24"/>
  <c r="G118" i="24"/>
  <c r="G66" i="24"/>
  <c r="G94" i="24"/>
  <c r="F94" i="24"/>
  <c r="G75" i="24"/>
  <c r="F75" i="24"/>
  <c r="G78" i="24"/>
  <c r="F78" i="24"/>
  <c r="G69" i="24"/>
  <c r="F69" i="24"/>
  <c r="G74" i="24"/>
  <c r="F74" i="24"/>
  <c r="F99" i="24"/>
  <c r="G71" i="24"/>
  <c r="F71" i="24"/>
  <c r="F89" i="24"/>
  <c r="G63" i="24"/>
  <c r="BY50" i="24"/>
  <c r="BY12" i="24"/>
  <c r="BY49" i="24"/>
  <c r="BY11" i="24"/>
  <c r="K128" i="22" l="1"/>
  <c r="J128" i="22"/>
  <c r="Y128" i="22"/>
  <c r="Q128" i="22"/>
  <c r="R128" i="22"/>
  <c r="F128" i="22"/>
  <c r="H127" i="22"/>
  <c r="E119" i="23"/>
  <c r="E120" i="23"/>
  <c r="F120" i="23" s="1"/>
  <c r="B6" i="23"/>
  <c r="B6" i="22"/>
  <c r="J129" i="22" l="1"/>
  <c r="K129" i="22"/>
  <c r="Y129" i="22"/>
  <c r="Q129" i="22"/>
  <c r="F129" i="22"/>
  <c r="R129" i="22"/>
  <c r="H128" i="22"/>
  <c r="AJ122" i="24"/>
  <c r="E117" i="23"/>
  <c r="S122" i="23"/>
  <c r="C6" i="22"/>
  <c r="C6" i="24"/>
  <c r="E118" i="23"/>
  <c r="Q118" i="23"/>
  <c r="Q116" i="23"/>
  <c r="Q117" i="23"/>
  <c r="Q120" i="23"/>
  <c r="Q119" i="23"/>
  <c r="C6" i="23"/>
  <c r="AF6" i="23" s="1" a="1"/>
  <c r="AF6" i="23" s="1"/>
  <c r="AM35" i="23"/>
  <c r="AM34" i="23"/>
  <c r="AM33" i="23"/>
  <c r="AM22" i="23"/>
  <c r="AM21" i="23"/>
  <c r="AM20" i="23"/>
  <c r="F183" i="23"/>
  <c r="F184" i="23"/>
  <c r="S183" i="23"/>
  <c r="S184" i="23"/>
  <c r="AC183" i="23"/>
  <c r="AC184" i="23"/>
  <c r="F178" i="23"/>
  <c r="F179" i="23"/>
  <c r="F180" i="23"/>
  <c r="F181" i="23"/>
  <c r="F182" i="23"/>
  <c r="S178" i="23"/>
  <c r="S179" i="23"/>
  <c r="S180" i="23"/>
  <c r="S181" i="23"/>
  <c r="S182" i="23"/>
  <c r="AC178" i="23"/>
  <c r="AC179" i="23"/>
  <c r="AC180" i="23"/>
  <c r="AC181" i="23"/>
  <c r="AC182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S164" i="23"/>
  <c r="S165" i="23"/>
  <c r="S166" i="23"/>
  <c r="S167" i="23"/>
  <c r="S168" i="23"/>
  <c r="S169" i="23"/>
  <c r="S170" i="23"/>
  <c r="S171" i="23"/>
  <c r="S172" i="23"/>
  <c r="S173" i="23"/>
  <c r="S174" i="23"/>
  <c r="S175" i="23"/>
  <c r="S176" i="23"/>
  <c r="S177" i="23"/>
  <c r="AC164" i="23"/>
  <c r="AC165" i="23"/>
  <c r="AC166" i="23"/>
  <c r="AC167" i="23"/>
  <c r="AC168" i="23"/>
  <c r="AC169" i="23"/>
  <c r="AC170" i="23"/>
  <c r="AC171" i="23"/>
  <c r="AC172" i="23"/>
  <c r="AC173" i="23"/>
  <c r="AC174" i="23"/>
  <c r="AC175" i="23"/>
  <c r="AC176" i="23"/>
  <c r="AC177" i="23"/>
  <c r="E180" i="22"/>
  <c r="E181" i="22"/>
  <c r="E182" i="22"/>
  <c r="E183" i="22"/>
  <c r="E184" i="22"/>
  <c r="O180" i="22"/>
  <c r="O181" i="22"/>
  <c r="O182" i="22"/>
  <c r="O183" i="22"/>
  <c r="O184" i="22"/>
  <c r="V180" i="22"/>
  <c r="V181" i="22"/>
  <c r="V182" i="22"/>
  <c r="V183" i="22"/>
  <c r="V184" i="22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S133" i="23"/>
  <c r="S134" i="23"/>
  <c r="S135" i="23"/>
  <c r="S136" i="23"/>
  <c r="S137" i="23"/>
  <c r="S138" i="23"/>
  <c r="S139" i="23"/>
  <c r="S140" i="23"/>
  <c r="S141" i="23"/>
  <c r="S142" i="23"/>
  <c r="S143" i="23"/>
  <c r="S144" i="23"/>
  <c r="S145" i="23"/>
  <c r="S146" i="23"/>
  <c r="S147" i="23"/>
  <c r="S148" i="23"/>
  <c r="S149" i="23"/>
  <c r="S150" i="23"/>
  <c r="S151" i="23"/>
  <c r="S152" i="23"/>
  <c r="S153" i="23"/>
  <c r="S154" i="23"/>
  <c r="S155" i="23"/>
  <c r="S156" i="23"/>
  <c r="S157" i="23"/>
  <c r="S158" i="23"/>
  <c r="S159" i="23"/>
  <c r="S160" i="23"/>
  <c r="S161" i="23"/>
  <c r="S162" i="23"/>
  <c r="S163" i="23"/>
  <c r="AC133" i="23"/>
  <c r="AC134" i="23"/>
  <c r="AC135" i="23"/>
  <c r="AC136" i="23"/>
  <c r="AC137" i="23"/>
  <c r="AC138" i="23"/>
  <c r="AC139" i="23"/>
  <c r="AC140" i="23"/>
  <c r="AC141" i="23"/>
  <c r="AC142" i="23"/>
  <c r="AC143" i="23"/>
  <c r="AC144" i="23"/>
  <c r="AC145" i="23"/>
  <c r="AC146" i="23"/>
  <c r="AC147" i="23"/>
  <c r="AC148" i="23"/>
  <c r="AC149" i="23"/>
  <c r="AC150" i="23"/>
  <c r="AC151" i="23"/>
  <c r="AC152" i="23"/>
  <c r="AC153" i="23"/>
  <c r="AC154" i="23"/>
  <c r="AC155" i="23"/>
  <c r="AC156" i="23"/>
  <c r="AC157" i="23"/>
  <c r="AC158" i="23"/>
  <c r="AC159" i="23"/>
  <c r="AC160" i="23"/>
  <c r="AC161" i="23"/>
  <c r="AC162" i="23"/>
  <c r="AC163" i="23"/>
  <c r="S123" i="23"/>
  <c r="S125" i="23"/>
  <c r="S126" i="23"/>
  <c r="S127" i="23"/>
  <c r="S128" i="23"/>
  <c r="S129" i="23"/>
  <c r="S130" i="23"/>
  <c r="S131" i="23"/>
  <c r="S132" i="23"/>
  <c r="F126" i="23"/>
  <c r="F127" i="23"/>
  <c r="F128" i="23"/>
  <c r="F129" i="23"/>
  <c r="F130" i="23"/>
  <c r="F131" i="23"/>
  <c r="F132" i="23"/>
  <c r="E116" i="23"/>
  <c r="U10" i="23" l="1"/>
  <c r="U22" i="23"/>
  <c r="U11" i="23"/>
  <c r="U23" i="23"/>
  <c r="U12" i="23"/>
  <c r="U24" i="23"/>
  <c r="U13" i="23"/>
  <c r="U25" i="23"/>
  <c r="U14" i="23"/>
  <c r="U26" i="23"/>
  <c r="U15" i="23"/>
  <c r="U27" i="23"/>
  <c r="U16" i="23"/>
  <c r="U28" i="23"/>
  <c r="U17" i="23"/>
  <c r="U29" i="23"/>
  <c r="U18" i="23"/>
  <c r="U30" i="23"/>
  <c r="U19" i="23"/>
  <c r="U31" i="23"/>
  <c r="U8" i="23"/>
  <c r="U20" i="23"/>
  <c r="U32" i="23"/>
  <c r="U9" i="23"/>
  <c r="U21" i="23"/>
  <c r="U33" i="23"/>
  <c r="AH18" i="23"/>
  <c r="AH30" i="23"/>
  <c r="AH8" i="23"/>
  <c r="AH20" i="23"/>
  <c r="AH32" i="23"/>
  <c r="AH9" i="23"/>
  <c r="AH21" i="23"/>
  <c r="AH33" i="23"/>
  <c r="AH10" i="23"/>
  <c r="AH22" i="23"/>
  <c r="AH11" i="23"/>
  <c r="AH23" i="23"/>
  <c r="AH26" i="23"/>
  <c r="AH12" i="23"/>
  <c r="AH24" i="23"/>
  <c r="AH13" i="23"/>
  <c r="AH25" i="23"/>
  <c r="AH14" i="23"/>
  <c r="AH15" i="23"/>
  <c r="AH27" i="23"/>
  <c r="AH31" i="23"/>
  <c r="AH16" i="23"/>
  <c r="AH28" i="23"/>
  <c r="AH17" i="23"/>
  <c r="AH29" i="23"/>
  <c r="AH19" i="23"/>
  <c r="AH46" i="23"/>
  <c r="AH58" i="23"/>
  <c r="AH40" i="23"/>
  <c r="AE51" i="23"/>
  <c r="AH35" i="23"/>
  <c r="AH47" i="23"/>
  <c r="AH59" i="23"/>
  <c r="AE52" i="23"/>
  <c r="AH36" i="23"/>
  <c r="AH48" i="23"/>
  <c r="AH60" i="23"/>
  <c r="AE53" i="23"/>
  <c r="AH37" i="23"/>
  <c r="AH49" i="23"/>
  <c r="AH61" i="23"/>
  <c r="AH51" i="23"/>
  <c r="AH52" i="23"/>
  <c r="AE54" i="23"/>
  <c r="AH38" i="23"/>
  <c r="AH50" i="23"/>
  <c r="AH39" i="23"/>
  <c r="AE45" i="23"/>
  <c r="AE57" i="23"/>
  <c r="AH41" i="23"/>
  <c r="AE46" i="23"/>
  <c r="AE58" i="23"/>
  <c r="AH42" i="23"/>
  <c r="AH54" i="23"/>
  <c r="AE47" i="23"/>
  <c r="AE59" i="23"/>
  <c r="AH43" i="23"/>
  <c r="AH55" i="23"/>
  <c r="AE55" i="23"/>
  <c r="AE56" i="23"/>
  <c r="AE48" i="23"/>
  <c r="AE60" i="23"/>
  <c r="AH44" i="23"/>
  <c r="AH56" i="23"/>
  <c r="AE50" i="23"/>
  <c r="AE49" i="23"/>
  <c r="AE61" i="23"/>
  <c r="AH45" i="23"/>
  <c r="AH57" i="23"/>
  <c r="AH34" i="23"/>
  <c r="AH53" i="23"/>
  <c r="U38" i="23"/>
  <c r="U50" i="23"/>
  <c r="U55" i="23"/>
  <c r="U39" i="23"/>
  <c r="U51" i="23"/>
  <c r="U40" i="23"/>
  <c r="U52" i="23"/>
  <c r="U41" i="23"/>
  <c r="U53" i="23"/>
  <c r="U42" i="23"/>
  <c r="U54" i="23"/>
  <c r="U43" i="23"/>
  <c r="U44" i="23"/>
  <c r="U56" i="23"/>
  <c r="U45" i="23"/>
  <c r="U57" i="23"/>
  <c r="U34" i="23"/>
  <c r="U46" i="23"/>
  <c r="U58" i="23"/>
  <c r="U35" i="23"/>
  <c r="U47" i="23"/>
  <c r="U59" i="23"/>
  <c r="U36" i="23"/>
  <c r="U48" i="23"/>
  <c r="U60" i="23"/>
  <c r="U37" i="23"/>
  <c r="U49" i="23"/>
  <c r="U61" i="23"/>
  <c r="H129" i="22"/>
  <c r="F130" i="22"/>
  <c r="Q130" i="22"/>
  <c r="R130" i="22"/>
  <c r="J130" i="22"/>
  <c r="K130" i="22"/>
  <c r="Y130" i="22"/>
  <c r="R121" i="23"/>
  <c r="S121" i="23" s="1"/>
  <c r="CL31" i="24"/>
  <c r="AZ31" i="23"/>
  <c r="AZ21" i="23"/>
  <c r="CL21" i="24"/>
  <c r="BY42" i="24"/>
  <c r="BT62" i="24"/>
  <c r="AZ29" i="23"/>
  <c r="BH63" i="24"/>
  <c r="BH62" i="24"/>
  <c r="BY29" i="24"/>
  <c r="AZ19" i="23"/>
  <c r="AM63" i="24"/>
  <c r="AM62" i="24"/>
  <c r="AJ121" i="24"/>
  <c r="AJ120" i="24"/>
  <c r="AJ116" i="24"/>
  <c r="AZ46" i="23"/>
  <c r="CL46" i="24"/>
  <c r="AZ44" i="23"/>
  <c r="BY55" i="24"/>
  <c r="K62" i="24"/>
  <c r="AM42" i="23"/>
  <c r="R119" i="23"/>
  <c r="R118" i="23"/>
  <c r="R120" i="23"/>
  <c r="R117" i="23"/>
  <c r="E113" i="23"/>
  <c r="F113" i="23" s="1"/>
  <c r="AM55" i="23"/>
  <c r="E108" i="23"/>
  <c r="F108" i="23" s="1"/>
  <c r="E77" i="23"/>
  <c r="F77" i="23" s="1"/>
  <c r="E96" i="23"/>
  <c r="F96" i="23" s="1"/>
  <c r="E89" i="23"/>
  <c r="F89" i="23" s="1"/>
  <c r="E84" i="23"/>
  <c r="F84" i="23" s="1"/>
  <c r="E72" i="23"/>
  <c r="F72" i="23" s="1"/>
  <c r="E115" i="23"/>
  <c r="F115" i="23" s="1"/>
  <c r="E104" i="23"/>
  <c r="F104" i="23" s="1"/>
  <c r="E91" i="23"/>
  <c r="F91" i="23" s="1"/>
  <c r="E79" i="23"/>
  <c r="F79" i="23" s="1"/>
  <c r="E67" i="23"/>
  <c r="F67" i="23" s="1"/>
  <c r="E65" i="23"/>
  <c r="F65" i="23" s="1"/>
  <c r="E101" i="23"/>
  <c r="F101" i="23" s="1"/>
  <c r="E109" i="23"/>
  <c r="F109" i="23" s="1"/>
  <c r="E85" i="23"/>
  <c r="F85" i="23" s="1"/>
  <c r="E73" i="23"/>
  <c r="F73" i="23" s="1"/>
  <c r="E92" i="23"/>
  <c r="F92" i="23" s="1"/>
  <c r="E68" i="23"/>
  <c r="F68" i="23" s="1"/>
  <c r="E63" i="23"/>
  <c r="F63" i="23" s="1"/>
  <c r="E110" i="23"/>
  <c r="F110" i="23" s="1"/>
  <c r="E98" i="23"/>
  <c r="F98" i="23" s="1"/>
  <c r="E86" i="23"/>
  <c r="F86" i="23" s="1"/>
  <c r="E74" i="23"/>
  <c r="F74" i="23" s="1"/>
  <c r="E112" i="23"/>
  <c r="F112" i="23" s="1"/>
  <c r="E97" i="23"/>
  <c r="F97" i="23" s="1"/>
  <c r="E82" i="23"/>
  <c r="F82" i="23" s="1"/>
  <c r="F117" i="23"/>
  <c r="E105" i="23"/>
  <c r="F105" i="23" s="1"/>
  <c r="E93" i="23"/>
  <c r="F93" i="23" s="1"/>
  <c r="E81" i="23"/>
  <c r="F81" i="23" s="1"/>
  <c r="E69" i="23"/>
  <c r="F69" i="23" s="1"/>
  <c r="E114" i="23"/>
  <c r="F114" i="23" s="1"/>
  <c r="E102" i="23"/>
  <c r="F102" i="23" s="1"/>
  <c r="E90" i="23"/>
  <c r="F90" i="23" s="1"/>
  <c r="E78" i="23"/>
  <c r="F78" i="23" s="1"/>
  <c r="E66" i="23"/>
  <c r="F66" i="23" s="1"/>
  <c r="E107" i="23"/>
  <c r="F107" i="23" s="1"/>
  <c r="E80" i="23"/>
  <c r="F80" i="23" s="1"/>
  <c r="F119" i="23"/>
  <c r="E106" i="23"/>
  <c r="F106" i="23" s="1"/>
  <c r="E71" i="23"/>
  <c r="F71" i="23" s="1"/>
  <c r="E76" i="23"/>
  <c r="F76" i="23" s="1"/>
  <c r="E95" i="23"/>
  <c r="F95" i="23" s="1"/>
  <c r="E103" i="23"/>
  <c r="F103" i="23" s="1"/>
  <c r="E83" i="23"/>
  <c r="F83" i="23" s="1"/>
  <c r="E100" i="23"/>
  <c r="F100" i="23" s="1"/>
  <c r="E70" i="23"/>
  <c r="F70" i="23" s="1"/>
  <c r="E111" i="23"/>
  <c r="F111" i="23" s="1"/>
  <c r="E94" i="23"/>
  <c r="F94" i="23" s="1"/>
  <c r="F118" i="23"/>
  <c r="E64" i="23"/>
  <c r="F64" i="23" s="1"/>
  <c r="F116" i="23"/>
  <c r="E88" i="23"/>
  <c r="F88" i="23" s="1"/>
  <c r="E99" i="23"/>
  <c r="F99" i="23" s="1"/>
  <c r="E87" i="23"/>
  <c r="F87" i="23" s="1"/>
  <c r="E75" i="23"/>
  <c r="F75" i="23" s="1"/>
  <c r="AM29" i="23"/>
  <c r="X27" i="23" l="1"/>
  <c r="I27" i="23"/>
  <c r="M27" i="23" s="1"/>
  <c r="I31" i="23"/>
  <c r="M31" i="23" s="1"/>
  <c r="X31" i="23"/>
  <c r="AG14" i="23"/>
  <c r="AG26" i="23"/>
  <c r="AG27" i="23"/>
  <c r="AG16" i="23"/>
  <c r="AG28" i="23"/>
  <c r="AG17" i="23"/>
  <c r="AG29" i="23"/>
  <c r="AG15" i="23"/>
  <c r="AG18" i="23"/>
  <c r="AG30" i="23"/>
  <c r="AG10" i="23"/>
  <c r="AG19" i="23"/>
  <c r="AG31" i="23"/>
  <c r="AG25" i="23"/>
  <c r="AG8" i="23"/>
  <c r="AG20" i="23"/>
  <c r="AG32" i="23"/>
  <c r="AG22" i="23"/>
  <c r="AG9" i="23"/>
  <c r="AG21" i="23"/>
  <c r="AG33" i="23"/>
  <c r="AG11" i="23"/>
  <c r="AG23" i="23"/>
  <c r="AG12" i="23"/>
  <c r="AG24" i="23"/>
  <c r="AG13" i="23"/>
  <c r="X15" i="23"/>
  <c r="I15" i="23"/>
  <c r="M15" i="23" s="1"/>
  <c r="I19" i="23"/>
  <c r="M19" i="23" s="1"/>
  <c r="X19" i="23"/>
  <c r="X29" i="23"/>
  <c r="I29" i="23"/>
  <c r="M29" i="23" s="1"/>
  <c r="X24" i="23"/>
  <c r="I24" i="23"/>
  <c r="M24" i="23" s="1"/>
  <c r="I33" i="23"/>
  <c r="M33" i="23" s="1"/>
  <c r="X33" i="23"/>
  <c r="X17" i="23"/>
  <c r="I17" i="23"/>
  <c r="M17" i="23" s="1"/>
  <c r="X12" i="23"/>
  <c r="I12" i="23"/>
  <c r="M12" i="23" s="1"/>
  <c r="I21" i="23"/>
  <c r="M21" i="23" s="1"/>
  <c r="X21" i="23"/>
  <c r="W14" i="23"/>
  <c r="W26" i="23"/>
  <c r="W15" i="23"/>
  <c r="W27" i="23"/>
  <c r="W16" i="23"/>
  <c r="W28" i="23"/>
  <c r="W17" i="23"/>
  <c r="W29" i="23"/>
  <c r="W18" i="23"/>
  <c r="W30" i="23"/>
  <c r="W10" i="23"/>
  <c r="J31" i="23"/>
  <c r="W19" i="23"/>
  <c r="W31" i="23"/>
  <c r="W22" i="23"/>
  <c r="W8" i="23"/>
  <c r="W20" i="23"/>
  <c r="W32" i="23"/>
  <c r="J33" i="23"/>
  <c r="W9" i="23"/>
  <c r="W21" i="23"/>
  <c r="W33" i="23"/>
  <c r="W11" i="23"/>
  <c r="W23" i="23"/>
  <c r="J24" i="23"/>
  <c r="W12" i="23"/>
  <c r="W24" i="23"/>
  <c r="W13" i="23"/>
  <c r="W25" i="23"/>
  <c r="X10" i="23"/>
  <c r="I10" i="23"/>
  <c r="M10" i="23" s="1"/>
  <c r="I9" i="23"/>
  <c r="M9" i="23" s="1"/>
  <c r="X9" i="23"/>
  <c r="X13" i="23"/>
  <c r="I13" i="23"/>
  <c r="M13" i="23" s="1"/>
  <c r="X26" i="23"/>
  <c r="I26" i="23"/>
  <c r="M26" i="23" s="1"/>
  <c r="I30" i="23"/>
  <c r="M30" i="23" s="1"/>
  <c r="X30" i="23"/>
  <c r="X25" i="23"/>
  <c r="I25" i="23"/>
  <c r="M25" i="23" s="1"/>
  <c r="X14" i="23"/>
  <c r="I14" i="23"/>
  <c r="M14" i="23" s="1"/>
  <c r="X23" i="23"/>
  <c r="I23" i="23"/>
  <c r="M23" i="23" s="1"/>
  <c r="I18" i="23"/>
  <c r="M18" i="23" s="1"/>
  <c r="X18" i="23"/>
  <c r="X22" i="23"/>
  <c r="I22" i="23"/>
  <c r="M22" i="23" s="1"/>
  <c r="L18" i="23"/>
  <c r="L30" i="23"/>
  <c r="L19" i="23"/>
  <c r="L31" i="23"/>
  <c r="L8" i="23"/>
  <c r="L20" i="23"/>
  <c r="L32" i="23"/>
  <c r="L9" i="23"/>
  <c r="L21" i="23"/>
  <c r="L33" i="23"/>
  <c r="L10" i="23"/>
  <c r="L22" i="23"/>
  <c r="L11" i="23"/>
  <c r="L23" i="23"/>
  <c r="L12" i="23"/>
  <c r="L24" i="23"/>
  <c r="L13" i="23"/>
  <c r="L25" i="23"/>
  <c r="L14" i="23"/>
  <c r="L26" i="23"/>
  <c r="L15" i="23"/>
  <c r="L27" i="23"/>
  <c r="L16" i="23"/>
  <c r="L28" i="23"/>
  <c r="L17" i="23"/>
  <c r="L29" i="23"/>
  <c r="X28" i="23"/>
  <c r="I28" i="23"/>
  <c r="M28" i="23" s="1"/>
  <c r="X11" i="23"/>
  <c r="I11" i="23"/>
  <c r="M11" i="23" s="1"/>
  <c r="I32" i="23"/>
  <c r="M32" i="23" s="1"/>
  <c r="X32" i="23"/>
  <c r="X16" i="23"/>
  <c r="I16" i="23"/>
  <c r="M16" i="23" s="1"/>
  <c r="I20" i="23"/>
  <c r="M20" i="23" s="1"/>
  <c r="X20" i="23"/>
  <c r="I8" i="23"/>
  <c r="M8" i="23" s="1"/>
  <c r="X8" i="23"/>
  <c r="I60" i="23"/>
  <c r="M60" i="23" s="1"/>
  <c r="X60" i="23"/>
  <c r="I46" i="23"/>
  <c r="M46" i="23" s="1"/>
  <c r="X46" i="23"/>
  <c r="AG49" i="23"/>
  <c r="AG43" i="23"/>
  <c r="AG55" i="23"/>
  <c r="AG44" i="23"/>
  <c r="AG56" i="23"/>
  <c r="AG45" i="23"/>
  <c r="AG57" i="23"/>
  <c r="AG61" i="23"/>
  <c r="AG34" i="23"/>
  <c r="AG46" i="23"/>
  <c r="AG58" i="23"/>
  <c r="AG47" i="23"/>
  <c r="AG59" i="23"/>
  <c r="AG36" i="23"/>
  <c r="AG48" i="23"/>
  <c r="AG60" i="23"/>
  <c r="AG38" i="23"/>
  <c r="AG50" i="23"/>
  <c r="AG39" i="23"/>
  <c r="AG51" i="23"/>
  <c r="AG37" i="23"/>
  <c r="AG40" i="23"/>
  <c r="AG52" i="23"/>
  <c r="AG42" i="23"/>
  <c r="AG35" i="23"/>
  <c r="AG41" i="23"/>
  <c r="AG53" i="23"/>
  <c r="AG54" i="23"/>
  <c r="X54" i="23"/>
  <c r="I54" i="23"/>
  <c r="M54" i="23" s="1"/>
  <c r="I48" i="23"/>
  <c r="M48" i="23" s="1"/>
  <c r="X48" i="23"/>
  <c r="I34" i="23"/>
  <c r="M34" i="23" s="1"/>
  <c r="X34" i="23"/>
  <c r="I36" i="23"/>
  <c r="M36" i="23" s="1"/>
  <c r="X36" i="23"/>
  <c r="X56" i="23"/>
  <c r="I56" i="23"/>
  <c r="M56" i="23" s="1"/>
  <c r="X50" i="23"/>
  <c r="I50" i="23"/>
  <c r="M50" i="23" s="1"/>
  <c r="X44" i="23"/>
  <c r="I44" i="23"/>
  <c r="M44" i="23" s="1"/>
  <c r="X38" i="23"/>
  <c r="I38" i="23"/>
  <c r="M38" i="23" s="1"/>
  <c r="X42" i="23"/>
  <c r="I42" i="23"/>
  <c r="M42" i="23" s="1"/>
  <c r="X51" i="23"/>
  <c r="I51" i="23"/>
  <c r="M51" i="23" s="1"/>
  <c r="X53" i="23"/>
  <c r="I53" i="23"/>
  <c r="M53" i="23" s="1"/>
  <c r="I59" i="23"/>
  <c r="M59" i="23" s="1"/>
  <c r="X59" i="23"/>
  <c r="X41" i="23"/>
  <c r="I41" i="23"/>
  <c r="M41" i="23" s="1"/>
  <c r="I61" i="23"/>
  <c r="M61" i="23" s="1"/>
  <c r="X61" i="23"/>
  <c r="I47" i="23"/>
  <c r="M47" i="23" s="1"/>
  <c r="X47" i="23"/>
  <c r="X39" i="23"/>
  <c r="I39" i="23"/>
  <c r="M39" i="23" s="1"/>
  <c r="X55" i="23"/>
  <c r="I55" i="23"/>
  <c r="M55" i="23" s="1"/>
  <c r="I49" i="23"/>
  <c r="M49" i="23" s="1"/>
  <c r="X49" i="23"/>
  <c r="I35" i="23"/>
  <c r="M35" i="23" s="1"/>
  <c r="X35" i="23"/>
  <c r="W42" i="23"/>
  <c r="W43" i="23"/>
  <c r="W55" i="23"/>
  <c r="W44" i="23"/>
  <c r="W56" i="23"/>
  <c r="W35" i="23"/>
  <c r="W45" i="23"/>
  <c r="W57" i="23"/>
  <c r="J34" i="23"/>
  <c r="J46" i="23"/>
  <c r="W34" i="23"/>
  <c r="W46" i="23"/>
  <c r="W58" i="23"/>
  <c r="W47" i="23"/>
  <c r="J47" i="23"/>
  <c r="W59" i="23"/>
  <c r="J36" i="23"/>
  <c r="J60" i="23"/>
  <c r="W36" i="23"/>
  <c r="W48" i="23"/>
  <c r="W60" i="23"/>
  <c r="W37" i="23"/>
  <c r="W49" i="23"/>
  <c r="W61" i="23"/>
  <c r="W38" i="23"/>
  <c r="W50" i="23"/>
  <c r="W39" i="23"/>
  <c r="W51" i="23"/>
  <c r="W40" i="23"/>
  <c r="W52" i="23"/>
  <c r="W54" i="23"/>
  <c r="W41" i="23"/>
  <c r="W53" i="23"/>
  <c r="I58" i="23"/>
  <c r="M58" i="23" s="1"/>
  <c r="X58" i="23"/>
  <c r="X43" i="23"/>
  <c r="I43" i="23"/>
  <c r="M43" i="23" s="1"/>
  <c r="I37" i="23"/>
  <c r="M37" i="23" s="1"/>
  <c r="X37" i="23"/>
  <c r="L34" i="23"/>
  <c r="L46" i="23"/>
  <c r="L58" i="23"/>
  <c r="L35" i="23"/>
  <c r="L47" i="23"/>
  <c r="L59" i="23"/>
  <c r="L36" i="23"/>
  <c r="L48" i="23"/>
  <c r="L60" i="23"/>
  <c r="L37" i="23"/>
  <c r="L49" i="23"/>
  <c r="L61" i="23"/>
  <c r="L38" i="23"/>
  <c r="L50" i="23"/>
  <c r="L39" i="23"/>
  <c r="L51" i="23"/>
  <c r="L40" i="23"/>
  <c r="L52" i="23"/>
  <c r="L41" i="23"/>
  <c r="L53" i="23"/>
  <c r="L42" i="23"/>
  <c r="L54" i="23"/>
  <c r="L43" i="23"/>
  <c r="L55" i="23"/>
  <c r="L44" i="23"/>
  <c r="L56" i="23"/>
  <c r="L45" i="23"/>
  <c r="L57" i="23"/>
  <c r="X57" i="23"/>
  <c r="I57" i="23"/>
  <c r="M57" i="23" s="1"/>
  <c r="X52" i="23"/>
  <c r="I52" i="23"/>
  <c r="M52" i="23" s="1"/>
  <c r="X45" i="23"/>
  <c r="I45" i="23"/>
  <c r="M45" i="23" s="1"/>
  <c r="X40" i="23"/>
  <c r="I40" i="23"/>
  <c r="M40" i="23" s="1"/>
  <c r="R131" i="22"/>
  <c r="F131" i="22"/>
  <c r="Q131" i="22"/>
  <c r="J131" i="22"/>
  <c r="K131" i="22"/>
  <c r="Y131" i="22"/>
  <c r="H130" i="22"/>
  <c r="BS67" i="24"/>
  <c r="AJ119" i="24"/>
  <c r="L67" i="24"/>
  <c r="AC67" i="24" s="1"/>
  <c r="L66" i="24"/>
  <c r="AG62" i="23"/>
  <c r="AB67" i="24"/>
  <c r="BS62" i="24"/>
  <c r="BS63" i="24"/>
  <c r="BS64" i="24"/>
  <c r="BS65" i="24"/>
  <c r="BS66" i="24"/>
  <c r="L63" i="24"/>
  <c r="AC63" i="24" s="1"/>
  <c r="L64" i="24"/>
  <c r="AC64" i="24" s="1"/>
  <c r="L65" i="24"/>
  <c r="AC65" i="24" s="1"/>
  <c r="AX67" i="24"/>
  <c r="L62" i="24"/>
  <c r="AC62" i="24" s="1"/>
  <c r="AX62" i="24"/>
  <c r="AX63" i="24"/>
  <c r="AX64" i="24"/>
  <c r="AX65" i="24"/>
  <c r="AX66" i="24"/>
  <c r="AJ115" i="24"/>
  <c r="AJ117" i="24"/>
  <c r="AJ118" i="24"/>
  <c r="AB62" i="24"/>
  <c r="AB63" i="24"/>
  <c r="AB64" i="24"/>
  <c r="AB65" i="24"/>
  <c r="AB66" i="24"/>
  <c r="AB68" i="24"/>
  <c r="L68" i="24"/>
  <c r="AC68" i="24" s="1"/>
  <c r="AX68" i="24"/>
  <c r="BS68" i="24"/>
  <c r="L62" i="23"/>
  <c r="W62" i="23"/>
  <c r="S120" i="23"/>
  <c r="S119" i="23"/>
  <c r="M66" i="24" l="1"/>
  <c r="AC66" i="24"/>
  <c r="J27" i="23"/>
  <c r="J51" i="23"/>
  <c r="J56" i="23"/>
  <c r="J39" i="23"/>
  <c r="J21" i="23"/>
  <c r="J42" i="23"/>
  <c r="J53" i="23"/>
  <c r="J9" i="23"/>
  <c r="J18" i="23"/>
  <c r="J29" i="23"/>
  <c r="J23" i="23"/>
  <c r="J32" i="23"/>
  <c r="J11" i="23"/>
  <c r="J22" i="23"/>
  <c r="J16" i="23"/>
  <c r="J13" i="23"/>
  <c r="J15" i="23"/>
  <c r="J20" i="23"/>
  <c r="J10" i="23"/>
  <c r="J8" i="23"/>
  <c r="J30" i="23"/>
  <c r="J25" i="23"/>
  <c r="J50" i="23"/>
  <c r="J59" i="23"/>
  <c r="J57" i="23"/>
  <c r="J35" i="23"/>
  <c r="J26" i="23"/>
  <c r="J12" i="23"/>
  <c r="J19" i="23"/>
  <c r="J17" i="23"/>
  <c r="J14" i="23"/>
  <c r="J28" i="23"/>
  <c r="J52" i="23"/>
  <c r="J61" i="23"/>
  <c r="J40" i="23"/>
  <c r="J49" i="23"/>
  <c r="J54" i="23"/>
  <c r="J45" i="23"/>
  <c r="J37" i="23"/>
  <c r="J44" i="23"/>
  <c r="J58" i="23"/>
  <c r="J41" i="23"/>
  <c r="J48" i="23"/>
  <c r="J55" i="23"/>
  <c r="J38" i="23"/>
  <c r="J43" i="23"/>
  <c r="Y132" i="22"/>
  <c r="F132" i="22"/>
  <c r="Q132" i="22"/>
  <c r="R132" i="22"/>
  <c r="J132" i="22"/>
  <c r="K132" i="22"/>
  <c r="H131" i="22"/>
  <c r="M67" i="24"/>
  <c r="M65" i="24"/>
  <c r="M63" i="24"/>
  <c r="M64" i="24"/>
  <c r="M62" i="24"/>
  <c r="AB69" i="24"/>
  <c r="M68" i="24"/>
  <c r="L69" i="24"/>
  <c r="AC69" i="24" s="1"/>
  <c r="AX69" i="24"/>
  <c r="BS69" i="24"/>
  <c r="AC125" i="23"/>
  <c r="AC126" i="23"/>
  <c r="AC127" i="23"/>
  <c r="AC128" i="23"/>
  <c r="AC129" i="23"/>
  <c r="AC130" i="23"/>
  <c r="AC131" i="23"/>
  <c r="AC132" i="23"/>
  <c r="AD62" i="23"/>
  <c r="AE62" i="23" s="1"/>
  <c r="AE63" i="23"/>
  <c r="G62" i="23"/>
  <c r="H62" i="23" s="1"/>
  <c r="G63" i="23"/>
  <c r="H63" i="23" s="1"/>
  <c r="W64" i="23" l="1"/>
  <c r="AG64" i="23"/>
  <c r="L64" i="23"/>
  <c r="L63" i="23"/>
  <c r="W63" i="23"/>
  <c r="AG63" i="23"/>
  <c r="Q133" i="22"/>
  <c r="R133" i="22"/>
  <c r="F133" i="22"/>
  <c r="J133" i="22"/>
  <c r="K133" i="22"/>
  <c r="Y133" i="22"/>
  <c r="H132" i="22"/>
  <c r="T63" i="23"/>
  <c r="U63" i="23" s="1"/>
  <c r="AG112" i="24"/>
  <c r="AG110" i="24"/>
  <c r="AG111" i="24"/>
  <c r="AG108" i="24"/>
  <c r="AG109" i="24"/>
  <c r="M69" i="24"/>
  <c r="BS70" i="24"/>
  <c r="L70" i="24"/>
  <c r="AC70" i="24" s="1"/>
  <c r="AX70" i="24"/>
  <c r="AB70" i="24"/>
  <c r="T62" i="23"/>
  <c r="U62" i="23" s="1"/>
  <c r="Q108" i="23"/>
  <c r="Q109" i="23"/>
  <c r="Q112" i="23"/>
  <c r="Q110" i="23"/>
  <c r="Q115" i="23"/>
  <c r="Q114" i="23"/>
  <c r="Q113" i="23"/>
  <c r="Q111" i="23"/>
  <c r="L65" i="23" l="1"/>
  <c r="AG65" i="23"/>
  <c r="W65" i="23"/>
  <c r="Q134" i="22"/>
  <c r="R134" i="22"/>
  <c r="F134" i="22"/>
  <c r="Y134" i="22"/>
  <c r="H133" i="22"/>
  <c r="J134" i="22"/>
  <c r="K134" i="22"/>
  <c r="K63" i="24"/>
  <c r="G64" i="23"/>
  <c r="H64" i="23" s="1"/>
  <c r="AD64" i="23"/>
  <c r="AE64" i="23" s="1"/>
  <c r="BF64" i="24"/>
  <c r="BJ64" i="24" s="1"/>
  <c r="K64" i="24"/>
  <c r="G65" i="23"/>
  <c r="H65" i="23" s="1"/>
  <c r="AD65" i="23"/>
  <c r="AE65" i="23" s="1"/>
  <c r="AH112" i="24"/>
  <c r="AH113" i="24"/>
  <c r="AY113" i="24" s="1"/>
  <c r="AH109" i="24"/>
  <c r="AJ114" i="24"/>
  <c r="AH111" i="24"/>
  <c r="AY111" i="24" s="1"/>
  <c r="AH110" i="24"/>
  <c r="AY110" i="24" s="1"/>
  <c r="M70" i="24"/>
  <c r="BS71" i="24"/>
  <c r="AX71" i="24"/>
  <c r="L71" i="24"/>
  <c r="AC71" i="24" s="1"/>
  <c r="AB71" i="24"/>
  <c r="R113" i="23"/>
  <c r="S113" i="23" s="1"/>
  <c r="R110" i="23"/>
  <c r="S110" i="23" s="1"/>
  <c r="R111" i="23"/>
  <c r="S111" i="23" s="1"/>
  <c r="R114" i="23"/>
  <c r="S114" i="23" s="1"/>
  <c r="R116" i="23"/>
  <c r="S116" i="23" s="1"/>
  <c r="S117" i="23"/>
  <c r="S118" i="23"/>
  <c r="R115" i="23"/>
  <c r="S115" i="23" s="1"/>
  <c r="R112" i="23"/>
  <c r="S112" i="23" s="1"/>
  <c r="R109" i="23"/>
  <c r="S109" i="23" s="1"/>
  <c r="AJ109" i="24" l="1"/>
  <c r="AY109" i="24"/>
  <c r="AJ112" i="24"/>
  <c r="AY112" i="24"/>
  <c r="AJ113" i="24"/>
  <c r="AI114" i="24"/>
  <c r="BH64" i="24"/>
  <c r="BG64" i="24"/>
  <c r="AG66" i="23"/>
  <c r="L66" i="23"/>
  <c r="W66" i="23"/>
  <c r="Y135" i="22"/>
  <c r="Q135" i="22"/>
  <c r="F135" i="22"/>
  <c r="R135" i="22"/>
  <c r="K135" i="22"/>
  <c r="J135" i="22"/>
  <c r="H134" i="22"/>
  <c r="K65" i="24"/>
  <c r="G66" i="23"/>
  <c r="H66" i="23" s="1"/>
  <c r="BF65" i="24"/>
  <c r="BJ65" i="24" s="1"/>
  <c r="AD66" i="23"/>
  <c r="AE66" i="23" s="1"/>
  <c r="BF66" i="24"/>
  <c r="BJ66" i="24" s="1"/>
  <c r="AI110" i="24"/>
  <c r="AI113" i="24"/>
  <c r="AJ111" i="24"/>
  <c r="AI112" i="24"/>
  <c r="AI111" i="24"/>
  <c r="AJ110" i="24"/>
  <c r="AB72" i="24"/>
  <c r="M71" i="24"/>
  <c r="BS72" i="24"/>
  <c r="AX72" i="24"/>
  <c r="L72" i="24"/>
  <c r="AC72" i="24" s="1"/>
  <c r="AM49" i="23"/>
  <c r="BH65" i="24" l="1"/>
  <c r="BG65" i="24"/>
  <c r="BH66" i="24"/>
  <c r="BG66" i="24"/>
  <c r="L67" i="23"/>
  <c r="AG67" i="23"/>
  <c r="W67" i="23"/>
  <c r="Y136" i="22"/>
  <c r="J136" i="22"/>
  <c r="K136" i="22"/>
  <c r="R136" i="22"/>
  <c r="Q136" i="22"/>
  <c r="F136" i="22"/>
  <c r="H135" i="22"/>
  <c r="K66" i="24"/>
  <c r="G67" i="23"/>
  <c r="H67" i="23" s="1"/>
  <c r="BF67" i="24"/>
  <c r="BJ67" i="24" s="1"/>
  <c r="AD67" i="23"/>
  <c r="AE67" i="23" s="1"/>
  <c r="AX73" i="24"/>
  <c r="L73" i="24"/>
  <c r="AC73" i="24" s="1"/>
  <c r="BS73" i="24"/>
  <c r="AB73" i="24"/>
  <c r="M72" i="24"/>
  <c r="BH67" i="24" l="1"/>
  <c r="BG67" i="24"/>
  <c r="AG68" i="23"/>
  <c r="W68" i="23"/>
  <c r="L68" i="23"/>
  <c r="H136" i="22"/>
  <c r="R137" i="22"/>
  <c r="F137" i="22"/>
  <c r="Q137" i="22"/>
  <c r="Y137" i="22"/>
  <c r="J137" i="22"/>
  <c r="K137" i="22"/>
  <c r="K67" i="24"/>
  <c r="G68" i="23"/>
  <c r="H68" i="23" s="1"/>
  <c r="BF68" i="24"/>
  <c r="BJ68" i="24" s="1"/>
  <c r="AG63" i="24"/>
  <c r="AG92" i="24"/>
  <c r="AG101" i="24"/>
  <c r="AG72" i="24"/>
  <c r="AG82" i="24"/>
  <c r="AG62" i="24"/>
  <c r="AG70" i="24"/>
  <c r="AG76" i="24"/>
  <c r="AG99" i="24"/>
  <c r="AG79" i="24"/>
  <c r="AG100" i="24"/>
  <c r="AG78" i="24"/>
  <c r="AG81" i="24"/>
  <c r="AG88" i="24"/>
  <c r="AG71" i="24"/>
  <c r="AG80" i="24"/>
  <c r="AG65" i="24"/>
  <c r="AG91" i="24"/>
  <c r="AG98" i="24"/>
  <c r="AG69" i="24"/>
  <c r="AX74" i="24"/>
  <c r="L74" i="24"/>
  <c r="AC74" i="24" s="1"/>
  <c r="BS74" i="24"/>
  <c r="M73" i="24"/>
  <c r="AB74" i="24"/>
  <c r="Q92" i="23"/>
  <c r="Q72" i="23"/>
  <c r="Q65" i="23"/>
  <c r="Q63" i="23"/>
  <c r="Q101" i="23"/>
  <c r="Q81" i="23"/>
  <c r="Q78" i="23"/>
  <c r="Q80" i="23"/>
  <c r="Q69" i="23"/>
  <c r="Q62" i="23"/>
  <c r="Q88" i="23"/>
  <c r="Q70" i="23"/>
  <c r="Q99" i="23"/>
  <c r="Q82" i="23"/>
  <c r="Q91" i="23"/>
  <c r="Q76" i="23"/>
  <c r="Q79" i="23"/>
  <c r="Q98" i="23"/>
  <c r="Q71" i="23"/>
  <c r="Q100" i="23"/>
  <c r="R63" i="23" l="1"/>
  <c r="BH68" i="24"/>
  <c r="BG68" i="24"/>
  <c r="AG69" i="23"/>
  <c r="W69" i="23"/>
  <c r="L69" i="23"/>
  <c r="F138" i="22"/>
  <c r="Q138" i="22"/>
  <c r="R138" i="22"/>
  <c r="H137" i="22"/>
  <c r="Y138" i="22"/>
  <c r="K138" i="22"/>
  <c r="J138" i="22"/>
  <c r="K68" i="24"/>
  <c r="G69" i="23"/>
  <c r="H69" i="23" s="1"/>
  <c r="AD68" i="23"/>
  <c r="AE68" i="23" s="1"/>
  <c r="BF69" i="24"/>
  <c r="BJ69" i="24" s="1"/>
  <c r="AD69" i="23"/>
  <c r="AE69" i="23" s="1"/>
  <c r="AH79" i="24"/>
  <c r="AH101" i="24"/>
  <c r="AH92" i="24"/>
  <c r="AH70" i="24"/>
  <c r="AH63" i="24"/>
  <c r="R70" i="23"/>
  <c r="S70" i="23" s="1"/>
  <c r="AH71" i="24"/>
  <c r="AY71" i="24" s="1"/>
  <c r="AH72" i="24"/>
  <c r="AY72" i="24" s="1"/>
  <c r="AG75" i="24"/>
  <c r="AH76" i="24" s="1"/>
  <c r="AY76" i="24" s="1"/>
  <c r="AG90" i="24"/>
  <c r="AH91" i="24" s="1"/>
  <c r="AY91" i="24" s="1"/>
  <c r="AG93" i="24"/>
  <c r="AG66" i="24"/>
  <c r="AH66" i="24" s="1"/>
  <c r="AY66" i="24" s="1"/>
  <c r="AG83" i="24"/>
  <c r="AG105" i="24"/>
  <c r="AG107" i="24"/>
  <c r="AH108" i="24" s="1"/>
  <c r="AY108" i="24" s="1"/>
  <c r="AG68" i="24"/>
  <c r="AH69" i="24" s="1"/>
  <c r="AY69" i="24" s="1"/>
  <c r="AG96" i="24"/>
  <c r="AG87" i="24"/>
  <c r="AH88" i="24" s="1"/>
  <c r="AY88" i="24" s="1"/>
  <c r="AG89" i="24"/>
  <c r="AG102" i="24"/>
  <c r="AG103" i="24"/>
  <c r="AG77" i="24"/>
  <c r="AH78" i="24" s="1"/>
  <c r="AY78" i="24" s="1"/>
  <c r="AG104" i="24"/>
  <c r="AG67" i="24"/>
  <c r="AG86" i="24"/>
  <c r="AG74" i="24"/>
  <c r="AG106" i="24"/>
  <c r="AG94" i="24"/>
  <c r="AG85" i="24"/>
  <c r="AG95" i="24"/>
  <c r="AG64" i="24"/>
  <c r="AH65" i="24" s="1"/>
  <c r="AY65" i="24" s="1"/>
  <c r="AG84" i="24"/>
  <c r="AG97" i="24"/>
  <c r="AH98" i="24" s="1"/>
  <c r="AY98" i="24" s="1"/>
  <c r="AG73" i="24"/>
  <c r="AH73" i="24" s="1"/>
  <c r="AY73" i="24" s="1"/>
  <c r="AH100" i="24"/>
  <c r="AY100" i="24" s="1"/>
  <c r="AH99" i="24"/>
  <c r="AY99" i="24" s="1"/>
  <c r="AH80" i="24"/>
  <c r="AY80" i="24" s="1"/>
  <c r="AH81" i="24"/>
  <c r="AY81" i="24" s="1"/>
  <c r="AH82" i="24"/>
  <c r="AY82" i="24" s="1"/>
  <c r="AB75" i="24"/>
  <c r="M74" i="24"/>
  <c r="AX75" i="24"/>
  <c r="L75" i="24"/>
  <c r="AC75" i="24" s="1"/>
  <c r="BS75" i="24"/>
  <c r="S63" i="23"/>
  <c r="R80" i="23"/>
  <c r="S80" i="23" s="1"/>
  <c r="R100" i="23"/>
  <c r="S100" i="23" s="1"/>
  <c r="Q103" i="23"/>
  <c r="Q83" i="23"/>
  <c r="R83" i="23" s="1"/>
  <c r="S83" i="23" s="1"/>
  <c r="Q94" i="23"/>
  <c r="Q84" i="23"/>
  <c r="Q97" i="23"/>
  <c r="R98" i="23" s="1"/>
  <c r="S98" i="23" s="1"/>
  <c r="Q73" i="23"/>
  <c r="R73" i="23" s="1"/>
  <c r="S73" i="23" s="1"/>
  <c r="Q75" i="23"/>
  <c r="R76" i="23" s="1"/>
  <c r="S76" i="23" s="1"/>
  <c r="Q95" i="23"/>
  <c r="Q107" i="23"/>
  <c r="Q86" i="23"/>
  <c r="Q106" i="23"/>
  <c r="Q90" i="23"/>
  <c r="Q68" i="23"/>
  <c r="R69" i="23" s="1"/>
  <c r="S69" i="23" s="1"/>
  <c r="Q77" i="23"/>
  <c r="R77" i="23" s="1"/>
  <c r="S77" i="23" s="1"/>
  <c r="Q85" i="23"/>
  <c r="Q64" i="23"/>
  <c r="Q96" i="23"/>
  <c r="Q89" i="23"/>
  <c r="R89" i="23" s="1"/>
  <c r="S89" i="23" s="1"/>
  <c r="Q87" i="23"/>
  <c r="R88" i="23" s="1"/>
  <c r="S88" i="23" s="1"/>
  <c r="Q66" i="23"/>
  <c r="Q93" i="23"/>
  <c r="R93" i="23" s="1"/>
  <c r="S93" i="23" s="1"/>
  <c r="Q74" i="23"/>
  <c r="Q67" i="23"/>
  <c r="Q105" i="23"/>
  <c r="Q102" i="23"/>
  <c r="R102" i="23" s="1"/>
  <c r="S102" i="23" s="1"/>
  <c r="Q104" i="23"/>
  <c r="R79" i="23"/>
  <c r="S79" i="23" s="1"/>
  <c r="R99" i="23"/>
  <c r="S99" i="23" s="1"/>
  <c r="R101" i="23"/>
  <c r="S101" i="23" s="1"/>
  <c r="R82" i="23"/>
  <c r="S82" i="23" s="1"/>
  <c r="R72" i="23"/>
  <c r="S72" i="23" s="1"/>
  <c r="R71" i="23"/>
  <c r="S71" i="23" s="1"/>
  <c r="R81" i="23"/>
  <c r="S81" i="23" s="1"/>
  <c r="R92" i="23"/>
  <c r="S92" i="23" s="1"/>
  <c r="AJ70" i="24" l="1"/>
  <c r="AY70" i="24"/>
  <c r="AJ92" i="24"/>
  <c r="AY92" i="24"/>
  <c r="AJ79" i="24"/>
  <c r="AY79" i="24"/>
  <c r="R67" i="23"/>
  <c r="S67" i="23" s="1"/>
  <c r="S64" i="23"/>
  <c r="R65" i="23"/>
  <c r="AJ101" i="24"/>
  <c r="AY101" i="24"/>
  <c r="R66" i="23"/>
  <c r="S66" i="23" s="1"/>
  <c r="AJ63" i="24"/>
  <c r="AY63" i="24"/>
  <c r="R64" i="23"/>
  <c r="BH69" i="24"/>
  <c r="BG69" i="24"/>
  <c r="AG70" i="23"/>
  <c r="W70" i="23"/>
  <c r="L70" i="23"/>
  <c r="H138" i="22"/>
  <c r="Q139" i="22"/>
  <c r="R139" i="22"/>
  <c r="F139" i="22"/>
  <c r="J139" i="22"/>
  <c r="K139" i="22"/>
  <c r="Y139" i="22"/>
  <c r="AH107" i="24"/>
  <c r="AD70" i="23"/>
  <c r="AE70" i="23" s="1"/>
  <c r="BF70" i="24"/>
  <c r="BJ70" i="24" s="1"/>
  <c r="AJ71" i="24"/>
  <c r="AH64" i="24"/>
  <c r="K69" i="24"/>
  <c r="G70" i="23"/>
  <c r="H70" i="23" s="1"/>
  <c r="AI73" i="24"/>
  <c r="AH90" i="24"/>
  <c r="AH77" i="24"/>
  <c r="AH86" i="24"/>
  <c r="AH106" i="24"/>
  <c r="AY106" i="24" s="1"/>
  <c r="AH85" i="24"/>
  <c r="AH103" i="24"/>
  <c r="AI72" i="24"/>
  <c r="AH89" i="24"/>
  <c r="AI71" i="24"/>
  <c r="AH102" i="24"/>
  <c r="AH75" i="24"/>
  <c r="AY75" i="24" s="1"/>
  <c r="AJ72" i="24"/>
  <c r="AH105" i="24"/>
  <c r="AH94" i="24"/>
  <c r="AH96" i="24"/>
  <c r="AH97" i="24"/>
  <c r="AJ76" i="24"/>
  <c r="AI66" i="24"/>
  <c r="AJ65" i="24"/>
  <c r="AJ88" i="24"/>
  <c r="AI101" i="24"/>
  <c r="AJ100" i="24"/>
  <c r="AH95" i="24"/>
  <c r="AY95" i="24" s="1"/>
  <c r="AJ69" i="24"/>
  <c r="AI70" i="24"/>
  <c r="AJ108" i="24"/>
  <c r="AI109" i="24"/>
  <c r="AJ73" i="24"/>
  <c r="AH87" i="24"/>
  <c r="AY87" i="24" s="1"/>
  <c r="AH84" i="24"/>
  <c r="AY84" i="24" s="1"/>
  <c r="AJ81" i="24"/>
  <c r="AI82" i="24"/>
  <c r="AH68" i="24"/>
  <c r="AY68" i="24" s="1"/>
  <c r="AH67" i="24"/>
  <c r="AJ80" i="24"/>
  <c r="AI81" i="24"/>
  <c r="AI80" i="24"/>
  <c r="AJ82" i="24"/>
  <c r="AH83" i="24"/>
  <c r="AJ99" i="24"/>
  <c r="AI100" i="24"/>
  <c r="AH74" i="24"/>
  <c r="AY74" i="24" s="1"/>
  <c r="AI79" i="24"/>
  <c r="AJ78" i="24"/>
  <c r="AJ91" i="24"/>
  <c r="AI92" i="24"/>
  <c r="AH93" i="24"/>
  <c r="AY93" i="24" s="1"/>
  <c r="AJ66" i="24"/>
  <c r="AI99" i="24"/>
  <c r="AJ98" i="24"/>
  <c r="AH104" i="24"/>
  <c r="AY104" i="24" s="1"/>
  <c r="M75" i="24"/>
  <c r="AX76" i="24"/>
  <c r="L76" i="24"/>
  <c r="AC76" i="24" s="1"/>
  <c r="AB76" i="24"/>
  <c r="BS76" i="24"/>
  <c r="R104" i="23"/>
  <c r="S104" i="23" s="1"/>
  <c r="R95" i="23"/>
  <c r="S95" i="23" s="1"/>
  <c r="S65" i="23"/>
  <c r="R90" i="23"/>
  <c r="S90" i="23" s="1"/>
  <c r="R78" i="23"/>
  <c r="S78" i="23" s="1"/>
  <c r="R105" i="23"/>
  <c r="S105" i="23" s="1"/>
  <c r="R106" i="23"/>
  <c r="S106" i="23" s="1"/>
  <c r="R107" i="23"/>
  <c r="S107" i="23" s="1"/>
  <c r="R108" i="23"/>
  <c r="S108" i="23" s="1"/>
  <c r="R86" i="23"/>
  <c r="S86" i="23" s="1"/>
  <c r="R87" i="23"/>
  <c r="S87" i="23" s="1"/>
  <c r="R91" i="23"/>
  <c r="S91" i="23" s="1"/>
  <c r="R96" i="23"/>
  <c r="S96" i="23" s="1"/>
  <c r="R97" i="23"/>
  <c r="S97" i="23" s="1"/>
  <c r="R74" i="23"/>
  <c r="S74" i="23" s="1"/>
  <c r="R75" i="23"/>
  <c r="S75" i="23" s="1"/>
  <c r="R84" i="23"/>
  <c r="S84" i="23" s="1"/>
  <c r="R85" i="23"/>
  <c r="S85" i="23" s="1"/>
  <c r="R94" i="23"/>
  <c r="S94" i="23" s="1"/>
  <c r="R68" i="23"/>
  <c r="R103" i="23"/>
  <c r="S103" i="23" s="1"/>
  <c r="X70" i="23"/>
  <c r="X63" i="23"/>
  <c r="X64" i="23"/>
  <c r="X66" i="23" l="1"/>
  <c r="AI67" i="24"/>
  <c r="AY67" i="24"/>
  <c r="AJ102" i="24"/>
  <c r="AY102" i="24"/>
  <c r="AJ89" i="24"/>
  <c r="AY89" i="24"/>
  <c r="AJ103" i="24"/>
  <c r="AY103" i="24"/>
  <c r="AI64" i="24"/>
  <c r="AY64" i="24"/>
  <c r="AJ85" i="24"/>
  <c r="AY85" i="24"/>
  <c r="AJ107" i="24"/>
  <c r="AY107" i="24"/>
  <c r="AI98" i="24"/>
  <c r="AY97" i="24"/>
  <c r="AI83" i="24"/>
  <c r="AY83" i="24"/>
  <c r="AJ96" i="24"/>
  <c r="AY96" i="24"/>
  <c r="AJ86" i="24"/>
  <c r="AY86" i="24"/>
  <c r="AJ94" i="24"/>
  <c r="AY94" i="24"/>
  <c r="AI78" i="24"/>
  <c r="AY77" i="24"/>
  <c r="AJ105" i="24"/>
  <c r="AY105" i="24"/>
  <c r="AI91" i="24"/>
  <c r="AY90" i="24"/>
  <c r="BH70" i="24"/>
  <c r="BG70" i="24"/>
  <c r="S68" i="23"/>
  <c r="AM24" i="23"/>
  <c r="AG71" i="23"/>
  <c r="L71" i="23"/>
  <c r="J140" i="22"/>
  <c r="K140" i="22"/>
  <c r="Q140" i="22"/>
  <c r="R140" i="22"/>
  <c r="F140" i="22"/>
  <c r="Y140" i="22"/>
  <c r="H139" i="22"/>
  <c r="AI108" i="24"/>
  <c r="AI107" i="24"/>
  <c r="AI104" i="24"/>
  <c r="AI86" i="24"/>
  <c r="AJ77" i="24"/>
  <c r="AJ90" i="24"/>
  <c r="AI65" i="24"/>
  <c r="AJ64" i="24"/>
  <c r="K70" i="24"/>
  <c r="G71" i="23"/>
  <c r="H71" i="23" s="1"/>
  <c r="AD71" i="23"/>
  <c r="AE71" i="23" s="1"/>
  <c r="AI77" i="24"/>
  <c r="AI95" i="24"/>
  <c r="AI90" i="24"/>
  <c r="AI102" i="24"/>
  <c r="AI87" i="24"/>
  <c r="AI106" i="24"/>
  <c r="AJ106" i="24"/>
  <c r="BY23" i="24"/>
  <c r="AI97" i="24"/>
  <c r="AI103" i="24"/>
  <c r="AI89" i="24"/>
  <c r="AJ75" i="24"/>
  <c r="AI76" i="24"/>
  <c r="AJ97" i="24"/>
  <c r="AJ93" i="24"/>
  <c r="AI94" i="24"/>
  <c r="AI93" i="24"/>
  <c r="AI88" i="24"/>
  <c r="AJ87" i="24"/>
  <c r="AI75" i="24"/>
  <c r="AJ74" i="24"/>
  <c r="AI74" i="24"/>
  <c r="AI85" i="24"/>
  <c r="AJ84" i="24"/>
  <c r="AJ83" i="24"/>
  <c r="AI84" i="24"/>
  <c r="AJ95" i="24"/>
  <c r="AI96" i="24"/>
  <c r="AJ68" i="24"/>
  <c r="AI69" i="24"/>
  <c r="AJ104" i="24"/>
  <c r="AI105" i="24"/>
  <c r="AI68" i="24"/>
  <c r="AJ67" i="24"/>
  <c r="BY24" i="24"/>
  <c r="BS77" i="24"/>
  <c r="AB77" i="24"/>
  <c r="M76" i="24"/>
  <c r="AX77" i="24"/>
  <c r="L77" i="24"/>
  <c r="AC77" i="24" s="1"/>
  <c r="AM23" i="23"/>
  <c r="X69" i="23"/>
  <c r="X67" i="23"/>
  <c r="X68" i="23"/>
  <c r="X65" i="23"/>
  <c r="W71" i="23" l="1"/>
  <c r="X71" i="23"/>
  <c r="AG72" i="23"/>
  <c r="L72" i="23"/>
  <c r="H140" i="22"/>
  <c r="Y141" i="22"/>
  <c r="F141" i="22"/>
  <c r="Q141" i="22"/>
  <c r="R141" i="22"/>
  <c r="J141" i="22"/>
  <c r="K141" i="22"/>
  <c r="BF71" i="24"/>
  <c r="BJ71" i="24" s="1"/>
  <c r="AD72" i="23"/>
  <c r="AE72" i="23" s="1"/>
  <c r="BF72" i="24"/>
  <c r="BJ72" i="24" s="1"/>
  <c r="K71" i="24"/>
  <c r="G72" i="23"/>
  <c r="H72" i="23" s="1"/>
  <c r="AB78" i="24"/>
  <c r="M77" i="24"/>
  <c r="BS78" i="24"/>
  <c r="AX78" i="24"/>
  <c r="L78" i="24"/>
  <c r="AC78" i="24" s="1"/>
  <c r="S62" i="23"/>
  <c r="AD17" i="22"/>
  <c r="BH71" i="24" l="1"/>
  <c r="BG71" i="24"/>
  <c r="BH72" i="24"/>
  <c r="BG72" i="24"/>
  <c r="W72" i="23"/>
  <c r="X72" i="23"/>
  <c r="AG73" i="23"/>
  <c r="L73" i="23"/>
  <c r="G34" i="22"/>
  <c r="G39" i="22"/>
  <c r="G51" i="22"/>
  <c r="G29" i="22"/>
  <c r="G50" i="22"/>
  <c r="G52" i="22"/>
  <c r="G46" i="22"/>
  <c r="G36" i="22"/>
  <c r="G53" i="22"/>
  <c r="G32" i="22"/>
  <c r="G57" i="22"/>
  <c r="G33" i="22"/>
  <c r="G41" i="22"/>
  <c r="G42" i="22"/>
  <c r="G48" i="22"/>
  <c r="G40" i="22"/>
  <c r="G31" i="22"/>
  <c r="G59" i="22"/>
  <c r="G54" i="22"/>
  <c r="G61" i="22"/>
  <c r="G38" i="22"/>
  <c r="G45" i="22"/>
  <c r="G30" i="22"/>
  <c r="G58" i="22"/>
  <c r="G55" i="22"/>
  <c r="G56" i="22"/>
  <c r="G37" i="22"/>
  <c r="G35" i="22"/>
  <c r="G43" i="22"/>
  <c r="G44" i="22"/>
  <c r="G47" i="22"/>
  <c r="G60" i="22"/>
  <c r="G49" i="22"/>
  <c r="G8" i="22"/>
  <c r="G20" i="22"/>
  <c r="G9" i="22"/>
  <c r="G21" i="22"/>
  <c r="G10" i="22"/>
  <c r="G22" i="22"/>
  <c r="G11" i="22"/>
  <c r="G23" i="22"/>
  <c r="G12" i="22"/>
  <c r="G24" i="22"/>
  <c r="G13" i="22"/>
  <c r="G25" i="22"/>
  <c r="G14" i="22"/>
  <c r="G15" i="22"/>
  <c r="G16" i="22"/>
  <c r="G17" i="22"/>
  <c r="G18" i="22"/>
  <c r="G19" i="22"/>
  <c r="G26" i="22"/>
  <c r="G27" i="22"/>
  <c r="G28" i="22"/>
  <c r="Y142" i="22"/>
  <c r="G141" i="22"/>
  <c r="H141" i="22"/>
  <c r="J142" i="22"/>
  <c r="K142" i="22"/>
  <c r="R142" i="22"/>
  <c r="F142" i="22"/>
  <c r="Q142" i="22"/>
  <c r="G62" i="22"/>
  <c r="G63" i="22"/>
  <c r="G64" i="22"/>
  <c r="G65" i="22"/>
  <c r="G66" i="22"/>
  <c r="G67" i="22"/>
  <c r="G68" i="22"/>
  <c r="G69" i="22"/>
  <c r="G70" i="22"/>
  <c r="G71" i="22"/>
  <c r="G73" i="22"/>
  <c r="G72" i="22"/>
  <c r="G75" i="22"/>
  <c r="G74" i="22"/>
  <c r="G76" i="22"/>
  <c r="G77" i="22"/>
  <c r="G78" i="22"/>
  <c r="G79" i="22"/>
  <c r="G80" i="22"/>
  <c r="G81" i="22"/>
  <c r="G82" i="22"/>
  <c r="G83" i="22"/>
  <c r="G84" i="22"/>
  <c r="G85" i="22"/>
  <c r="G86" i="22"/>
  <c r="G87" i="22"/>
  <c r="G89" i="22"/>
  <c r="G88" i="22"/>
  <c r="G90" i="22"/>
  <c r="G91" i="22"/>
  <c r="G92" i="22"/>
  <c r="G93" i="22"/>
  <c r="G94" i="22"/>
  <c r="G95" i="22"/>
  <c r="G96" i="22"/>
  <c r="G97" i="22"/>
  <c r="G98" i="22"/>
  <c r="G99" i="22"/>
  <c r="G100" i="22"/>
  <c r="G101" i="22"/>
  <c r="G102" i="22"/>
  <c r="G103" i="22"/>
  <c r="G105" i="22"/>
  <c r="G104" i="22"/>
  <c r="G106" i="22"/>
  <c r="G107" i="22"/>
  <c r="G108" i="22"/>
  <c r="G110" i="22"/>
  <c r="G109" i="22"/>
  <c r="G112" i="22"/>
  <c r="G111" i="22"/>
  <c r="G113" i="22"/>
  <c r="G114" i="22"/>
  <c r="G115" i="22"/>
  <c r="G116" i="22"/>
  <c r="G117" i="22"/>
  <c r="G118" i="22"/>
  <c r="G119" i="22"/>
  <c r="G120" i="22"/>
  <c r="G121" i="22"/>
  <c r="G122" i="22"/>
  <c r="G125" i="22"/>
  <c r="G123" i="22"/>
  <c r="G124" i="22"/>
  <c r="G126" i="22"/>
  <c r="G127" i="22"/>
  <c r="G128" i="22"/>
  <c r="G129" i="22"/>
  <c r="G130" i="22"/>
  <c r="G131" i="22"/>
  <c r="G132" i="22"/>
  <c r="G133" i="22"/>
  <c r="G134" i="22"/>
  <c r="G135" i="22"/>
  <c r="G136" i="22"/>
  <c r="G137" i="22"/>
  <c r="G138" i="22"/>
  <c r="G139" i="22"/>
  <c r="G140" i="22"/>
  <c r="K72" i="24"/>
  <c r="G73" i="23"/>
  <c r="H73" i="23" s="1"/>
  <c r="BF73" i="24"/>
  <c r="BJ73" i="24" s="1"/>
  <c r="M78" i="24"/>
  <c r="AB79" i="24"/>
  <c r="AX79" i="24"/>
  <c r="L79" i="24"/>
  <c r="AC79" i="24" s="1"/>
  <c r="BS79" i="24"/>
  <c r="N62" i="23"/>
  <c r="AC62" i="23"/>
  <c r="F62" i="23"/>
  <c r="AD23" i="22"/>
  <c r="AD26" i="22" s="1"/>
  <c r="AD22" i="22"/>
  <c r="BH73" i="24" l="1"/>
  <c r="BG73" i="24"/>
  <c r="W73" i="23"/>
  <c r="X73" i="23"/>
  <c r="AG74" i="23"/>
  <c r="L74" i="23"/>
  <c r="G142" i="22"/>
  <c r="H142" i="22"/>
  <c r="Q143" i="22"/>
  <c r="F143" i="22"/>
  <c r="R143" i="22"/>
  <c r="Y143" i="22"/>
  <c r="J143" i="22"/>
  <c r="K143" i="22"/>
  <c r="K73" i="24"/>
  <c r="G74" i="23"/>
  <c r="H74" i="23" s="1"/>
  <c r="AD73" i="23"/>
  <c r="AE73" i="23" s="1"/>
  <c r="AD74" i="23"/>
  <c r="AE74" i="23" s="1"/>
  <c r="M79" i="24"/>
  <c r="AX80" i="24"/>
  <c r="L80" i="24"/>
  <c r="AC80" i="24" s="1"/>
  <c r="AB80" i="24"/>
  <c r="BS80" i="24"/>
  <c r="N63" i="23"/>
  <c r="AA115" i="23"/>
  <c r="BB79" i="24"/>
  <c r="N64" i="23"/>
  <c r="AD11" i="22"/>
  <c r="AD12" i="22"/>
  <c r="AD15" i="22" s="1"/>
  <c r="L75" i="23" l="1"/>
  <c r="AG75" i="23"/>
  <c r="W74" i="23"/>
  <c r="X74" i="23"/>
  <c r="F144" i="22"/>
  <c r="Q144" i="22"/>
  <c r="R144" i="22"/>
  <c r="G143" i="22"/>
  <c r="H143" i="22"/>
  <c r="Y144" i="22"/>
  <c r="J144" i="22"/>
  <c r="K144" i="22"/>
  <c r="AA121" i="23"/>
  <c r="AA123" i="23"/>
  <c r="AB124" i="23" s="1"/>
  <c r="AC124" i="23" s="1"/>
  <c r="AA122" i="23"/>
  <c r="AA106" i="23"/>
  <c r="BB120" i="24"/>
  <c r="BC121" i="24" s="1"/>
  <c r="AA120" i="23"/>
  <c r="AA119" i="23"/>
  <c r="BB119" i="24"/>
  <c r="BB118" i="24"/>
  <c r="AA118" i="23"/>
  <c r="AA117" i="23"/>
  <c r="BB117" i="24"/>
  <c r="BB116" i="24"/>
  <c r="AA116" i="23"/>
  <c r="AB116" i="23" s="1"/>
  <c r="AC116" i="23" s="1"/>
  <c r="BB107" i="24"/>
  <c r="BB115" i="24"/>
  <c r="AA114" i="23"/>
  <c r="AB115" i="23" s="1"/>
  <c r="AC115" i="23" s="1"/>
  <c r="BB114" i="24"/>
  <c r="AA102" i="23"/>
  <c r="BB113" i="24"/>
  <c r="AA113" i="23"/>
  <c r="BB108" i="24"/>
  <c r="AA112" i="23"/>
  <c r="AA108" i="23"/>
  <c r="BB112" i="24"/>
  <c r="BB100" i="24"/>
  <c r="BB111" i="24"/>
  <c r="AA107" i="23"/>
  <c r="AA111" i="23"/>
  <c r="AA79" i="23"/>
  <c r="AA110" i="23"/>
  <c r="AA71" i="23"/>
  <c r="BB110" i="24"/>
  <c r="AA97" i="23"/>
  <c r="BB109" i="24"/>
  <c r="AA109" i="23"/>
  <c r="AA77" i="23"/>
  <c r="AA73" i="23"/>
  <c r="BB98" i="24"/>
  <c r="AA98" i="23"/>
  <c r="AA104" i="23"/>
  <c r="AA85" i="23"/>
  <c r="AA68" i="23"/>
  <c r="BB97" i="24"/>
  <c r="AA64" i="23"/>
  <c r="BB68" i="24"/>
  <c r="AA67" i="23"/>
  <c r="AB68" i="23" s="1"/>
  <c r="BB86" i="24"/>
  <c r="AA86" i="23"/>
  <c r="AA89" i="23"/>
  <c r="K74" i="24"/>
  <c r="G75" i="23"/>
  <c r="H75" i="23" s="1"/>
  <c r="AA100" i="23"/>
  <c r="BB102" i="24"/>
  <c r="BB64" i="24"/>
  <c r="BB85" i="24"/>
  <c r="BB106" i="24"/>
  <c r="BB89" i="24"/>
  <c r="BB104" i="24"/>
  <c r="BB73" i="24"/>
  <c r="BF74" i="24"/>
  <c r="BJ74" i="24" s="1"/>
  <c r="BF75" i="24"/>
  <c r="BJ75" i="24" s="1"/>
  <c r="AD75" i="23"/>
  <c r="AE75" i="23" s="1"/>
  <c r="BB67" i="24"/>
  <c r="BB71" i="24"/>
  <c r="BB77" i="24"/>
  <c r="AA90" i="23"/>
  <c r="BB90" i="24"/>
  <c r="AA81" i="23"/>
  <c r="BB81" i="24"/>
  <c r="AM27" i="23"/>
  <c r="BY27" i="24"/>
  <c r="AA103" i="23"/>
  <c r="BB103" i="24"/>
  <c r="AA93" i="23"/>
  <c r="BB93" i="24"/>
  <c r="AA83" i="23"/>
  <c r="BB83" i="24"/>
  <c r="AA74" i="23"/>
  <c r="BB74" i="24"/>
  <c r="AA65" i="23"/>
  <c r="BB65" i="24"/>
  <c r="AA101" i="23"/>
  <c r="BB101" i="24"/>
  <c r="AA82" i="23"/>
  <c r="BB82" i="24"/>
  <c r="AA92" i="23"/>
  <c r="BB92" i="24"/>
  <c r="AA88" i="23"/>
  <c r="BB88" i="24"/>
  <c r="AA99" i="23"/>
  <c r="BB99" i="24"/>
  <c r="AA80" i="23"/>
  <c r="BB80" i="24"/>
  <c r="AA84" i="23"/>
  <c r="BB84" i="24"/>
  <c r="AA70" i="23"/>
  <c r="BB70" i="24"/>
  <c r="AA75" i="23"/>
  <c r="BB75" i="24"/>
  <c r="AA105" i="23"/>
  <c r="BB105" i="24"/>
  <c r="AA62" i="23"/>
  <c r="BB62" i="24"/>
  <c r="AA76" i="23"/>
  <c r="BB76" i="24"/>
  <c r="AA91" i="23"/>
  <c r="BB91" i="24"/>
  <c r="AA95" i="23"/>
  <c r="BB95" i="24"/>
  <c r="AA87" i="23"/>
  <c r="BB87" i="24"/>
  <c r="AA63" i="23"/>
  <c r="BB63" i="24"/>
  <c r="AA66" i="23"/>
  <c r="BB66" i="24"/>
  <c r="AA69" i="23"/>
  <c r="BB69" i="24"/>
  <c r="AA96" i="23"/>
  <c r="BB96" i="24"/>
  <c r="AA78" i="23"/>
  <c r="BB78" i="24"/>
  <c r="BC79" i="24" s="1"/>
  <c r="AA94" i="23"/>
  <c r="AB94" i="23" s="1"/>
  <c r="BB94" i="24"/>
  <c r="AA72" i="23"/>
  <c r="BB72" i="24"/>
  <c r="T64" i="23"/>
  <c r="U64" i="23" s="1"/>
  <c r="AK64" i="24"/>
  <c r="AB81" i="24"/>
  <c r="BS81" i="24"/>
  <c r="M80" i="24"/>
  <c r="AX81" i="24"/>
  <c r="L81" i="24"/>
  <c r="AC81" i="24" s="1"/>
  <c r="X62" i="23"/>
  <c r="AM11" i="23"/>
  <c r="N65" i="23"/>
  <c r="AM50" i="23"/>
  <c r="AM12" i="23"/>
  <c r="AB63" i="23" l="1"/>
  <c r="AB67" i="23"/>
  <c r="AB64" i="23"/>
  <c r="AB66" i="23"/>
  <c r="AB65" i="23"/>
  <c r="BD122" i="24"/>
  <c r="AL64" i="24"/>
  <c r="AO64" i="24"/>
  <c r="BH75" i="24"/>
  <c r="BG75" i="24"/>
  <c r="BH74" i="24"/>
  <c r="BG74" i="24"/>
  <c r="AM64" i="24"/>
  <c r="W75" i="23"/>
  <c r="X75" i="23"/>
  <c r="AG76" i="23"/>
  <c r="L76" i="23"/>
  <c r="AB121" i="23"/>
  <c r="BE122" i="24"/>
  <c r="Q145" i="22"/>
  <c r="R145" i="22"/>
  <c r="F145" i="22"/>
  <c r="J145" i="22"/>
  <c r="K145" i="22"/>
  <c r="Y145" i="22"/>
  <c r="G144" i="22"/>
  <c r="H144" i="22"/>
  <c r="AB120" i="23"/>
  <c r="AC120" i="23" s="1"/>
  <c r="BE121" i="24"/>
  <c r="AB123" i="23"/>
  <c r="AC123" i="23" s="1"/>
  <c r="AB119" i="23"/>
  <c r="AC119" i="23" s="1"/>
  <c r="AB97" i="23"/>
  <c r="AC97" i="23" s="1"/>
  <c r="BC119" i="24"/>
  <c r="BE119" i="24" s="1"/>
  <c r="BC120" i="24"/>
  <c r="BE120" i="24" s="1"/>
  <c r="AB107" i="23"/>
  <c r="AC107" i="23" s="1"/>
  <c r="AB122" i="23"/>
  <c r="BC118" i="24"/>
  <c r="BE118" i="24" s="1"/>
  <c r="BC100" i="24"/>
  <c r="BE100" i="24" s="1"/>
  <c r="AB85" i="23"/>
  <c r="BC117" i="24"/>
  <c r="BE117" i="24" s="1"/>
  <c r="AB101" i="23"/>
  <c r="AB103" i="23"/>
  <c r="AC103" i="23" s="1"/>
  <c r="AB118" i="23"/>
  <c r="AC118" i="23" s="1"/>
  <c r="BC116" i="24"/>
  <c r="BE116" i="24" s="1"/>
  <c r="BC108" i="24"/>
  <c r="BE108" i="24" s="1"/>
  <c r="AB117" i="23"/>
  <c r="AC117" i="23" s="1"/>
  <c r="BC87" i="24"/>
  <c r="BE87" i="24" s="1"/>
  <c r="AB114" i="23"/>
  <c r="AC114" i="23" s="1"/>
  <c r="BC107" i="24"/>
  <c r="BE107" i="24" s="1"/>
  <c r="AB80" i="23"/>
  <c r="AC80" i="23" s="1"/>
  <c r="BC115" i="24"/>
  <c r="BE115" i="24" s="1"/>
  <c r="AB113" i="23"/>
  <c r="AC113" i="23" s="1"/>
  <c r="BC114" i="24"/>
  <c r="BE114" i="24" s="1"/>
  <c r="AB87" i="23"/>
  <c r="AC87" i="23" s="1"/>
  <c r="AB111" i="23"/>
  <c r="AC111" i="23" s="1"/>
  <c r="BC113" i="24"/>
  <c r="BE113" i="24" s="1"/>
  <c r="BC106" i="24"/>
  <c r="BE106" i="24" s="1"/>
  <c r="AB112" i="23"/>
  <c r="AC112" i="23" s="1"/>
  <c r="AB110" i="23"/>
  <c r="AC110" i="23" s="1"/>
  <c r="BC112" i="24"/>
  <c r="BE112" i="24" s="1"/>
  <c r="BC111" i="24"/>
  <c r="BE111" i="24" s="1"/>
  <c r="BC73" i="24"/>
  <c r="BE73" i="24" s="1"/>
  <c r="AB108" i="23"/>
  <c r="AC108" i="23" s="1"/>
  <c r="BC104" i="24"/>
  <c r="BE104" i="24" s="1"/>
  <c r="AB72" i="23"/>
  <c r="AC72" i="23" s="1"/>
  <c r="AB105" i="23"/>
  <c r="AC105" i="23" s="1"/>
  <c r="AB89" i="23"/>
  <c r="AC89" i="23" s="1"/>
  <c r="AB109" i="23"/>
  <c r="AC109" i="23" s="1"/>
  <c r="AB71" i="23"/>
  <c r="AC71" i="23" s="1"/>
  <c r="BC110" i="24"/>
  <c r="BE110" i="24" s="1"/>
  <c r="AC67" i="23"/>
  <c r="AB99" i="23"/>
  <c r="AC99" i="23" s="1"/>
  <c r="AB74" i="23"/>
  <c r="AC74" i="23" s="1"/>
  <c r="AB78" i="23"/>
  <c r="AC78" i="23" s="1"/>
  <c r="BC109" i="24"/>
  <c r="BE109" i="24" s="1"/>
  <c r="BC68" i="24"/>
  <c r="BT68" i="24" s="1"/>
  <c r="AB86" i="23"/>
  <c r="AC86" i="23" s="1"/>
  <c r="AB98" i="23"/>
  <c r="AC98" i="23" s="1"/>
  <c r="BC98" i="24"/>
  <c r="BE98" i="24" s="1"/>
  <c r="BC81" i="24"/>
  <c r="BE81" i="24" s="1"/>
  <c r="AB69" i="23"/>
  <c r="AC69" i="23" s="1"/>
  <c r="AB77" i="23"/>
  <c r="AC77" i="23" s="1"/>
  <c r="AB90" i="23"/>
  <c r="AC90" i="23" s="1"/>
  <c r="BC86" i="24"/>
  <c r="BE86" i="24" s="1"/>
  <c r="AC68" i="23"/>
  <c r="BC89" i="24"/>
  <c r="BE89" i="24" s="1"/>
  <c r="AC64" i="23"/>
  <c r="BC90" i="24"/>
  <c r="BE90" i="24" s="1"/>
  <c r="AC65" i="23"/>
  <c r="BC97" i="24"/>
  <c r="BE97" i="24" s="1"/>
  <c r="BC71" i="24"/>
  <c r="BE71" i="24" s="1"/>
  <c r="BC85" i="24"/>
  <c r="BE85" i="24" s="1"/>
  <c r="K75" i="24"/>
  <c r="G76" i="23"/>
  <c r="H76" i="23" s="1"/>
  <c r="BF76" i="24"/>
  <c r="BJ76" i="24" s="1"/>
  <c r="BC102" i="24"/>
  <c r="BE102" i="24" s="1"/>
  <c r="BC77" i="24"/>
  <c r="BE77" i="24" s="1"/>
  <c r="BC67" i="24"/>
  <c r="BT67" i="24" s="1"/>
  <c r="AC63" i="23"/>
  <c r="AB92" i="23"/>
  <c r="AC92" i="23" s="1"/>
  <c r="AB75" i="23"/>
  <c r="AC75" i="23" s="1"/>
  <c r="AM15" i="23"/>
  <c r="BY15" i="24"/>
  <c r="BC80" i="24"/>
  <c r="BE80" i="24" s="1"/>
  <c r="BC99" i="24"/>
  <c r="BE99" i="24" s="1"/>
  <c r="AB104" i="23"/>
  <c r="AC104" i="23" s="1"/>
  <c r="BC105" i="24"/>
  <c r="AB73" i="23"/>
  <c r="AC73" i="23" s="1"/>
  <c r="AB83" i="23"/>
  <c r="AC83" i="23" s="1"/>
  <c r="BC70" i="24"/>
  <c r="BE70" i="24" s="1"/>
  <c r="AB91" i="23"/>
  <c r="AC91" i="23" s="1"/>
  <c r="AB81" i="23"/>
  <c r="AC81" i="23" s="1"/>
  <c r="BC101" i="24"/>
  <c r="BC75" i="24"/>
  <c r="BE75" i="24" s="1"/>
  <c r="BC78" i="24"/>
  <c r="BC96" i="24"/>
  <c r="BE96" i="24" s="1"/>
  <c r="AB100" i="23"/>
  <c r="AC100" i="23" s="1"/>
  <c r="AB96" i="23"/>
  <c r="AC96" i="23" s="1"/>
  <c r="AB93" i="23"/>
  <c r="AC93" i="23" s="1"/>
  <c r="AB106" i="23"/>
  <c r="AC106" i="23" s="1"/>
  <c r="AB79" i="23"/>
  <c r="AC79" i="23" s="1"/>
  <c r="AB82" i="23"/>
  <c r="AC82" i="23" s="1"/>
  <c r="AC66" i="23"/>
  <c r="AB102" i="23"/>
  <c r="AC102" i="23" s="1"/>
  <c r="BC92" i="24"/>
  <c r="BC93" i="24"/>
  <c r="BC84" i="24"/>
  <c r="AB95" i="23"/>
  <c r="AC95" i="23" s="1"/>
  <c r="BC63" i="24"/>
  <c r="BC64" i="24"/>
  <c r="BC94" i="24"/>
  <c r="AB76" i="23"/>
  <c r="AC76" i="23" s="1"/>
  <c r="BC88" i="24"/>
  <c r="BC83" i="24"/>
  <c r="AB84" i="23"/>
  <c r="AC84" i="23" s="1"/>
  <c r="BE79" i="24"/>
  <c r="BT79" i="24"/>
  <c r="BC74" i="24"/>
  <c r="BC82" i="24"/>
  <c r="BC95" i="24"/>
  <c r="AB88" i="23"/>
  <c r="AC88" i="23" s="1"/>
  <c r="AB70" i="23"/>
  <c r="AC70" i="23" s="1"/>
  <c r="BC72" i="24"/>
  <c r="BC103" i="24"/>
  <c r="BC91" i="24"/>
  <c r="BC76" i="24"/>
  <c r="BC65" i="24"/>
  <c r="BC66" i="24"/>
  <c r="BC69" i="24"/>
  <c r="AM53" i="23"/>
  <c r="BY53" i="24"/>
  <c r="T65" i="23"/>
  <c r="U65" i="23" s="1"/>
  <c r="AK65" i="24"/>
  <c r="M81" i="24"/>
  <c r="L82" i="24"/>
  <c r="AC82" i="24" s="1"/>
  <c r="AX82" i="24"/>
  <c r="BS82" i="24"/>
  <c r="AB82" i="24"/>
  <c r="AC85" i="23"/>
  <c r="AC94" i="23"/>
  <c r="AC101" i="23"/>
  <c r="N66" i="23"/>
  <c r="BD121" i="24" l="1"/>
  <c r="AL65" i="24"/>
  <c r="AO65" i="24"/>
  <c r="BH76" i="24"/>
  <c r="BG76" i="24"/>
  <c r="AM65" i="24"/>
  <c r="W76" i="23"/>
  <c r="X76" i="23"/>
  <c r="AG77" i="23"/>
  <c r="L77" i="23"/>
  <c r="AC121" i="23"/>
  <c r="J146" i="22"/>
  <c r="K146" i="22"/>
  <c r="Y146" i="22"/>
  <c r="Q146" i="22"/>
  <c r="R146" i="22"/>
  <c r="F146" i="22"/>
  <c r="G145" i="22"/>
  <c r="H145" i="22"/>
  <c r="BD120" i="24"/>
  <c r="AC122" i="23"/>
  <c r="BD119" i="24"/>
  <c r="BD118" i="24"/>
  <c r="BD106" i="24"/>
  <c r="BD117" i="24"/>
  <c r="BD107" i="24"/>
  <c r="BD115" i="24"/>
  <c r="BD108" i="24"/>
  <c r="BD90" i="24"/>
  <c r="BD112" i="24"/>
  <c r="BD116" i="24"/>
  <c r="BD114" i="24"/>
  <c r="BD69" i="24"/>
  <c r="BD82" i="24"/>
  <c r="BD113" i="24"/>
  <c r="BD74" i="24"/>
  <c r="BT73" i="24"/>
  <c r="BD109" i="24"/>
  <c r="BE68" i="24"/>
  <c r="BT81" i="24"/>
  <c r="BD111" i="24"/>
  <c r="BD98" i="24"/>
  <c r="BD91" i="24"/>
  <c r="BD110" i="24"/>
  <c r="BD87" i="24"/>
  <c r="BD105" i="24"/>
  <c r="BD86" i="24"/>
  <c r="BT71" i="24"/>
  <c r="BE105" i="24"/>
  <c r="K76" i="24"/>
  <c r="G77" i="23"/>
  <c r="H77" i="23" s="1"/>
  <c r="AD76" i="23"/>
  <c r="AE76" i="23" s="1"/>
  <c r="AD77" i="23"/>
  <c r="AE77" i="23" s="1"/>
  <c r="BF77" i="24"/>
  <c r="BJ77" i="24" s="1"/>
  <c r="BE67" i="24"/>
  <c r="BD78" i="24"/>
  <c r="BD68" i="24"/>
  <c r="BT77" i="24"/>
  <c r="BD102" i="24"/>
  <c r="BD103" i="24"/>
  <c r="BT80" i="24"/>
  <c r="BD97" i="24"/>
  <c r="BD80" i="24"/>
  <c r="BD81" i="24"/>
  <c r="BD71" i="24"/>
  <c r="BT70" i="24"/>
  <c r="BD79" i="24"/>
  <c r="BE101" i="24"/>
  <c r="BD76" i="24"/>
  <c r="BD99" i="24"/>
  <c r="BD101" i="24"/>
  <c r="BT78" i="24"/>
  <c r="BE78" i="24"/>
  <c r="BD100" i="24"/>
  <c r="BT75" i="24"/>
  <c r="BE83" i="24"/>
  <c r="BD84" i="24"/>
  <c r="BE64" i="24"/>
  <c r="BD65" i="24"/>
  <c r="BT64" i="24"/>
  <c r="BE93" i="24"/>
  <c r="BD94" i="24"/>
  <c r="BE88" i="24"/>
  <c r="BD89" i="24"/>
  <c r="BE63" i="24"/>
  <c r="BD64" i="24"/>
  <c r="BY36" i="24"/>
  <c r="BT63" i="24"/>
  <c r="BY37" i="24"/>
  <c r="BE92" i="24"/>
  <c r="BD93" i="24"/>
  <c r="BE91" i="24"/>
  <c r="BD92" i="24"/>
  <c r="BE94" i="24"/>
  <c r="BD95" i="24"/>
  <c r="BD88" i="24"/>
  <c r="BE95" i="24"/>
  <c r="BD96" i="24"/>
  <c r="BE74" i="24"/>
  <c r="BD75" i="24"/>
  <c r="BT74" i="24"/>
  <c r="BT82" i="24"/>
  <c r="BE69" i="24"/>
  <c r="BD70" i="24"/>
  <c r="BT69" i="24"/>
  <c r="BE66" i="24"/>
  <c r="BD67" i="24"/>
  <c r="BT66" i="24"/>
  <c r="BE72" i="24"/>
  <c r="BD73" i="24"/>
  <c r="BT72" i="24"/>
  <c r="BE65" i="24"/>
  <c r="BD66" i="24"/>
  <c r="BT65" i="24"/>
  <c r="BD72" i="24"/>
  <c r="BE82" i="24"/>
  <c r="BD83" i="24"/>
  <c r="BE103" i="24"/>
  <c r="BD104" i="24"/>
  <c r="BE76" i="24"/>
  <c r="BD77" i="24"/>
  <c r="BT76" i="24"/>
  <c r="BE84" i="24"/>
  <c r="BD85" i="24"/>
  <c r="AK66" i="24"/>
  <c r="T66" i="23"/>
  <c r="U66" i="23" s="1"/>
  <c r="AB83" i="24"/>
  <c r="AX83" i="24"/>
  <c r="L83" i="24"/>
  <c r="AC83" i="24" s="1"/>
  <c r="BT83" i="24"/>
  <c r="BS83" i="24"/>
  <c r="M82" i="24"/>
  <c r="AM37" i="23"/>
  <c r="AM36" i="23"/>
  <c r="N67" i="23"/>
  <c r="AL66" i="24" l="1"/>
  <c r="AO66" i="24"/>
  <c r="BH77" i="24"/>
  <c r="BG77" i="24"/>
  <c r="AM66" i="24"/>
  <c r="W77" i="23"/>
  <c r="X77" i="23"/>
  <c r="L78" i="23"/>
  <c r="AG78" i="23"/>
  <c r="G146" i="22"/>
  <c r="H146" i="22"/>
  <c r="Y147" i="22"/>
  <c r="F147" i="22"/>
  <c r="Q147" i="22"/>
  <c r="R147" i="22"/>
  <c r="J147" i="22"/>
  <c r="K147" i="22"/>
  <c r="AD78" i="23"/>
  <c r="AE78" i="23" s="1"/>
  <c r="K77" i="24"/>
  <c r="G78" i="23"/>
  <c r="H78" i="23" s="1"/>
  <c r="AM40" i="23"/>
  <c r="BY40" i="24"/>
  <c r="T67" i="23"/>
  <c r="U67" i="23" s="1"/>
  <c r="AK67" i="24"/>
  <c r="AB84" i="24"/>
  <c r="AX84" i="24"/>
  <c r="L84" i="24"/>
  <c r="AC84" i="24" s="1"/>
  <c r="M83" i="24"/>
  <c r="BT84" i="24"/>
  <c r="BS84" i="24"/>
  <c r="N68" i="23"/>
  <c r="AL67" i="24" l="1"/>
  <c r="AO67" i="24"/>
  <c r="AM67" i="24"/>
  <c r="L79" i="23"/>
  <c r="AG79" i="23"/>
  <c r="W78" i="23"/>
  <c r="X78" i="23"/>
  <c r="J148" i="22"/>
  <c r="K148" i="22"/>
  <c r="G147" i="22"/>
  <c r="H147" i="22"/>
  <c r="R148" i="22"/>
  <c r="F148" i="22"/>
  <c r="Q148" i="22"/>
  <c r="Y148" i="22"/>
  <c r="K78" i="24"/>
  <c r="G79" i="23"/>
  <c r="H79" i="23" s="1"/>
  <c r="BF78" i="24"/>
  <c r="BJ78" i="24" s="1"/>
  <c r="AD79" i="23"/>
  <c r="AE79" i="23" s="1"/>
  <c r="AK68" i="24"/>
  <c r="T68" i="23"/>
  <c r="U68" i="23" s="1"/>
  <c r="AX85" i="24"/>
  <c r="L85" i="24"/>
  <c r="AC85" i="24" s="1"/>
  <c r="AB85" i="24"/>
  <c r="BT85" i="24"/>
  <c r="BS85" i="24"/>
  <c r="M84" i="24"/>
  <c r="N69" i="23"/>
  <c r="AL68" i="24" l="1"/>
  <c r="AO68" i="24"/>
  <c r="BH78" i="24"/>
  <c r="BG78" i="24"/>
  <c r="AM68" i="24"/>
  <c r="W79" i="23"/>
  <c r="X79" i="23"/>
  <c r="L80" i="23"/>
  <c r="AG80" i="23"/>
  <c r="J149" i="22"/>
  <c r="K149" i="22"/>
  <c r="Y149" i="22"/>
  <c r="R149" i="22"/>
  <c r="Q149" i="22"/>
  <c r="F149" i="22"/>
  <c r="G148" i="22"/>
  <c r="H148" i="22"/>
  <c r="K79" i="24"/>
  <c r="G80" i="23"/>
  <c r="H80" i="23" s="1"/>
  <c r="BF79" i="24"/>
  <c r="BJ79" i="24" s="1"/>
  <c r="BF80" i="24"/>
  <c r="BJ80" i="24" s="1"/>
  <c r="T69" i="23"/>
  <c r="U69" i="23" s="1"/>
  <c r="AK69" i="24"/>
  <c r="AB86" i="24"/>
  <c r="M85" i="24"/>
  <c r="BT86" i="24"/>
  <c r="BS86" i="24"/>
  <c r="AX86" i="24"/>
  <c r="L86" i="24"/>
  <c r="AC86" i="24" s="1"/>
  <c r="N70" i="23"/>
  <c r="AL69" i="24" l="1"/>
  <c r="AO69" i="24"/>
  <c r="BH80" i="24"/>
  <c r="BG80" i="24"/>
  <c r="BH79" i="24"/>
  <c r="BG79" i="24"/>
  <c r="AM69" i="24"/>
  <c r="AG81" i="23"/>
  <c r="L81" i="23"/>
  <c r="W80" i="23"/>
  <c r="X80" i="23"/>
  <c r="H149" i="22"/>
  <c r="G149" i="22"/>
  <c r="F150" i="22"/>
  <c r="Q150" i="22"/>
  <c r="R150" i="22"/>
  <c r="J150" i="22"/>
  <c r="K150" i="22"/>
  <c r="Y150" i="22"/>
  <c r="K80" i="24"/>
  <c r="G81" i="23"/>
  <c r="H81" i="23" s="1"/>
  <c r="AD80" i="23"/>
  <c r="AE80" i="23" s="1"/>
  <c r="AD81" i="23"/>
  <c r="AE81" i="23" s="1"/>
  <c r="BF81" i="24"/>
  <c r="BJ81" i="24" s="1"/>
  <c r="AK70" i="24"/>
  <c r="T70" i="23"/>
  <c r="U70" i="23" s="1"/>
  <c r="AX87" i="24"/>
  <c r="L87" i="24"/>
  <c r="AC87" i="24" s="1"/>
  <c r="BT87" i="24"/>
  <c r="BS87" i="24"/>
  <c r="AB87" i="24"/>
  <c r="M86" i="24"/>
  <c r="N71" i="23"/>
  <c r="AL70" i="24" l="1"/>
  <c r="AO70" i="24"/>
  <c r="BH81" i="24"/>
  <c r="BG81" i="24"/>
  <c r="AM70" i="24"/>
  <c r="W81" i="23"/>
  <c r="X81" i="23"/>
  <c r="AG82" i="23"/>
  <c r="L82" i="23"/>
  <c r="R151" i="22"/>
  <c r="F151" i="22"/>
  <c r="Q151" i="22"/>
  <c r="K151" i="22"/>
  <c r="J151" i="22"/>
  <c r="G150" i="22"/>
  <c r="H150" i="22"/>
  <c r="Y151" i="22"/>
  <c r="K81" i="24"/>
  <c r="G82" i="23"/>
  <c r="H82" i="23" s="1"/>
  <c r="BF82" i="24"/>
  <c r="BJ82" i="24" s="1"/>
  <c r="AK71" i="24"/>
  <c r="T71" i="23"/>
  <c r="U71" i="23" s="1"/>
  <c r="BT88" i="24"/>
  <c r="BS88" i="24"/>
  <c r="AB88" i="24"/>
  <c r="AX88" i="24"/>
  <c r="L88" i="24"/>
  <c r="AC88" i="24" s="1"/>
  <c r="M87" i="24"/>
  <c r="N72" i="23"/>
  <c r="AL71" i="24" l="1"/>
  <c r="AO71" i="24"/>
  <c r="BH82" i="24"/>
  <c r="BG82" i="24"/>
  <c r="AM71" i="24"/>
  <c r="W82" i="23"/>
  <c r="X82" i="23"/>
  <c r="L83" i="23"/>
  <c r="AG83" i="23"/>
  <c r="F152" i="22"/>
  <c r="Q152" i="22"/>
  <c r="R152" i="22"/>
  <c r="J152" i="22"/>
  <c r="K152" i="22"/>
  <c r="Y152" i="22"/>
  <c r="G151" i="22"/>
  <c r="H151" i="22"/>
  <c r="AD82" i="23"/>
  <c r="AE82" i="23" s="1"/>
  <c r="AD83" i="23"/>
  <c r="AE83" i="23" s="1"/>
  <c r="K82" i="24"/>
  <c r="G83" i="23"/>
  <c r="H83" i="23" s="1"/>
  <c r="T72" i="23"/>
  <c r="U72" i="23" s="1"/>
  <c r="AK72" i="24"/>
  <c r="M88" i="24"/>
  <c r="AB89" i="24"/>
  <c r="AX89" i="24"/>
  <c r="L89" i="24"/>
  <c r="AC89" i="24" s="1"/>
  <c r="BT89" i="24"/>
  <c r="BS89" i="24"/>
  <c r="N73" i="23"/>
  <c r="AL72" i="24" l="1"/>
  <c r="AO72" i="24"/>
  <c r="AM72" i="24"/>
  <c r="W83" i="23"/>
  <c r="X83" i="23"/>
  <c r="L84" i="23"/>
  <c r="AG84" i="23"/>
  <c r="F153" i="22"/>
  <c r="Q153" i="22"/>
  <c r="R153" i="22"/>
  <c r="J153" i="22"/>
  <c r="K153" i="22"/>
  <c r="Y153" i="22"/>
  <c r="G152" i="22"/>
  <c r="H152" i="22"/>
  <c r="K83" i="24"/>
  <c r="G84" i="23"/>
  <c r="H84" i="23" s="1"/>
  <c r="BF83" i="24"/>
  <c r="BJ83" i="24" s="1"/>
  <c r="AD84" i="23"/>
  <c r="AE84" i="23" s="1"/>
  <c r="BF84" i="24"/>
  <c r="BJ84" i="24" s="1"/>
  <c r="AK73" i="24"/>
  <c r="T73" i="23"/>
  <c r="U73" i="23" s="1"/>
  <c r="L90" i="24"/>
  <c r="AC90" i="24" s="1"/>
  <c r="AX90" i="24"/>
  <c r="AB90" i="24"/>
  <c r="BS90" i="24"/>
  <c r="BT90" i="24"/>
  <c r="M89" i="24"/>
  <c r="N74" i="23"/>
  <c r="AL73" i="24" l="1"/>
  <c r="AO73" i="24"/>
  <c r="BH83" i="24"/>
  <c r="BG83" i="24"/>
  <c r="BH84" i="24"/>
  <c r="BG84" i="24"/>
  <c r="AM73" i="24"/>
  <c r="AG85" i="23"/>
  <c r="L85" i="23"/>
  <c r="W84" i="23"/>
  <c r="X84" i="23"/>
  <c r="R154" i="22"/>
  <c r="F154" i="22"/>
  <c r="Q154" i="22"/>
  <c r="J154" i="22"/>
  <c r="K154" i="22"/>
  <c r="Y154" i="22"/>
  <c r="H153" i="22"/>
  <c r="G153" i="22"/>
  <c r="K84" i="24"/>
  <c r="G85" i="23"/>
  <c r="H85" i="23" s="1"/>
  <c r="AD85" i="23"/>
  <c r="AE85" i="23" s="1"/>
  <c r="BF85" i="24"/>
  <c r="BJ85" i="24" s="1"/>
  <c r="AK74" i="24"/>
  <c r="T74" i="23"/>
  <c r="U74" i="23" s="1"/>
  <c r="L91" i="24"/>
  <c r="AC91" i="24" s="1"/>
  <c r="AX91" i="24"/>
  <c r="BT91" i="24"/>
  <c r="BS91" i="24"/>
  <c r="AB91" i="24"/>
  <c r="M90" i="24"/>
  <c r="N75" i="23"/>
  <c r="AL74" i="24" l="1"/>
  <c r="AO74" i="24"/>
  <c r="BH85" i="24"/>
  <c r="BG85" i="24"/>
  <c r="AM74" i="24"/>
  <c r="W85" i="23"/>
  <c r="X85" i="23"/>
  <c r="AG86" i="23"/>
  <c r="L86" i="23"/>
  <c r="K155" i="22"/>
  <c r="J155" i="22"/>
  <c r="Y155" i="22"/>
  <c r="Q155" i="22"/>
  <c r="R155" i="22"/>
  <c r="F155" i="22"/>
  <c r="G154" i="22"/>
  <c r="H154" i="22"/>
  <c r="K85" i="24"/>
  <c r="G86" i="23"/>
  <c r="H86" i="23" s="1"/>
  <c r="BF86" i="24"/>
  <c r="BJ86" i="24" s="1"/>
  <c r="AK75" i="24"/>
  <c r="T75" i="23"/>
  <c r="U75" i="23" s="1"/>
  <c r="BT92" i="24"/>
  <c r="BS92" i="24"/>
  <c r="AX92" i="24"/>
  <c r="L92" i="24"/>
  <c r="AC92" i="24" s="1"/>
  <c r="AB92" i="24"/>
  <c r="M91" i="24"/>
  <c r="N76" i="23"/>
  <c r="AL75" i="24" l="1"/>
  <c r="AO75" i="24"/>
  <c r="BH86" i="24"/>
  <c r="BG86" i="24"/>
  <c r="AM75" i="24"/>
  <c r="W86" i="23"/>
  <c r="X86" i="23"/>
  <c r="AG87" i="23"/>
  <c r="L87" i="23"/>
  <c r="G155" i="22"/>
  <c r="H155" i="22"/>
  <c r="F156" i="22"/>
  <c r="R156" i="22"/>
  <c r="Q156" i="22"/>
  <c r="K156" i="22"/>
  <c r="J156" i="22"/>
  <c r="Y156" i="22"/>
  <c r="K86" i="24"/>
  <c r="G87" i="23"/>
  <c r="H87" i="23" s="1"/>
  <c r="AD86" i="23"/>
  <c r="AE86" i="23" s="1"/>
  <c r="BF87" i="24"/>
  <c r="BJ87" i="24" s="1"/>
  <c r="AD87" i="23"/>
  <c r="AE87" i="23" s="1"/>
  <c r="T76" i="23"/>
  <c r="U76" i="23" s="1"/>
  <c r="AK76" i="24"/>
  <c r="BT93" i="24"/>
  <c r="BS93" i="24"/>
  <c r="M92" i="24"/>
  <c r="AX93" i="24"/>
  <c r="L93" i="24"/>
  <c r="AC93" i="24" s="1"/>
  <c r="AB93" i="24"/>
  <c r="N77" i="23"/>
  <c r="AL76" i="24" l="1"/>
  <c r="AO76" i="24"/>
  <c r="BH87" i="24"/>
  <c r="BG87" i="24"/>
  <c r="AM76" i="24"/>
  <c r="L88" i="23"/>
  <c r="AG88" i="23"/>
  <c r="W87" i="23"/>
  <c r="X87" i="23"/>
  <c r="F157" i="22"/>
  <c r="Q157" i="22"/>
  <c r="R157" i="22"/>
  <c r="Y157" i="22"/>
  <c r="K157" i="22"/>
  <c r="J157" i="22"/>
  <c r="G156" i="22"/>
  <c r="H156" i="22"/>
  <c r="K87" i="24"/>
  <c r="G88" i="23"/>
  <c r="H88" i="23" s="1"/>
  <c r="BF88" i="24"/>
  <c r="BJ88" i="24" s="1"/>
  <c r="AD88" i="23"/>
  <c r="AE88" i="23" s="1"/>
  <c r="T77" i="23"/>
  <c r="U77" i="23" s="1"/>
  <c r="AK77" i="24"/>
  <c r="M93" i="24"/>
  <c r="AX94" i="24"/>
  <c r="L94" i="24"/>
  <c r="AC94" i="24" s="1"/>
  <c r="BT94" i="24"/>
  <c r="BS94" i="24"/>
  <c r="AB94" i="24"/>
  <c r="N78" i="23"/>
  <c r="AL77" i="24" l="1"/>
  <c r="AO77" i="24"/>
  <c r="BH88" i="24"/>
  <c r="BG88" i="24"/>
  <c r="AM77" i="24"/>
  <c r="W88" i="23"/>
  <c r="X88" i="23"/>
  <c r="L89" i="23"/>
  <c r="AG89" i="23"/>
  <c r="G157" i="22"/>
  <c r="H157" i="22"/>
  <c r="Y158" i="22"/>
  <c r="Q158" i="22"/>
  <c r="R158" i="22"/>
  <c r="F158" i="22"/>
  <c r="K158" i="22"/>
  <c r="J158" i="22"/>
  <c r="AD89" i="23"/>
  <c r="AE89" i="23" s="1"/>
  <c r="K88" i="24"/>
  <c r="G89" i="23"/>
  <c r="H89" i="23" s="1"/>
  <c r="AK78" i="24"/>
  <c r="T78" i="23"/>
  <c r="U78" i="23" s="1"/>
  <c r="M94" i="24"/>
  <c r="BT95" i="24"/>
  <c r="BS95" i="24"/>
  <c r="AX95" i="24"/>
  <c r="L95" i="24"/>
  <c r="AC95" i="24" s="1"/>
  <c r="AB95" i="24"/>
  <c r="N79" i="23"/>
  <c r="AL78" i="24" l="1"/>
  <c r="AO78" i="24"/>
  <c r="AM78" i="24"/>
  <c r="L90" i="23"/>
  <c r="AG90" i="23"/>
  <c r="W89" i="23"/>
  <c r="X89" i="23"/>
  <c r="R159" i="22"/>
  <c r="F159" i="22"/>
  <c r="Q159" i="22"/>
  <c r="G158" i="22"/>
  <c r="H158" i="22"/>
  <c r="Y159" i="22"/>
  <c r="J159" i="22"/>
  <c r="K159" i="22"/>
  <c r="BF89" i="24"/>
  <c r="BJ89" i="24" s="1"/>
  <c r="BF90" i="24"/>
  <c r="BJ90" i="24" s="1"/>
  <c r="K89" i="24"/>
  <c r="G90" i="23"/>
  <c r="H90" i="23" s="1"/>
  <c r="AK79" i="24"/>
  <c r="T79" i="23"/>
  <c r="U79" i="23" s="1"/>
  <c r="AX96" i="24"/>
  <c r="L96" i="24"/>
  <c r="AC96" i="24" s="1"/>
  <c r="BT96" i="24"/>
  <c r="BS96" i="24"/>
  <c r="AB96" i="24"/>
  <c r="M95" i="24"/>
  <c r="N80" i="23"/>
  <c r="AL79" i="24" l="1"/>
  <c r="AO79" i="24"/>
  <c r="BH89" i="24"/>
  <c r="BG89" i="24"/>
  <c r="BH90" i="24"/>
  <c r="BG90" i="24"/>
  <c r="AM79" i="24"/>
  <c r="W90" i="23"/>
  <c r="X90" i="23"/>
  <c r="AG91" i="23"/>
  <c r="L91" i="23"/>
  <c r="F160" i="22"/>
  <c r="Q160" i="22"/>
  <c r="R160" i="22"/>
  <c r="Y160" i="22"/>
  <c r="K160" i="22"/>
  <c r="J160" i="22"/>
  <c r="G159" i="22"/>
  <c r="H159" i="22"/>
  <c r="K90" i="24"/>
  <c r="G91" i="23"/>
  <c r="H91" i="23" s="1"/>
  <c r="AD90" i="23"/>
  <c r="AE90" i="23" s="1"/>
  <c r="AD91" i="23"/>
  <c r="AE91" i="23" s="1"/>
  <c r="BF91" i="24"/>
  <c r="BJ91" i="24" s="1"/>
  <c r="T80" i="23"/>
  <c r="U80" i="23" s="1"/>
  <c r="AK80" i="24"/>
  <c r="BT97" i="24"/>
  <c r="BS97" i="24"/>
  <c r="AB97" i="24"/>
  <c r="M96" i="24"/>
  <c r="AX97" i="24"/>
  <c r="L97" i="24"/>
  <c r="AC97" i="24" s="1"/>
  <c r="N81" i="23"/>
  <c r="AL80" i="24" l="1"/>
  <c r="AO80" i="24"/>
  <c r="BH91" i="24"/>
  <c r="BG91" i="24"/>
  <c r="AM80" i="24"/>
  <c r="W91" i="23"/>
  <c r="X91" i="23"/>
  <c r="L92" i="23"/>
  <c r="AG92" i="23"/>
  <c r="Y161" i="22"/>
  <c r="Q161" i="22"/>
  <c r="R161" i="22"/>
  <c r="F161" i="22"/>
  <c r="K161" i="22"/>
  <c r="J161" i="22"/>
  <c r="G160" i="22"/>
  <c r="H160" i="22"/>
  <c r="K91" i="24"/>
  <c r="G92" i="23"/>
  <c r="H92" i="23" s="1"/>
  <c r="BF92" i="24"/>
  <c r="BJ92" i="24" s="1"/>
  <c r="AD92" i="23"/>
  <c r="AE92" i="23" s="1"/>
  <c r="T81" i="23"/>
  <c r="U81" i="23" s="1"/>
  <c r="AK81" i="24"/>
  <c r="M97" i="24"/>
  <c r="BT98" i="24"/>
  <c r="BS98" i="24"/>
  <c r="AX98" i="24"/>
  <c r="L98" i="24"/>
  <c r="AC98" i="24" s="1"/>
  <c r="AB98" i="24"/>
  <c r="N82" i="23"/>
  <c r="AL81" i="24" l="1"/>
  <c r="AO81" i="24"/>
  <c r="BH92" i="24"/>
  <c r="BG92" i="24"/>
  <c r="AM81" i="24"/>
  <c r="AG93" i="23"/>
  <c r="L93" i="23"/>
  <c r="W92" i="23"/>
  <c r="X92" i="23"/>
  <c r="Y162" i="22"/>
  <c r="G161" i="22"/>
  <c r="H161" i="22"/>
  <c r="K162" i="22"/>
  <c r="J162" i="22"/>
  <c r="R162" i="22"/>
  <c r="F162" i="22"/>
  <c r="Q162" i="22"/>
  <c r="BF93" i="24"/>
  <c r="BJ93" i="24" s="1"/>
  <c r="AD93" i="23"/>
  <c r="AE93" i="23" s="1"/>
  <c r="K92" i="24"/>
  <c r="G93" i="23"/>
  <c r="H93" i="23" s="1"/>
  <c r="AK82" i="24"/>
  <c r="T82" i="23"/>
  <c r="U82" i="23" s="1"/>
  <c r="AX99" i="24"/>
  <c r="L99" i="24"/>
  <c r="AC99" i="24" s="1"/>
  <c r="AB99" i="24"/>
  <c r="BT99" i="24"/>
  <c r="BS99" i="24"/>
  <c r="M98" i="24"/>
  <c r="N83" i="23"/>
  <c r="AL82" i="24" l="1"/>
  <c r="AO82" i="24"/>
  <c r="BH93" i="24"/>
  <c r="BG93" i="24"/>
  <c r="AM82" i="24"/>
  <c r="W93" i="23"/>
  <c r="X93" i="23"/>
  <c r="L94" i="23"/>
  <c r="AG94" i="23"/>
  <c r="Y163" i="22"/>
  <c r="G162" i="22"/>
  <c r="H162" i="22"/>
  <c r="J163" i="22"/>
  <c r="K163" i="22"/>
  <c r="Q163" i="22"/>
  <c r="R163" i="22"/>
  <c r="F163" i="22"/>
  <c r="K93" i="24"/>
  <c r="G94" i="23"/>
  <c r="H94" i="23" s="1"/>
  <c r="AD94" i="23"/>
  <c r="AE94" i="23" s="1"/>
  <c r="BF94" i="24"/>
  <c r="BJ94" i="24" s="1"/>
  <c r="AK83" i="24"/>
  <c r="T83" i="23"/>
  <c r="U83" i="23" s="1"/>
  <c r="AB100" i="24"/>
  <c r="BT100" i="24"/>
  <c r="BS100" i="24"/>
  <c r="AX100" i="24"/>
  <c r="L100" i="24"/>
  <c r="AC100" i="24" s="1"/>
  <c r="M99" i="24"/>
  <c r="N84" i="23"/>
  <c r="AL83" i="24" l="1"/>
  <c r="AO83" i="24"/>
  <c r="BH94" i="24"/>
  <c r="BG94" i="24"/>
  <c r="AM83" i="24"/>
  <c r="W94" i="23"/>
  <c r="X94" i="23"/>
  <c r="AG95" i="23"/>
  <c r="L95" i="23"/>
  <c r="Y164" i="22"/>
  <c r="J164" i="22"/>
  <c r="K164" i="22"/>
  <c r="R164" i="22"/>
  <c r="F164" i="22"/>
  <c r="Q164" i="22"/>
  <c r="G163" i="22"/>
  <c r="H163" i="22"/>
  <c r="BF95" i="24"/>
  <c r="BJ95" i="24" s="1"/>
  <c r="AD95" i="23"/>
  <c r="AE95" i="23" s="1"/>
  <c r="K94" i="24"/>
  <c r="G95" i="23"/>
  <c r="H95" i="23" s="1"/>
  <c r="AK84" i="24"/>
  <c r="T84" i="23"/>
  <c r="U84" i="23" s="1"/>
  <c r="AX101" i="24"/>
  <c r="L101" i="24"/>
  <c r="AC101" i="24" s="1"/>
  <c r="M100" i="24"/>
  <c r="AB101" i="24"/>
  <c r="BS101" i="24"/>
  <c r="BT101" i="24"/>
  <c r="N85" i="23"/>
  <c r="AL84" i="24" l="1"/>
  <c r="AO84" i="24"/>
  <c r="BH95" i="24"/>
  <c r="BG95" i="24"/>
  <c r="AM84" i="24"/>
  <c r="W95" i="23"/>
  <c r="X95" i="23"/>
  <c r="AG96" i="23"/>
  <c r="L96" i="23"/>
  <c r="J165" i="22"/>
  <c r="K165" i="22"/>
  <c r="F165" i="22"/>
  <c r="R165" i="22"/>
  <c r="Q165" i="22"/>
  <c r="Y165" i="22"/>
  <c r="G164" i="22"/>
  <c r="H164" i="22"/>
  <c r="AD96" i="23"/>
  <c r="AE96" i="23" s="1"/>
  <c r="BF96" i="24"/>
  <c r="BJ96" i="24" s="1"/>
  <c r="K95" i="24"/>
  <c r="G96" i="23"/>
  <c r="H96" i="23" s="1"/>
  <c r="AK85" i="24"/>
  <c r="T85" i="23"/>
  <c r="U85" i="23" s="1"/>
  <c r="M101" i="24"/>
  <c r="BT102" i="24"/>
  <c r="BS102" i="24"/>
  <c r="AB102" i="24"/>
  <c r="AX102" i="24"/>
  <c r="L102" i="24"/>
  <c r="AC102" i="24" s="1"/>
  <c r="N86" i="23"/>
  <c r="AL85" i="24" l="1"/>
  <c r="AO85" i="24"/>
  <c r="BH96" i="24"/>
  <c r="BG96" i="24"/>
  <c r="AM85" i="24"/>
  <c r="W96" i="23"/>
  <c r="X96" i="23"/>
  <c r="L97" i="23"/>
  <c r="AG97" i="23"/>
  <c r="Q166" i="22"/>
  <c r="R166" i="22"/>
  <c r="F166" i="22"/>
  <c r="Y166" i="22"/>
  <c r="G165" i="22"/>
  <c r="H165" i="22"/>
  <c r="J166" i="22"/>
  <c r="K166" i="22"/>
  <c r="K96" i="24"/>
  <c r="G97" i="23"/>
  <c r="H97" i="23" s="1"/>
  <c r="AD97" i="23"/>
  <c r="AE97" i="23" s="1"/>
  <c r="AK86" i="24"/>
  <c r="T86" i="23"/>
  <c r="U86" i="23" s="1"/>
  <c r="AX103" i="24"/>
  <c r="L103" i="24"/>
  <c r="AC103" i="24" s="1"/>
  <c r="BT103" i="24"/>
  <c r="BS103" i="24"/>
  <c r="AB103" i="24"/>
  <c r="M102" i="24"/>
  <c r="N87" i="23"/>
  <c r="AL86" i="24" l="1"/>
  <c r="AO86" i="24"/>
  <c r="AM86" i="24"/>
  <c r="W97" i="23"/>
  <c r="X97" i="23"/>
  <c r="L98" i="23"/>
  <c r="AG98" i="23"/>
  <c r="K167" i="22"/>
  <c r="J167" i="22"/>
  <c r="Y167" i="22"/>
  <c r="Q167" i="22"/>
  <c r="R167" i="22"/>
  <c r="F167" i="22"/>
  <c r="H166" i="22"/>
  <c r="G166" i="22"/>
  <c r="BF97" i="24"/>
  <c r="BJ97" i="24" s="1"/>
  <c r="AD98" i="23"/>
  <c r="AE98" i="23" s="1"/>
  <c r="K97" i="24"/>
  <c r="G98" i="23"/>
  <c r="H98" i="23" s="1"/>
  <c r="AK87" i="24"/>
  <c r="T87" i="23"/>
  <c r="U87" i="23" s="1"/>
  <c r="M103" i="24"/>
  <c r="AX104" i="24"/>
  <c r="L104" i="24"/>
  <c r="AC104" i="24" s="1"/>
  <c r="AB104" i="24"/>
  <c r="BT104" i="24"/>
  <c r="BS104" i="24"/>
  <c r="N88" i="23"/>
  <c r="AL87" i="24" l="1"/>
  <c r="AO87" i="24"/>
  <c r="BH97" i="24"/>
  <c r="BG97" i="24"/>
  <c r="AM87" i="24"/>
  <c r="W98" i="23"/>
  <c r="X98" i="23"/>
  <c r="AG99" i="23"/>
  <c r="L99" i="23"/>
  <c r="R168" i="22"/>
  <c r="F168" i="22"/>
  <c r="Q168" i="22"/>
  <c r="G167" i="22"/>
  <c r="H167" i="22"/>
  <c r="Y168" i="22"/>
  <c r="J168" i="22"/>
  <c r="K168" i="22"/>
  <c r="BF98" i="24"/>
  <c r="BJ98" i="24" s="1"/>
  <c r="BF99" i="24"/>
  <c r="BJ99" i="24" s="1"/>
  <c r="AD99" i="23"/>
  <c r="AE99" i="23" s="1"/>
  <c r="K98" i="24"/>
  <c r="G99" i="23"/>
  <c r="H99" i="23" s="1"/>
  <c r="T88" i="23"/>
  <c r="U88" i="23" s="1"/>
  <c r="AK88" i="24"/>
  <c r="L105" i="24"/>
  <c r="AC105" i="24" s="1"/>
  <c r="AX105" i="24"/>
  <c r="M104" i="24"/>
  <c r="BS105" i="24"/>
  <c r="BT105" i="24"/>
  <c r="AB105" i="24"/>
  <c r="N89" i="23"/>
  <c r="AL88" i="24" l="1"/>
  <c r="AO88" i="24"/>
  <c r="BH99" i="24"/>
  <c r="BG99" i="24"/>
  <c r="BH98" i="24"/>
  <c r="BG98" i="24"/>
  <c r="AM88" i="24"/>
  <c r="W99" i="23"/>
  <c r="X99" i="23"/>
  <c r="L100" i="23"/>
  <c r="AG100" i="23"/>
  <c r="Y169" i="22"/>
  <c r="Q169" i="22"/>
  <c r="F169" i="22"/>
  <c r="R169" i="22"/>
  <c r="H168" i="22"/>
  <c r="G168" i="22"/>
  <c r="J169" i="22"/>
  <c r="K169" i="22"/>
  <c r="BF100" i="24"/>
  <c r="BJ100" i="24" s="1"/>
  <c r="AD100" i="23"/>
  <c r="AE100" i="23" s="1"/>
  <c r="K99" i="24"/>
  <c r="G100" i="23"/>
  <c r="H100" i="23" s="1"/>
  <c r="AK89" i="24"/>
  <c r="T89" i="23"/>
  <c r="U89" i="23" s="1"/>
  <c r="AX106" i="24"/>
  <c r="L106" i="24"/>
  <c r="AC106" i="24" s="1"/>
  <c r="BS106" i="24"/>
  <c r="BT106" i="24"/>
  <c r="AB106" i="24"/>
  <c r="M105" i="24"/>
  <c r="N90" i="23"/>
  <c r="AL89" i="24" l="1"/>
  <c r="AO89" i="24"/>
  <c r="BH100" i="24"/>
  <c r="BG100" i="24"/>
  <c r="AM89" i="24"/>
  <c r="W100" i="23"/>
  <c r="X100" i="23"/>
  <c r="L101" i="23"/>
  <c r="AG101" i="23"/>
  <c r="K170" i="22"/>
  <c r="J170" i="22"/>
  <c r="Y170" i="22"/>
  <c r="R170" i="22"/>
  <c r="F170" i="22"/>
  <c r="Q170" i="22"/>
  <c r="G169" i="22"/>
  <c r="H169" i="22"/>
  <c r="BF101" i="24"/>
  <c r="BJ101" i="24" s="1"/>
  <c r="AD101" i="23"/>
  <c r="AE101" i="23" s="1"/>
  <c r="K100" i="24"/>
  <c r="G101" i="23"/>
  <c r="H101" i="23" s="1"/>
  <c r="T90" i="23"/>
  <c r="U90" i="23" s="1"/>
  <c r="AK90" i="24"/>
  <c r="AX107" i="24"/>
  <c r="L107" i="24"/>
  <c r="AC107" i="24" s="1"/>
  <c r="BS107" i="24"/>
  <c r="BT107" i="24"/>
  <c r="M106" i="24"/>
  <c r="AB107" i="24"/>
  <c r="N91" i="23"/>
  <c r="AL90" i="24" l="1"/>
  <c r="AO90" i="24"/>
  <c r="BH101" i="24"/>
  <c r="BG101" i="24"/>
  <c r="AM90" i="24"/>
  <c r="W101" i="23"/>
  <c r="X101" i="23"/>
  <c r="AG102" i="23"/>
  <c r="L102" i="23"/>
  <c r="G170" i="22"/>
  <c r="H170" i="22"/>
  <c r="K171" i="22"/>
  <c r="J171" i="22"/>
  <c r="Q171" i="22"/>
  <c r="F171" i="22"/>
  <c r="R171" i="22"/>
  <c r="Y171" i="22"/>
  <c r="BF102" i="24"/>
  <c r="BJ102" i="24" s="1"/>
  <c r="AD102" i="23"/>
  <c r="AE102" i="23" s="1"/>
  <c r="K101" i="24"/>
  <c r="G102" i="23"/>
  <c r="H102" i="23" s="1"/>
  <c r="T91" i="23"/>
  <c r="U91" i="23" s="1"/>
  <c r="AK91" i="24"/>
  <c r="L108" i="24"/>
  <c r="AC108" i="24" s="1"/>
  <c r="AX108" i="24"/>
  <c r="M107" i="24"/>
  <c r="AB108" i="24"/>
  <c r="BT108" i="24"/>
  <c r="BS108" i="24"/>
  <c r="N92" i="23"/>
  <c r="AL91" i="24" l="1"/>
  <c r="AO91" i="24"/>
  <c r="BH102" i="24"/>
  <c r="BG102" i="24"/>
  <c r="AM91" i="24"/>
  <c r="L103" i="23"/>
  <c r="AG103" i="23"/>
  <c r="W102" i="23"/>
  <c r="X102" i="23"/>
  <c r="J172" i="22"/>
  <c r="K172" i="22"/>
  <c r="Y172" i="22"/>
  <c r="G171" i="22"/>
  <c r="H171" i="22"/>
  <c r="R172" i="22"/>
  <c r="Q172" i="22"/>
  <c r="F172" i="22"/>
  <c r="AD103" i="23"/>
  <c r="AE103" i="23" s="1"/>
  <c r="K102" i="24"/>
  <c r="G103" i="23"/>
  <c r="H103" i="23" s="1"/>
  <c r="AK92" i="24"/>
  <c r="T92" i="23"/>
  <c r="U92" i="23" s="1"/>
  <c r="BS109" i="24"/>
  <c r="BT109" i="24"/>
  <c r="M108" i="24"/>
  <c r="L109" i="24"/>
  <c r="AC109" i="24" s="1"/>
  <c r="AX109" i="24"/>
  <c r="AB109" i="24"/>
  <c r="N93" i="23"/>
  <c r="AL92" i="24" l="1"/>
  <c r="AO92" i="24"/>
  <c r="AM92" i="24"/>
  <c r="W103" i="23"/>
  <c r="X103" i="23"/>
  <c r="L104" i="23"/>
  <c r="AG104" i="23"/>
  <c r="R173" i="22"/>
  <c r="F173" i="22"/>
  <c r="Q173" i="22"/>
  <c r="K173" i="22"/>
  <c r="J173" i="22"/>
  <c r="Y173" i="22"/>
  <c r="H172" i="22"/>
  <c r="G172" i="22"/>
  <c r="K103" i="24"/>
  <c r="G104" i="23"/>
  <c r="H104" i="23" s="1"/>
  <c r="BF103" i="24"/>
  <c r="BJ103" i="24" s="1"/>
  <c r="BF104" i="24"/>
  <c r="BJ104" i="24" s="1"/>
  <c r="AD104" i="23"/>
  <c r="AE104" i="23" s="1"/>
  <c r="T93" i="23"/>
  <c r="U93" i="23" s="1"/>
  <c r="AK93" i="24"/>
  <c r="AB110" i="24"/>
  <c r="M109" i="24"/>
  <c r="L110" i="24"/>
  <c r="AC110" i="24" s="1"/>
  <c r="AX110" i="24"/>
  <c r="BT110" i="24"/>
  <c r="BS110" i="24"/>
  <c r="N94" i="23"/>
  <c r="AL93" i="24" l="1"/>
  <c r="AO93" i="24"/>
  <c r="BH104" i="24"/>
  <c r="BG104" i="24"/>
  <c r="BH103" i="24"/>
  <c r="BG103" i="24"/>
  <c r="AM93" i="24"/>
  <c r="W104" i="23"/>
  <c r="X104" i="23"/>
  <c r="L105" i="23"/>
  <c r="AG105" i="23"/>
  <c r="G173" i="22"/>
  <c r="H173" i="22"/>
  <c r="Q174" i="22"/>
  <c r="F174" i="22"/>
  <c r="R174" i="22"/>
  <c r="K174" i="22"/>
  <c r="J174" i="22"/>
  <c r="Y174" i="22"/>
  <c r="K104" i="24"/>
  <c r="G105" i="23"/>
  <c r="H105" i="23" s="1"/>
  <c r="AD105" i="23"/>
  <c r="AE105" i="23" s="1"/>
  <c r="T94" i="23"/>
  <c r="U94" i="23" s="1"/>
  <c r="AK94" i="24"/>
  <c r="M110" i="24"/>
  <c r="BT111" i="24"/>
  <c r="BS111" i="24"/>
  <c r="AB111" i="24"/>
  <c r="AX111" i="24"/>
  <c r="L111" i="24"/>
  <c r="AC111" i="24" s="1"/>
  <c r="N95" i="23"/>
  <c r="AL94" i="24" l="1"/>
  <c r="AO94" i="24"/>
  <c r="AM94" i="24"/>
  <c r="AG106" i="23"/>
  <c r="L106" i="23"/>
  <c r="W105" i="23"/>
  <c r="X105" i="23"/>
  <c r="F175" i="22"/>
  <c r="Q175" i="22"/>
  <c r="R175" i="22"/>
  <c r="G174" i="22"/>
  <c r="H174" i="22"/>
  <c r="J175" i="22"/>
  <c r="K175" i="22"/>
  <c r="Y175" i="22"/>
  <c r="BF105" i="24"/>
  <c r="BJ105" i="24" s="1"/>
  <c r="BF106" i="24"/>
  <c r="BJ106" i="24" s="1"/>
  <c r="AD106" i="23"/>
  <c r="AE106" i="23" s="1"/>
  <c r="K105" i="24"/>
  <c r="G106" i="23"/>
  <c r="H106" i="23" s="1"/>
  <c r="AK95" i="24"/>
  <c r="T95" i="23"/>
  <c r="U95" i="23" s="1"/>
  <c r="AX112" i="24"/>
  <c r="L112" i="24"/>
  <c r="AC112" i="24" s="1"/>
  <c r="BT112" i="24"/>
  <c r="BS112" i="24"/>
  <c r="M111" i="24"/>
  <c r="AB112" i="24"/>
  <c r="N96" i="23"/>
  <c r="AL95" i="24" l="1"/>
  <c r="AO95" i="24"/>
  <c r="BH106" i="24"/>
  <c r="BG106" i="24"/>
  <c r="BH105" i="24"/>
  <c r="BG105" i="24"/>
  <c r="AM95" i="24"/>
  <c r="W106" i="23"/>
  <c r="X106" i="23"/>
  <c r="AG107" i="23"/>
  <c r="L107" i="23"/>
  <c r="H175" i="22"/>
  <c r="G175" i="22"/>
  <c r="Y176" i="22"/>
  <c r="J176" i="22"/>
  <c r="K176" i="22"/>
  <c r="R176" i="22"/>
  <c r="F176" i="22"/>
  <c r="Q176" i="22"/>
  <c r="AD107" i="23"/>
  <c r="AE107" i="23" s="1"/>
  <c r="BF107" i="24"/>
  <c r="BJ107" i="24" s="1"/>
  <c r="K106" i="24"/>
  <c r="G107" i="23"/>
  <c r="H107" i="23" s="1"/>
  <c r="AK96" i="24"/>
  <c r="T96" i="23"/>
  <c r="U96" i="23" s="1"/>
  <c r="AX113" i="24"/>
  <c r="L113" i="24"/>
  <c r="AC113" i="24" s="1"/>
  <c r="M112" i="24"/>
  <c r="AB113" i="24"/>
  <c r="BT113" i="24"/>
  <c r="BS113" i="24"/>
  <c r="N97" i="23"/>
  <c r="AL96" i="24" l="1"/>
  <c r="AO96" i="24"/>
  <c r="BH107" i="24"/>
  <c r="BG107" i="24"/>
  <c r="AM96" i="24"/>
  <c r="W107" i="23"/>
  <c r="X107" i="23"/>
  <c r="L108" i="23"/>
  <c r="AG108" i="23"/>
  <c r="G176" i="22"/>
  <c r="H176" i="22"/>
  <c r="R177" i="22"/>
  <c r="F177" i="22"/>
  <c r="Q177" i="22"/>
  <c r="Y177" i="22"/>
  <c r="J177" i="22"/>
  <c r="K177" i="22"/>
  <c r="K107" i="24"/>
  <c r="G108" i="23"/>
  <c r="H108" i="23" s="1"/>
  <c r="BF108" i="24"/>
  <c r="BJ108" i="24" s="1"/>
  <c r="AD108" i="23"/>
  <c r="AE108" i="23" s="1"/>
  <c r="T97" i="23"/>
  <c r="U97" i="23" s="1"/>
  <c r="AK97" i="24"/>
  <c r="BT114" i="24"/>
  <c r="BS114" i="24"/>
  <c r="AB114" i="24"/>
  <c r="AX114" i="24"/>
  <c r="L114" i="24"/>
  <c r="AC114" i="24" s="1"/>
  <c r="M113" i="24"/>
  <c r="N98" i="23"/>
  <c r="AL97" i="24" l="1"/>
  <c r="AO97" i="24"/>
  <c r="BH108" i="24"/>
  <c r="BG108" i="24"/>
  <c r="AM97" i="24"/>
  <c r="L109" i="23"/>
  <c r="AG109" i="23"/>
  <c r="W108" i="23"/>
  <c r="X108" i="23"/>
  <c r="F178" i="22"/>
  <c r="Q178" i="22"/>
  <c r="R178" i="22"/>
  <c r="J178" i="22"/>
  <c r="K178" i="22"/>
  <c r="H177" i="22"/>
  <c r="G177" i="22"/>
  <c r="Y178" i="22"/>
  <c r="K108" i="24"/>
  <c r="G109" i="23"/>
  <c r="H109" i="23" s="1"/>
  <c r="AD109" i="23"/>
  <c r="AE109" i="23" s="1"/>
  <c r="AK98" i="24"/>
  <c r="T98" i="23"/>
  <c r="U98" i="23" s="1"/>
  <c r="BT115" i="24"/>
  <c r="BS115" i="24"/>
  <c r="AB115" i="24"/>
  <c r="AX115" i="24"/>
  <c r="L115" i="24"/>
  <c r="AC115" i="24" s="1"/>
  <c r="M114" i="24"/>
  <c r="N99" i="23"/>
  <c r="AL98" i="24" l="1"/>
  <c r="AO98" i="24"/>
  <c r="AM98" i="24"/>
  <c r="W109" i="23"/>
  <c r="X109" i="23"/>
  <c r="AG110" i="23"/>
  <c r="L110" i="23"/>
  <c r="K179" i="22"/>
  <c r="J179" i="22"/>
  <c r="F179" i="22"/>
  <c r="R179" i="22"/>
  <c r="Q179" i="22"/>
  <c r="Y179" i="22"/>
  <c r="G178" i="22"/>
  <c r="H178" i="22"/>
  <c r="BF109" i="24"/>
  <c r="BJ109" i="24" s="1"/>
  <c r="BF110" i="24"/>
  <c r="BJ110" i="24" s="1"/>
  <c r="K109" i="24"/>
  <c r="G110" i="23"/>
  <c r="H110" i="23" s="1"/>
  <c r="AK99" i="24"/>
  <c r="T99" i="23"/>
  <c r="U99" i="23" s="1"/>
  <c r="AX116" i="24"/>
  <c r="L116" i="24"/>
  <c r="AC116" i="24" s="1"/>
  <c r="M115" i="24"/>
  <c r="AB116" i="24"/>
  <c r="BT116" i="24"/>
  <c r="BS116" i="24"/>
  <c r="N100" i="23"/>
  <c r="AL99" i="24" l="1"/>
  <c r="AO99" i="24"/>
  <c r="BH110" i="24"/>
  <c r="BG110" i="24"/>
  <c r="BH109" i="24"/>
  <c r="BG109" i="24"/>
  <c r="AM99" i="24"/>
  <c r="AG111" i="23"/>
  <c r="L111" i="23"/>
  <c r="W110" i="23"/>
  <c r="X110" i="23"/>
  <c r="G179" i="22"/>
  <c r="H179" i="22"/>
  <c r="AD110" i="23"/>
  <c r="AE110" i="23" s="1"/>
  <c r="AD111" i="23"/>
  <c r="AE111" i="23" s="1"/>
  <c r="K110" i="24"/>
  <c r="G111" i="23"/>
  <c r="H111" i="23" s="1"/>
  <c r="AK100" i="24"/>
  <c r="T100" i="23"/>
  <c r="U100" i="23" s="1"/>
  <c r="AB117" i="24"/>
  <c r="L117" i="24"/>
  <c r="AC117" i="24" s="1"/>
  <c r="AX117" i="24"/>
  <c r="M116" i="24"/>
  <c r="BT117" i="24"/>
  <c r="BS117" i="24"/>
  <c r="N101" i="23"/>
  <c r="AL100" i="24" l="1"/>
  <c r="AO100" i="24"/>
  <c r="AM100" i="24"/>
  <c r="W111" i="23"/>
  <c r="X111" i="23"/>
  <c r="AG112" i="23"/>
  <c r="L112" i="23"/>
  <c r="BF111" i="24"/>
  <c r="BJ111" i="24" s="1"/>
  <c r="AD112" i="23"/>
  <c r="AE112" i="23" s="1"/>
  <c r="K111" i="24"/>
  <c r="G112" i="23"/>
  <c r="H112" i="23" s="1"/>
  <c r="T101" i="23"/>
  <c r="U101" i="23" s="1"/>
  <c r="AK101" i="24"/>
  <c r="BT118" i="24"/>
  <c r="BS118" i="24"/>
  <c r="AX118" i="24"/>
  <c r="L118" i="24"/>
  <c r="AC118" i="24" s="1"/>
  <c r="M117" i="24"/>
  <c r="AB118" i="24"/>
  <c r="N102" i="23"/>
  <c r="AL101" i="24" l="1"/>
  <c r="AO101" i="24"/>
  <c r="BH111" i="24"/>
  <c r="BG111" i="24"/>
  <c r="AM101" i="24"/>
  <c r="W112" i="23"/>
  <c r="X112" i="23"/>
  <c r="AG113" i="23"/>
  <c r="L113" i="23"/>
  <c r="BF112" i="24"/>
  <c r="BJ112" i="24" s="1"/>
  <c r="BF113" i="24"/>
  <c r="BJ113" i="24" s="1"/>
  <c r="AD113" i="23"/>
  <c r="AE113" i="23" s="1"/>
  <c r="K112" i="24"/>
  <c r="G113" i="23"/>
  <c r="H113" i="23" s="1"/>
  <c r="T102" i="23"/>
  <c r="U102" i="23" s="1"/>
  <c r="AK102" i="24"/>
  <c r="AX119" i="24"/>
  <c r="L119" i="24"/>
  <c r="AC119" i="24" s="1"/>
  <c r="M118" i="24"/>
  <c r="AB119" i="24"/>
  <c r="BT119" i="24"/>
  <c r="BS119" i="24"/>
  <c r="N103" i="23"/>
  <c r="AL102" i="24" l="1"/>
  <c r="AO102" i="24"/>
  <c r="BH113" i="24"/>
  <c r="BG113" i="24"/>
  <c r="BH112" i="24"/>
  <c r="BG112" i="24"/>
  <c r="AM102" i="24"/>
  <c r="AG114" i="23"/>
  <c r="L114" i="23"/>
  <c r="W113" i="23"/>
  <c r="X113" i="23"/>
  <c r="BF114" i="24"/>
  <c r="BJ114" i="24" s="1"/>
  <c r="AD114" i="23"/>
  <c r="AE114" i="23" s="1"/>
  <c r="K113" i="24"/>
  <c r="G114" i="23"/>
  <c r="H114" i="23" s="1"/>
  <c r="T103" i="23"/>
  <c r="U103" i="23" s="1"/>
  <c r="AK103" i="24"/>
  <c r="BT120" i="24"/>
  <c r="BS120" i="24"/>
  <c r="M119" i="24"/>
  <c r="AB120" i="24"/>
  <c r="AX120" i="24"/>
  <c r="L120" i="24"/>
  <c r="AC120" i="24" s="1"/>
  <c r="N104" i="23"/>
  <c r="AL103" i="24" l="1"/>
  <c r="AO103" i="24"/>
  <c r="BH114" i="24"/>
  <c r="BG114" i="24"/>
  <c r="AM103" i="24"/>
  <c r="W114" i="23"/>
  <c r="X114" i="23"/>
  <c r="L115" i="23"/>
  <c r="AG115" i="23"/>
  <c r="K114" i="24"/>
  <c r="G115" i="23"/>
  <c r="H115" i="23" s="1"/>
  <c r="AD115" i="23"/>
  <c r="AE115" i="23" s="1"/>
  <c r="BF115" i="24"/>
  <c r="BJ115" i="24" s="1"/>
  <c r="AK104" i="24"/>
  <c r="T104" i="23"/>
  <c r="U104" i="23" s="1"/>
  <c r="BT121" i="24"/>
  <c r="BS121" i="24"/>
  <c r="AX121" i="24"/>
  <c r="L121" i="24"/>
  <c r="AC121" i="24" s="1"/>
  <c r="AB121" i="24"/>
  <c r="M120" i="24"/>
  <c r="N105" i="23"/>
  <c r="AL104" i="24" l="1"/>
  <c r="AO104" i="24"/>
  <c r="BH115" i="24"/>
  <c r="BG115" i="24"/>
  <c r="AM104" i="24"/>
  <c r="L116" i="23"/>
  <c r="AG116" i="23"/>
  <c r="W115" i="23"/>
  <c r="X115" i="23"/>
  <c r="BF116" i="24"/>
  <c r="BJ116" i="24" s="1"/>
  <c r="AD116" i="23"/>
  <c r="AE116" i="23" s="1"/>
  <c r="K115" i="24"/>
  <c r="G116" i="23"/>
  <c r="H116" i="23" s="1"/>
  <c r="T105" i="23"/>
  <c r="U105" i="23" s="1"/>
  <c r="AK105" i="24"/>
  <c r="BT122" i="24"/>
  <c r="BS122" i="24"/>
  <c r="M121" i="24"/>
  <c r="L122" i="24"/>
  <c r="AC122" i="24" s="1"/>
  <c r="AX122" i="24"/>
  <c r="AB122" i="24"/>
  <c r="N106" i="23"/>
  <c r="AL105" i="24" l="1"/>
  <c r="AO105" i="24"/>
  <c r="BH116" i="24"/>
  <c r="BG116" i="24"/>
  <c r="AM105" i="24"/>
  <c r="W116" i="23"/>
  <c r="X116" i="23"/>
  <c r="L117" i="23"/>
  <c r="AG117" i="23"/>
  <c r="AD117" i="23"/>
  <c r="AE117" i="23" s="1"/>
  <c r="BF117" i="24"/>
  <c r="BJ117" i="24" s="1"/>
  <c r="K116" i="24"/>
  <c r="G117" i="23"/>
  <c r="H117" i="23" s="1"/>
  <c r="AK106" i="24"/>
  <c r="T106" i="23"/>
  <c r="U106" i="23" s="1"/>
  <c r="M122" i="24"/>
  <c r="AX123" i="24"/>
  <c r="L123" i="24"/>
  <c r="AC123" i="24" s="1"/>
  <c r="AB123" i="24"/>
  <c r="BT123" i="24"/>
  <c r="BS123" i="24"/>
  <c r="N107" i="23"/>
  <c r="AL106" i="24" l="1"/>
  <c r="AO106" i="24"/>
  <c r="BH117" i="24"/>
  <c r="BG117" i="24"/>
  <c r="AM106" i="24"/>
  <c r="AG118" i="23"/>
  <c r="L118" i="23"/>
  <c r="W117" i="23"/>
  <c r="X117" i="23"/>
  <c r="K117" i="24"/>
  <c r="G118" i="23"/>
  <c r="H118" i="23" s="1"/>
  <c r="BF118" i="24"/>
  <c r="BJ118" i="24" s="1"/>
  <c r="AD118" i="23"/>
  <c r="AE118" i="23" s="1"/>
  <c r="T107" i="23"/>
  <c r="U107" i="23" s="1"/>
  <c r="AK107" i="24"/>
  <c r="AB124" i="24"/>
  <c r="BT124" i="24"/>
  <c r="BS124" i="24"/>
  <c r="M123" i="24"/>
  <c r="L124" i="24"/>
  <c r="AC124" i="24" s="1"/>
  <c r="AX124" i="24"/>
  <c r="N108" i="23"/>
  <c r="AL107" i="24" l="1"/>
  <c r="AO107" i="24"/>
  <c r="BH118" i="24"/>
  <c r="BG118" i="24"/>
  <c r="AM107" i="24"/>
  <c r="W118" i="23"/>
  <c r="X118" i="23"/>
  <c r="L119" i="23"/>
  <c r="AG119" i="23"/>
  <c r="K118" i="24"/>
  <c r="G119" i="23"/>
  <c r="H119" i="23" s="1"/>
  <c r="BF119" i="24"/>
  <c r="BJ119" i="24" s="1"/>
  <c r="AD119" i="23"/>
  <c r="AE119" i="23" s="1"/>
  <c r="AK108" i="24"/>
  <c r="T108" i="23"/>
  <c r="U108" i="23" s="1"/>
  <c r="M124" i="24"/>
  <c r="L125" i="24"/>
  <c r="AC125" i="24" s="1"/>
  <c r="AX125" i="24"/>
  <c r="BT125" i="24"/>
  <c r="BS125" i="24"/>
  <c r="AB125" i="24"/>
  <c r="N109" i="23"/>
  <c r="AL108" i="24" l="1"/>
  <c r="AO108" i="24"/>
  <c r="BH119" i="24"/>
  <c r="BG119" i="24"/>
  <c r="AM108" i="24"/>
  <c r="W119" i="23"/>
  <c r="X119" i="23"/>
  <c r="L120" i="23"/>
  <c r="AG120" i="23"/>
  <c r="AD120" i="23"/>
  <c r="AE120" i="23" s="1"/>
  <c r="K119" i="24"/>
  <c r="G120" i="23"/>
  <c r="H120" i="23" s="1"/>
  <c r="AK109" i="24"/>
  <c r="T109" i="23"/>
  <c r="U109" i="23" s="1"/>
  <c r="BS126" i="24"/>
  <c r="BT126" i="24"/>
  <c r="AB126" i="24"/>
  <c r="L126" i="24"/>
  <c r="AC126" i="24" s="1"/>
  <c r="AX126" i="24"/>
  <c r="M125" i="24"/>
  <c r="N110" i="23"/>
  <c r="AL109" i="24" l="1"/>
  <c r="AO109" i="24"/>
  <c r="AM109" i="24"/>
  <c r="W120" i="23"/>
  <c r="X120" i="23"/>
  <c r="BF120" i="24"/>
  <c r="BJ120" i="24" s="1"/>
  <c r="AD121" i="23"/>
  <c r="AE121" i="23" s="1"/>
  <c r="K120" i="24"/>
  <c r="G121" i="23"/>
  <c r="H121" i="23" s="1"/>
  <c r="AK110" i="24"/>
  <c r="T110" i="23"/>
  <c r="U110" i="23" s="1"/>
  <c r="AX127" i="24"/>
  <c r="L127" i="24"/>
  <c r="AC127" i="24" s="1"/>
  <c r="BS127" i="24"/>
  <c r="AB127" i="24"/>
  <c r="M126" i="24"/>
  <c r="N111" i="23"/>
  <c r="AL110" i="24" l="1"/>
  <c r="AO110" i="24"/>
  <c r="BH120" i="24"/>
  <c r="BG120" i="24"/>
  <c r="AM110" i="24"/>
  <c r="AG121" i="23"/>
  <c r="AH121" i="23"/>
  <c r="W121" i="23"/>
  <c r="X121" i="23"/>
  <c r="L121" i="23"/>
  <c r="N121" i="23"/>
  <c r="BF121" i="24"/>
  <c r="BJ121" i="24" s="1"/>
  <c r="BF122" i="24"/>
  <c r="BJ122" i="24" s="1"/>
  <c r="AD122" i="23"/>
  <c r="AE122" i="23" s="1"/>
  <c r="K121" i="24"/>
  <c r="G122" i="23"/>
  <c r="H122" i="23" s="1"/>
  <c r="AK111" i="24"/>
  <c r="T111" i="23"/>
  <c r="U111" i="23" s="1"/>
  <c r="AB128" i="24"/>
  <c r="M127" i="24"/>
  <c r="L128" i="24"/>
  <c r="AC128" i="24" s="1"/>
  <c r="AX128" i="24"/>
  <c r="BT128" i="24"/>
  <c r="BS128" i="24"/>
  <c r="N112" i="23"/>
  <c r="AL111" i="24" l="1"/>
  <c r="AO111" i="24"/>
  <c r="BH121" i="24"/>
  <c r="BG121" i="24"/>
  <c r="BH122" i="24"/>
  <c r="BG122" i="24"/>
  <c r="AM111" i="24"/>
  <c r="AG122" i="23"/>
  <c r="AH122" i="23"/>
  <c r="L123" i="23"/>
  <c r="AG123" i="23"/>
  <c r="L122" i="23"/>
  <c r="N122" i="23"/>
  <c r="W122" i="23"/>
  <c r="X122" i="23"/>
  <c r="K122" i="24"/>
  <c r="G123" i="23"/>
  <c r="H123" i="23" s="1"/>
  <c r="BF123" i="24"/>
  <c r="BJ123" i="24" s="1"/>
  <c r="T112" i="23"/>
  <c r="U112" i="23" s="1"/>
  <c r="AK112" i="24"/>
  <c r="L129" i="24"/>
  <c r="AC129" i="24" s="1"/>
  <c r="AX129" i="24"/>
  <c r="M128" i="24"/>
  <c r="BT129" i="24"/>
  <c r="BS129" i="24"/>
  <c r="AB129" i="24"/>
  <c r="N113" i="23"/>
  <c r="AL112" i="24" l="1"/>
  <c r="AO112" i="24"/>
  <c r="BH123" i="24"/>
  <c r="BG123" i="24"/>
  <c r="AM112" i="24"/>
  <c r="W123" i="23"/>
  <c r="X123" i="23"/>
  <c r="L124" i="23"/>
  <c r="K123" i="24"/>
  <c r="G124" i="23"/>
  <c r="H124" i="23" s="1"/>
  <c r="AD123" i="23"/>
  <c r="AE123" i="23" s="1"/>
  <c r="BF124" i="24"/>
  <c r="AK113" i="24"/>
  <c r="T113" i="23"/>
  <c r="U113" i="23" s="1"/>
  <c r="L130" i="24"/>
  <c r="AC130" i="24" s="1"/>
  <c r="AX130" i="24"/>
  <c r="AB130" i="24"/>
  <c r="BT130" i="24"/>
  <c r="BS130" i="24"/>
  <c r="M129" i="24"/>
  <c r="N114" i="23"/>
  <c r="BG124" i="24" l="1"/>
  <c r="BJ124" i="24"/>
  <c r="AL113" i="24"/>
  <c r="AO113" i="24"/>
  <c r="AM113" i="24"/>
  <c r="AG124" i="23"/>
  <c r="AG125" i="23"/>
  <c r="L125" i="23"/>
  <c r="W124" i="23"/>
  <c r="X124" i="23"/>
  <c r="BH124" i="24"/>
  <c r="AD124" i="23"/>
  <c r="AE124" i="23" s="1"/>
  <c r="AD125" i="23"/>
  <c r="AE125" i="23" s="1"/>
  <c r="BF125" i="24"/>
  <c r="BJ125" i="24" s="1"/>
  <c r="G125" i="23"/>
  <c r="H125" i="23" s="1"/>
  <c r="T114" i="23"/>
  <c r="U114" i="23" s="1"/>
  <c r="AK114" i="24"/>
  <c r="AB131" i="24"/>
  <c r="BT131" i="24"/>
  <c r="BS131" i="24"/>
  <c r="AX131" i="24"/>
  <c r="L131" i="24"/>
  <c r="AC131" i="24" s="1"/>
  <c r="M130" i="24"/>
  <c r="N115" i="23"/>
  <c r="AL114" i="24" l="1"/>
  <c r="AO114" i="24"/>
  <c r="BH125" i="24"/>
  <c r="BG125" i="24"/>
  <c r="AM114" i="24"/>
  <c r="W125" i="23"/>
  <c r="X125" i="23"/>
  <c r="L126" i="23"/>
  <c r="AG126" i="23"/>
  <c r="BF126" i="24"/>
  <c r="BJ126" i="24" s="1"/>
  <c r="AD126" i="23"/>
  <c r="AE126" i="23" s="1"/>
  <c r="K124" i="24"/>
  <c r="K125" i="24"/>
  <c r="G126" i="23"/>
  <c r="H126" i="23" s="1"/>
  <c r="T115" i="23"/>
  <c r="U115" i="23" s="1"/>
  <c r="AK115" i="24"/>
  <c r="AX132" i="24"/>
  <c r="L132" i="24"/>
  <c r="AC132" i="24" s="1"/>
  <c r="BT132" i="24"/>
  <c r="BS132" i="24"/>
  <c r="AB132" i="24"/>
  <c r="M131" i="24"/>
  <c r="N116" i="23"/>
  <c r="AL115" i="24" l="1"/>
  <c r="AO115" i="24"/>
  <c r="BH126" i="24"/>
  <c r="BG126" i="24"/>
  <c r="AM115" i="24"/>
  <c r="W126" i="23"/>
  <c r="X126" i="23"/>
  <c r="AG127" i="23"/>
  <c r="L127" i="23"/>
  <c r="AD127" i="23"/>
  <c r="AE127" i="23" s="1"/>
  <c r="BF127" i="24"/>
  <c r="BJ127" i="24" s="1"/>
  <c r="K126" i="24"/>
  <c r="G127" i="23"/>
  <c r="H127" i="23" s="1"/>
  <c r="AK116" i="24"/>
  <c r="T116" i="23"/>
  <c r="U116" i="23" s="1"/>
  <c r="AB133" i="24"/>
  <c r="M132" i="24"/>
  <c r="BT133" i="24"/>
  <c r="BS133" i="24"/>
  <c r="AX133" i="24"/>
  <c r="L133" i="24"/>
  <c r="AC133" i="24" s="1"/>
  <c r="N117" i="23"/>
  <c r="AL116" i="24" l="1"/>
  <c r="AO116" i="24"/>
  <c r="BH127" i="24"/>
  <c r="BG127" i="24"/>
  <c r="AM116" i="24"/>
  <c r="W127" i="23"/>
  <c r="X127" i="23"/>
  <c r="L128" i="23"/>
  <c r="AG128" i="23"/>
  <c r="K127" i="24"/>
  <c r="G128" i="23"/>
  <c r="H128" i="23" s="1"/>
  <c r="AD128" i="23"/>
  <c r="AE128" i="23" s="1"/>
  <c r="T117" i="23"/>
  <c r="U117" i="23" s="1"/>
  <c r="AK117" i="24"/>
  <c r="AB134" i="24"/>
  <c r="BT134" i="24"/>
  <c r="BS134" i="24"/>
  <c r="L134" i="24"/>
  <c r="AC134" i="24" s="1"/>
  <c r="AX134" i="24"/>
  <c r="M133" i="24"/>
  <c r="N118" i="23"/>
  <c r="AL117" i="24" l="1"/>
  <c r="AO117" i="24"/>
  <c r="AM117" i="24"/>
  <c r="L129" i="23"/>
  <c r="AG129" i="23"/>
  <c r="W128" i="23"/>
  <c r="X128" i="23"/>
  <c r="BF128" i="24"/>
  <c r="BJ128" i="24" s="1"/>
  <c r="AD129" i="23"/>
  <c r="AE129" i="23" s="1"/>
  <c r="K128" i="24"/>
  <c r="G129" i="23"/>
  <c r="H129" i="23" s="1"/>
  <c r="AK118" i="24"/>
  <c r="T118" i="23"/>
  <c r="U118" i="23" s="1"/>
  <c r="BT135" i="24"/>
  <c r="BS135" i="24"/>
  <c r="L135" i="24"/>
  <c r="AC135" i="24" s="1"/>
  <c r="AX135" i="24"/>
  <c r="M134" i="24"/>
  <c r="AB135" i="24"/>
  <c r="N119" i="23"/>
  <c r="AL118" i="24" l="1"/>
  <c r="AO118" i="24"/>
  <c r="BH128" i="24"/>
  <c r="BG128" i="24"/>
  <c r="AM118" i="24"/>
  <c r="W129" i="23"/>
  <c r="X129" i="23"/>
  <c r="AG130" i="23"/>
  <c r="L130" i="23"/>
  <c r="BF129" i="24"/>
  <c r="BJ129" i="24" s="1"/>
  <c r="BF130" i="24"/>
  <c r="BJ130" i="24" s="1"/>
  <c r="AD130" i="23"/>
  <c r="AE130" i="23" s="1"/>
  <c r="K129" i="24"/>
  <c r="G130" i="23"/>
  <c r="H130" i="23" s="1"/>
  <c r="T119" i="23"/>
  <c r="U119" i="23" s="1"/>
  <c r="AK119" i="24"/>
  <c r="M135" i="24"/>
  <c r="L136" i="24"/>
  <c r="AC136" i="24" s="1"/>
  <c r="AX136" i="24"/>
  <c r="AB136" i="24"/>
  <c r="BT136" i="24"/>
  <c r="BS136" i="24"/>
  <c r="N120" i="23"/>
  <c r="AL119" i="24" l="1"/>
  <c r="AO119" i="24"/>
  <c r="BH130" i="24"/>
  <c r="BG130" i="24"/>
  <c r="BH129" i="24"/>
  <c r="BG129" i="24"/>
  <c r="AM119" i="24"/>
  <c r="L131" i="23"/>
  <c r="AG131" i="23"/>
  <c r="W130" i="23"/>
  <c r="X130" i="23"/>
  <c r="AD131" i="23"/>
  <c r="AE131" i="23" s="1"/>
  <c r="K130" i="24"/>
  <c r="G131" i="23"/>
  <c r="H131" i="23" s="1"/>
  <c r="AK120" i="24"/>
  <c r="T120" i="23"/>
  <c r="U120" i="23" s="1"/>
  <c r="M136" i="24"/>
  <c r="L137" i="24"/>
  <c r="AC137" i="24" s="1"/>
  <c r="AX137" i="24"/>
  <c r="BT137" i="24"/>
  <c r="BS137" i="24"/>
  <c r="AB137" i="24"/>
  <c r="AL120" i="24" l="1"/>
  <c r="AO120" i="24"/>
  <c r="AM120" i="24"/>
  <c r="W131" i="23"/>
  <c r="X131" i="23"/>
  <c r="L132" i="23"/>
  <c r="AG132" i="23"/>
  <c r="BF131" i="24"/>
  <c r="BJ131" i="24" s="1"/>
  <c r="BF132" i="24"/>
  <c r="BJ132" i="24" s="1"/>
  <c r="AD132" i="23"/>
  <c r="AE132" i="23" s="1"/>
  <c r="K131" i="24"/>
  <c r="G132" i="23"/>
  <c r="H132" i="23" s="1"/>
  <c r="AK121" i="24"/>
  <c r="T121" i="23"/>
  <c r="U121" i="23" s="1"/>
  <c r="AB138" i="24"/>
  <c r="M137" i="24"/>
  <c r="BT138" i="24"/>
  <c r="BS138" i="24"/>
  <c r="AX138" i="24"/>
  <c r="L138" i="24"/>
  <c r="AC138" i="24" s="1"/>
  <c r="AL121" i="24" l="1"/>
  <c r="AO121" i="24"/>
  <c r="BH132" i="24"/>
  <c r="BG132" i="24"/>
  <c r="BH131" i="24"/>
  <c r="BG131" i="24"/>
  <c r="AM121" i="24"/>
  <c r="I132" i="23"/>
  <c r="J132" i="23" s="1"/>
  <c r="W132" i="23"/>
  <c r="X132" i="23"/>
  <c r="K132" i="24"/>
  <c r="G133" i="23"/>
  <c r="H133" i="23" s="1"/>
  <c r="BF133" i="24"/>
  <c r="BJ133" i="24" s="1"/>
  <c r="T122" i="23"/>
  <c r="U122" i="23" s="1"/>
  <c r="AK122" i="24"/>
  <c r="AB139" i="24"/>
  <c r="BT139" i="24"/>
  <c r="BS139" i="24"/>
  <c r="AX139" i="24"/>
  <c r="L139" i="24"/>
  <c r="AC139" i="24" s="1"/>
  <c r="M138" i="24"/>
  <c r="N123" i="23"/>
  <c r="AL122" i="24" l="1"/>
  <c r="AO122" i="24"/>
  <c r="BH133" i="24"/>
  <c r="BG133" i="24"/>
  <c r="AM122" i="24"/>
  <c r="AH133" i="23"/>
  <c r="AG133" i="23"/>
  <c r="I133" i="23"/>
  <c r="X133" i="23"/>
  <c r="W133" i="23"/>
  <c r="N133" i="23"/>
  <c r="L133" i="23"/>
  <c r="AD133" i="23"/>
  <c r="AE133" i="23" s="1"/>
  <c r="AD134" i="23"/>
  <c r="AE134" i="23" s="1"/>
  <c r="K133" i="24"/>
  <c r="G134" i="23"/>
  <c r="H134" i="23" s="1"/>
  <c r="AK123" i="24"/>
  <c r="T123" i="23"/>
  <c r="U123" i="23" s="1"/>
  <c r="M139" i="24"/>
  <c r="L140" i="24"/>
  <c r="AC140" i="24" s="1"/>
  <c r="AX140" i="24"/>
  <c r="BT140" i="24"/>
  <c r="BS140" i="24"/>
  <c r="AB140" i="24"/>
  <c r="N124" i="23"/>
  <c r="AL123" i="24" l="1"/>
  <c r="AO123" i="24"/>
  <c r="AH134" i="23"/>
  <c r="AG134" i="23"/>
  <c r="N134" i="23"/>
  <c r="L134" i="23"/>
  <c r="J133" i="23"/>
  <c r="M133" i="23"/>
  <c r="X134" i="23"/>
  <c r="I134" i="23"/>
  <c r="W134" i="23"/>
  <c r="K134" i="24"/>
  <c r="G135" i="23"/>
  <c r="H135" i="23" s="1"/>
  <c r="BF134" i="24"/>
  <c r="BJ134" i="24" s="1"/>
  <c r="BF135" i="24"/>
  <c r="BJ135" i="24" s="1"/>
  <c r="AD135" i="23"/>
  <c r="AE135" i="23" s="1"/>
  <c r="T124" i="23"/>
  <c r="U124" i="23" s="1"/>
  <c r="AK124" i="24"/>
  <c r="AM123" i="24"/>
  <c r="L141" i="24"/>
  <c r="AC141" i="24" s="1"/>
  <c r="AX141" i="24"/>
  <c r="M140" i="24"/>
  <c r="AB141" i="24"/>
  <c r="BT141" i="24"/>
  <c r="BS141" i="24"/>
  <c r="N125" i="23"/>
  <c r="AL124" i="24" l="1"/>
  <c r="AO124" i="24"/>
  <c r="BH134" i="24"/>
  <c r="BG134" i="24"/>
  <c r="BH135" i="24"/>
  <c r="BG135" i="24"/>
  <c r="AM124" i="24"/>
  <c r="M134" i="23"/>
  <c r="J134" i="23"/>
  <c r="N135" i="23"/>
  <c r="L135" i="23"/>
  <c r="AH135" i="23"/>
  <c r="AG135" i="23"/>
  <c r="I135" i="23"/>
  <c r="X135" i="23"/>
  <c r="W135" i="23"/>
  <c r="BF136" i="24"/>
  <c r="BJ136" i="24" s="1"/>
  <c r="AD136" i="23"/>
  <c r="AE136" i="23" s="1"/>
  <c r="K135" i="24"/>
  <c r="G136" i="23"/>
  <c r="H136" i="23" s="1"/>
  <c r="T125" i="23"/>
  <c r="U125" i="23" s="1"/>
  <c r="AK125" i="24"/>
  <c r="BT142" i="24"/>
  <c r="BS142" i="24"/>
  <c r="L142" i="24"/>
  <c r="AC142" i="24" s="1"/>
  <c r="AX142" i="24"/>
  <c r="AB142" i="24"/>
  <c r="M141" i="24"/>
  <c r="N126" i="23"/>
  <c r="AL125" i="24" l="1"/>
  <c r="AO125" i="24"/>
  <c r="BH136" i="24"/>
  <c r="BG136" i="24"/>
  <c r="AM125" i="24"/>
  <c r="J135" i="23"/>
  <c r="M135" i="23"/>
  <c r="N136" i="23"/>
  <c r="L136" i="23"/>
  <c r="AH136" i="23"/>
  <c r="AG136" i="23"/>
  <c r="W136" i="23"/>
  <c r="I136" i="23"/>
  <c r="X136" i="23"/>
  <c r="BF137" i="24"/>
  <c r="BJ137" i="24" s="1"/>
  <c r="AD137" i="23"/>
  <c r="AE137" i="23" s="1"/>
  <c r="K136" i="24"/>
  <c r="G137" i="23"/>
  <c r="H137" i="23" s="1"/>
  <c r="T126" i="23"/>
  <c r="U126" i="23" s="1"/>
  <c r="AK126" i="24"/>
  <c r="L143" i="24"/>
  <c r="AC143" i="24" s="1"/>
  <c r="AX143" i="24"/>
  <c r="M142" i="24"/>
  <c r="AB143" i="24"/>
  <c r="BT143" i="24"/>
  <c r="BS143" i="24"/>
  <c r="N127" i="23"/>
  <c r="AL126" i="24" l="1"/>
  <c r="AO126" i="24"/>
  <c r="BH137" i="24"/>
  <c r="BG137" i="24"/>
  <c r="AM126" i="24"/>
  <c r="J136" i="23"/>
  <c r="M136" i="23"/>
  <c r="X137" i="23"/>
  <c r="W137" i="23"/>
  <c r="I137" i="23"/>
  <c r="N137" i="23"/>
  <c r="L137" i="23"/>
  <c r="AH137" i="23"/>
  <c r="AG137" i="23"/>
  <c r="BF138" i="24"/>
  <c r="K137" i="24"/>
  <c r="G138" i="23"/>
  <c r="H138" i="23" s="1"/>
  <c r="AK127" i="24"/>
  <c r="T127" i="23"/>
  <c r="U127" i="23" s="1"/>
  <c r="L144" i="24"/>
  <c r="AC144" i="24" s="1"/>
  <c r="AX144" i="24"/>
  <c r="AB144" i="24"/>
  <c r="BT144" i="24"/>
  <c r="BS144" i="24"/>
  <c r="M143" i="24"/>
  <c r="N128" i="23"/>
  <c r="BG138" i="24" l="1"/>
  <c r="BJ138" i="24"/>
  <c r="AL127" i="24"/>
  <c r="AO127" i="24"/>
  <c r="AM127" i="24"/>
  <c r="J137" i="23"/>
  <c r="M137" i="23"/>
  <c r="N138" i="23"/>
  <c r="L138" i="23"/>
  <c r="AH138" i="23"/>
  <c r="AG138" i="23"/>
  <c r="I138" i="23"/>
  <c r="X138" i="23"/>
  <c r="W138" i="23"/>
  <c r="BH138" i="24"/>
  <c r="AD138" i="23"/>
  <c r="AE138" i="23" s="1"/>
  <c r="BF139" i="24"/>
  <c r="BJ139" i="24" s="1"/>
  <c r="G139" i="23"/>
  <c r="H139" i="23" s="1"/>
  <c r="T128" i="23"/>
  <c r="U128" i="23" s="1"/>
  <c r="AK128" i="24"/>
  <c r="AB145" i="24"/>
  <c r="BT145" i="24"/>
  <c r="BS145" i="24"/>
  <c r="M144" i="24"/>
  <c r="AX145" i="24"/>
  <c r="L145" i="24"/>
  <c r="AC145" i="24" s="1"/>
  <c r="N129" i="23"/>
  <c r="AL128" i="24" l="1"/>
  <c r="AO128" i="24"/>
  <c r="BH139" i="24"/>
  <c r="BG139" i="24"/>
  <c r="AM128" i="24"/>
  <c r="J138" i="23"/>
  <c r="M138" i="23"/>
  <c r="X139" i="23"/>
  <c r="W139" i="23"/>
  <c r="I139" i="23"/>
  <c r="L139" i="23"/>
  <c r="N139" i="23"/>
  <c r="AH139" i="23"/>
  <c r="AG139" i="23"/>
  <c r="K138" i="24"/>
  <c r="AD139" i="23"/>
  <c r="AE139" i="23" s="1"/>
  <c r="AD140" i="23"/>
  <c r="AE140" i="23" s="1"/>
  <c r="K139" i="24"/>
  <c r="G140" i="23"/>
  <c r="H140" i="23" s="1"/>
  <c r="AK129" i="24"/>
  <c r="T129" i="23"/>
  <c r="U129" i="23" s="1"/>
  <c r="AB146" i="24"/>
  <c r="BT146" i="24"/>
  <c r="BS146" i="24"/>
  <c r="L146" i="24"/>
  <c r="AC146" i="24" s="1"/>
  <c r="AX146" i="24"/>
  <c r="M145" i="24"/>
  <c r="N130" i="23"/>
  <c r="AL129" i="24" l="1"/>
  <c r="AO129" i="24"/>
  <c r="AM129" i="24"/>
  <c r="X140" i="23"/>
  <c r="I140" i="23"/>
  <c r="W140" i="23"/>
  <c r="J139" i="23"/>
  <c r="M139" i="23"/>
  <c r="AH140" i="23"/>
  <c r="AG140" i="23"/>
  <c r="N140" i="23"/>
  <c r="L140" i="23"/>
  <c r="BF140" i="24"/>
  <c r="BJ140" i="24" s="1"/>
  <c r="AD141" i="23"/>
  <c r="AE141" i="23" s="1"/>
  <c r="K140" i="24"/>
  <c r="G141" i="23"/>
  <c r="H141" i="23" s="1"/>
  <c r="T130" i="23"/>
  <c r="U130" i="23" s="1"/>
  <c r="AK130" i="24"/>
  <c r="L147" i="24"/>
  <c r="AC147" i="24" s="1"/>
  <c r="AX147" i="24"/>
  <c r="M146" i="24"/>
  <c r="AB147" i="24"/>
  <c r="BT147" i="24"/>
  <c r="BS147" i="24"/>
  <c r="N131" i="23"/>
  <c r="AL130" i="24" l="1"/>
  <c r="AO130" i="24"/>
  <c r="BH140" i="24"/>
  <c r="BG140" i="24"/>
  <c r="AM130" i="24"/>
  <c r="N141" i="23"/>
  <c r="L141" i="23"/>
  <c r="X141" i="23"/>
  <c r="W141" i="23"/>
  <c r="I141" i="23"/>
  <c r="J140" i="23"/>
  <c r="M140" i="23"/>
  <c r="AH141" i="23"/>
  <c r="AG141" i="23"/>
  <c r="BF141" i="24"/>
  <c r="BJ141" i="24" s="1"/>
  <c r="BF142" i="24"/>
  <c r="BJ142" i="24" s="1"/>
  <c r="AD142" i="23"/>
  <c r="AE142" i="23" s="1"/>
  <c r="K141" i="24"/>
  <c r="G142" i="23"/>
  <c r="H142" i="23" s="1"/>
  <c r="AK131" i="24"/>
  <c r="T131" i="23"/>
  <c r="U131" i="23" s="1"/>
  <c r="AB148" i="24"/>
  <c r="L148" i="24"/>
  <c r="AC148" i="24" s="1"/>
  <c r="AX148" i="24"/>
  <c r="BT148" i="24"/>
  <c r="BS148" i="24"/>
  <c r="M147" i="24"/>
  <c r="N132" i="23"/>
  <c r="AL131" i="24" l="1"/>
  <c r="AO131" i="24"/>
  <c r="BH142" i="24"/>
  <c r="BG142" i="24"/>
  <c r="BH141" i="24"/>
  <c r="BG141" i="24"/>
  <c r="AM131" i="24"/>
  <c r="I142" i="23"/>
  <c r="X142" i="23"/>
  <c r="W142" i="23"/>
  <c r="J141" i="23"/>
  <c r="M141" i="23"/>
  <c r="AH142" i="23"/>
  <c r="AG142" i="23"/>
  <c r="L142" i="23"/>
  <c r="N142" i="23"/>
  <c r="K142" i="24"/>
  <c r="G143" i="23"/>
  <c r="H143" i="23" s="1"/>
  <c r="AD143" i="23"/>
  <c r="AE143" i="23" s="1"/>
  <c r="AK132" i="24"/>
  <c r="T132" i="23"/>
  <c r="U132" i="23" s="1"/>
  <c r="M148" i="24"/>
  <c r="L149" i="24"/>
  <c r="AC149" i="24" s="1"/>
  <c r="AX149" i="24"/>
  <c r="AB149" i="24"/>
  <c r="BT149" i="24"/>
  <c r="BS149" i="24"/>
  <c r="AL132" i="24" l="1"/>
  <c r="AO132" i="24"/>
  <c r="AM132" i="24"/>
  <c r="J142" i="23"/>
  <c r="M142" i="23"/>
  <c r="X143" i="23"/>
  <c r="W143" i="23"/>
  <c r="I143" i="23"/>
  <c r="AH143" i="23"/>
  <c r="AG143" i="23"/>
  <c r="N143" i="23"/>
  <c r="L143" i="23"/>
  <c r="K143" i="24"/>
  <c r="G144" i="23"/>
  <c r="H144" i="23" s="1"/>
  <c r="BF143" i="24"/>
  <c r="BJ143" i="24" s="1"/>
  <c r="AD144" i="23"/>
  <c r="AE144" i="23" s="1"/>
  <c r="AK133" i="24"/>
  <c r="T133" i="23"/>
  <c r="U133" i="23" s="1"/>
  <c r="AX150" i="24"/>
  <c r="L150" i="24"/>
  <c r="AC150" i="24" s="1"/>
  <c r="AB150" i="24"/>
  <c r="M149" i="24"/>
  <c r="BT150" i="24"/>
  <c r="BS150" i="24"/>
  <c r="AL133" i="24" l="1"/>
  <c r="AO133" i="24"/>
  <c r="BH143" i="24"/>
  <c r="BG143" i="24"/>
  <c r="AM133" i="24"/>
  <c r="L144" i="23"/>
  <c r="N144" i="23"/>
  <c r="J143" i="23"/>
  <c r="M143" i="23"/>
  <c r="X144" i="23"/>
  <c r="W144" i="23"/>
  <c r="I144" i="23"/>
  <c r="AH144" i="23"/>
  <c r="AG144" i="23"/>
  <c r="BF144" i="24"/>
  <c r="BJ144" i="24" s="1"/>
  <c r="AD145" i="23"/>
  <c r="AE145" i="23" s="1"/>
  <c r="BF145" i="24"/>
  <c r="BJ145" i="24" s="1"/>
  <c r="K144" i="24"/>
  <c r="G145" i="23"/>
  <c r="H145" i="23" s="1"/>
  <c r="AK135" i="24"/>
  <c r="T135" i="23"/>
  <c r="U135" i="23" s="1"/>
  <c r="AK134" i="24"/>
  <c r="T134" i="23"/>
  <c r="U134" i="23" s="1"/>
  <c r="AX151" i="24"/>
  <c r="L151" i="24"/>
  <c r="AC151" i="24" s="1"/>
  <c r="BT151" i="24"/>
  <c r="BS151" i="24"/>
  <c r="M150" i="24"/>
  <c r="AB151" i="24"/>
  <c r="AL134" i="24" l="1"/>
  <c r="AO134" i="24"/>
  <c r="AL135" i="24"/>
  <c r="AO135" i="24"/>
  <c r="BH145" i="24"/>
  <c r="BG145" i="24"/>
  <c r="BH144" i="24"/>
  <c r="BG144" i="24"/>
  <c r="AM134" i="24"/>
  <c r="AM135" i="24"/>
  <c r="J144" i="23"/>
  <c r="M144" i="23"/>
  <c r="AH145" i="23"/>
  <c r="AG145" i="23"/>
  <c r="X145" i="23"/>
  <c r="I145" i="23"/>
  <c r="W145" i="23"/>
  <c r="N145" i="23"/>
  <c r="L145" i="23"/>
  <c r="K145" i="24"/>
  <c r="G146" i="23"/>
  <c r="H146" i="23" s="1"/>
  <c r="AD146" i="23"/>
  <c r="AE146" i="23" s="1"/>
  <c r="T136" i="23"/>
  <c r="U136" i="23" s="1"/>
  <c r="AK136" i="24"/>
  <c r="T137" i="23"/>
  <c r="U137" i="23" s="1"/>
  <c r="AK137" i="24"/>
  <c r="AB152" i="24"/>
  <c r="M151" i="24"/>
  <c r="BT152" i="24"/>
  <c r="BS152" i="24"/>
  <c r="L152" i="24"/>
  <c r="AC152" i="24" s="1"/>
  <c r="AX152" i="24"/>
  <c r="I62" i="23"/>
  <c r="J62" i="23" s="1"/>
  <c r="AH62" i="23"/>
  <c r="I129" i="23"/>
  <c r="J129" i="23" s="1"/>
  <c r="I128" i="23"/>
  <c r="J128" i="23" s="1"/>
  <c r="I125" i="23"/>
  <c r="J125" i="23" s="1"/>
  <c r="AH132" i="23"/>
  <c r="I124" i="23"/>
  <c r="J124" i="23" s="1"/>
  <c r="I117" i="23"/>
  <c r="J117" i="23" s="1"/>
  <c r="I122" i="23"/>
  <c r="I121" i="23"/>
  <c r="I118" i="23"/>
  <c r="J118" i="23" s="1"/>
  <c r="M132" i="23"/>
  <c r="I120" i="23"/>
  <c r="J120" i="23" s="1"/>
  <c r="I123" i="23"/>
  <c r="J123" i="23" s="1"/>
  <c r="I131" i="23"/>
  <c r="J131" i="23" s="1"/>
  <c r="I119" i="23"/>
  <c r="J119" i="23" s="1"/>
  <c r="I130" i="23"/>
  <c r="J130" i="23" s="1"/>
  <c r="I127" i="23"/>
  <c r="J127" i="23" s="1"/>
  <c r="I126" i="23"/>
  <c r="J126" i="23" s="1"/>
  <c r="AH89" i="23"/>
  <c r="I89" i="23"/>
  <c r="J89" i="23" s="1"/>
  <c r="AH112" i="23"/>
  <c r="I112" i="23"/>
  <c r="J112" i="23" s="1"/>
  <c r="I72" i="23"/>
  <c r="J72" i="23" s="1"/>
  <c r="AH72" i="23"/>
  <c r="AH131" i="23"/>
  <c r="AH119" i="23"/>
  <c r="AH107" i="23"/>
  <c r="I107" i="23"/>
  <c r="J107" i="23" s="1"/>
  <c r="I95" i="23"/>
  <c r="J95" i="23" s="1"/>
  <c r="AH95" i="23"/>
  <c r="AH83" i="23"/>
  <c r="I83" i="23"/>
  <c r="J83" i="23" s="1"/>
  <c r="AH71" i="23"/>
  <c r="I71" i="23"/>
  <c r="J71" i="23" s="1"/>
  <c r="I101" i="23"/>
  <c r="J101" i="23" s="1"/>
  <c r="AH101" i="23"/>
  <c r="AH124" i="23"/>
  <c r="AH120" i="23"/>
  <c r="AH125" i="23"/>
  <c r="AH88" i="23"/>
  <c r="I88" i="23"/>
  <c r="J88" i="23" s="1"/>
  <c r="I96" i="23"/>
  <c r="J96" i="23" s="1"/>
  <c r="AH96" i="23"/>
  <c r="AH106" i="23"/>
  <c r="I106" i="23"/>
  <c r="J106" i="23" s="1"/>
  <c r="I70" i="23"/>
  <c r="J70" i="23" s="1"/>
  <c r="AH70" i="23"/>
  <c r="AH105" i="23"/>
  <c r="I105" i="23"/>
  <c r="J105" i="23" s="1"/>
  <c r="AH69" i="23"/>
  <c r="I69" i="23"/>
  <c r="J69" i="23" s="1"/>
  <c r="AH128" i="23"/>
  <c r="I116" i="23"/>
  <c r="J116" i="23" s="1"/>
  <c r="AH116" i="23"/>
  <c r="AH104" i="23"/>
  <c r="I104" i="23"/>
  <c r="J104" i="23" s="1"/>
  <c r="AH92" i="23"/>
  <c r="I92" i="23"/>
  <c r="J92" i="23" s="1"/>
  <c r="AH80" i="23"/>
  <c r="I80" i="23"/>
  <c r="J80" i="23" s="1"/>
  <c r="I68" i="23"/>
  <c r="J68" i="23" s="1"/>
  <c r="AH68" i="23"/>
  <c r="AH100" i="23"/>
  <c r="I100" i="23"/>
  <c r="J100" i="23" s="1"/>
  <c r="AH108" i="23"/>
  <c r="I108" i="23"/>
  <c r="J108" i="23" s="1"/>
  <c r="AH118" i="23"/>
  <c r="AH94" i="23"/>
  <c r="I94" i="23"/>
  <c r="J94" i="23" s="1"/>
  <c r="AH129" i="23"/>
  <c r="AH81" i="23"/>
  <c r="I81" i="23"/>
  <c r="J81" i="23" s="1"/>
  <c r="AH127" i="23"/>
  <c r="I115" i="23"/>
  <c r="J115" i="23" s="1"/>
  <c r="AH115" i="23"/>
  <c r="AH103" i="23"/>
  <c r="I103" i="23"/>
  <c r="J103" i="23" s="1"/>
  <c r="AH91" i="23"/>
  <c r="I91" i="23"/>
  <c r="J91" i="23" s="1"/>
  <c r="AH79" i="23"/>
  <c r="I79" i="23"/>
  <c r="J79" i="23" s="1"/>
  <c r="AH67" i="23"/>
  <c r="I67" i="23"/>
  <c r="J67" i="23" s="1"/>
  <c r="AH113" i="23"/>
  <c r="I113" i="23"/>
  <c r="J113" i="23" s="1"/>
  <c r="AH64" i="23"/>
  <c r="I64" i="23"/>
  <c r="J64" i="23" s="1"/>
  <c r="I84" i="23"/>
  <c r="J84" i="23" s="1"/>
  <c r="AH84" i="23"/>
  <c r="AH130" i="23"/>
  <c r="AH82" i="23"/>
  <c r="I82" i="23"/>
  <c r="J82" i="23" s="1"/>
  <c r="AH117" i="23"/>
  <c r="AH93" i="23"/>
  <c r="I93" i="23"/>
  <c r="J93" i="23" s="1"/>
  <c r="AH126" i="23"/>
  <c r="I114" i="23"/>
  <c r="J114" i="23" s="1"/>
  <c r="AH114" i="23"/>
  <c r="I102" i="23"/>
  <c r="J102" i="23" s="1"/>
  <c r="AH102" i="23"/>
  <c r="AH90" i="23"/>
  <c r="I90" i="23"/>
  <c r="J90" i="23" s="1"/>
  <c r="I78" i="23"/>
  <c r="J78" i="23" s="1"/>
  <c r="AH78" i="23"/>
  <c r="AH66" i="23"/>
  <c r="I66" i="23"/>
  <c r="J66" i="23" s="1"/>
  <c r="I77" i="23"/>
  <c r="J77" i="23" s="1"/>
  <c r="AH77" i="23"/>
  <c r="AH65" i="23"/>
  <c r="I65" i="23"/>
  <c r="J65" i="23" s="1"/>
  <c r="AH87" i="23"/>
  <c r="I87" i="23"/>
  <c r="J87" i="23" s="1"/>
  <c r="I76" i="23"/>
  <c r="J76" i="23" s="1"/>
  <c r="AH76" i="23"/>
  <c r="AH123" i="23"/>
  <c r="AH111" i="23"/>
  <c r="I111" i="23"/>
  <c r="J111" i="23" s="1"/>
  <c r="AH99" i="23"/>
  <c r="I99" i="23"/>
  <c r="J99" i="23" s="1"/>
  <c r="AH75" i="23"/>
  <c r="I75" i="23"/>
  <c r="J75" i="23" s="1"/>
  <c r="AH110" i="23"/>
  <c r="I110" i="23"/>
  <c r="J110" i="23" s="1"/>
  <c r="AH98" i="23"/>
  <c r="I98" i="23"/>
  <c r="J98" i="23" s="1"/>
  <c r="AH86" i="23"/>
  <c r="I86" i="23"/>
  <c r="J86" i="23" s="1"/>
  <c r="AH74" i="23"/>
  <c r="I74" i="23"/>
  <c r="J74" i="23" s="1"/>
  <c r="AH109" i="23"/>
  <c r="I109" i="23"/>
  <c r="J109" i="23" s="1"/>
  <c r="I97" i="23"/>
  <c r="J97" i="23" s="1"/>
  <c r="AH97" i="23"/>
  <c r="I85" i="23"/>
  <c r="J85" i="23" s="1"/>
  <c r="AH85" i="23"/>
  <c r="I73" i="23"/>
  <c r="J73" i="23" s="1"/>
  <c r="AH73" i="23"/>
  <c r="AL136" i="24" l="1"/>
  <c r="AO136" i="24"/>
  <c r="AL137" i="24"/>
  <c r="AO137" i="24"/>
  <c r="AM136" i="24"/>
  <c r="AM137" i="24"/>
  <c r="J145" i="23"/>
  <c r="M145" i="23"/>
  <c r="W146" i="23"/>
  <c r="X146" i="23"/>
  <c r="I146" i="23"/>
  <c r="N146" i="23"/>
  <c r="L146" i="23"/>
  <c r="AH146" i="23"/>
  <c r="AG146" i="23"/>
  <c r="K146" i="24"/>
  <c r="G147" i="23"/>
  <c r="H147" i="23" s="1"/>
  <c r="BF146" i="24"/>
  <c r="BJ146" i="24" s="1"/>
  <c r="AD147" i="23"/>
  <c r="AE147" i="23" s="1"/>
  <c r="AK138" i="24"/>
  <c r="T138" i="23"/>
  <c r="U138" i="23" s="1"/>
  <c r="T139" i="23"/>
  <c r="U139" i="23" s="1"/>
  <c r="AK139" i="24"/>
  <c r="M152" i="24"/>
  <c r="L153" i="24"/>
  <c r="AC153" i="24" s="1"/>
  <c r="AX153" i="24"/>
  <c r="AB153" i="24"/>
  <c r="BT153" i="24"/>
  <c r="BS153" i="24"/>
  <c r="J122" i="23"/>
  <c r="M122" i="23"/>
  <c r="J121" i="23"/>
  <c r="M121" i="23"/>
  <c r="M69" i="23"/>
  <c r="M119" i="23"/>
  <c r="M128" i="23"/>
  <c r="M97" i="23"/>
  <c r="M65" i="23"/>
  <c r="M115" i="23"/>
  <c r="M131" i="23"/>
  <c r="M129" i="23"/>
  <c r="M75" i="23"/>
  <c r="M105" i="23"/>
  <c r="M123" i="23"/>
  <c r="M85" i="23"/>
  <c r="M120" i="23"/>
  <c r="M62" i="23"/>
  <c r="M103" i="23"/>
  <c r="M100" i="23"/>
  <c r="M114" i="23"/>
  <c r="M101" i="23"/>
  <c r="M72" i="23"/>
  <c r="M76" i="23"/>
  <c r="M127" i="23"/>
  <c r="M87" i="23"/>
  <c r="M125" i="23"/>
  <c r="M81" i="23"/>
  <c r="M74" i="23"/>
  <c r="M66" i="23"/>
  <c r="M92" i="23"/>
  <c r="M70" i="23"/>
  <c r="M71" i="23"/>
  <c r="M112" i="23"/>
  <c r="M118" i="23"/>
  <c r="M116" i="23"/>
  <c r="M84" i="23"/>
  <c r="M102" i="23"/>
  <c r="M93" i="23"/>
  <c r="M111" i="23"/>
  <c r="M79" i="23"/>
  <c r="M94" i="23"/>
  <c r="M106" i="23"/>
  <c r="M110" i="23"/>
  <c r="M107" i="23"/>
  <c r="M64" i="23"/>
  <c r="M68" i="23"/>
  <c r="M77" i="23"/>
  <c r="M67" i="23"/>
  <c r="M86" i="23"/>
  <c r="M82" i="23"/>
  <c r="M104" i="23"/>
  <c r="M83" i="23"/>
  <c r="M89" i="23"/>
  <c r="M95" i="23"/>
  <c r="M113" i="23"/>
  <c r="M80" i="23"/>
  <c r="M99" i="23"/>
  <c r="M78" i="23"/>
  <c r="M91" i="23"/>
  <c r="M117" i="23"/>
  <c r="M88" i="23"/>
  <c r="M130" i="23"/>
  <c r="M109" i="23"/>
  <c r="M73" i="23"/>
  <c r="M98" i="23"/>
  <c r="M90" i="23"/>
  <c r="M108" i="23"/>
  <c r="M96" i="23"/>
  <c r="M126" i="23"/>
  <c r="M124" i="23"/>
  <c r="AH63" i="23"/>
  <c r="I63" i="23"/>
  <c r="J63" i="23" s="1"/>
  <c r="AL138" i="24" l="1"/>
  <c r="AO138" i="24"/>
  <c r="AL139" i="24"/>
  <c r="AO139" i="24"/>
  <c r="BH146" i="24"/>
  <c r="BG146" i="24"/>
  <c r="AM138" i="24"/>
  <c r="AM139" i="24"/>
  <c r="M146" i="23"/>
  <c r="J146" i="23"/>
  <c r="N147" i="23"/>
  <c r="L147" i="23"/>
  <c r="AH147" i="23"/>
  <c r="AG147" i="23"/>
  <c r="I147" i="23"/>
  <c r="X147" i="23"/>
  <c r="W147" i="23"/>
  <c r="K147" i="24"/>
  <c r="K148" i="24"/>
  <c r="G148" i="23"/>
  <c r="H148" i="23" s="1"/>
  <c r="BF147" i="24"/>
  <c r="BJ147" i="24" s="1"/>
  <c r="AD148" i="23"/>
  <c r="AE148" i="23" s="1"/>
  <c r="AK140" i="24"/>
  <c r="T140" i="23"/>
  <c r="U140" i="23" s="1"/>
  <c r="T141" i="23"/>
  <c r="U141" i="23" s="1"/>
  <c r="AK141" i="24"/>
  <c r="AB154" i="24"/>
  <c r="BT154" i="24"/>
  <c r="BS154" i="24"/>
  <c r="L154" i="24"/>
  <c r="AC154" i="24" s="1"/>
  <c r="AX154" i="24"/>
  <c r="M153" i="24"/>
  <c r="M63" i="23"/>
  <c r="AL141" i="24" l="1"/>
  <c r="AO141" i="24"/>
  <c r="AL140" i="24"/>
  <c r="AO140" i="24"/>
  <c r="BH147" i="24"/>
  <c r="BG147" i="24"/>
  <c r="AM140" i="24"/>
  <c r="AM141" i="24"/>
  <c r="J147" i="23"/>
  <c r="M147" i="23"/>
  <c r="X148" i="23"/>
  <c r="W148" i="23"/>
  <c r="I148" i="23"/>
  <c r="N148" i="23"/>
  <c r="L148" i="23"/>
  <c r="AH148" i="23"/>
  <c r="AG148" i="23"/>
  <c r="BF148" i="24"/>
  <c r="BJ148" i="24" s="1"/>
  <c r="BF149" i="24"/>
  <c r="BJ149" i="24" s="1"/>
  <c r="AD149" i="23"/>
  <c r="AE149" i="23" s="1"/>
  <c r="G149" i="23"/>
  <c r="H149" i="23" s="1"/>
  <c r="AK142" i="24"/>
  <c r="T142" i="23"/>
  <c r="U142" i="23" s="1"/>
  <c r="T143" i="23"/>
  <c r="U143" i="23" s="1"/>
  <c r="AK143" i="24"/>
  <c r="BT155" i="24"/>
  <c r="BS155" i="24"/>
  <c r="AB155" i="24"/>
  <c r="M154" i="24"/>
  <c r="L155" i="24"/>
  <c r="AC155" i="24" s="1"/>
  <c r="AX155" i="24"/>
  <c r="AL142" i="24" l="1"/>
  <c r="AO142" i="24"/>
  <c r="AL143" i="24"/>
  <c r="AO143" i="24"/>
  <c r="BH149" i="24"/>
  <c r="BG149" i="24"/>
  <c r="BH148" i="24"/>
  <c r="BG148" i="24"/>
  <c r="AM142" i="24"/>
  <c r="AM143" i="24"/>
  <c r="J148" i="23"/>
  <c r="M148" i="23"/>
  <c r="W149" i="23"/>
  <c r="I149" i="23"/>
  <c r="X149" i="23"/>
  <c r="AH149" i="23"/>
  <c r="AG149" i="23"/>
  <c r="N149" i="23"/>
  <c r="L149" i="23"/>
  <c r="K149" i="24"/>
  <c r="G150" i="23"/>
  <c r="H150" i="23" s="1"/>
  <c r="AD150" i="23"/>
  <c r="AE150" i="23" s="1"/>
  <c r="BF150" i="24"/>
  <c r="BJ150" i="24" s="1"/>
  <c r="T145" i="23"/>
  <c r="U145" i="23" s="1"/>
  <c r="AK145" i="24"/>
  <c r="AK144" i="24"/>
  <c r="T144" i="23"/>
  <c r="U144" i="23" s="1"/>
  <c r="M155" i="24"/>
  <c r="AX156" i="24"/>
  <c r="L156" i="24"/>
  <c r="AC156" i="24" s="1"/>
  <c r="BT156" i="24"/>
  <c r="BS156" i="24"/>
  <c r="AB156" i="24"/>
  <c r="AL144" i="24" l="1"/>
  <c r="AO144" i="24"/>
  <c r="AL145" i="24"/>
  <c r="AO145" i="24"/>
  <c r="BH150" i="24"/>
  <c r="BG150" i="24"/>
  <c r="AM144" i="24"/>
  <c r="AM145" i="24"/>
  <c r="W150" i="23"/>
  <c r="I150" i="23"/>
  <c r="X150" i="23"/>
  <c r="J149" i="23"/>
  <c r="M149" i="23"/>
  <c r="AH150" i="23"/>
  <c r="AG150" i="23"/>
  <c r="N150" i="23"/>
  <c r="L150" i="23"/>
  <c r="BF151" i="24"/>
  <c r="BJ151" i="24" s="1"/>
  <c r="K150" i="24"/>
  <c r="G151" i="23"/>
  <c r="H151" i="23" s="1"/>
  <c r="AK147" i="24"/>
  <c r="T147" i="23"/>
  <c r="U147" i="23" s="1"/>
  <c r="AK146" i="24"/>
  <c r="T146" i="23"/>
  <c r="U146" i="23" s="1"/>
  <c r="BT157" i="24"/>
  <c r="BS157" i="24"/>
  <c r="AX157" i="24"/>
  <c r="L157" i="24"/>
  <c r="AC157" i="24" s="1"/>
  <c r="M156" i="24"/>
  <c r="AB157" i="24"/>
  <c r="AL146" i="24" l="1"/>
  <c r="AO146" i="24"/>
  <c r="AL147" i="24"/>
  <c r="AO147" i="24"/>
  <c r="BH151" i="24"/>
  <c r="BG151" i="24"/>
  <c r="AM146" i="24"/>
  <c r="AM147" i="24"/>
  <c r="J150" i="23"/>
  <c r="M150" i="23"/>
  <c r="N151" i="23"/>
  <c r="L151" i="23"/>
  <c r="I6" i="23" s="1" a="1"/>
  <c r="I6" i="23" s="1"/>
  <c r="AH151" i="23"/>
  <c r="AG151" i="23"/>
  <c r="X151" i="23"/>
  <c r="I151" i="23"/>
  <c r="W151" i="23"/>
  <c r="V6" i="23" s="1" a="1"/>
  <c r="V6" i="23" s="1"/>
  <c r="K151" i="24"/>
  <c r="G152" i="23"/>
  <c r="H152" i="23" s="1"/>
  <c r="AD151" i="23"/>
  <c r="AE151" i="23" s="1"/>
  <c r="AD152" i="23"/>
  <c r="AE152" i="23" s="1"/>
  <c r="AK149" i="24"/>
  <c r="T149" i="23"/>
  <c r="U149" i="23" s="1"/>
  <c r="T148" i="23"/>
  <c r="U148" i="23" s="1"/>
  <c r="AK148" i="24"/>
  <c r="L158" i="24"/>
  <c r="AC158" i="24" s="1"/>
  <c r="AX158" i="24"/>
  <c r="M157" i="24"/>
  <c r="BT158" i="24"/>
  <c r="BS158" i="24"/>
  <c r="AB158" i="24"/>
  <c r="AL149" i="24" l="1"/>
  <c r="AO149" i="24"/>
  <c r="AL148" i="24"/>
  <c r="AO148" i="24"/>
  <c r="AM149" i="24"/>
  <c r="AM148" i="24"/>
  <c r="AH152" i="23"/>
  <c r="AG152" i="23"/>
  <c r="J151" i="23"/>
  <c r="M151" i="23"/>
  <c r="N152" i="23"/>
  <c r="L152" i="23"/>
  <c r="I152" i="23"/>
  <c r="W152" i="23"/>
  <c r="X152" i="23"/>
  <c r="BF152" i="24"/>
  <c r="BJ152" i="24" s="1"/>
  <c r="AD153" i="23"/>
  <c r="AE153" i="23" s="1"/>
  <c r="K152" i="24"/>
  <c r="G153" i="23"/>
  <c r="H153" i="23" s="1"/>
  <c r="T151" i="23"/>
  <c r="U151" i="23" s="1"/>
  <c r="AK151" i="24"/>
  <c r="AK150" i="24"/>
  <c r="T150" i="23"/>
  <c r="U150" i="23" s="1"/>
  <c r="AB159" i="24"/>
  <c r="BT159" i="24"/>
  <c r="BS159" i="24"/>
  <c r="L159" i="24"/>
  <c r="AC159" i="24" s="1"/>
  <c r="AX159" i="24"/>
  <c r="M158" i="24"/>
  <c r="AL151" i="24" l="1"/>
  <c r="AO151" i="24"/>
  <c r="AL150" i="24"/>
  <c r="AO150" i="24"/>
  <c r="BH152" i="24"/>
  <c r="BG152" i="24"/>
  <c r="AM150" i="24"/>
  <c r="AM151" i="24"/>
  <c r="J152" i="23"/>
  <c r="M152" i="23"/>
  <c r="AH153" i="23"/>
  <c r="AG153" i="23"/>
  <c r="N153" i="23"/>
  <c r="L153" i="23"/>
  <c r="I153" i="23"/>
  <c r="X153" i="23"/>
  <c r="W153" i="23"/>
  <c r="K153" i="24"/>
  <c r="G154" i="23"/>
  <c r="H154" i="23" s="1"/>
  <c r="BF153" i="24"/>
  <c r="BJ153" i="24" s="1"/>
  <c r="AD154" i="23"/>
  <c r="AE154" i="23" s="1"/>
  <c r="AK153" i="24"/>
  <c r="T153" i="23"/>
  <c r="U153" i="23" s="1"/>
  <c r="T152" i="23"/>
  <c r="U152" i="23" s="1"/>
  <c r="AK152" i="24"/>
  <c r="L160" i="24"/>
  <c r="AC160" i="24" s="1"/>
  <c r="AX160" i="24"/>
  <c r="AB160" i="24"/>
  <c r="M159" i="24"/>
  <c r="BT160" i="24"/>
  <c r="BS160" i="24"/>
  <c r="AL153" i="24" l="1"/>
  <c r="AO153" i="24"/>
  <c r="AL152" i="24"/>
  <c r="AO152" i="24"/>
  <c r="BH153" i="24"/>
  <c r="BG153" i="24"/>
  <c r="AM153" i="24"/>
  <c r="AM152" i="24"/>
  <c r="J153" i="23"/>
  <c r="M153" i="23"/>
  <c r="L154" i="23"/>
  <c r="N154" i="23"/>
  <c r="X154" i="23"/>
  <c r="W154" i="23"/>
  <c r="I154" i="23"/>
  <c r="AH154" i="23"/>
  <c r="AG154" i="23"/>
  <c r="K154" i="24"/>
  <c r="G155" i="23"/>
  <c r="H155" i="23" s="1"/>
  <c r="BF154" i="24"/>
  <c r="BJ154" i="24" s="1"/>
  <c r="AD155" i="23"/>
  <c r="AE155" i="23" s="1"/>
  <c r="BF155" i="24"/>
  <c r="BJ155" i="24" s="1"/>
  <c r="AK155" i="24"/>
  <c r="T155" i="23"/>
  <c r="U155" i="23" s="1"/>
  <c r="T154" i="23"/>
  <c r="U154" i="23" s="1"/>
  <c r="AK154" i="24"/>
  <c r="L161" i="24"/>
  <c r="AC161" i="24" s="1"/>
  <c r="AX161" i="24"/>
  <c r="AB161" i="24"/>
  <c r="BT161" i="24"/>
  <c r="BS161" i="24"/>
  <c r="M160" i="24"/>
  <c r="AL155" i="24" l="1"/>
  <c r="AO155" i="24"/>
  <c r="AL154" i="24"/>
  <c r="AO154" i="24"/>
  <c r="BH155" i="24"/>
  <c r="BG155" i="24"/>
  <c r="BH154" i="24"/>
  <c r="BG154" i="24"/>
  <c r="AM154" i="24"/>
  <c r="AM155" i="24"/>
  <c r="AG155" i="23"/>
  <c r="AH155" i="23"/>
  <c r="M154" i="23"/>
  <c r="J154" i="23"/>
  <c r="I155" i="23"/>
  <c r="W155" i="23"/>
  <c r="X155" i="23"/>
  <c r="N155" i="23"/>
  <c r="L155" i="23"/>
  <c r="K155" i="24"/>
  <c r="G156" i="23"/>
  <c r="H156" i="23" s="1"/>
  <c r="AD156" i="23"/>
  <c r="AE156" i="23" s="1"/>
  <c r="BF156" i="24"/>
  <c r="BJ156" i="24" s="1"/>
  <c r="T157" i="23"/>
  <c r="U157" i="23" s="1"/>
  <c r="T156" i="23"/>
  <c r="U156" i="23" s="1"/>
  <c r="AK156" i="24"/>
  <c r="AB162" i="24"/>
  <c r="AX162" i="24"/>
  <c r="L162" i="24"/>
  <c r="AC162" i="24" s="1"/>
  <c r="BT162" i="24"/>
  <c r="BS162" i="24"/>
  <c r="M161" i="24"/>
  <c r="AL156" i="24" l="1"/>
  <c r="AO156" i="24"/>
  <c r="BH156" i="24"/>
  <c r="BG156" i="24"/>
  <c r="AM156" i="24"/>
  <c r="N156" i="23"/>
  <c r="L156" i="23"/>
  <c r="AH156" i="23"/>
  <c r="AG156" i="23"/>
  <c r="J155" i="23"/>
  <c r="M155" i="23"/>
  <c r="X156" i="23"/>
  <c r="W156" i="23"/>
  <c r="I156" i="23"/>
  <c r="K156" i="24"/>
  <c r="G157" i="23"/>
  <c r="H157" i="23" s="1"/>
  <c r="AD157" i="23"/>
  <c r="AE157" i="23" s="1"/>
  <c r="BF157" i="24"/>
  <c r="BJ157" i="24" s="1"/>
  <c r="AK157" i="24"/>
  <c r="T158" i="23"/>
  <c r="U158" i="23" s="1"/>
  <c r="AK158" i="24"/>
  <c r="AX163" i="24"/>
  <c r="L163" i="24"/>
  <c r="AC163" i="24" s="1"/>
  <c r="BT163" i="24"/>
  <c r="BS163" i="24"/>
  <c r="AB163" i="24"/>
  <c r="M162" i="24"/>
  <c r="AL158" i="24" l="1"/>
  <c r="AO158" i="24"/>
  <c r="AL157" i="24"/>
  <c r="AO157" i="24"/>
  <c r="BH157" i="24"/>
  <c r="BG157" i="24"/>
  <c r="AM158" i="24"/>
  <c r="AM157" i="24"/>
  <c r="X157" i="23"/>
  <c r="I157" i="23"/>
  <c r="W157" i="23"/>
  <c r="AH157" i="23"/>
  <c r="AG157" i="23"/>
  <c r="N157" i="23"/>
  <c r="L157" i="23"/>
  <c r="M156" i="23"/>
  <c r="J156" i="23"/>
  <c r="K157" i="24"/>
  <c r="G158" i="23"/>
  <c r="H158" i="23" s="1"/>
  <c r="AD158" i="23"/>
  <c r="AE158" i="23" s="1"/>
  <c r="L164" i="24"/>
  <c r="AC164" i="24" s="1"/>
  <c r="AX164" i="24"/>
  <c r="M163" i="24"/>
  <c r="BT164" i="24"/>
  <c r="BS164" i="24"/>
  <c r="AB164" i="24"/>
  <c r="M157" i="23" l="1"/>
  <c r="J157" i="23"/>
  <c r="AH158" i="23"/>
  <c r="AG158" i="23"/>
  <c r="I158" i="23"/>
  <c r="X158" i="23"/>
  <c r="W158" i="23"/>
  <c r="N158" i="23"/>
  <c r="L158" i="23"/>
  <c r="K158" i="24"/>
  <c r="G159" i="23"/>
  <c r="H159" i="23" s="1"/>
  <c r="AK159" i="24"/>
  <c r="T159" i="23"/>
  <c r="U159" i="23" s="1"/>
  <c r="BF158" i="24"/>
  <c r="BJ158" i="24" s="1"/>
  <c r="AD159" i="23"/>
  <c r="AE159" i="23" s="1"/>
  <c r="L165" i="24"/>
  <c r="AC165" i="24" s="1"/>
  <c r="AX165" i="24"/>
  <c r="BT165" i="24"/>
  <c r="BS165" i="24"/>
  <c r="AB165" i="24"/>
  <c r="M164" i="24"/>
  <c r="AL159" i="24" l="1"/>
  <c r="AO159" i="24"/>
  <c r="BH158" i="24"/>
  <c r="BG158" i="24"/>
  <c r="AM159" i="24"/>
  <c r="N159" i="23"/>
  <c r="L159" i="23"/>
  <c r="J158" i="23"/>
  <c r="M158" i="23"/>
  <c r="X159" i="23"/>
  <c r="W159" i="23"/>
  <c r="I159" i="23"/>
  <c r="AH159" i="23"/>
  <c r="AG159" i="23"/>
  <c r="K159" i="24"/>
  <c r="G160" i="23"/>
  <c r="H160" i="23" s="1"/>
  <c r="T160" i="23"/>
  <c r="U160" i="23" s="1"/>
  <c r="AK160" i="24"/>
  <c r="BF159" i="24"/>
  <c r="BJ159" i="24" s="1"/>
  <c r="AD160" i="23"/>
  <c r="AE160" i="23" s="1"/>
  <c r="BF160" i="24"/>
  <c r="BJ160" i="24" s="1"/>
  <c r="BT166" i="24"/>
  <c r="BS166" i="24"/>
  <c r="AB166" i="24"/>
  <c r="L166" i="24"/>
  <c r="AC166" i="24" s="1"/>
  <c r="AX166" i="24"/>
  <c r="M165" i="24"/>
  <c r="AL160" i="24" l="1"/>
  <c r="AO160" i="24"/>
  <c r="BH159" i="24"/>
  <c r="BG159" i="24"/>
  <c r="BH160" i="24"/>
  <c r="BG160" i="24"/>
  <c r="AM160" i="24"/>
  <c r="AH160" i="23"/>
  <c r="AG160" i="23"/>
  <c r="J159" i="23"/>
  <c r="M159" i="23"/>
  <c r="W160" i="23"/>
  <c r="I160" i="23"/>
  <c r="X160" i="23"/>
  <c r="N160" i="23"/>
  <c r="L160" i="23"/>
  <c r="AD161" i="23"/>
  <c r="AE161" i="23" s="1"/>
  <c r="K160" i="24"/>
  <c r="G161" i="23"/>
  <c r="H161" i="23" s="1"/>
  <c r="T161" i="23"/>
  <c r="U161" i="23" s="1"/>
  <c r="AK161" i="24"/>
  <c r="L167" i="24"/>
  <c r="AC167" i="24" s="1"/>
  <c r="AX167" i="24"/>
  <c r="BT167" i="24"/>
  <c r="BS167" i="24"/>
  <c r="M166" i="24"/>
  <c r="AB167" i="24"/>
  <c r="AL161" i="24" l="1"/>
  <c r="AO161" i="24"/>
  <c r="AM161" i="24"/>
  <c r="J160" i="23"/>
  <c r="M160" i="23"/>
  <c r="X161" i="23"/>
  <c r="W161" i="23"/>
  <c r="I161" i="23"/>
  <c r="AH161" i="23"/>
  <c r="AG161" i="23"/>
  <c r="N161" i="23"/>
  <c r="L161" i="23"/>
  <c r="K161" i="24"/>
  <c r="G162" i="23"/>
  <c r="H162" i="23" s="1"/>
  <c r="AK162" i="24"/>
  <c r="T162" i="23"/>
  <c r="U162" i="23" s="1"/>
  <c r="BF161" i="24"/>
  <c r="BJ161" i="24" s="1"/>
  <c r="AD162" i="23"/>
  <c r="AE162" i="23" s="1"/>
  <c r="BT168" i="24"/>
  <c r="BS168" i="24"/>
  <c r="AX168" i="24"/>
  <c r="L168" i="24"/>
  <c r="AC168" i="24" s="1"/>
  <c r="AB168" i="24"/>
  <c r="M167" i="24"/>
  <c r="AL162" i="24" l="1"/>
  <c r="AO162" i="24"/>
  <c r="BH161" i="24"/>
  <c r="BG161" i="24"/>
  <c r="AM162" i="24"/>
  <c r="N162" i="23"/>
  <c r="L162" i="23"/>
  <c r="J161" i="23"/>
  <c r="M161" i="23"/>
  <c r="AH162" i="23"/>
  <c r="AG162" i="23"/>
  <c r="W162" i="23"/>
  <c r="I162" i="23"/>
  <c r="X162" i="23"/>
  <c r="K162" i="24"/>
  <c r="G163" i="23"/>
  <c r="H163" i="23" s="1"/>
  <c r="BF162" i="24"/>
  <c r="BJ162" i="24" s="1"/>
  <c r="BF163" i="24"/>
  <c r="BJ163" i="24" s="1"/>
  <c r="AK163" i="24"/>
  <c r="T163" i="23"/>
  <c r="U163" i="23" s="1"/>
  <c r="BT169" i="24"/>
  <c r="BS169" i="24"/>
  <c r="AB169" i="24"/>
  <c r="M168" i="24"/>
  <c r="AX169" i="24"/>
  <c r="L169" i="24"/>
  <c r="AC169" i="24" s="1"/>
  <c r="AL163" i="24" l="1"/>
  <c r="AO163" i="24"/>
  <c r="BH163" i="24"/>
  <c r="BG163" i="24"/>
  <c r="BH162" i="24"/>
  <c r="BG162" i="24"/>
  <c r="AM163" i="24"/>
  <c r="M162" i="23"/>
  <c r="J162" i="23"/>
  <c r="N163" i="23"/>
  <c r="L163" i="23"/>
  <c r="W163" i="23"/>
  <c r="I163" i="23"/>
  <c r="X163" i="23"/>
  <c r="AH163" i="23"/>
  <c r="AG163" i="23"/>
  <c r="T164" i="23"/>
  <c r="U164" i="23" s="1"/>
  <c r="AK164" i="24"/>
  <c r="K163" i="24"/>
  <c r="G164" i="23"/>
  <c r="H164" i="23" s="1"/>
  <c r="AD163" i="23"/>
  <c r="AE163" i="23" s="1"/>
  <c r="BF164" i="24"/>
  <c r="BJ164" i="24" s="1"/>
  <c r="AD164" i="23"/>
  <c r="AE164" i="23" s="1"/>
  <c r="AB170" i="24"/>
  <c r="BT170" i="24"/>
  <c r="BS170" i="24"/>
  <c r="L170" i="24"/>
  <c r="AC170" i="24" s="1"/>
  <c r="AX170" i="24"/>
  <c r="M169" i="24"/>
  <c r="AL164" i="24" l="1"/>
  <c r="AO164" i="24"/>
  <c r="BH164" i="24"/>
  <c r="BG164" i="24"/>
  <c r="AM164" i="24"/>
  <c r="L164" i="23"/>
  <c r="N164" i="23"/>
  <c r="J163" i="23"/>
  <c r="M163" i="23"/>
  <c r="X164" i="23"/>
  <c r="W164" i="23"/>
  <c r="I164" i="23"/>
  <c r="AH164" i="23"/>
  <c r="AG164" i="23"/>
  <c r="AD165" i="23"/>
  <c r="AE165" i="23" s="1"/>
  <c r="BF165" i="24"/>
  <c r="BJ165" i="24" s="1"/>
  <c r="K164" i="24"/>
  <c r="G165" i="23"/>
  <c r="H165" i="23" s="1"/>
  <c r="AK165" i="24"/>
  <c r="T165" i="23"/>
  <c r="U165" i="23" s="1"/>
  <c r="L171" i="24"/>
  <c r="AC171" i="24" s="1"/>
  <c r="AX171" i="24"/>
  <c r="M170" i="24"/>
  <c r="BT171" i="24"/>
  <c r="BS171" i="24"/>
  <c r="AB171" i="24"/>
  <c r="AL165" i="24" l="1"/>
  <c r="AO165" i="24"/>
  <c r="BH165" i="24"/>
  <c r="BG165" i="24"/>
  <c r="AM165" i="24"/>
  <c r="N165" i="23"/>
  <c r="L165" i="23"/>
  <c r="AH165" i="23"/>
  <c r="AG165" i="23"/>
  <c r="J164" i="23"/>
  <c r="M164" i="23"/>
  <c r="I165" i="23"/>
  <c r="W165" i="23"/>
  <c r="X165" i="23"/>
  <c r="K165" i="24"/>
  <c r="G166" i="23"/>
  <c r="H166" i="23" s="1"/>
  <c r="BF166" i="24"/>
  <c r="BJ166" i="24" s="1"/>
  <c r="AD166" i="23"/>
  <c r="AE166" i="23" s="1"/>
  <c r="AK166" i="24"/>
  <c r="T166" i="23"/>
  <c r="U166" i="23" s="1"/>
  <c r="L172" i="24"/>
  <c r="AC172" i="24" s="1"/>
  <c r="AX172" i="24"/>
  <c r="AB172" i="24"/>
  <c r="M171" i="24"/>
  <c r="BT172" i="24"/>
  <c r="BS172" i="24"/>
  <c r="AL166" i="24" l="1"/>
  <c r="AO166" i="24"/>
  <c r="BH166" i="24"/>
  <c r="BG166" i="24"/>
  <c r="AM166" i="24"/>
  <c r="J165" i="23"/>
  <c r="M165" i="23"/>
  <c r="L166" i="23"/>
  <c r="N166" i="23"/>
  <c r="AH166" i="23"/>
  <c r="AG166" i="23"/>
  <c r="I166" i="23"/>
  <c r="X166" i="23"/>
  <c r="W166" i="23"/>
  <c r="K166" i="24"/>
  <c r="G167" i="23"/>
  <c r="H167" i="23" s="1"/>
  <c r="AK167" i="24"/>
  <c r="T167" i="23"/>
  <c r="U167" i="23" s="1"/>
  <c r="BF167" i="24"/>
  <c r="BJ167" i="24" s="1"/>
  <c r="AD167" i="23"/>
  <c r="AE167" i="23" s="1"/>
  <c r="M172" i="24"/>
  <c r="AB173" i="24"/>
  <c r="BT173" i="24"/>
  <c r="BS173" i="24"/>
  <c r="L173" i="24"/>
  <c r="AC173" i="24" s="1"/>
  <c r="AX173" i="24"/>
  <c r="AL167" i="24" l="1"/>
  <c r="AO167" i="24"/>
  <c r="BH167" i="24"/>
  <c r="BG167" i="24"/>
  <c r="AM167" i="24"/>
  <c r="X167" i="23"/>
  <c r="I167" i="23"/>
  <c r="W167" i="23"/>
  <c r="N167" i="23"/>
  <c r="L167" i="23"/>
  <c r="J166" i="23"/>
  <c r="M166" i="23"/>
  <c r="AH167" i="23"/>
  <c r="AG167" i="23"/>
  <c r="AK168" i="24"/>
  <c r="T168" i="23"/>
  <c r="U168" i="23" s="1"/>
  <c r="K167" i="24"/>
  <c r="G168" i="23"/>
  <c r="H168" i="23" s="1"/>
  <c r="AD168" i="23"/>
  <c r="AE168" i="23" s="1"/>
  <c r="BT174" i="24"/>
  <c r="BS174" i="24"/>
  <c r="L174" i="24"/>
  <c r="AC174" i="24" s="1"/>
  <c r="AX174" i="24"/>
  <c r="M173" i="24"/>
  <c r="AB174" i="24"/>
  <c r="AL168" i="24" l="1"/>
  <c r="AO168" i="24"/>
  <c r="AM168" i="24"/>
  <c r="AH168" i="23"/>
  <c r="AG168" i="23"/>
  <c r="I168" i="23"/>
  <c r="X168" i="23"/>
  <c r="W168" i="23"/>
  <c r="N168" i="23"/>
  <c r="L168" i="23"/>
  <c r="J167" i="23"/>
  <c r="M167" i="23"/>
  <c r="AK169" i="24"/>
  <c r="T169" i="23"/>
  <c r="U169" i="23" s="1"/>
  <c r="BF168" i="24"/>
  <c r="BJ168" i="24" s="1"/>
  <c r="BF169" i="24"/>
  <c r="BJ169" i="24" s="1"/>
  <c r="AD169" i="23"/>
  <c r="AE169" i="23" s="1"/>
  <c r="K168" i="24"/>
  <c r="G169" i="23"/>
  <c r="H169" i="23" s="1"/>
  <c r="AX175" i="24"/>
  <c r="L175" i="24"/>
  <c r="AC175" i="24" s="1"/>
  <c r="M174" i="24"/>
  <c r="BT175" i="24"/>
  <c r="BS175" i="24"/>
  <c r="AB175" i="24"/>
  <c r="AL169" i="24" l="1"/>
  <c r="AO169" i="24"/>
  <c r="BH169" i="24"/>
  <c r="BG169" i="24"/>
  <c r="BH168" i="24"/>
  <c r="BG168" i="24"/>
  <c r="AM169" i="24"/>
  <c r="I169" i="23"/>
  <c r="W169" i="23"/>
  <c r="X169" i="23"/>
  <c r="J168" i="23"/>
  <c r="M168" i="23"/>
  <c r="N169" i="23"/>
  <c r="L169" i="23"/>
  <c r="AH169" i="23"/>
  <c r="AG169" i="23"/>
  <c r="T170" i="23"/>
  <c r="U170" i="23" s="1"/>
  <c r="AK170" i="24"/>
  <c r="K169" i="24"/>
  <c r="G170" i="23"/>
  <c r="H170" i="23" s="1"/>
  <c r="AD170" i="23"/>
  <c r="AE170" i="23" s="1"/>
  <c r="M175" i="24"/>
  <c r="L176" i="24"/>
  <c r="AC176" i="24" s="1"/>
  <c r="AX176" i="24"/>
  <c r="BT176" i="24"/>
  <c r="BS176" i="24"/>
  <c r="AB176" i="24"/>
  <c r="AL170" i="24" l="1"/>
  <c r="AO170" i="24"/>
  <c r="AM170" i="24"/>
  <c r="L6" i="24" a="1"/>
  <c r="L6" i="24" s="1"/>
  <c r="X170" i="23"/>
  <c r="W170" i="23"/>
  <c r="I170" i="23"/>
  <c r="N170" i="23"/>
  <c r="L170" i="23"/>
  <c r="AH170" i="23"/>
  <c r="AG170" i="23"/>
  <c r="J169" i="23"/>
  <c r="M169" i="23"/>
  <c r="K170" i="24"/>
  <c r="G171" i="23"/>
  <c r="H171" i="23" s="1"/>
  <c r="T171" i="23"/>
  <c r="U171" i="23" s="1"/>
  <c r="AK171" i="24"/>
  <c r="BF170" i="24"/>
  <c r="BJ170" i="24" s="1"/>
  <c r="BF171" i="24"/>
  <c r="BJ171" i="24" s="1"/>
  <c r="L177" i="24"/>
  <c r="AC177" i="24" s="1"/>
  <c r="AX177" i="24"/>
  <c r="AB177" i="24"/>
  <c r="M176" i="24"/>
  <c r="BT177" i="24"/>
  <c r="BS177" i="24"/>
  <c r="AL171" i="24" l="1"/>
  <c r="AO171" i="24"/>
  <c r="BH171" i="24"/>
  <c r="BG171" i="24"/>
  <c r="BH170" i="24"/>
  <c r="BG170" i="24"/>
  <c r="AM171" i="24"/>
  <c r="AH171" i="23"/>
  <c r="AG171" i="23"/>
  <c r="I171" i="23"/>
  <c r="X171" i="23"/>
  <c r="W171" i="23"/>
  <c r="J170" i="23"/>
  <c r="M170" i="23"/>
  <c r="N171" i="23"/>
  <c r="L171" i="23"/>
  <c r="T172" i="23"/>
  <c r="U172" i="23" s="1"/>
  <c r="AK172" i="24"/>
  <c r="AD171" i="23"/>
  <c r="AE171" i="23" s="1"/>
  <c r="AD172" i="23"/>
  <c r="AE172" i="23" s="1"/>
  <c r="K171" i="24"/>
  <c r="G172" i="23"/>
  <c r="H172" i="23" s="1"/>
  <c r="M177" i="24"/>
  <c r="L178" i="24"/>
  <c r="AC178" i="24" s="1"/>
  <c r="AX178" i="24"/>
  <c r="AB178" i="24"/>
  <c r="BT178" i="24"/>
  <c r="BS178" i="24"/>
  <c r="AL172" i="24" l="1"/>
  <c r="AO172" i="24"/>
  <c r="AM172" i="24"/>
  <c r="W172" i="23"/>
  <c r="X172" i="23"/>
  <c r="I172" i="23"/>
  <c r="AH172" i="23"/>
  <c r="AG172" i="23"/>
  <c r="J171" i="23"/>
  <c r="M171" i="23"/>
  <c r="N172" i="23"/>
  <c r="L172" i="23"/>
  <c r="AK173" i="24"/>
  <c r="T173" i="23"/>
  <c r="U173" i="23" s="1"/>
  <c r="BF172" i="24"/>
  <c r="BJ172" i="24" s="1"/>
  <c r="BF173" i="24"/>
  <c r="BJ173" i="24" s="1"/>
  <c r="AD173" i="23"/>
  <c r="AE173" i="23" s="1"/>
  <c r="K172" i="24"/>
  <c r="G173" i="23"/>
  <c r="H173" i="23" s="1"/>
  <c r="L179" i="24"/>
  <c r="AC179" i="24" s="1"/>
  <c r="AX179" i="24"/>
  <c r="BT179" i="24"/>
  <c r="BS179" i="24"/>
  <c r="AB179" i="24"/>
  <c r="M178" i="24"/>
  <c r="AL173" i="24" l="1"/>
  <c r="AO173" i="24"/>
  <c r="BH173" i="24"/>
  <c r="BG173" i="24"/>
  <c r="BH172" i="24"/>
  <c r="BG172" i="24"/>
  <c r="AM173" i="24"/>
  <c r="I173" i="23"/>
  <c r="X173" i="23"/>
  <c r="W173" i="23"/>
  <c r="J172" i="23"/>
  <c r="M172" i="23"/>
  <c r="AH173" i="23"/>
  <c r="AG173" i="23"/>
  <c r="N173" i="23"/>
  <c r="L173" i="23"/>
  <c r="K173" i="24"/>
  <c r="G174" i="23"/>
  <c r="H174" i="23" s="1"/>
  <c r="T174" i="23"/>
  <c r="U174" i="23" s="1"/>
  <c r="AK174" i="24"/>
  <c r="AD174" i="23"/>
  <c r="AE174" i="23" s="1"/>
  <c r="BF174" i="24"/>
  <c r="BJ174" i="24" s="1"/>
  <c r="AB180" i="24"/>
  <c r="BT180" i="24"/>
  <c r="BS180" i="24"/>
  <c r="AX180" i="24"/>
  <c r="L180" i="24"/>
  <c r="AC180" i="24" s="1"/>
  <c r="M179" i="24"/>
  <c r="AL174" i="24" l="1"/>
  <c r="AO174" i="24"/>
  <c r="BH174" i="24"/>
  <c r="BG174" i="24"/>
  <c r="AM174" i="24"/>
  <c r="AH174" i="23"/>
  <c r="AG174" i="23"/>
  <c r="N174" i="23"/>
  <c r="L174" i="23"/>
  <c r="X174" i="23"/>
  <c r="I174" i="23"/>
  <c r="W174" i="23"/>
  <c r="J173" i="23"/>
  <c r="M173" i="23"/>
  <c r="K174" i="24"/>
  <c r="G175" i="23"/>
  <c r="H175" i="23" s="1"/>
  <c r="AD175" i="23"/>
  <c r="AE175" i="23" s="1"/>
  <c r="BF175" i="24"/>
  <c r="BJ175" i="24" s="1"/>
  <c r="AK175" i="24"/>
  <c r="T175" i="23"/>
  <c r="U175" i="23" s="1"/>
  <c r="M180" i="24"/>
  <c r="AB181" i="24"/>
  <c r="BT181" i="24"/>
  <c r="BS181" i="24"/>
  <c r="AX181" i="24"/>
  <c r="L181" i="24"/>
  <c r="AC181" i="24" s="1"/>
  <c r="AL175" i="24" l="1"/>
  <c r="AO175" i="24"/>
  <c r="BH175" i="24"/>
  <c r="BG175" i="24"/>
  <c r="AM175" i="24"/>
  <c r="J174" i="23"/>
  <c r="M174" i="23"/>
  <c r="N175" i="23"/>
  <c r="L175" i="23"/>
  <c r="I175" i="23"/>
  <c r="X175" i="23"/>
  <c r="W175" i="23"/>
  <c r="AH175" i="23"/>
  <c r="AG175" i="23"/>
  <c r="T176" i="23"/>
  <c r="U176" i="23" s="1"/>
  <c r="AK176" i="24"/>
  <c r="K175" i="24"/>
  <c r="G176" i="23"/>
  <c r="H176" i="23" s="1"/>
  <c r="AD176" i="23"/>
  <c r="AE176" i="23" s="1"/>
  <c r="AB182" i="24"/>
  <c r="L182" i="24"/>
  <c r="AC182" i="24" s="1"/>
  <c r="AX182" i="24"/>
  <c r="BT182" i="24"/>
  <c r="BS182" i="24"/>
  <c r="M181" i="24"/>
  <c r="AL176" i="24" l="1"/>
  <c r="AO176" i="24"/>
  <c r="AM176" i="24"/>
  <c r="N176" i="23"/>
  <c r="L176" i="23"/>
  <c r="J175" i="23"/>
  <c r="M175" i="23"/>
  <c r="W176" i="23"/>
  <c r="I176" i="23"/>
  <c r="X176" i="23"/>
  <c r="AH176" i="23"/>
  <c r="AG176" i="23"/>
  <c r="K176" i="24"/>
  <c r="G177" i="23"/>
  <c r="H177" i="23" s="1"/>
  <c r="BF176" i="24"/>
  <c r="BJ176" i="24" s="1"/>
  <c r="BF177" i="24"/>
  <c r="BJ177" i="24" s="1"/>
  <c r="AD177" i="23"/>
  <c r="AE177" i="23" s="1"/>
  <c r="AK177" i="24"/>
  <c r="T177" i="23"/>
  <c r="U177" i="23" s="1"/>
  <c r="M182" i="24"/>
  <c r="BY43" i="24"/>
  <c r="BY30" i="24"/>
  <c r="BY56" i="24"/>
  <c r="L183" i="24"/>
  <c r="AC183" i="24" s="1"/>
  <c r="AX183" i="24"/>
  <c r="AB183" i="24"/>
  <c r="BT183" i="24"/>
  <c r="BS183" i="24"/>
  <c r="AL177" i="24" l="1"/>
  <c r="AO177" i="24"/>
  <c r="BH177" i="24"/>
  <c r="BG177" i="24"/>
  <c r="BH176" i="24"/>
  <c r="BG176" i="24"/>
  <c r="AM177" i="24"/>
  <c r="AH177" i="23"/>
  <c r="AG177" i="23"/>
  <c r="X177" i="23"/>
  <c r="I177" i="23"/>
  <c r="W177" i="23"/>
  <c r="J176" i="23"/>
  <c r="M176" i="23"/>
  <c r="N177" i="23"/>
  <c r="L177" i="23"/>
  <c r="K177" i="24"/>
  <c r="G178" i="23"/>
  <c r="H178" i="23" s="1"/>
  <c r="H6" i="23" s="1" a="1"/>
  <c r="H6" i="23" s="1"/>
  <c r="AD178" i="23"/>
  <c r="AE178" i="23" s="1"/>
  <c r="T178" i="23"/>
  <c r="U178" i="23" s="1"/>
  <c r="AK178" i="24"/>
  <c r="BT184" i="24"/>
  <c r="BS184" i="24"/>
  <c r="M183" i="24"/>
  <c r="L184" i="24"/>
  <c r="AC184" i="24" s="1"/>
  <c r="AX184" i="24"/>
  <c r="AB184" i="24"/>
  <c r="AL178" i="24" l="1"/>
  <c r="AO178" i="24"/>
  <c r="AM178" i="24"/>
  <c r="N178" i="23"/>
  <c r="L178" i="23"/>
  <c r="AH178" i="23"/>
  <c r="AG178" i="23"/>
  <c r="J177" i="23"/>
  <c r="M177" i="23"/>
  <c r="W178" i="23"/>
  <c r="X178" i="23"/>
  <c r="I178" i="23"/>
  <c r="BF178" i="24"/>
  <c r="AD179" i="23"/>
  <c r="AE179" i="23" s="1"/>
  <c r="AE6" i="23" s="1" a="1"/>
  <c r="AE6" i="23" s="1"/>
  <c r="BF179" i="24"/>
  <c r="BJ179" i="24" s="1"/>
  <c r="AK179" i="24"/>
  <c r="T179" i="23"/>
  <c r="U179" i="23" s="1"/>
  <c r="U6" i="23" s="1" a="1"/>
  <c r="U6" i="23" s="1"/>
  <c r="G179" i="23"/>
  <c r="H179" i="23" s="1"/>
  <c r="M184" i="24"/>
  <c r="BY17" i="24"/>
  <c r="BY52" i="24" a="1"/>
  <c r="BY52" i="24" s="1"/>
  <c r="CL43" i="24" s="1"/>
  <c r="BY51" i="24" a="1"/>
  <c r="BY51" i="24" s="1"/>
  <c r="BY25" i="24" a="1"/>
  <c r="BY25" i="24" s="1"/>
  <c r="BY26" i="24" a="1"/>
  <c r="BY26" i="24" s="1"/>
  <c r="CL18" i="24" s="1"/>
  <c r="BY38" i="24" a="1"/>
  <c r="BY38" i="24" s="1"/>
  <c r="BY39" i="24" a="1"/>
  <c r="BY39" i="24" s="1"/>
  <c r="CL28" i="24" s="1"/>
  <c r="BG178" i="24" l="1"/>
  <c r="BJ178" i="24"/>
  <c r="AL179" i="24"/>
  <c r="AO179" i="24"/>
  <c r="BH179" i="24"/>
  <c r="BG179" i="24"/>
  <c r="AM179" i="24"/>
  <c r="N179" i="23"/>
  <c r="L179" i="23"/>
  <c r="W179" i="23"/>
  <c r="I179" i="23"/>
  <c r="X179" i="23"/>
  <c r="AH179" i="23"/>
  <c r="AG179" i="23"/>
  <c r="J178" i="23"/>
  <c r="M178" i="23"/>
  <c r="K178" i="24"/>
  <c r="K6" i="24" a="1"/>
  <c r="K6" i="24" s="1"/>
  <c r="BH178" i="24"/>
  <c r="BF180" i="24"/>
  <c r="BJ180" i="24" s="1"/>
  <c r="AD180" i="23"/>
  <c r="AE180" i="23" s="1"/>
  <c r="K179" i="24"/>
  <c r="G180" i="23"/>
  <c r="H180" i="23" s="1"/>
  <c r="AK180" i="24"/>
  <c r="T180" i="23"/>
  <c r="U180" i="23" s="1"/>
  <c r="BY14" i="24" a="1"/>
  <c r="BY14" i="24" s="1"/>
  <c r="BY13" i="24" a="1"/>
  <c r="BY13" i="24" s="1"/>
  <c r="AL180" i="24" l="1"/>
  <c r="AO180" i="24"/>
  <c r="BH180" i="24"/>
  <c r="BG180" i="24"/>
  <c r="AM180" i="24"/>
  <c r="AH180" i="23"/>
  <c r="AG180" i="23"/>
  <c r="J179" i="23"/>
  <c r="M179" i="23"/>
  <c r="I180" i="23"/>
  <c r="W180" i="23"/>
  <c r="X180" i="23"/>
  <c r="L180" i="23"/>
  <c r="N180" i="23"/>
  <c r="AD181" i="23"/>
  <c r="AE181" i="23" s="1"/>
  <c r="BF181" i="24"/>
  <c r="BJ181" i="24" s="1"/>
  <c r="Y180" i="22"/>
  <c r="K180" i="24"/>
  <c r="J180" i="22"/>
  <c r="K180" i="22"/>
  <c r="G181" i="23"/>
  <c r="H181" i="23" s="1"/>
  <c r="F180" i="22"/>
  <c r="AK181" i="24"/>
  <c r="T181" i="23"/>
  <c r="U181" i="23" s="1"/>
  <c r="Q180" i="22"/>
  <c r="R180" i="22"/>
  <c r="AL181" i="24" l="1"/>
  <c r="AO181" i="24"/>
  <c r="BH181" i="24"/>
  <c r="BG181" i="24"/>
  <c r="AM181" i="24"/>
  <c r="AH181" i="23"/>
  <c r="AG181" i="23"/>
  <c r="X181" i="23"/>
  <c r="W181" i="23"/>
  <c r="I181" i="23"/>
  <c r="J180" i="23"/>
  <c r="M180" i="23"/>
  <c r="L181" i="23"/>
  <c r="N181" i="23"/>
  <c r="R181" i="22"/>
  <c r="F181" i="22"/>
  <c r="Q181" i="22"/>
  <c r="T182" i="23"/>
  <c r="U182" i="23" s="1"/>
  <c r="AK182" i="24"/>
  <c r="AD182" i="23"/>
  <c r="AE182" i="23" s="1"/>
  <c r="Y181" i="22"/>
  <c r="K181" i="24"/>
  <c r="J181" i="22"/>
  <c r="G182" i="23"/>
  <c r="H182" i="23" s="1"/>
  <c r="K181" i="22"/>
  <c r="H180" i="22"/>
  <c r="G180" i="22"/>
  <c r="AL182" i="24" l="1"/>
  <c r="AO182" i="24"/>
  <c r="AM182" i="24"/>
  <c r="J181" i="23"/>
  <c r="M181" i="23"/>
  <c r="L182" i="23"/>
  <c r="N182" i="23"/>
  <c r="X182" i="23"/>
  <c r="W182" i="23"/>
  <c r="I182" i="23"/>
  <c r="AH182" i="23"/>
  <c r="AG182" i="23"/>
  <c r="BF182" i="24"/>
  <c r="BJ182" i="24" s="1"/>
  <c r="AD183" i="23"/>
  <c r="AE183" i="23" s="1"/>
  <c r="Y182" i="22"/>
  <c r="R182" i="22"/>
  <c r="F182" i="22"/>
  <c r="T183" i="23"/>
  <c r="U183" i="23" s="1"/>
  <c r="AK183" i="24"/>
  <c r="Q182" i="22"/>
  <c r="K182" i="24"/>
  <c r="J182" i="22"/>
  <c r="K182" i="22"/>
  <c r="H183" i="23"/>
  <c r="G181" i="22"/>
  <c r="H181" i="22"/>
  <c r="AL183" i="24" l="1"/>
  <c r="AO183" i="24"/>
  <c r="BH182" i="24"/>
  <c r="BG182" i="24"/>
  <c r="AM183" i="24"/>
  <c r="J182" i="23"/>
  <c r="M182" i="23"/>
  <c r="AH183" i="23"/>
  <c r="AG183" i="23"/>
  <c r="N183" i="23"/>
  <c r="L183" i="23"/>
  <c r="I183" i="23"/>
  <c r="X183" i="23"/>
  <c r="W183" i="23"/>
  <c r="H182" i="22"/>
  <c r="G182" i="22"/>
  <c r="Q183" i="22"/>
  <c r="R183" i="22"/>
  <c r="F183" i="22"/>
  <c r="AK184" i="24"/>
  <c r="T184" i="23"/>
  <c r="U184" i="23" s="1"/>
  <c r="K183" i="24"/>
  <c r="J183" i="22"/>
  <c r="K183" i="22"/>
  <c r="H184" i="23"/>
  <c r="BF183" i="24"/>
  <c r="BJ183" i="24" s="1"/>
  <c r="AD184" i="23"/>
  <c r="AE184" i="23" s="1"/>
  <c r="Y183" i="22"/>
  <c r="AL184" i="24" l="1"/>
  <c r="AO184" i="24"/>
  <c r="BH183" i="24"/>
  <c r="BG183" i="24"/>
  <c r="AM184" i="24"/>
  <c r="N184" i="23"/>
  <c r="L184" i="23"/>
  <c r="X184" i="23"/>
  <c r="W184" i="23"/>
  <c r="I184" i="23"/>
  <c r="AM17" i="23" s="1"/>
  <c r="J183" i="23"/>
  <c r="M183" i="23"/>
  <c r="AH184" i="23"/>
  <c r="AG184" i="23"/>
  <c r="H183" i="22"/>
  <c r="G183" i="22"/>
  <c r="K184" i="24"/>
  <c r="J184" i="22"/>
  <c r="K184" i="22"/>
  <c r="AD46" i="22" s="1" a="1"/>
  <c r="AD46" i="22" s="1"/>
  <c r="BF184" i="24"/>
  <c r="BJ184" i="24" s="1"/>
  <c r="Y184" i="22"/>
  <c r="AD35" i="22" s="1" a="1"/>
  <c r="AD35" i="22" s="1"/>
  <c r="R184" i="22"/>
  <c r="AD24" i="22" s="1" a="1"/>
  <c r="AD24" i="22" s="1"/>
  <c r="Q184" i="22"/>
  <c r="F184" i="22"/>
  <c r="BH184" i="24" l="1"/>
  <c r="BG184" i="24"/>
  <c r="AM38" i="23" a="1"/>
  <c r="AM38" i="23" s="1"/>
  <c r="AM39" i="23" a="1"/>
  <c r="AM39" i="23" s="1"/>
  <c r="AZ28" i="23" s="1"/>
  <c r="AM18" i="23"/>
  <c r="BY18" i="24"/>
  <c r="AM26" i="23" a="1"/>
  <c r="AM26" i="23" s="1"/>
  <c r="AZ18" i="23" s="1"/>
  <c r="AM25" i="23" a="1"/>
  <c r="AM25" i="23" s="1"/>
  <c r="AM51" i="23" a="1"/>
  <c r="AM51" i="23" s="1"/>
  <c r="AM52" i="23" a="1"/>
  <c r="AM52" i="23" s="1"/>
  <c r="AZ43" i="23" s="1"/>
  <c r="J184" i="23"/>
  <c r="M184" i="23"/>
  <c r="AD36" i="22" a="1"/>
  <c r="AD36" i="22" s="1"/>
  <c r="AR28" i="22" s="1"/>
  <c r="AD38" i="22"/>
  <c r="AD27" i="22"/>
  <c r="AD25" i="22" a="1"/>
  <c r="AD25" i="22" s="1"/>
  <c r="AR18" i="22" s="1"/>
  <c r="AD49" i="22"/>
  <c r="AD47" i="22" a="1"/>
  <c r="AD47" i="22" s="1"/>
  <c r="AR38" i="22" s="1"/>
  <c r="G184" i="22"/>
  <c r="H184" i="22"/>
  <c r="AD13" i="22" s="1" a="1"/>
  <c r="AD13" i="22" s="1"/>
  <c r="S124" i="22" l="1"/>
  <c r="T124" i="22"/>
  <c r="S125" i="22"/>
  <c r="T125" i="22"/>
  <c r="AA125" i="22"/>
  <c r="Z125" i="22"/>
  <c r="AM14" i="23" a="1"/>
  <c r="AM14" i="23" s="1"/>
  <c r="AM13" i="23" a="1"/>
  <c r="AM13" i="23" s="1"/>
  <c r="BY41" i="24"/>
  <c r="AM41" i="23"/>
  <c r="BY28" i="24"/>
  <c r="AM28" i="23"/>
  <c r="BY54" i="24"/>
  <c r="AM54" i="23"/>
  <c r="T123" i="22"/>
  <c r="S123" i="22"/>
  <c r="Z124" i="22"/>
  <c r="AA124" i="22"/>
  <c r="AA123" i="22"/>
  <c r="Z123" i="22"/>
  <c r="Z47" i="22"/>
  <c r="AA47" i="22"/>
  <c r="Z36" i="22"/>
  <c r="AA36" i="22"/>
  <c r="AA54" i="22"/>
  <c r="AA18" i="22"/>
  <c r="Z31" i="22"/>
  <c r="Z43" i="22"/>
  <c r="Z49" i="22"/>
  <c r="Z61" i="22"/>
  <c r="AA32" i="22"/>
  <c r="Z9" i="22"/>
  <c r="Z15" i="22"/>
  <c r="Z21" i="22"/>
  <c r="Z33" i="22"/>
  <c r="Z45" i="22"/>
  <c r="Z57" i="22"/>
  <c r="AA9" i="22"/>
  <c r="AA15" i="22"/>
  <c r="AA21" i="22"/>
  <c r="AA33" i="22"/>
  <c r="AA39" i="22"/>
  <c r="AA45" i="22"/>
  <c r="AA51" i="22"/>
  <c r="AA57" i="22"/>
  <c r="Z10" i="22"/>
  <c r="Z16" i="22"/>
  <c r="Z22" i="22"/>
  <c r="Z28" i="22"/>
  <c r="Z34" i="22"/>
  <c r="Z40" i="22"/>
  <c r="Z46" i="22"/>
  <c r="Z52" i="22"/>
  <c r="Z58" i="22"/>
  <c r="Z29" i="22"/>
  <c r="Z41" i="22"/>
  <c r="Z59" i="22"/>
  <c r="AA29" i="22"/>
  <c r="AA35" i="22"/>
  <c r="AA41" i="22"/>
  <c r="AA59" i="22"/>
  <c r="Z54" i="22"/>
  <c r="Z48" i="22"/>
  <c r="AA27" i="22"/>
  <c r="AA30" i="22"/>
  <c r="Z51" i="22"/>
  <c r="AA37" i="22"/>
  <c r="AA31" i="22"/>
  <c r="Z27" i="22"/>
  <c r="Z50" i="22"/>
  <c r="Z11" i="22"/>
  <c r="Z53" i="22"/>
  <c r="Z35" i="22"/>
  <c r="AA10" i="22"/>
  <c r="Z17" i="22"/>
  <c r="AA50" i="22"/>
  <c r="AA38" i="22"/>
  <c r="AA25" i="22"/>
  <c r="Z30" i="22"/>
  <c r="Z18" i="22"/>
  <c r="AA60" i="22"/>
  <c r="AA20" i="22"/>
  <c r="AA26" i="22"/>
  <c r="AA19" i="22"/>
  <c r="AA17" i="22"/>
  <c r="AA42" i="22"/>
  <c r="AA58" i="22"/>
  <c r="AA8" i="22"/>
  <c r="AA14" i="22"/>
  <c r="AA13" i="22"/>
  <c r="Z39" i="22"/>
  <c r="Z37" i="22"/>
  <c r="Z23" i="22"/>
  <c r="Z25" i="22"/>
  <c r="AA53" i="22"/>
  <c r="Z19" i="22"/>
  <c r="AA44" i="22"/>
  <c r="Z12" i="22"/>
  <c r="AA12" i="22"/>
  <c r="AA52" i="22"/>
  <c r="Z55" i="22"/>
  <c r="AA46" i="22"/>
  <c r="Z44" i="22"/>
  <c r="Z42" i="22"/>
  <c r="AA40" i="22"/>
  <c r="Z38" i="22"/>
  <c r="AA34" i="22"/>
  <c r="Z26" i="22"/>
  <c r="Z56" i="22"/>
  <c r="AA22" i="22"/>
  <c r="Z32" i="22"/>
  <c r="AA23" i="22"/>
  <c r="AA28" i="22"/>
  <c r="Z20" i="22"/>
  <c r="AA61" i="22"/>
  <c r="Z13" i="22"/>
  <c r="Z60" i="22"/>
  <c r="AA11" i="22"/>
  <c r="AA16" i="22"/>
  <c r="Z14" i="22"/>
  <c r="AA55" i="22"/>
  <c r="AA48" i="22"/>
  <c r="Z24" i="22"/>
  <c r="Z8" i="22"/>
  <c r="AA49" i="22"/>
  <c r="AA43" i="22"/>
  <c r="AA56" i="22"/>
  <c r="AA24" i="22"/>
  <c r="T11" i="22"/>
  <c r="T23" i="22"/>
  <c r="T47" i="22"/>
  <c r="S18" i="22"/>
  <c r="S55" i="22"/>
  <c r="S30" i="22"/>
  <c r="T13" i="22"/>
  <c r="T25" i="22"/>
  <c r="T37" i="22"/>
  <c r="T49" i="22"/>
  <c r="T61" i="22"/>
  <c r="S19" i="22"/>
  <c r="T15" i="22"/>
  <c r="T51" i="22"/>
  <c r="S33" i="22"/>
  <c r="S11" i="22"/>
  <c r="T8" i="22"/>
  <c r="S14" i="22"/>
  <c r="S50" i="22"/>
  <c r="S23" i="22"/>
  <c r="S47" i="22"/>
  <c r="T20" i="22"/>
  <c r="T44" i="22"/>
  <c r="S26" i="22"/>
  <c r="S31" i="22"/>
  <c r="T55" i="22"/>
  <c r="S13" i="22"/>
  <c r="S25" i="22"/>
  <c r="S37" i="22"/>
  <c r="S38" i="22"/>
  <c r="T46" i="22"/>
  <c r="T58" i="22"/>
  <c r="S52" i="22"/>
  <c r="T42" i="22"/>
  <c r="T41" i="22"/>
  <c r="S17" i="22"/>
  <c r="S44" i="22"/>
  <c r="T30" i="22"/>
  <c r="T59" i="22"/>
  <c r="S40" i="22"/>
  <c r="T56" i="22"/>
  <c r="S20" i="22"/>
  <c r="T14" i="22"/>
  <c r="S56" i="22"/>
  <c r="S28" i="22"/>
  <c r="S48" i="22"/>
  <c r="T32" i="22"/>
  <c r="S45" i="22"/>
  <c r="T38" i="22"/>
  <c r="T31" i="22"/>
  <c r="S60" i="22"/>
  <c r="S16" i="22"/>
  <c r="T43" i="22"/>
  <c r="S36" i="22"/>
  <c r="T40" i="22"/>
  <c r="T18" i="22"/>
  <c r="T48" i="22"/>
  <c r="S42" i="22"/>
  <c r="T34" i="22"/>
  <c r="S51" i="22"/>
  <c r="T19" i="22"/>
  <c r="S24" i="22"/>
  <c r="T26" i="22"/>
  <c r="S53" i="22"/>
  <c r="T52" i="22"/>
  <c r="T28" i="22"/>
  <c r="T57" i="22"/>
  <c r="T27" i="22"/>
  <c r="T17" i="22"/>
  <c r="S58" i="22"/>
  <c r="T35" i="22"/>
  <c r="T16" i="22"/>
  <c r="S32" i="22"/>
  <c r="T60" i="22"/>
  <c r="T22" i="22"/>
  <c r="S39" i="22"/>
  <c r="S12" i="22"/>
  <c r="S57" i="22"/>
  <c r="S29" i="22"/>
  <c r="S15" i="22"/>
  <c r="S49" i="22"/>
  <c r="S22" i="22"/>
  <c r="T24" i="22"/>
  <c r="T10" i="22"/>
  <c r="S27" i="22"/>
  <c r="T54" i="22"/>
  <c r="S41" i="22"/>
  <c r="S61" i="22"/>
  <c r="T39" i="22"/>
  <c r="S10" i="22"/>
  <c r="S21" i="22"/>
  <c r="T45" i="22"/>
  <c r="S59" i="22"/>
  <c r="T50" i="22"/>
  <c r="S43" i="22"/>
  <c r="S9" i="22"/>
  <c r="T33" i="22"/>
  <c r="S35" i="22"/>
  <c r="S46" i="22"/>
  <c r="T12" i="22"/>
  <c r="S8" i="22"/>
  <c r="T36" i="22"/>
  <c r="S54" i="22"/>
  <c r="T21" i="22"/>
  <c r="T53" i="22"/>
  <c r="S34" i="22"/>
  <c r="T9" i="22"/>
  <c r="T29" i="22"/>
  <c r="AD16" i="22"/>
  <c r="AD14" i="22" a="1"/>
  <c r="AD14" i="22" s="1"/>
  <c r="S62" i="22"/>
  <c r="S67" i="22"/>
  <c r="T74" i="22"/>
  <c r="S80" i="22"/>
  <c r="T85" i="22"/>
  <c r="S93" i="22"/>
  <c r="T97" i="22"/>
  <c r="S104" i="22"/>
  <c r="S111" i="22"/>
  <c r="S116" i="22"/>
  <c r="S122" i="22"/>
  <c r="T116" i="22"/>
  <c r="T110" i="22"/>
  <c r="T122" i="22"/>
  <c r="T87" i="22"/>
  <c r="T82" i="22"/>
  <c r="T78" i="22"/>
  <c r="S68" i="22"/>
  <c r="S115" i="22"/>
  <c r="T62" i="22"/>
  <c r="T67" i="22"/>
  <c r="S74" i="22"/>
  <c r="T80" i="22"/>
  <c r="S85" i="22"/>
  <c r="S92" i="22"/>
  <c r="T98" i="22"/>
  <c r="T104" i="22"/>
  <c r="T111" i="22"/>
  <c r="S69" i="22"/>
  <c r="T99" i="22"/>
  <c r="T94" i="22"/>
  <c r="T106" i="22"/>
  <c r="T101" i="22"/>
  <c r="T90" i="22"/>
  <c r="S84" i="22"/>
  <c r="T108" i="22"/>
  <c r="T103" i="22"/>
  <c r="S103" i="22"/>
  <c r="S63" i="22"/>
  <c r="T69" i="22"/>
  <c r="S75" i="22"/>
  <c r="S81" i="22"/>
  <c r="S87" i="22"/>
  <c r="T93" i="22"/>
  <c r="S100" i="22"/>
  <c r="T105" i="22"/>
  <c r="S117" i="22"/>
  <c r="T81" i="22"/>
  <c r="T92" i="22"/>
  <c r="S105" i="22"/>
  <c r="T117" i="22"/>
  <c r="S88" i="22"/>
  <c r="T112" i="22"/>
  <c r="T88" i="22"/>
  <c r="T100" i="22"/>
  <c r="S101" i="22"/>
  <c r="T120" i="22"/>
  <c r="S90" i="22"/>
  <c r="T115" i="22"/>
  <c r="S79" i="22"/>
  <c r="T63" i="22"/>
  <c r="T75" i="22"/>
  <c r="S110" i="22"/>
  <c r="T118" i="22"/>
  <c r="T107" i="22"/>
  <c r="T119" i="22"/>
  <c r="S102" i="22"/>
  <c r="T96" i="22"/>
  <c r="S97" i="22"/>
  <c r="S91" i="22"/>
  <c r="S64" i="22"/>
  <c r="S70" i="22"/>
  <c r="T76" i="22"/>
  <c r="S82" i="22"/>
  <c r="S99" i="22"/>
  <c r="S118" i="22"/>
  <c r="S94" i="22"/>
  <c r="S106" i="22"/>
  <c r="T89" i="22"/>
  <c r="S113" i="22"/>
  <c r="T83" i="22"/>
  <c r="T113" i="22"/>
  <c r="S108" i="22"/>
  <c r="T102" i="22"/>
  <c r="T91" i="22"/>
  <c r="T86" i="22"/>
  <c r="T64" i="22"/>
  <c r="T70" i="22"/>
  <c r="S76" i="22"/>
  <c r="S112" i="22"/>
  <c r="S107" i="22"/>
  <c r="S96" i="22"/>
  <c r="T114" i="22"/>
  <c r="S121" i="22"/>
  <c r="S73" i="22"/>
  <c r="S65" i="22"/>
  <c r="T71" i="22"/>
  <c r="T77" i="22"/>
  <c r="T84" i="22"/>
  <c r="S95" i="22"/>
  <c r="S119" i="22"/>
  <c r="S78" i="22"/>
  <c r="T121" i="22"/>
  <c r="S66" i="22"/>
  <c r="T72" i="22"/>
  <c r="S77" i="22"/>
  <c r="T95" i="22"/>
  <c r="S114" i="22"/>
  <c r="S83" i="22"/>
  <c r="T109" i="22"/>
  <c r="S98" i="22"/>
  <c r="T66" i="22"/>
  <c r="S71" i="22"/>
  <c r="S89" i="22"/>
  <c r="S120" i="22"/>
  <c r="S86" i="22"/>
  <c r="S109" i="22"/>
  <c r="T65" i="22"/>
  <c r="S72" i="22"/>
  <c r="T68" i="22"/>
  <c r="T73" i="22"/>
  <c r="T79" i="22"/>
  <c r="Z62" i="22"/>
  <c r="Z68" i="22"/>
  <c r="Z74" i="22"/>
  <c r="Z80" i="22"/>
  <c r="Z86" i="22"/>
  <c r="AA92" i="22"/>
  <c r="AA98" i="22"/>
  <c r="Z104" i="22"/>
  <c r="AA110" i="22"/>
  <c r="AA116" i="22"/>
  <c r="AA122" i="22"/>
  <c r="AA81" i="22"/>
  <c r="AA88" i="22"/>
  <c r="Z117" i="22"/>
  <c r="Z100" i="22"/>
  <c r="AA107" i="22"/>
  <c r="AA96" i="22"/>
  <c r="AA73" i="22"/>
  <c r="AA62" i="22"/>
  <c r="AA68" i="22"/>
  <c r="AA74" i="22"/>
  <c r="AA80" i="22"/>
  <c r="AA86" i="22"/>
  <c r="Z92" i="22"/>
  <c r="Z98" i="22"/>
  <c r="AA104" i="22"/>
  <c r="Z110" i="22"/>
  <c r="Z115" i="22"/>
  <c r="AA121" i="22"/>
  <c r="AA75" i="22"/>
  <c r="Z99" i="22"/>
  <c r="Z105" i="22"/>
  <c r="Z107" i="22"/>
  <c r="AA101" i="22"/>
  <c r="AA90" i="22"/>
  <c r="Z103" i="22"/>
  <c r="AA91" i="22"/>
  <c r="AA103" i="22"/>
  <c r="AA63" i="22"/>
  <c r="Z69" i="22"/>
  <c r="Z75" i="22"/>
  <c r="Z81" i="22"/>
  <c r="Z87" i="22"/>
  <c r="Z93" i="22"/>
  <c r="AA99" i="22"/>
  <c r="Z106" i="22"/>
  <c r="AA111" i="22"/>
  <c r="AA117" i="22"/>
  <c r="AA94" i="22"/>
  <c r="AA106" i="22"/>
  <c r="Z118" i="22"/>
  <c r="Z101" i="22"/>
  <c r="AA112" i="22"/>
  <c r="Z114" i="22"/>
  <c r="AA83" i="22"/>
  <c r="AA114" i="22"/>
  <c r="AA115" i="22"/>
  <c r="Z85" i="22"/>
  <c r="Z63" i="22"/>
  <c r="AA69" i="22"/>
  <c r="AA87" i="22"/>
  <c r="Z112" i="22"/>
  <c r="AA118" i="22"/>
  <c r="Z94" i="22"/>
  <c r="Z111" i="22"/>
  <c r="Z113" i="22"/>
  <c r="AA113" i="22"/>
  <c r="AA97" i="22"/>
  <c r="AA109" i="22"/>
  <c r="Z116" i="22"/>
  <c r="AA64" i="22"/>
  <c r="Z70" i="22"/>
  <c r="Z76" i="22"/>
  <c r="AA82" i="22"/>
  <c r="Z88" i="22"/>
  <c r="AA93" i="22"/>
  <c r="AA105" i="22"/>
  <c r="Z119" i="22"/>
  <c r="AA85" i="22"/>
  <c r="Z109" i="22"/>
  <c r="Z64" i="22"/>
  <c r="AA70" i="22"/>
  <c r="Z77" i="22"/>
  <c r="Z82" i="22"/>
  <c r="AA100" i="22"/>
  <c r="Z120" i="22"/>
  <c r="AA119" i="22"/>
  <c r="Z89" i="22"/>
  <c r="Z121" i="22"/>
  <c r="Z97" i="22"/>
  <c r="Z65" i="22"/>
  <c r="AA71" i="22"/>
  <c r="AA77" i="22"/>
  <c r="Z83" i="22"/>
  <c r="Z90" i="22"/>
  <c r="Z95" i="22"/>
  <c r="Z79" i="22"/>
  <c r="AA65" i="22"/>
  <c r="AA72" i="22"/>
  <c r="AA76" i="22"/>
  <c r="AA84" i="22"/>
  <c r="AA89" i="22"/>
  <c r="AA95" i="22"/>
  <c r="Z102" i="22"/>
  <c r="Z84" i="22"/>
  <c r="Z66" i="22"/>
  <c r="Z71" i="22"/>
  <c r="Z78" i="22"/>
  <c r="Z108" i="22"/>
  <c r="AA108" i="22"/>
  <c r="Z96" i="22"/>
  <c r="Z91" i="22"/>
  <c r="AA66" i="22"/>
  <c r="Z72" i="22"/>
  <c r="AA79" i="22"/>
  <c r="AA120" i="22"/>
  <c r="Z67" i="22"/>
  <c r="AA67" i="22"/>
  <c r="Z73" i="22"/>
  <c r="AA78" i="22"/>
  <c r="AA102" i="22"/>
  <c r="Z122" i="22"/>
  <c r="P125" i="23" l="1"/>
  <c r="O126" i="23"/>
  <c r="O125" i="23"/>
  <c r="P126" i="23"/>
  <c r="M122" i="22"/>
  <c r="L122" i="22"/>
  <c r="L123" i="22"/>
  <c r="M123" i="22"/>
  <c r="L124" i="22"/>
  <c r="M124" i="22"/>
  <c r="AF160" i="24"/>
  <c r="AE123" i="24"/>
  <c r="AF134" i="24"/>
  <c r="AF180" i="24"/>
  <c r="AF119" i="24"/>
  <c r="AF176" i="24"/>
  <c r="AF39" i="24"/>
  <c r="AE23" i="24"/>
  <c r="AE56" i="24"/>
  <c r="AF183" i="24"/>
  <c r="AE173" i="24"/>
  <c r="AE122" i="24"/>
  <c r="AE145" i="24"/>
  <c r="AE168" i="24"/>
  <c r="AE179" i="24"/>
  <c r="AE178" i="24"/>
  <c r="AF165" i="24"/>
  <c r="AE164" i="24"/>
  <c r="AE151" i="24"/>
  <c r="AE150" i="24"/>
  <c r="AE41" i="24"/>
  <c r="AF42" i="24"/>
  <c r="AF16" i="24"/>
  <c r="AE39" i="24"/>
  <c r="AF54" i="24"/>
  <c r="AE25" i="24"/>
  <c r="AF24" i="24"/>
  <c r="AF23" i="24"/>
  <c r="AE33" i="24"/>
  <c r="AF56" i="24"/>
  <c r="AE49" i="24"/>
  <c r="AE31" i="24"/>
  <c r="AE183" i="24"/>
  <c r="AF173" i="24"/>
  <c r="AF122" i="24"/>
  <c r="AF145" i="24"/>
  <c r="AF168" i="24"/>
  <c r="AF179" i="24"/>
  <c r="AF178" i="24"/>
  <c r="AE165" i="24"/>
  <c r="AF164" i="24"/>
  <c r="AF151" i="24"/>
  <c r="AF150" i="24"/>
  <c r="AF41" i="24"/>
  <c r="AF25" i="24"/>
  <c r="AE12" i="24"/>
  <c r="AE11" i="24"/>
  <c r="AE46" i="24"/>
  <c r="AF21" i="24"/>
  <c r="AE44" i="24"/>
  <c r="AF49" i="24"/>
  <c r="AF31" i="24"/>
  <c r="AF171" i="24"/>
  <c r="AE182" i="24"/>
  <c r="AE161" i="24"/>
  <c r="AE133" i="24"/>
  <c r="AE156" i="24"/>
  <c r="AE167" i="24"/>
  <c r="AE166" i="24"/>
  <c r="AF153" i="24"/>
  <c r="AE152" i="24"/>
  <c r="AE139" i="24"/>
  <c r="AE138" i="24"/>
  <c r="AE52" i="24"/>
  <c r="AF27" i="24"/>
  <c r="AE50" i="24"/>
  <c r="AF12" i="24"/>
  <c r="AF11" i="24"/>
  <c r="AF46" i="24"/>
  <c r="AE21" i="24"/>
  <c r="AF44" i="24"/>
  <c r="AE171" i="24"/>
  <c r="AF182" i="24"/>
  <c r="AF161" i="24"/>
  <c r="AF133" i="24"/>
  <c r="AF156" i="24"/>
  <c r="AF167" i="24"/>
  <c r="AF166" i="24"/>
  <c r="AE153" i="24"/>
  <c r="AF152" i="24"/>
  <c r="AF139" i="24"/>
  <c r="AF138" i="24"/>
  <c r="AE29" i="24"/>
  <c r="AF52" i="24"/>
  <c r="AE27" i="24"/>
  <c r="AF50" i="24"/>
  <c r="AE34" i="24"/>
  <c r="AE32" i="24"/>
  <c r="AE19" i="24"/>
  <c r="AF159" i="24"/>
  <c r="AE170" i="24"/>
  <c r="AE136" i="24"/>
  <c r="AE121" i="24"/>
  <c r="AE144" i="24"/>
  <c r="AE155" i="24"/>
  <c r="AE154" i="24"/>
  <c r="AF141" i="24"/>
  <c r="AE140" i="24"/>
  <c r="AE127" i="24"/>
  <c r="AE126" i="24"/>
  <c r="AF29" i="24"/>
  <c r="AE38" i="24"/>
  <c r="AE60" i="24"/>
  <c r="AE13" i="24"/>
  <c r="AF34" i="24"/>
  <c r="AE61" i="24"/>
  <c r="AF9" i="24"/>
  <c r="AF32" i="24"/>
  <c r="AF19" i="24"/>
  <c r="AF136" i="24"/>
  <c r="AF144" i="24"/>
  <c r="AF154" i="24"/>
  <c r="AF140" i="24"/>
  <c r="AF126" i="24"/>
  <c r="BH6" i="24" s="1" a="1"/>
  <c r="BH6" i="24" s="1"/>
  <c r="AE17" i="24"/>
  <c r="AE18" i="24"/>
  <c r="AF15" i="24"/>
  <c r="AF38" i="24"/>
  <c r="AF13" i="24"/>
  <c r="AF61" i="24"/>
  <c r="AE20" i="24"/>
  <c r="AE159" i="24"/>
  <c r="AF170" i="24"/>
  <c r="AF121" i="24"/>
  <c r="AF155" i="24"/>
  <c r="AE141" i="24"/>
  <c r="AF127" i="24"/>
  <c r="AE40" i="24"/>
  <c r="AF60" i="24"/>
  <c r="AE9" i="24"/>
  <c r="AE184" i="24"/>
  <c r="AF147" i="24"/>
  <c r="AE158" i="24"/>
  <c r="AE181" i="24"/>
  <c r="AE125" i="24"/>
  <c r="AE132" i="24"/>
  <c r="AE143" i="24"/>
  <c r="AE142" i="24"/>
  <c r="AF129" i="24"/>
  <c r="AE128" i="24"/>
  <c r="AE149" i="24"/>
  <c r="AE30" i="24"/>
  <c r="AF17" i="24"/>
  <c r="AF40" i="24"/>
  <c r="AF18" i="24"/>
  <c r="AE15" i="24"/>
  <c r="AE26" i="24"/>
  <c r="AE47" i="24"/>
  <c r="AE22" i="24"/>
  <c r="AF57" i="24"/>
  <c r="AF20" i="24"/>
  <c r="AF184" i="24"/>
  <c r="AE147" i="24"/>
  <c r="AF158" i="24"/>
  <c r="AF181" i="24"/>
  <c r="AF125" i="24"/>
  <c r="AF132" i="24"/>
  <c r="AF143" i="24"/>
  <c r="AF142" i="24"/>
  <c r="AE129" i="24"/>
  <c r="AF128" i="24"/>
  <c r="AF149" i="24"/>
  <c r="AF30" i="24"/>
  <c r="AF26" i="24"/>
  <c r="AE48" i="24"/>
  <c r="AE59" i="24"/>
  <c r="AF47" i="24"/>
  <c r="AF22" i="24"/>
  <c r="AE57" i="24"/>
  <c r="AE37" i="24"/>
  <c r="AE55" i="24"/>
  <c r="AE172" i="24"/>
  <c r="AF135" i="24"/>
  <c r="AE146" i="24"/>
  <c r="AE169" i="24"/>
  <c r="AE148" i="24"/>
  <c r="AE120" i="24"/>
  <c r="AE131" i="24"/>
  <c r="AE130" i="24"/>
  <c r="AE137" i="24"/>
  <c r="AE175" i="24"/>
  <c r="AE174" i="24"/>
  <c r="AE28" i="24"/>
  <c r="AE14" i="24"/>
  <c r="AF48" i="24"/>
  <c r="AF59" i="24"/>
  <c r="AE10" i="24"/>
  <c r="AF37" i="24"/>
  <c r="AE8" i="24"/>
  <c r="AF55" i="24"/>
  <c r="AF172" i="24"/>
  <c r="AE135" i="24"/>
  <c r="AF146" i="24"/>
  <c r="AF169" i="24"/>
  <c r="AF148" i="24"/>
  <c r="AF120" i="24"/>
  <c r="AF131" i="24"/>
  <c r="AF130" i="24"/>
  <c r="AF137" i="24"/>
  <c r="AF175" i="24"/>
  <c r="AF174" i="24"/>
  <c r="AE53" i="24"/>
  <c r="AF28" i="24"/>
  <c r="AF51" i="24"/>
  <c r="AF14" i="24"/>
  <c r="AE36" i="24"/>
  <c r="AE35" i="24"/>
  <c r="AF10" i="24"/>
  <c r="AF45" i="24"/>
  <c r="AF8" i="24"/>
  <c r="AE43" i="24"/>
  <c r="AE160" i="24"/>
  <c r="AF123" i="24"/>
  <c r="AE134" i="24"/>
  <c r="AE157" i="24"/>
  <c r="AE180" i="24"/>
  <c r="AE124" i="24"/>
  <c r="AE119" i="24"/>
  <c r="AF177" i="24"/>
  <c r="AE176" i="24"/>
  <c r="AE163" i="24"/>
  <c r="AE162" i="24"/>
  <c r="AF53" i="24"/>
  <c r="AE51" i="24"/>
  <c r="AF36" i="24"/>
  <c r="AF35" i="24"/>
  <c r="AE58" i="24"/>
  <c r="AE45" i="24"/>
  <c r="AF43" i="24"/>
  <c r="AF157" i="24"/>
  <c r="AF124" i="24"/>
  <c r="AE177" i="24"/>
  <c r="AF163" i="24"/>
  <c r="AF162" i="24"/>
  <c r="AE42" i="24"/>
  <c r="AE16" i="24"/>
  <c r="AE54" i="24"/>
  <c r="AE24" i="24"/>
  <c r="AF58" i="24"/>
  <c r="AF33" i="24"/>
  <c r="AZ125" i="24"/>
  <c r="AZ131" i="24"/>
  <c r="AZ137" i="24"/>
  <c r="AZ143" i="24"/>
  <c r="AZ149" i="24"/>
  <c r="AZ155" i="24"/>
  <c r="AZ161" i="24"/>
  <c r="AZ167" i="24"/>
  <c r="AZ173" i="24"/>
  <c r="AZ179" i="24"/>
  <c r="BA125" i="24"/>
  <c r="BA131" i="24"/>
  <c r="BA137" i="24"/>
  <c r="BA143" i="24"/>
  <c r="BA149" i="24"/>
  <c r="BA155" i="24"/>
  <c r="BA161" i="24"/>
  <c r="BA167" i="24"/>
  <c r="BA173" i="24"/>
  <c r="BA179" i="24"/>
  <c r="AZ126" i="24"/>
  <c r="BR6" i="24" s="1" a="1"/>
  <c r="BR6" i="24" s="1"/>
  <c r="AZ132" i="24"/>
  <c r="AZ138" i="24"/>
  <c r="AZ144" i="24"/>
  <c r="AZ150" i="24"/>
  <c r="AZ156" i="24"/>
  <c r="AZ162" i="24"/>
  <c r="AZ168" i="24"/>
  <c r="AZ174" i="24"/>
  <c r="AZ180" i="24"/>
  <c r="BA126" i="24"/>
  <c r="BA132" i="24"/>
  <c r="BA138" i="24"/>
  <c r="BA144" i="24"/>
  <c r="BA150" i="24"/>
  <c r="BA156" i="24"/>
  <c r="BA162" i="24"/>
  <c r="BA168" i="24"/>
  <c r="BA174" i="24"/>
  <c r="BA180" i="24"/>
  <c r="AZ127" i="24"/>
  <c r="AZ133" i="24"/>
  <c r="AZ139" i="24"/>
  <c r="AZ145" i="24"/>
  <c r="AZ151" i="24"/>
  <c r="AZ157" i="24"/>
  <c r="AZ163" i="24"/>
  <c r="AZ169" i="24"/>
  <c r="AZ175" i="24"/>
  <c r="AZ181" i="24"/>
  <c r="BA127" i="24"/>
  <c r="BA133" i="24"/>
  <c r="BA139" i="24"/>
  <c r="BA145" i="24"/>
  <c r="BA151" i="24"/>
  <c r="BA157" i="24"/>
  <c r="BA163" i="24"/>
  <c r="BA169" i="24"/>
  <c r="BA175" i="24"/>
  <c r="BA181" i="24"/>
  <c r="AZ128" i="24"/>
  <c r="AZ134" i="24"/>
  <c r="AZ140" i="24"/>
  <c r="AZ146" i="24"/>
  <c r="AZ152" i="24"/>
  <c r="AZ158" i="24"/>
  <c r="AZ164" i="24"/>
  <c r="AZ170" i="24"/>
  <c r="AZ176" i="24"/>
  <c r="AZ182" i="24"/>
  <c r="BA160" i="24"/>
  <c r="BA172" i="24"/>
  <c r="BA184" i="24"/>
  <c r="BA128" i="24"/>
  <c r="BA134" i="24"/>
  <c r="BA140" i="24"/>
  <c r="BA146" i="24"/>
  <c r="BA152" i="24"/>
  <c r="BA158" i="24"/>
  <c r="BA164" i="24"/>
  <c r="BA170" i="24"/>
  <c r="BA176" i="24"/>
  <c r="BA182" i="24"/>
  <c r="AZ129" i="24"/>
  <c r="AZ135" i="24"/>
  <c r="AZ141" i="24"/>
  <c r="AZ147" i="24"/>
  <c r="AZ153" i="24"/>
  <c r="AZ159" i="24"/>
  <c r="AZ165" i="24"/>
  <c r="AZ171" i="24"/>
  <c r="AZ177" i="24"/>
  <c r="AZ183" i="24"/>
  <c r="BA130" i="24"/>
  <c r="BA129" i="24"/>
  <c r="BA135" i="24"/>
  <c r="BA141" i="24"/>
  <c r="BA147" i="24"/>
  <c r="BA153" i="24"/>
  <c r="BA159" i="24"/>
  <c r="BA165" i="24"/>
  <c r="BA171" i="24"/>
  <c r="BA177" i="24"/>
  <c r="BA183" i="24"/>
  <c r="BA136" i="24"/>
  <c r="BA142" i="24"/>
  <c r="BA148" i="24"/>
  <c r="BA154" i="24"/>
  <c r="BA166" i="24"/>
  <c r="BA178" i="24"/>
  <c r="AZ130" i="24"/>
  <c r="AZ136" i="24"/>
  <c r="AZ142" i="24"/>
  <c r="AZ148" i="24"/>
  <c r="AZ154" i="24"/>
  <c r="AZ160" i="24"/>
  <c r="AZ166" i="24"/>
  <c r="AZ172" i="24"/>
  <c r="AZ178" i="24"/>
  <c r="AZ184" i="24"/>
  <c r="AZ123" i="24"/>
  <c r="AZ122" i="24"/>
  <c r="AZ121" i="24"/>
  <c r="BA33" i="24"/>
  <c r="AZ10" i="24"/>
  <c r="BA43" i="24"/>
  <c r="BA42" i="24"/>
  <c r="BA41" i="24"/>
  <c r="BA28" i="24"/>
  <c r="AZ26" i="24"/>
  <c r="BA49" i="24"/>
  <c r="BA60" i="24"/>
  <c r="AZ23" i="24"/>
  <c r="BA123" i="24"/>
  <c r="BA122" i="24"/>
  <c r="BA121" i="24"/>
  <c r="AZ33" i="24"/>
  <c r="BA10" i="24"/>
  <c r="AZ8" i="24"/>
  <c r="AZ30" i="24"/>
  <c r="AZ29" i="24"/>
  <c r="BA26" i="24"/>
  <c r="AZ37" i="24"/>
  <c r="AZ48" i="24"/>
  <c r="BA23" i="24"/>
  <c r="AZ56" i="24"/>
  <c r="BA8" i="24"/>
  <c r="AZ31" i="24"/>
  <c r="BA30" i="24"/>
  <c r="BA29" i="24"/>
  <c r="AZ16" i="24"/>
  <c r="BA51" i="24"/>
  <c r="BA37" i="24"/>
  <c r="BA48" i="24"/>
  <c r="AZ120" i="24"/>
  <c r="BA21" i="24"/>
  <c r="BA56" i="24"/>
  <c r="BA31" i="24"/>
  <c r="AZ18" i="24"/>
  <c r="AZ17" i="24"/>
  <c r="BA16" i="24"/>
  <c r="AZ51" i="24"/>
  <c r="AZ14" i="24"/>
  <c r="AZ25" i="24"/>
  <c r="AZ36" i="24"/>
  <c r="AZ11" i="24"/>
  <c r="BA120" i="24"/>
  <c r="AZ21" i="24"/>
  <c r="AZ44" i="24"/>
  <c r="BA18" i="24"/>
  <c r="BA17" i="24"/>
  <c r="BA39" i="24"/>
  <c r="BA14" i="24"/>
  <c r="BA25" i="24"/>
  <c r="BA36" i="24"/>
  <c r="AZ59" i="24"/>
  <c r="BA11" i="24"/>
  <c r="BA22" i="24"/>
  <c r="BA9" i="24"/>
  <c r="BA19" i="24"/>
  <c r="BA27" i="24"/>
  <c r="AZ50" i="24"/>
  <c r="BA13" i="24"/>
  <c r="BA24" i="24"/>
  <c r="AZ22" i="24"/>
  <c r="BA44" i="24"/>
  <c r="AZ19" i="24"/>
  <c r="AZ39" i="24"/>
  <c r="AZ13" i="24"/>
  <c r="AZ24" i="24"/>
  <c r="BA59" i="24"/>
  <c r="AZ46" i="24"/>
  <c r="AZ47" i="24"/>
  <c r="BA57" i="24"/>
  <c r="AZ9" i="24"/>
  <c r="AZ32" i="24"/>
  <c r="BA46" i="24"/>
  <c r="AZ52" i="24"/>
  <c r="AZ27" i="24"/>
  <c r="BA50" i="24"/>
  <c r="AZ12" i="24"/>
  <c r="BA47" i="24"/>
  <c r="AZ124" i="24"/>
  <c r="AZ57" i="24"/>
  <c r="BA32" i="24"/>
  <c r="AZ55" i="24"/>
  <c r="BA52" i="24"/>
  <c r="BA15" i="24"/>
  <c r="BA12" i="24"/>
  <c r="BA124" i="24"/>
  <c r="BA45" i="24"/>
  <c r="BA55" i="24"/>
  <c r="AZ54" i="24"/>
  <c r="AZ53" i="24"/>
  <c r="AZ40" i="24"/>
  <c r="AZ15" i="24"/>
  <c r="AZ38" i="24"/>
  <c r="AZ61" i="24"/>
  <c r="AZ35" i="24"/>
  <c r="AZ45" i="24"/>
  <c r="AZ58" i="24"/>
  <c r="AZ20" i="24"/>
  <c r="AZ34" i="24"/>
  <c r="BA54" i="24"/>
  <c r="BA53" i="24"/>
  <c r="BA40" i="24"/>
  <c r="BA38" i="24"/>
  <c r="BA61" i="24"/>
  <c r="BA35" i="24"/>
  <c r="BA58" i="24"/>
  <c r="BA20" i="24"/>
  <c r="AZ43" i="24"/>
  <c r="BA34" i="24"/>
  <c r="AZ42" i="24"/>
  <c r="AZ41" i="24"/>
  <c r="AZ28" i="24"/>
  <c r="AZ49" i="24"/>
  <c r="AZ60" i="24"/>
  <c r="BV8" i="24"/>
  <c r="BV20" i="24"/>
  <c r="BV32" i="24"/>
  <c r="BV44" i="24"/>
  <c r="BV56" i="24"/>
  <c r="BV68" i="24"/>
  <c r="BU18" i="24"/>
  <c r="BU30" i="24"/>
  <c r="BU42" i="24"/>
  <c r="BU54" i="24"/>
  <c r="BV9" i="24"/>
  <c r="BV21" i="24"/>
  <c r="BV33" i="24"/>
  <c r="BV45" i="24"/>
  <c r="BV57" i="24"/>
  <c r="BV69" i="24"/>
  <c r="BU19" i="24"/>
  <c r="BU31" i="24"/>
  <c r="BU43" i="24"/>
  <c r="BU55" i="24"/>
  <c r="BV10" i="24"/>
  <c r="BV22" i="24"/>
  <c r="BV34" i="24"/>
  <c r="BV46" i="24"/>
  <c r="BV58" i="24"/>
  <c r="BU8" i="24"/>
  <c r="BU20" i="24"/>
  <c r="BU32" i="24"/>
  <c r="BU44" i="24"/>
  <c r="BU56" i="24"/>
  <c r="BV11" i="24"/>
  <c r="BV23" i="24"/>
  <c r="BV35" i="24"/>
  <c r="BV47" i="24"/>
  <c r="BV59" i="24"/>
  <c r="BU9" i="24"/>
  <c r="BU21" i="24"/>
  <c r="BU33" i="24"/>
  <c r="BU45" i="24"/>
  <c r="BU57" i="24"/>
  <c r="BV12" i="24"/>
  <c r="BV24" i="24"/>
  <c r="BV36" i="24"/>
  <c r="BV48" i="24"/>
  <c r="BV60" i="24"/>
  <c r="BU10" i="24"/>
  <c r="BU22" i="24"/>
  <c r="BU34" i="24"/>
  <c r="BU46" i="24"/>
  <c r="BU58" i="24"/>
  <c r="BV13" i="24"/>
  <c r="BV25" i="24"/>
  <c r="BV37" i="24"/>
  <c r="BV49" i="24"/>
  <c r="BV61" i="24"/>
  <c r="BU11" i="24"/>
  <c r="BU23" i="24"/>
  <c r="BU35" i="24"/>
  <c r="BU47" i="24"/>
  <c r="BU59" i="24"/>
  <c r="BV67" i="24"/>
  <c r="BV14" i="24"/>
  <c r="BV26" i="24"/>
  <c r="BV38" i="24"/>
  <c r="BV50" i="24"/>
  <c r="BV62" i="24"/>
  <c r="BU12" i="24"/>
  <c r="BU24" i="24"/>
  <c r="BU36" i="24"/>
  <c r="BU48" i="24"/>
  <c r="BU60" i="24"/>
  <c r="BV31" i="24"/>
  <c r="BV55" i="24"/>
  <c r="BU41" i="24"/>
  <c r="BV15" i="24"/>
  <c r="BV27" i="24"/>
  <c r="BV39" i="24"/>
  <c r="BV51" i="24"/>
  <c r="BV63" i="24"/>
  <c r="BU13" i="24"/>
  <c r="BU25" i="24"/>
  <c r="BU37" i="24"/>
  <c r="BU49" i="24"/>
  <c r="BU61" i="24"/>
  <c r="BV16" i="24"/>
  <c r="BV28" i="24"/>
  <c r="BV40" i="24"/>
  <c r="BV52" i="24"/>
  <c r="BV64" i="24"/>
  <c r="BU14" i="24"/>
  <c r="BU26" i="24"/>
  <c r="BU38" i="24"/>
  <c r="BU50" i="24"/>
  <c r="BU62" i="24"/>
  <c r="BV17" i="24"/>
  <c r="BV29" i="24"/>
  <c r="BV41" i="24"/>
  <c r="BV53" i="24"/>
  <c r="BV65" i="24"/>
  <c r="BU15" i="24"/>
  <c r="BU27" i="24"/>
  <c r="BU39" i="24"/>
  <c r="BU51" i="24"/>
  <c r="BU63" i="24"/>
  <c r="BV19" i="24"/>
  <c r="BV43" i="24"/>
  <c r="BU17" i="24"/>
  <c r="BU53" i="24"/>
  <c r="BV18" i="24"/>
  <c r="BV30" i="24"/>
  <c r="BV42" i="24"/>
  <c r="BV54" i="24"/>
  <c r="BV66" i="24"/>
  <c r="BU16" i="24"/>
  <c r="BU28" i="24"/>
  <c r="BU40" i="24"/>
  <c r="BU52" i="24"/>
  <c r="BU29" i="24"/>
  <c r="BV122" i="24"/>
  <c r="BU122" i="24"/>
  <c r="BU124" i="24"/>
  <c r="BV124" i="24"/>
  <c r="BU123" i="24"/>
  <c r="BV123" i="24"/>
  <c r="P8" i="23"/>
  <c r="P20" i="23"/>
  <c r="P32" i="23"/>
  <c r="P44" i="23"/>
  <c r="P56" i="23"/>
  <c r="O14" i="23"/>
  <c r="O26" i="23"/>
  <c r="O38" i="23"/>
  <c r="O50" i="23"/>
  <c r="O53" i="23"/>
  <c r="P9" i="23"/>
  <c r="P21" i="23"/>
  <c r="P33" i="23"/>
  <c r="P45" i="23"/>
  <c r="P57" i="23"/>
  <c r="O15" i="23"/>
  <c r="O27" i="23"/>
  <c r="O39" i="23"/>
  <c r="O51" i="23"/>
  <c r="P10" i="23"/>
  <c r="P22" i="23"/>
  <c r="P34" i="23"/>
  <c r="P46" i="23"/>
  <c r="P58" i="23"/>
  <c r="O16" i="23"/>
  <c r="O28" i="23"/>
  <c r="O40" i="23"/>
  <c r="O52" i="23"/>
  <c r="O41" i="23"/>
  <c r="P11" i="23"/>
  <c r="P23" i="23"/>
  <c r="P35" i="23"/>
  <c r="P47" i="23"/>
  <c r="P59" i="23"/>
  <c r="O17" i="23"/>
  <c r="O29" i="23"/>
  <c r="P12" i="23"/>
  <c r="P24" i="23"/>
  <c r="P36" i="23"/>
  <c r="P48" i="23"/>
  <c r="P60" i="23"/>
  <c r="O18" i="23"/>
  <c r="O30" i="23"/>
  <c r="O42" i="23"/>
  <c r="O54" i="23"/>
  <c r="P13" i="23"/>
  <c r="P25" i="23"/>
  <c r="P37" i="23"/>
  <c r="P49" i="23"/>
  <c r="P61" i="23"/>
  <c r="O19" i="23"/>
  <c r="O31" i="23"/>
  <c r="O43" i="23"/>
  <c r="O55" i="23"/>
  <c r="P19" i="23"/>
  <c r="O49" i="23"/>
  <c r="P14" i="23"/>
  <c r="P26" i="23"/>
  <c r="P38" i="23"/>
  <c r="P50" i="23"/>
  <c r="O8" i="23"/>
  <c r="O20" i="23"/>
  <c r="O32" i="23"/>
  <c r="O44" i="23"/>
  <c r="O56" i="23"/>
  <c r="O25" i="23"/>
  <c r="P15" i="23"/>
  <c r="P27" i="23"/>
  <c r="P39" i="23"/>
  <c r="P51" i="23"/>
  <c r="O9" i="23"/>
  <c r="O21" i="23"/>
  <c r="O33" i="23"/>
  <c r="O45" i="23"/>
  <c r="O57" i="23"/>
  <c r="P31" i="23"/>
  <c r="O61" i="23"/>
  <c r="P16" i="23"/>
  <c r="P28" i="23"/>
  <c r="P40" i="23"/>
  <c r="P52" i="23"/>
  <c r="O10" i="23"/>
  <c r="O22" i="23"/>
  <c r="O34" i="23"/>
  <c r="O46" i="23"/>
  <c r="O58" i="23"/>
  <c r="P55" i="23"/>
  <c r="P17" i="23"/>
  <c r="P29" i="23"/>
  <c r="P41" i="23"/>
  <c r="P53" i="23"/>
  <c r="O11" i="23"/>
  <c r="O23" i="23"/>
  <c r="O35" i="23"/>
  <c r="O47" i="23"/>
  <c r="O59" i="23"/>
  <c r="O13" i="23"/>
  <c r="P18" i="23"/>
  <c r="P30" i="23"/>
  <c r="P42" i="23"/>
  <c r="P54" i="23"/>
  <c r="O12" i="23"/>
  <c r="O24" i="23"/>
  <c r="O36" i="23"/>
  <c r="O48" i="23"/>
  <c r="O60" i="23"/>
  <c r="P43" i="23"/>
  <c r="O37" i="23"/>
  <c r="AJ19" i="23"/>
  <c r="AJ31" i="23"/>
  <c r="AJ43" i="23"/>
  <c r="AJ55" i="23"/>
  <c r="AI13" i="23"/>
  <c r="AI25" i="23"/>
  <c r="AI37" i="23"/>
  <c r="AI49" i="23"/>
  <c r="AI61" i="23"/>
  <c r="AJ8" i="23"/>
  <c r="AJ20" i="23"/>
  <c r="AJ32" i="23"/>
  <c r="AJ44" i="23"/>
  <c r="AJ56" i="23"/>
  <c r="AI14" i="23"/>
  <c r="AI26" i="23"/>
  <c r="AI38" i="23"/>
  <c r="AI50" i="23"/>
  <c r="AI62" i="23"/>
  <c r="AJ9" i="23"/>
  <c r="AJ21" i="23"/>
  <c r="AJ33" i="23"/>
  <c r="AJ45" i="23"/>
  <c r="AJ57" i="23"/>
  <c r="AI15" i="23"/>
  <c r="AI27" i="23"/>
  <c r="AI39" i="23"/>
  <c r="AI51" i="23"/>
  <c r="AJ10" i="23"/>
  <c r="AJ22" i="23"/>
  <c r="AJ34" i="23"/>
  <c r="AJ46" i="23"/>
  <c r="AJ58" i="23"/>
  <c r="AI16" i="23"/>
  <c r="AI28" i="23"/>
  <c r="AI40" i="23"/>
  <c r="AI52" i="23"/>
  <c r="AI36" i="23"/>
  <c r="AJ11" i="23"/>
  <c r="AJ23" i="23"/>
  <c r="AJ35" i="23"/>
  <c r="AJ47" i="23"/>
  <c r="AJ59" i="23"/>
  <c r="AI17" i="23"/>
  <c r="AI29" i="23"/>
  <c r="AI41" i="23"/>
  <c r="AI53" i="23"/>
  <c r="AI12" i="23"/>
  <c r="AJ12" i="23"/>
  <c r="AJ24" i="23"/>
  <c r="AJ36" i="23"/>
  <c r="AJ48" i="23"/>
  <c r="AJ60" i="23"/>
  <c r="AI18" i="23"/>
  <c r="AI30" i="23"/>
  <c r="AI42" i="23"/>
  <c r="AI54" i="23"/>
  <c r="AI48" i="23"/>
  <c r="AJ13" i="23"/>
  <c r="AJ25" i="23"/>
  <c r="AJ37" i="23"/>
  <c r="AJ49" i="23"/>
  <c r="AJ61" i="23"/>
  <c r="AI19" i="23"/>
  <c r="AI31" i="23"/>
  <c r="AI43" i="23"/>
  <c r="AI55" i="23"/>
  <c r="AI24" i="23"/>
  <c r="AJ14" i="23"/>
  <c r="AJ26" i="23"/>
  <c r="AJ38" i="23"/>
  <c r="AJ50" i="23"/>
  <c r="AI8" i="23"/>
  <c r="AI20" i="23"/>
  <c r="AI32" i="23"/>
  <c r="AI44" i="23"/>
  <c r="AI56" i="23"/>
  <c r="AI60" i="23"/>
  <c r="AJ15" i="23"/>
  <c r="AJ27" i="23"/>
  <c r="AJ39" i="23"/>
  <c r="AJ51" i="23"/>
  <c r="AI9" i="23"/>
  <c r="AI21" i="23"/>
  <c r="AI33" i="23"/>
  <c r="AI45" i="23"/>
  <c r="AI57" i="23"/>
  <c r="AJ16" i="23"/>
  <c r="AJ28" i="23"/>
  <c r="AJ40" i="23"/>
  <c r="AJ52" i="23"/>
  <c r="AI10" i="23"/>
  <c r="AI22" i="23"/>
  <c r="AI34" i="23"/>
  <c r="AI46" i="23"/>
  <c r="AI58" i="23"/>
  <c r="AJ17" i="23"/>
  <c r="AJ29" i="23"/>
  <c r="AJ41" i="23"/>
  <c r="AJ53" i="23"/>
  <c r="AI11" i="23"/>
  <c r="AI23" i="23"/>
  <c r="AI35" i="23"/>
  <c r="AI47" i="23"/>
  <c r="AI59" i="23"/>
  <c r="AJ18" i="23"/>
  <c r="AJ30" i="23"/>
  <c r="AJ42" i="23"/>
  <c r="AJ54" i="23"/>
  <c r="Z8" i="23"/>
  <c r="Z20" i="23"/>
  <c r="Z32" i="23"/>
  <c r="Z44" i="23"/>
  <c r="Z56" i="23"/>
  <c r="Z68" i="23"/>
  <c r="Y17" i="23"/>
  <c r="Y29" i="23"/>
  <c r="Y41" i="23"/>
  <c r="Y53" i="23"/>
  <c r="Z58" i="23"/>
  <c r="Z23" i="23"/>
  <c r="Z9" i="23"/>
  <c r="Z21" i="23"/>
  <c r="Z33" i="23"/>
  <c r="Z45" i="23"/>
  <c r="Z57" i="23"/>
  <c r="Z69" i="23"/>
  <c r="Y18" i="23"/>
  <c r="Y30" i="23"/>
  <c r="Y42" i="23"/>
  <c r="Y54" i="23"/>
  <c r="Y19" i="23"/>
  <c r="Y8" i="23"/>
  <c r="Z10" i="23"/>
  <c r="Z22" i="23"/>
  <c r="Z70" i="23"/>
  <c r="Y31" i="23"/>
  <c r="Y43" i="23"/>
  <c r="Y55" i="23"/>
  <c r="Z12" i="23"/>
  <c r="Z24" i="23"/>
  <c r="Z36" i="23"/>
  <c r="Z48" i="23"/>
  <c r="Z60" i="23"/>
  <c r="Y9" i="23"/>
  <c r="Y21" i="23"/>
  <c r="Y33" i="23"/>
  <c r="Y45" i="23"/>
  <c r="Y57" i="23"/>
  <c r="Z65" i="23"/>
  <c r="Y32" i="23"/>
  <c r="Z13" i="23"/>
  <c r="Z25" i="23"/>
  <c r="Z37" i="23"/>
  <c r="Z49" i="23"/>
  <c r="Z61" i="23"/>
  <c r="Y10" i="23"/>
  <c r="Y22" i="23"/>
  <c r="Y34" i="23"/>
  <c r="Y46" i="23"/>
  <c r="Y58" i="23"/>
  <c r="Z41" i="23"/>
  <c r="Z11" i="23"/>
  <c r="Y56" i="23"/>
  <c r="Z14" i="23"/>
  <c r="Z26" i="23"/>
  <c r="Z38" i="23"/>
  <c r="Z50" i="23"/>
  <c r="Z62" i="23"/>
  <c r="Y11" i="23"/>
  <c r="Y23" i="23"/>
  <c r="Y35" i="23"/>
  <c r="Y47" i="23"/>
  <c r="Y59" i="23"/>
  <c r="Y14" i="23"/>
  <c r="Z15" i="23"/>
  <c r="Z27" i="23"/>
  <c r="Z39" i="23"/>
  <c r="Z51" i="23"/>
  <c r="Z63" i="23"/>
  <c r="Y12" i="23"/>
  <c r="Y24" i="23"/>
  <c r="Y36" i="23"/>
  <c r="Y48" i="23"/>
  <c r="Y60" i="23"/>
  <c r="Z53" i="23"/>
  <c r="Z59" i="23"/>
  <c r="Z16" i="23"/>
  <c r="Z28" i="23"/>
  <c r="Z40" i="23"/>
  <c r="Z52" i="23"/>
  <c r="Z64" i="23"/>
  <c r="Y13" i="23"/>
  <c r="Y25" i="23"/>
  <c r="Y37" i="23"/>
  <c r="Y49" i="23"/>
  <c r="Y61" i="23"/>
  <c r="Y38" i="23"/>
  <c r="Z47" i="23"/>
  <c r="Z17" i="23"/>
  <c r="Z29" i="23"/>
  <c r="Y26" i="23"/>
  <c r="Y50" i="23"/>
  <c r="Y44" i="23"/>
  <c r="Z18" i="23"/>
  <c r="Z30" i="23"/>
  <c r="Z42" i="23"/>
  <c r="Z54" i="23"/>
  <c r="Z66" i="23"/>
  <c r="Y15" i="23"/>
  <c r="Y27" i="23"/>
  <c r="Y39" i="23"/>
  <c r="Y51" i="23"/>
  <c r="Z34" i="23"/>
  <c r="Z35" i="23"/>
  <c r="Z19" i="23"/>
  <c r="Z31" i="23"/>
  <c r="Z43" i="23"/>
  <c r="Z55" i="23"/>
  <c r="Z67" i="23"/>
  <c r="Y16" i="23"/>
  <c r="Y28" i="23"/>
  <c r="Y40" i="23"/>
  <c r="Y52" i="23"/>
  <c r="Z46" i="23"/>
  <c r="Y20" i="23"/>
  <c r="AJ114" i="23"/>
  <c r="AJ79" i="23"/>
  <c r="AI64" i="23"/>
  <c r="AI65" i="23"/>
  <c r="AI114" i="23"/>
  <c r="AI89" i="23"/>
  <c r="AJ118" i="23"/>
  <c r="AI113" i="23"/>
  <c r="AJ111" i="23"/>
  <c r="AJ117" i="23"/>
  <c r="AI103" i="23"/>
  <c r="BU64" i="24"/>
  <c r="BV70" i="24"/>
  <c r="BU76" i="24"/>
  <c r="BV82" i="24"/>
  <c r="BV88" i="24"/>
  <c r="BU94" i="24"/>
  <c r="BU100" i="24"/>
  <c r="BV106" i="24"/>
  <c r="BU112" i="24"/>
  <c r="BU118" i="24"/>
  <c r="AJ124" i="23"/>
  <c r="AJ98" i="23"/>
  <c r="AI112" i="23"/>
  <c r="AI108" i="23"/>
  <c r="AJ112" i="23"/>
  <c r="AI87" i="23"/>
  <c r="AJ68" i="23"/>
  <c r="AJ100" i="23"/>
  <c r="AI74" i="23"/>
  <c r="AI123" i="23"/>
  <c r="AI86" i="23"/>
  <c r="BU65" i="24"/>
  <c r="BV71" i="24"/>
  <c r="BV77" i="24"/>
  <c r="BV83" i="24"/>
  <c r="BV89" i="24"/>
  <c r="BV95" i="24"/>
  <c r="BV101" i="24"/>
  <c r="BU107" i="24"/>
  <c r="BV113" i="24"/>
  <c r="BV119" i="24"/>
  <c r="BU109" i="24"/>
  <c r="BV80" i="24"/>
  <c r="BU111" i="24"/>
  <c r="BV118" i="24"/>
  <c r="AI124" i="23"/>
  <c r="AI92" i="23"/>
  <c r="AJ81" i="23"/>
  <c r="AI81" i="23"/>
  <c r="AJ99" i="23"/>
  <c r="AI117" i="23"/>
  <c r="AI73" i="23"/>
  <c r="AI99" i="23"/>
  <c r="AI100" i="23"/>
  <c r="AJ123" i="23"/>
  <c r="AJ63" i="23"/>
  <c r="BU71" i="24"/>
  <c r="BU77" i="24"/>
  <c r="BU83" i="24"/>
  <c r="BU89" i="24"/>
  <c r="BU95" i="24"/>
  <c r="BU101" i="24"/>
  <c r="BV107" i="24"/>
  <c r="BU113" i="24"/>
  <c r="BU119" i="24"/>
  <c r="BV103" i="24"/>
  <c r="BU86" i="24"/>
  <c r="BV116" i="24"/>
  <c r="BV105" i="24"/>
  <c r="BU117" i="24"/>
  <c r="AJ91" i="23"/>
  <c r="AJ90" i="23"/>
  <c r="AI105" i="23"/>
  <c r="AJ94" i="23"/>
  <c r="AI82" i="23"/>
  <c r="AJ101" i="23"/>
  <c r="AJ104" i="23"/>
  <c r="AJ96" i="23"/>
  <c r="AJ122" i="23"/>
  <c r="AJ121" i="23"/>
  <c r="BU66" i="24"/>
  <c r="BV72" i="24"/>
  <c r="BV78" i="24"/>
  <c r="BV84" i="24"/>
  <c r="BV90" i="24"/>
  <c r="BV96" i="24"/>
  <c r="BV102" i="24"/>
  <c r="BV108" i="24"/>
  <c r="BV114" i="24"/>
  <c r="BV120" i="24"/>
  <c r="BU120" i="24"/>
  <c r="BV121" i="24"/>
  <c r="BU92" i="24"/>
  <c r="BU110" i="24"/>
  <c r="BU99" i="24"/>
  <c r="AI75" i="23"/>
  <c r="AJ105" i="23"/>
  <c r="AJ108" i="23"/>
  <c r="AI102" i="23"/>
  <c r="AJ92" i="23"/>
  <c r="AJ66" i="23"/>
  <c r="AJ71" i="23"/>
  <c r="AI67" i="23"/>
  <c r="AJ109" i="23"/>
  <c r="AI122" i="23"/>
  <c r="AI69" i="23"/>
  <c r="BU72" i="24"/>
  <c r="BU78" i="24"/>
  <c r="BU84" i="24"/>
  <c r="BU90" i="24"/>
  <c r="BU96" i="24"/>
  <c r="BU102" i="24"/>
  <c r="BU108" i="24"/>
  <c r="BU114" i="24"/>
  <c r="BU74" i="24"/>
  <c r="BV99" i="24"/>
  <c r="AJ65" i="23"/>
  <c r="AI78" i="23"/>
  <c r="AJ93" i="23"/>
  <c r="AI98" i="23"/>
  <c r="AJ72" i="23"/>
  <c r="AJ85" i="23"/>
  <c r="AI88" i="23"/>
  <c r="AJ119" i="23"/>
  <c r="AI109" i="23"/>
  <c r="AI119" i="23"/>
  <c r="AJ116" i="23"/>
  <c r="BU67" i="24"/>
  <c r="BV73" i="24"/>
  <c r="BU79" i="24"/>
  <c r="BV85" i="24"/>
  <c r="BU91" i="24"/>
  <c r="BU97" i="24"/>
  <c r="BV115" i="24"/>
  <c r="BV110" i="24"/>
  <c r="BV111" i="24"/>
  <c r="AI70" i="23"/>
  <c r="AJ64" i="23"/>
  <c r="AJ88" i="23"/>
  <c r="AJ107" i="23"/>
  <c r="AJ115" i="23"/>
  <c r="AJ95" i="23"/>
  <c r="AJ62" i="23"/>
  <c r="AI68" i="23"/>
  <c r="AI71" i="23"/>
  <c r="AI95" i="23"/>
  <c r="BU73" i="24"/>
  <c r="BV79" i="24"/>
  <c r="BU85" i="24"/>
  <c r="BV91" i="24"/>
  <c r="BV97" i="24"/>
  <c r="BU103" i="24"/>
  <c r="BV109" i="24"/>
  <c r="BU115" i="24"/>
  <c r="BU121" i="24"/>
  <c r="BU98" i="24"/>
  <c r="BU116" i="24"/>
  <c r="BU105" i="24"/>
  <c r="AJ73" i="23"/>
  <c r="AI91" i="23"/>
  <c r="AJ80" i="23"/>
  <c r="AI93" i="23"/>
  <c r="AJ82" i="23"/>
  <c r="AJ74" i="23"/>
  <c r="AI104" i="23"/>
  <c r="AI76" i="23"/>
  <c r="AI118" i="23"/>
  <c r="AI80" i="23"/>
  <c r="BV104" i="24"/>
  <c r="BV93" i="24"/>
  <c r="AJ67" i="23"/>
  <c r="AI63" i="23"/>
  <c r="AJ110" i="23"/>
  <c r="AJ76" i="23"/>
  <c r="AI101" i="23"/>
  <c r="AI97" i="23"/>
  <c r="AI66" i="23"/>
  <c r="AI96" i="23"/>
  <c r="AI120" i="23"/>
  <c r="AI79" i="23"/>
  <c r="BU68" i="24"/>
  <c r="BV74" i="24"/>
  <c r="BU80" i="24"/>
  <c r="BV86" i="24"/>
  <c r="BV92" i="24"/>
  <c r="BV98" i="24"/>
  <c r="BU104" i="24"/>
  <c r="BU87" i="24"/>
  <c r="AI83" i="23"/>
  <c r="AI107" i="23"/>
  <c r="AI115" i="23"/>
  <c r="AI106" i="23"/>
  <c r="AI116" i="23"/>
  <c r="AI110" i="23"/>
  <c r="AI111" i="23"/>
  <c r="AJ86" i="23"/>
  <c r="AJ120" i="23"/>
  <c r="AJ87" i="23"/>
  <c r="BV75" i="24"/>
  <c r="BU81" i="24"/>
  <c r="BV87" i="24"/>
  <c r="BU93" i="24"/>
  <c r="BV117" i="24"/>
  <c r="AI90" i="23"/>
  <c r="AJ75" i="23"/>
  <c r="AJ102" i="23"/>
  <c r="AI84" i="23"/>
  <c r="AJ103" i="23"/>
  <c r="AJ77" i="23"/>
  <c r="AJ106" i="23"/>
  <c r="AI94" i="23"/>
  <c r="AI121" i="23"/>
  <c r="AJ83" i="23"/>
  <c r="BU69" i="24"/>
  <c r="BU75" i="24"/>
  <c r="BV81" i="24"/>
  <c r="AJ69" i="23"/>
  <c r="AJ89" i="23"/>
  <c r="AI72" i="23"/>
  <c r="AJ70" i="23"/>
  <c r="AJ113" i="23"/>
  <c r="AJ78" i="23"/>
  <c r="AJ97" i="23"/>
  <c r="AI77" i="23"/>
  <c r="AI85" i="23"/>
  <c r="AJ84" i="23"/>
  <c r="BU70" i="24"/>
  <c r="BV76" i="24"/>
  <c r="BU82" i="24"/>
  <c r="BU88" i="24"/>
  <c r="BV94" i="24"/>
  <c r="BV100" i="24"/>
  <c r="BU106" i="24"/>
  <c r="BV112" i="24"/>
  <c r="AM16" i="23"/>
  <c r="BY16" i="24"/>
  <c r="BA64" i="24"/>
  <c r="BA70" i="24"/>
  <c r="BA76" i="24"/>
  <c r="BA82" i="24"/>
  <c r="BA88" i="24"/>
  <c r="BA94" i="24"/>
  <c r="Z102" i="23"/>
  <c r="Y124" i="23"/>
  <c r="AZ64" i="24"/>
  <c r="AZ70" i="24"/>
  <c r="AZ76" i="24"/>
  <c r="AZ82" i="24"/>
  <c r="AZ88" i="24"/>
  <c r="AZ94" i="24"/>
  <c r="AZ100" i="24"/>
  <c r="AZ106" i="24"/>
  <c r="AZ112" i="24"/>
  <c r="AZ118" i="24"/>
  <c r="Y121" i="23"/>
  <c r="Y112" i="23"/>
  <c r="Z75" i="23"/>
  <c r="Z103" i="23"/>
  <c r="Z78" i="23"/>
  <c r="Y91" i="23"/>
  <c r="Y93" i="23"/>
  <c r="Y70" i="23"/>
  <c r="Y72" i="23"/>
  <c r="AZ73" i="24"/>
  <c r="BA109" i="24"/>
  <c r="Y68" i="23"/>
  <c r="Y89" i="23"/>
  <c r="Z121" i="23"/>
  <c r="Y107" i="23"/>
  <c r="Z124" i="23"/>
  <c r="BA65" i="24"/>
  <c r="BA71" i="24"/>
  <c r="AZ77" i="24"/>
  <c r="AZ83" i="24"/>
  <c r="AZ89" i="24"/>
  <c r="BA95" i="24"/>
  <c r="BA101" i="24"/>
  <c r="BA107" i="24"/>
  <c r="BA113" i="24"/>
  <c r="BA119" i="24"/>
  <c r="Z120" i="23"/>
  <c r="Y115" i="23"/>
  <c r="Z87" i="23"/>
  <c r="Y75" i="23"/>
  <c r="Z94" i="23"/>
  <c r="Z91" i="23"/>
  <c r="Z83" i="23"/>
  <c r="Z101" i="23"/>
  <c r="Y82" i="23"/>
  <c r="Z122" i="23"/>
  <c r="AZ97" i="24"/>
  <c r="AZ103" i="24"/>
  <c r="AZ115" i="24"/>
  <c r="Z92" i="23"/>
  <c r="Y86" i="23"/>
  <c r="Y118" i="23"/>
  <c r="BA106" i="24"/>
  <c r="Z108" i="23"/>
  <c r="AZ65" i="24"/>
  <c r="AZ71" i="24"/>
  <c r="BA77" i="24"/>
  <c r="BA83" i="24"/>
  <c r="BA89" i="24"/>
  <c r="AZ95" i="24"/>
  <c r="AZ101" i="24"/>
  <c r="AZ107" i="24"/>
  <c r="AZ113" i="24"/>
  <c r="AZ119" i="24"/>
  <c r="Y120" i="23"/>
  <c r="Z118" i="23"/>
  <c r="Z99" i="23"/>
  <c r="Y64" i="23"/>
  <c r="Y79" i="23"/>
  <c r="Z107" i="23"/>
  <c r="Y74" i="23"/>
  <c r="Y94" i="23"/>
  <c r="Z88" i="23"/>
  <c r="AZ85" i="24"/>
  <c r="Z76" i="23"/>
  <c r="Y99" i="23"/>
  <c r="Z82" i="23"/>
  <c r="BA112" i="24"/>
  <c r="Y123" i="23"/>
  <c r="BA66" i="24"/>
  <c r="AZ72" i="24"/>
  <c r="AZ78" i="24"/>
  <c r="BA84" i="24"/>
  <c r="AZ90" i="24"/>
  <c r="AZ96" i="24"/>
  <c r="AZ102" i="24"/>
  <c r="BA108" i="24"/>
  <c r="BA114" i="24"/>
  <c r="Y109" i="23"/>
  <c r="Z111" i="23"/>
  <c r="Y84" i="23"/>
  <c r="Y103" i="23"/>
  <c r="Z81" i="23"/>
  <c r="Y80" i="23"/>
  <c r="Y63" i="23"/>
  <c r="Y106" i="23"/>
  <c r="Y73" i="23"/>
  <c r="AZ79" i="24"/>
  <c r="Z115" i="23"/>
  <c r="Z90" i="23"/>
  <c r="AZ111" i="24"/>
  <c r="Z109" i="23"/>
  <c r="Z123" i="23"/>
  <c r="AZ66" i="24"/>
  <c r="BA72" i="24"/>
  <c r="BA78" i="24"/>
  <c r="AZ84" i="24"/>
  <c r="BA90" i="24"/>
  <c r="BA96" i="24"/>
  <c r="BA102" i="24"/>
  <c r="AZ108" i="24"/>
  <c r="AZ114" i="24"/>
  <c r="Y113" i="23"/>
  <c r="Z117" i="23"/>
  <c r="Y96" i="23"/>
  <c r="Z71" i="23"/>
  <c r="Z93" i="23"/>
  <c r="Z72" i="23"/>
  <c r="Y76" i="23"/>
  <c r="Z74" i="23"/>
  <c r="Y97" i="23"/>
  <c r="BA67" i="24"/>
  <c r="Y66" i="23"/>
  <c r="AZ117" i="24"/>
  <c r="Y62" i="23"/>
  <c r="BA100" i="24"/>
  <c r="Y122" i="23"/>
  <c r="AZ67" i="24"/>
  <c r="BA73" i="24"/>
  <c r="BA79" i="24"/>
  <c r="BA85" i="24"/>
  <c r="BA91" i="24"/>
  <c r="BA97" i="24"/>
  <c r="BA103" i="24"/>
  <c r="AZ109" i="24"/>
  <c r="BA115" i="24"/>
  <c r="Y114" i="23"/>
  <c r="Z119" i="23"/>
  <c r="Y108" i="23"/>
  <c r="Z80" i="23"/>
  <c r="Z95" i="23"/>
  <c r="Z105" i="23"/>
  <c r="Y81" i="23"/>
  <c r="Y87" i="23"/>
  <c r="Z86" i="23"/>
  <c r="Z89" i="23"/>
  <c r="AZ91" i="24"/>
  <c r="Z112" i="23"/>
  <c r="Z98" i="23"/>
  <c r="Y95" i="23"/>
  <c r="Y101" i="23"/>
  <c r="AZ62" i="24"/>
  <c r="AZ68" i="24"/>
  <c r="BA74" i="24"/>
  <c r="BA80" i="24"/>
  <c r="BA86" i="24"/>
  <c r="BA92" i="24"/>
  <c r="AZ98" i="24"/>
  <c r="AZ104" i="24"/>
  <c r="AZ110" i="24"/>
  <c r="BA116" i="24"/>
  <c r="Z116" i="23"/>
  <c r="Y117" i="23"/>
  <c r="Z100" i="23"/>
  <c r="Z104" i="23"/>
  <c r="Y104" i="23"/>
  <c r="Y78" i="23"/>
  <c r="Y88" i="23"/>
  <c r="Y100" i="23"/>
  <c r="Z110" i="23"/>
  <c r="BA69" i="24"/>
  <c r="AZ99" i="24"/>
  <c r="Z114" i="23"/>
  <c r="Z97" i="23"/>
  <c r="Z77" i="23"/>
  <c r="AZ63" i="24"/>
  <c r="BA68" i="24"/>
  <c r="AZ74" i="24"/>
  <c r="AZ80" i="24"/>
  <c r="AZ86" i="24"/>
  <c r="AZ92" i="24"/>
  <c r="BA98" i="24"/>
  <c r="BA104" i="24"/>
  <c r="BA110" i="24"/>
  <c r="AZ116" i="24"/>
  <c r="Y110" i="23"/>
  <c r="Y119" i="23"/>
  <c r="Y85" i="23"/>
  <c r="Y65" i="23"/>
  <c r="Z84" i="23"/>
  <c r="Y90" i="23"/>
  <c r="Y67" i="23"/>
  <c r="Z73" i="23"/>
  <c r="Y71" i="23"/>
  <c r="Z79" i="23"/>
  <c r="AZ87" i="24"/>
  <c r="Y105" i="23"/>
  <c r="Y111" i="23"/>
  <c r="Z106" i="23"/>
  <c r="BA62" i="24"/>
  <c r="AZ69" i="24"/>
  <c r="AZ75" i="24"/>
  <c r="BA81" i="24"/>
  <c r="BA87" i="24"/>
  <c r="AZ93" i="24"/>
  <c r="BA99" i="24"/>
  <c r="BA105" i="24"/>
  <c r="BA111" i="24"/>
  <c r="BA117" i="24"/>
  <c r="Y116" i="23"/>
  <c r="Z113" i="23"/>
  <c r="Y77" i="23"/>
  <c r="Y69" i="23"/>
  <c r="Y102" i="23"/>
  <c r="Y92" i="23"/>
  <c r="Z85" i="23"/>
  <c r="Y83" i="23"/>
  <c r="BA63" i="24"/>
  <c r="BA75" i="24"/>
  <c r="AZ81" i="24"/>
  <c r="BA93" i="24"/>
  <c r="AZ105" i="24"/>
  <c r="Y98" i="23"/>
  <c r="Z96" i="23"/>
  <c r="BA118" i="24"/>
  <c r="O124" i="23"/>
  <c r="P124" i="23"/>
  <c r="O123" i="23"/>
  <c r="AF67" i="24"/>
  <c r="AF73" i="24"/>
  <c r="AF79" i="24"/>
  <c r="AE85" i="24"/>
  <c r="AF91" i="24"/>
  <c r="AF97" i="24"/>
  <c r="AF103" i="24"/>
  <c r="AF109" i="24"/>
  <c r="AE115" i="24"/>
  <c r="O116" i="23"/>
  <c r="P113" i="23"/>
  <c r="O105" i="23"/>
  <c r="P85" i="23"/>
  <c r="O70" i="23"/>
  <c r="P80" i="23"/>
  <c r="P96" i="23"/>
  <c r="P93" i="23"/>
  <c r="P82" i="23"/>
  <c r="P77" i="23"/>
  <c r="O121" i="23"/>
  <c r="AE67" i="24"/>
  <c r="AE73" i="24"/>
  <c r="AE79" i="24"/>
  <c r="AF85" i="24"/>
  <c r="AE91" i="24"/>
  <c r="AE97" i="24"/>
  <c r="AE103" i="24"/>
  <c r="AE109" i="24"/>
  <c r="AF115" i="24"/>
  <c r="O117" i="23"/>
  <c r="P112" i="23"/>
  <c r="P81" i="23"/>
  <c r="O80" i="23"/>
  <c r="P88" i="23"/>
  <c r="P98" i="23"/>
  <c r="O78" i="23"/>
  <c r="O94" i="23"/>
  <c r="O82" i="23"/>
  <c r="P89" i="23"/>
  <c r="P67" i="23"/>
  <c r="O77" i="23"/>
  <c r="AE87" i="24"/>
  <c r="AE117" i="24"/>
  <c r="O107" i="23"/>
  <c r="O74" i="23"/>
  <c r="O68" i="23"/>
  <c r="AF88" i="24"/>
  <c r="O108" i="23"/>
  <c r="O98" i="23"/>
  <c r="O115" i="23"/>
  <c r="P75" i="23"/>
  <c r="P106" i="23"/>
  <c r="P63" i="23"/>
  <c r="AE77" i="24"/>
  <c r="P78" i="23"/>
  <c r="AF84" i="24"/>
  <c r="P83" i="23"/>
  <c r="AE63" i="24"/>
  <c r="AF68" i="24"/>
  <c r="AF74" i="24"/>
  <c r="AF80" i="24"/>
  <c r="AE86" i="24"/>
  <c r="AE92" i="24"/>
  <c r="AE98" i="24"/>
  <c r="AF104" i="24"/>
  <c r="AE110" i="24"/>
  <c r="AF116" i="24"/>
  <c r="O118" i="23"/>
  <c r="O111" i="23"/>
  <c r="O95" i="23"/>
  <c r="O76" i="23"/>
  <c r="O79" i="23"/>
  <c r="O62" i="23"/>
  <c r="O84" i="23"/>
  <c r="P73" i="23"/>
  <c r="AE81" i="24"/>
  <c r="AF99" i="24"/>
  <c r="O102" i="23"/>
  <c r="P99" i="23"/>
  <c r="AE100" i="24"/>
  <c r="P117" i="23"/>
  <c r="P62" i="23"/>
  <c r="O73" i="23"/>
  <c r="P116" i="23"/>
  <c r="O101" i="23"/>
  <c r="O96" i="23"/>
  <c r="O87" i="23"/>
  <c r="P94" i="23"/>
  <c r="P122" i="23"/>
  <c r="AE95" i="24"/>
  <c r="P109" i="23"/>
  <c r="O66" i="23"/>
  <c r="AF72" i="24"/>
  <c r="AE108" i="24"/>
  <c r="P87" i="23"/>
  <c r="O65" i="23"/>
  <c r="AF62" i="24"/>
  <c r="AE68" i="24"/>
  <c r="AE74" i="24"/>
  <c r="AE80" i="24"/>
  <c r="AF86" i="24"/>
  <c r="AF92" i="24"/>
  <c r="AF98" i="24"/>
  <c r="AE104" i="24"/>
  <c r="AF110" i="24"/>
  <c r="AE116" i="24"/>
  <c r="O119" i="23"/>
  <c r="O113" i="23"/>
  <c r="P97" i="23"/>
  <c r="P64" i="23"/>
  <c r="P95" i="23"/>
  <c r="O103" i="23"/>
  <c r="P79" i="23"/>
  <c r="P92" i="23"/>
  <c r="O93" i="23"/>
  <c r="O89" i="23"/>
  <c r="P74" i="23"/>
  <c r="AE62" i="24"/>
  <c r="AE69" i="24"/>
  <c r="AE75" i="24"/>
  <c r="AF81" i="24"/>
  <c r="AF87" i="24"/>
  <c r="AE93" i="24"/>
  <c r="AE99" i="24"/>
  <c r="AE105" i="24"/>
  <c r="AE111" i="24"/>
  <c r="AF117" i="24"/>
  <c r="P114" i="23"/>
  <c r="P111" i="23"/>
  <c r="O110" i="23"/>
  <c r="O104" i="23"/>
  <c r="O85" i="23"/>
  <c r="P71" i="23"/>
  <c r="P102" i="23"/>
  <c r="O106" i="23"/>
  <c r="AF75" i="24"/>
  <c r="AF105" i="24"/>
  <c r="P86" i="23"/>
  <c r="O71" i="23"/>
  <c r="AE82" i="24"/>
  <c r="AF112" i="24"/>
  <c r="O99" i="23"/>
  <c r="P105" i="23"/>
  <c r="O69" i="23"/>
  <c r="O97" i="23"/>
  <c r="P100" i="23"/>
  <c r="AF65" i="24"/>
  <c r="AE113" i="24"/>
  <c r="P90" i="23"/>
  <c r="P65" i="23"/>
  <c r="AF66" i="24"/>
  <c r="AE114" i="24"/>
  <c r="O67" i="23"/>
  <c r="AF63" i="24"/>
  <c r="AF69" i="24"/>
  <c r="AF93" i="24"/>
  <c r="AF111" i="24"/>
  <c r="O120" i="23"/>
  <c r="P101" i="23"/>
  <c r="AF106" i="24"/>
  <c r="O114" i="23"/>
  <c r="O64" i="23"/>
  <c r="P70" i="23"/>
  <c r="P107" i="23"/>
  <c r="O83" i="23"/>
  <c r="P118" i="23"/>
  <c r="P72" i="23"/>
  <c r="AF83" i="24"/>
  <c r="AE101" i="24"/>
  <c r="P115" i="23"/>
  <c r="O90" i="23"/>
  <c r="AE78" i="24"/>
  <c r="P119" i="23"/>
  <c r="O109" i="23"/>
  <c r="AF64" i="24"/>
  <c r="AE70" i="24"/>
  <c r="AF76" i="24"/>
  <c r="AF94" i="24"/>
  <c r="AF118" i="24"/>
  <c r="O72" i="23"/>
  <c r="O92" i="23"/>
  <c r="AE71" i="24"/>
  <c r="P68" i="23"/>
  <c r="AE102" i="24"/>
  <c r="O86" i="23"/>
  <c r="AE64" i="24"/>
  <c r="AF70" i="24"/>
  <c r="AE76" i="24"/>
  <c r="AF82" i="24"/>
  <c r="AE88" i="24"/>
  <c r="AE94" i="24"/>
  <c r="AF100" i="24"/>
  <c r="AE106" i="24"/>
  <c r="AE112" i="24"/>
  <c r="AE118" i="24"/>
  <c r="P76" i="23"/>
  <c r="AE107" i="24"/>
  <c r="P104" i="23"/>
  <c r="AF90" i="24"/>
  <c r="O75" i="23"/>
  <c r="P121" i="23"/>
  <c r="AE65" i="24"/>
  <c r="AF71" i="24"/>
  <c r="AF77" i="24"/>
  <c r="AE83" i="24"/>
  <c r="AE89" i="24"/>
  <c r="AF95" i="24"/>
  <c r="AF101" i="24"/>
  <c r="AF107" i="24"/>
  <c r="AF113" i="24"/>
  <c r="P108" i="23"/>
  <c r="AF89" i="24"/>
  <c r="P69" i="23"/>
  <c r="P123" i="23"/>
  <c r="AE96" i="24"/>
  <c r="P110" i="23"/>
  <c r="O91" i="23"/>
  <c r="O122" i="23"/>
  <c r="AE66" i="24"/>
  <c r="AE72" i="24"/>
  <c r="AF78" i="24"/>
  <c r="AE84" i="24"/>
  <c r="AE90" i="24"/>
  <c r="AF96" i="24"/>
  <c r="AF102" i="24"/>
  <c r="AF108" i="24"/>
  <c r="AF114" i="24"/>
  <c r="P120" i="23"/>
  <c r="O112" i="23"/>
  <c r="O88" i="23"/>
  <c r="P84" i="23"/>
  <c r="O100" i="23"/>
  <c r="O81" i="23"/>
  <c r="P103" i="23"/>
  <c r="P91" i="23"/>
  <c r="P66" i="23"/>
  <c r="O63" i="23"/>
  <c r="M17" i="22"/>
  <c r="M29" i="22"/>
  <c r="M41" i="22"/>
  <c r="L10" i="22"/>
  <c r="L22" i="22"/>
  <c r="M56" i="22"/>
  <c r="L35" i="22"/>
  <c r="M18" i="22"/>
  <c r="M30" i="22"/>
  <c r="M42" i="22"/>
  <c r="L11" i="22"/>
  <c r="L23" i="22"/>
  <c r="M57" i="22"/>
  <c r="L36" i="22"/>
  <c r="L48" i="22"/>
  <c r="L60" i="22"/>
  <c r="M19" i="22"/>
  <c r="M31" i="22"/>
  <c r="M43" i="22"/>
  <c r="L12" i="22"/>
  <c r="L24" i="22"/>
  <c r="M58" i="22"/>
  <c r="L37" i="22"/>
  <c r="L49" i="22"/>
  <c r="L61" i="22"/>
  <c r="M8" i="22"/>
  <c r="M20" i="22"/>
  <c r="M32" i="22"/>
  <c r="M44" i="22"/>
  <c r="L13" i="22"/>
  <c r="L25" i="22"/>
  <c r="M59" i="22"/>
  <c r="L38" i="22"/>
  <c r="L50" i="22"/>
  <c r="M49" i="22"/>
  <c r="L34" i="22"/>
  <c r="M9" i="22"/>
  <c r="M21" i="22"/>
  <c r="M33" i="22"/>
  <c r="M45" i="22"/>
  <c r="L14" i="22"/>
  <c r="L26" i="22"/>
  <c r="M60" i="22"/>
  <c r="L39" i="22"/>
  <c r="L51" i="22"/>
  <c r="L18" i="22"/>
  <c r="L55" i="22"/>
  <c r="M10" i="22"/>
  <c r="M22" i="22"/>
  <c r="M34" i="22"/>
  <c r="M46" i="22"/>
  <c r="L15" i="22"/>
  <c r="L27" i="22"/>
  <c r="M61" i="22"/>
  <c r="L40" i="22"/>
  <c r="L52" i="22"/>
  <c r="M37" i="22"/>
  <c r="L31" i="22"/>
  <c r="M11" i="22"/>
  <c r="M23" i="22"/>
  <c r="M35" i="22"/>
  <c r="M47" i="22"/>
  <c r="L16" i="22"/>
  <c r="L28" i="22"/>
  <c r="L29" i="22"/>
  <c r="L41" i="22"/>
  <c r="L53" i="22"/>
  <c r="M52" i="22"/>
  <c r="L46" i="22"/>
  <c r="M12" i="22"/>
  <c r="M24" i="22"/>
  <c r="M36" i="22"/>
  <c r="M48" i="22"/>
  <c r="L17" i="22"/>
  <c r="M51" i="22"/>
  <c r="L30" i="22"/>
  <c r="L42" i="22"/>
  <c r="L54" i="22"/>
  <c r="M25" i="22"/>
  <c r="L43" i="22"/>
  <c r="L47" i="22"/>
  <c r="M13" i="22"/>
  <c r="L59" i="22"/>
  <c r="M14" i="22"/>
  <c r="M26" i="22"/>
  <c r="M38" i="22"/>
  <c r="M50" i="22"/>
  <c r="L19" i="22"/>
  <c r="M53" i="22"/>
  <c r="L32" i="22"/>
  <c r="L44" i="22"/>
  <c r="L56" i="22"/>
  <c r="M16" i="22"/>
  <c r="M40" i="22"/>
  <c r="L9" i="22"/>
  <c r="M55" i="22"/>
  <c r="M15" i="22"/>
  <c r="M27" i="22"/>
  <c r="M39" i="22"/>
  <c r="L8" i="22"/>
  <c r="L20" i="22"/>
  <c r="M54" i="22"/>
  <c r="L33" i="22"/>
  <c r="L45" i="22"/>
  <c r="L57" i="22"/>
  <c r="M28" i="22"/>
  <c r="L21" i="22"/>
  <c r="L58" i="22"/>
  <c r="M62" i="22"/>
  <c r="L68" i="22"/>
  <c r="M75" i="22"/>
  <c r="L80" i="22"/>
  <c r="L86" i="22"/>
  <c r="M92" i="22"/>
  <c r="M98" i="22"/>
  <c r="L104" i="22"/>
  <c r="L110" i="22"/>
  <c r="M116" i="22"/>
  <c r="M121" i="22"/>
  <c r="L81" i="22"/>
  <c r="L98" i="22"/>
  <c r="M111" i="22"/>
  <c r="L118" i="22"/>
  <c r="M120" i="22"/>
  <c r="L120" i="22"/>
  <c r="L97" i="22"/>
  <c r="M78" i="22"/>
  <c r="L102" i="22"/>
  <c r="L62" i="22"/>
  <c r="M68" i="22"/>
  <c r="L75" i="22"/>
  <c r="M80" i="22"/>
  <c r="M87" i="22"/>
  <c r="L92" i="22"/>
  <c r="L99" i="22"/>
  <c r="M104" i="22"/>
  <c r="M110" i="22"/>
  <c r="L116" i="22"/>
  <c r="M86" i="22"/>
  <c r="M105" i="22"/>
  <c r="M93" i="22"/>
  <c r="L111" i="22"/>
  <c r="L83" i="22"/>
  <c r="L114" i="22"/>
  <c r="L90" i="22"/>
  <c r="M85" i="22"/>
  <c r="M115" i="22"/>
  <c r="L63" i="22"/>
  <c r="L69" i="22"/>
  <c r="M74" i="22"/>
  <c r="L93" i="22"/>
  <c r="L117" i="22"/>
  <c r="M99" i="22"/>
  <c r="M118" i="22"/>
  <c r="L106" i="22"/>
  <c r="L95" i="22"/>
  <c r="L119" i="22"/>
  <c r="L100" i="22"/>
  <c r="L73" i="22"/>
  <c r="M63" i="22"/>
  <c r="M69" i="22"/>
  <c r="L74" i="22"/>
  <c r="M81" i="22"/>
  <c r="L87" i="22"/>
  <c r="L105" i="22"/>
  <c r="M117" i="22"/>
  <c r="M101" i="22"/>
  <c r="M89" i="22"/>
  <c r="M113" i="22"/>
  <c r="M103" i="22"/>
  <c r="L65" i="22"/>
  <c r="M70" i="22"/>
  <c r="M76" i="22"/>
  <c r="M82" i="22"/>
  <c r="L89" i="22"/>
  <c r="M94" i="22"/>
  <c r="M100" i="22"/>
  <c r="M106" i="22"/>
  <c r="M112" i="22"/>
  <c r="M95" i="22"/>
  <c r="L108" i="22"/>
  <c r="L84" i="22"/>
  <c r="M91" i="22"/>
  <c r="M67" i="22"/>
  <c r="M65" i="22"/>
  <c r="L70" i="22"/>
  <c r="L76" i="22"/>
  <c r="L82" i="22"/>
  <c r="L88" i="22"/>
  <c r="L94" i="22"/>
  <c r="L101" i="22"/>
  <c r="L112" i="22"/>
  <c r="L107" i="22"/>
  <c r="M119" i="22"/>
  <c r="L115" i="22"/>
  <c r="L85" i="22"/>
  <c r="M64" i="22"/>
  <c r="M71" i="22"/>
  <c r="M77" i="22"/>
  <c r="M83" i="22"/>
  <c r="M88" i="22"/>
  <c r="M114" i="22"/>
  <c r="L96" i="22"/>
  <c r="M102" i="22"/>
  <c r="M97" i="22"/>
  <c r="L91" i="22"/>
  <c r="L64" i="22"/>
  <c r="L71" i="22"/>
  <c r="L77" i="22"/>
  <c r="M107" i="22"/>
  <c r="M73" i="22"/>
  <c r="L109" i="22"/>
  <c r="L66" i="22"/>
  <c r="L72" i="22"/>
  <c r="L79" i="22"/>
  <c r="M84" i="22"/>
  <c r="M90" i="22"/>
  <c r="L103" i="22"/>
  <c r="L113" i="22"/>
  <c r="M109" i="22"/>
  <c r="M79" i="22"/>
  <c r="M66" i="22"/>
  <c r="M72" i="22"/>
  <c r="L78" i="22"/>
  <c r="M108" i="22"/>
  <c r="L121" i="22"/>
  <c r="M96" i="22"/>
  <c r="L67" i="22"/>
  <c r="AW6" i="24" l="1" a="1"/>
  <c r="AW6" i="24" s="1"/>
  <c r="AM6" i="24" a="1"/>
  <c r="AM6" i="2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tc={18E5A2A4-4328-4013-9C5A-7FF3FFE52F37}</author>
    <author>tc={B28540D2-8971-4B31-876F-24BE58C058FA}</author>
    <author>tc={361F45E2-544C-4814-986A-5F23748796D7}</author>
    <author>tc={84201E2F-7D32-4D3E-A68C-2A395C0AFEB1}</author>
    <author>tc={A873C920-16AD-4BAC-9C3D-8B9354B93FEC}</author>
    <author>tc={0621FDE1-092F-4B0A-B6B9-713897DF0CC5}</author>
    <author>tc={6744EB57-859E-42EA-B4F2-F10942B49A22}</author>
    <author>tc={33530D03-226A-4358-A568-CF8D6E16063E}</author>
    <author>tc={DEE131DF-B99E-49E5-B71E-E8FA46139EA4}</author>
    <author>tc={D7D1BB5E-BF21-4496-ACA8-360768C57861}</author>
    <author>tc={A4FE517B-52ED-47DC-A9CE-D59F3913061A}</author>
    <author>tc={C9ADCFB2-7E30-41ED-B43B-6911BE354135}</author>
  </authors>
  <commentList>
    <comment ref="AE3" authorId="0" shapeId="0" xr:uid="{18E5A2A4-4328-4013-9C5A-7FF3FFE52F37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Saturation value or carrying capalcity</t>
      </text>
    </comment>
    <comment ref="AE4" authorId="1" shapeId="0" xr:uid="{B28540D2-8971-4B31-876F-24BE58C058FA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Point of inflection</t>
      </text>
    </comment>
    <comment ref="AE5" authorId="2" shapeId="0" xr:uid="{361F45E2-544C-4814-986A-5F23748796D7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Slope or decay time</t>
      </text>
    </comment>
    <comment ref="AE6" authorId="3" shapeId="0" xr:uid="{84201E2F-7D32-4D3E-A68C-2A395C0AFEB1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backdating of starting day</t>
      </text>
    </comment>
    <comment ref="B29" authorId="4" shapeId="0" xr:uid="{A873C920-16AD-4BAC-9C3D-8B9354B93FEC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Data from https://github.com/CSSEGISandData</t>
      </text>
    </comment>
    <comment ref="B62" authorId="5" shapeId="0" xr:uid="{0621FDE1-092F-4B0A-B6B9-713897DF0CC5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first red zones (north)</t>
      </text>
    </comment>
    <comment ref="B68" authorId="6" shapeId="0" xr:uid="{6744EB57-859E-42EA-B4F2-F10942B49A22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(north)</t>
      </text>
    </comment>
    <comment ref="B72" authorId="7" shapeId="0" xr:uid="{33530D03-226A-4358-A568-CF8D6E16063E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school closure (Italy)</t>
      </text>
    </comment>
    <comment ref="B75" authorId="8" shapeId="0" xr:uid="{DEE131DF-B99E-49E5-B71E-E8FA46139EA4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(northern Italy)</t>
      </text>
    </comment>
    <comment ref="B77" authorId="9" shapeId="0" xr:uid="{D7D1BB5E-BF21-4496-ACA8-360768C57861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(Italy)</t>
      </text>
    </comment>
    <comment ref="B79" authorId="10" shapeId="0" xr:uid="{A4FE517B-52ED-47DC-A9CE-D59F3913061A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(Italy)</t>
      </text>
    </comment>
    <comment ref="B90" authorId="11" shapeId="0" xr:uid="{C9ADCFB2-7E30-41ED-B43B-6911BE354135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reinforced lockdown (Italy)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tc={722BC269-F91C-4139-8BC1-B2D7CFD655D1}</author>
    <author>tc={545E94EF-1517-4064-88E6-2D9228EF509C}</author>
    <author>tc={9F0F1623-7128-476E-B1C6-D2F247C712B8}</author>
    <author>tc={21AC4952-C932-4556-AB9B-F965D7C85037}</author>
    <author>tc={35848DFF-2269-48CA-BBD5-939EFA41CE4B}</author>
    <author>tc={55BA04F6-DD5C-404D-9143-067D1A800A3A}</author>
    <author>tc={BDDA7B4B-B1F4-44B2-A550-3674E961B52E}</author>
    <author>tc={4CDB76F3-57CC-4212-B53F-F8F165375B94}</author>
    <author>tc={CE65C50C-3F83-4631-A90E-C07B7C5721E9}</author>
    <author>tc={92B8577E-1708-4B0F-85FD-31A0291F718A}</author>
    <author>tc={67CE4491-269D-478E-850E-4FD0904AA888}</author>
    <author>tc={12A51D8D-BC18-4F3B-A122-CB2A491B9543}</author>
  </authors>
  <commentList>
    <comment ref="AN3" authorId="0" shapeId="0" xr:uid="{722BC269-F91C-4139-8BC1-B2D7CFD655D1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Saturation value or carrying capalcity</t>
      </text>
    </comment>
    <comment ref="AN4" authorId="1" shapeId="0" xr:uid="{545E94EF-1517-4064-88E6-2D9228EF509C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Point of inflection</t>
      </text>
    </comment>
    <comment ref="AN5" authorId="2" shapeId="0" xr:uid="{9F0F1623-7128-476E-B1C6-D2F247C712B8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Slope or decay time</t>
      </text>
    </comment>
    <comment ref="AN6" authorId="3" shapeId="0" xr:uid="{21AC4952-C932-4556-AB9B-F965D7C85037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backdating of starting day</t>
      </text>
    </comment>
    <comment ref="B29" authorId="4" shapeId="0" xr:uid="{35848DFF-2269-48CA-BBD5-939EFA41CE4B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see previous sheet</t>
      </text>
    </comment>
    <comment ref="B62" authorId="5" shapeId="0" xr:uid="{55BA04F6-DD5C-404D-9143-067D1A800A3A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first red zones (north)</t>
      </text>
    </comment>
    <comment ref="B68" authorId="6" shapeId="0" xr:uid="{BDDA7B4B-B1F4-44B2-A550-3674E961B52E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(north)</t>
      </text>
    </comment>
    <comment ref="B72" authorId="7" shapeId="0" xr:uid="{4CDB76F3-57CC-4212-B53F-F8F165375B94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school closure (Italy)</t>
      </text>
    </comment>
    <comment ref="B75" authorId="8" shapeId="0" xr:uid="{CE65C50C-3F83-4631-A90E-C07B7C5721E9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(northern Italy)</t>
      </text>
    </comment>
    <comment ref="B77" authorId="9" shapeId="0" xr:uid="{92B8577E-1708-4B0F-85FD-31A0291F718A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(Italy)</t>
      </text>
    </comment>
    <comment ref="B79" authorId="10" shapeId="0" xr:uid="{67CE4491-269D-478E-850E-4FD0904AA888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(Italy)</t>
      </text>
    </comment>
    <comment ref="B90" authorId="11" shapeId="0" xr:uid="{12A51D8D-BC18-4F3B-A122-CB2A491B9543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reinforced lockdown (Italy)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tc={5BB2974A-9676-4C5B-803F-CF982FB54C17}</author>
    <author>tc={5985897A-FB7E-4117-8EAE-F8102ABED9D6}</author>
    <author>tc={47066B5F-AE32-47EA-93C2-BB0BD06AF4AC}</author>
    <author>tc={0EE8AFFD-59E9-4E35-B418-47FBE2E4A52B}</author>
    <author>tc={3D06FFC5-AE5C-40AF-951E-8817B4F3A121}</author>
    <author>tc={F1B3988C-7831-496F-82F5-0B82EE836187}</author>
    <author>tc={13AB517F-BD4E-4746-AF07-A982E4FB6ACE}</author>
    <author>tc={DDE92F60-776B-4CDE-B4EB-B14A18B23E6B}</author>
    <author>tc={4D0715D5-E2BE-4259-9DBA-1C570C2BC087}</author>
    <author>tc={45A3707D-7D38-4419-9325-AB8727F4742B}</author>
    <author>tc={05E3B6D9-8618-4BF7-8E63-7AFE3A48A850}</author>
  </authors>
  <commentList>
    <comment ref="BZ3" authorId="0" shapeId="0" xr:uid="{5BB2974A-9676-4C5B-803F-CF982FB54C17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Saturation value or carrying capalcity</t>
      </text>
    </comment>
    <comment ref="BZ4" authorId="1" shapeId="0" xr:uid="{5985897A-FB7E-4117-8EAE-F8102ABED9D6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Point of inflection</t>
      </text>
    </comment>
    <comment ref="BZ5" authorId="2" shapeId="0" xr:uid="{47066B5F-AE32-47EA-93C2-BB0BD06AF4AC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Slope or decay time</t>
      </text>
    </comment>
    <comment ref="BZ6" authorId="3" shapeId="0" xr:uid="{0EE8AFFD-59E9-4E35-B418-47FBE2E4A52B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backdating of starting day</t>
      </text>
    </comment>
    <comment ref="B62" authorId="4" shapeId="0" xr:uid="{3D06FFC5-AE5C-40AF-951E-8817B4F3A121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first red zones (north)</t>
      </text>
    </comment>
    <comment ref="B68" authorId="5" shapeId="0" xr:uid="{F1B3988C-7831-496F-82F5-0B82EE836187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(north)</t>
      </text>
    </comment>
    <comment ref="B72" authorId="6" shapeId="0" xr:uid="{13AB517F-BD4E-4746-AF07-A982E4FB6ACE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school closure (Italy)</t>
      </text>
    </comment>
    <comment ref="B75" authorId="7" shapeId="0" xr:uid="{DDE92F60-776B-4CDE-B4EB-B14A18B23E6B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(northern Italy)</t>
      </text>
    </comment>
    <comment ref="B77" authorId="8" shapeId="0" xr:uid="{4D0715D5-E2BE-4259-9DBA-1C570C2BC087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(Italy)</t>
      </text>
    </comment>
    <comment ref="B79" authorId="9" shapeId="0" xr:uid="{45A3707D-7D38-4419-9325-AB8727F4742B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(Italy)</t>
      </text>
    </comment>
    <comment ref="B90" authorId="10" shapeId="0" xr:uid="{05E3B6D9-8618-4BF7-8E63-7AFE3A48A850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reinforced lockdown (Italy)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97CD08-FC61-4FE4-AB7F-5BD4BDD5E72A}" keepAlive="1" name="Query - dpc-covid19-ita-andamento-nazionale" description="Connessione alla query 'dpc-covid19-ita-andamento-nazionale' nella cartella di lavoro." type="5" refreshedVersion="6" background="1" saveData="1">
    <dbPr connection="Provider=Microsoft.Mashup.OleDb.1;Data Source=$Workbook$;Location=dpc-covid19-ita-andamento-nazionale;Extended Properties=&quot;&quot;" command="SELECT * FROM [dpc-covid19-ita-andamento-nazionale]"/>
  </connection>
  <connection id="2" xr16:uid="{AB9125BF-B115-49B9-91F9-CD5F3A8576B4}" keepAlive="1" name="Query - dpc-covid19-ita-andamento-nazionale (10)" description="Connessione alla query 'dpc-covid19-ita-andamento-nazionale (10)' nella cartella di lavoro." type="5" refreshedVersion="6" background="1" saveData="1">
    <dbPr connection="Provider=Microsoft.Mashup.OleDb.1;Data Source=$Workbook$;Location=&quot;dpc-covid19-ita-andamento-nazionale (10)&quot;;Extended Properties=&quot;&quot;" command="SELECT * FROM [dpc-covid19-ita-andamento-nazionale (10)]"/>
  </connection>
  <connection id="3" xr16:uid="{600A235F-1026-4113-A353-F496C5298061}" keepAlive="1" name="Query - dpc-covid19-ita-andamento-nazionale (2)" description="Connessione alla query 'dpc-covid19-ita-andamento-nazionale (2)' nella cartella di lavoro." type="5" refreshedVersion="6" background="1" saveData="1">
    <dbPr connection="Provider=Microsoft.Mashup.OleDb.1;Data Source=$Workbook$;Location=&quot;dpc-covid19-ita-andamento-nazionale (2)&quot;;Extended Properties=&quot;&quot;" command="SELECT * FROM [dpc-covid19-ita-andamento-nazionale (2)]"/>
  </connection>
  <connection id="4" xr16:uid="{34ADFF1E-043C-4677-B979-DBE7398C19BF}" keepAlive="1" name="Query - dpc-covid19-ita-andamento-nazionale (3)" description="Connessione alla query 'dpc-covid19-ita-andamento-nazionale (3)' nella cartella di lavoro." type="5" refreshedVersion="6" background="1" saveData="1">
    <dbPr connection="Provider=Microsoft.Mashup.OleDb.1;Data Source=$Workbook$;Location=&quot;dpc-covid19-ita-andamento-nazionale (3)&quot;;Extended Properties=&quot;&quot;" command="SELECT * FROM [dpc-covid19-ita-andamento-nazionale (3)]"/>
  </connection>
  <connection id="5" xr16:uid="{0A0BBF4F-D2A7-4A62-A8DD-1FCF29187A2E}" keepAlive="1" name="Query - dpc-covid19-ita-andamento-nazionale (4)" description="Connessione alla query 'dpc-covid19-ita-andamento-nazionale (4)' nella cartella di lavoro." type="5" refreshedVersion="6" background="1" saveData="1">
    <dbPr connection="Provider=Microsoft.Mashup.OleDb.1;Data Source=$Workbook$;Location=&quot;dpc-covid19-ita-andamento-nazionale (4)&quot;;Extended Properties=&quot;&quot;" command="SELECT * FROM [dpc-covid19-ita-andamento-nazionale (4)]"/>
  </connection>
  <connection id="6" xr16:uid="{5198AC09-F82A-476C-B5AC-29C3DDF427FA}" keepAlive="1" name="Query - dpc-covid19-ita-andamento-nazionale (5)" description="Connessione alla query 'dpc-covid19-ita-andamento-nazionale (5)' nella cartella di lavoro." type="5" refreshedVersion="6" background="1" saveData="1">
    <dbPr connection="Provider=Microsoft.Mashup.OleDb.1;Data Source=$Workbook$;Location=&quot;dpc-covid19-ita-andamento-nazionale (5)&quot;;Extended Properties=&quot;&quot;" command="SELECT * FROM [dpc-covid19-ita-andamento-nazionale (5)]"/>
  </connection>
  <connection id="7" xr16:uid="{0CDB0A75-ABD7-426A-87B7-2465E15FBDF3}" keepAlive="1" name="Query - dpc-covid19-ita-andamento-nazionale (6)" description="Connessione alla query 'dpc-covid19-ita-andamento-nazionale (6)' nella cartella di lavoro." type="5" refreshedVersion="6" background="1" saveData="1">
    <dbPr connection="Provider=Microsoft.Mashup.OleDb.1;Data Source=$Workbook$;Location=&quot;dpc-covid19-ita-andamento-nazionale (6)&quot;;Extended Properties=&quot;&quot;" command="SELECT * FROM [dpc-covid19-ita-andamento-nazionale (6)]"/>
  </connection>
  <connection id="8" xr16:uid="{33750D60-6E02-4074-A863-BEA5FD4335F3}" keepAlive="1" name="Query - dpc-covid19-ita-andamento-nazionale (7)" description="Connessione alla query 'dpc-covid19-ita-andamento-nazionale (7)' nella cartella di lavoro." type="5" refreshedVersion="6" background="1" saveData="1">
    <dbPr connection="Provider=Microsoft.Mashup.OleDb.1;Data Source=$Workbook$;Location=&quot;dpc-covid19-ita-andamento-nazionale (7)&quot;;Extended Properties=&quot;&quot;" command="SELECT * FROM [dpc-covid19-ita-andamento-nazionale (7)]"/>
  </connection>
  <connection id="9" xr16:uid="{6D24FD6D-E97C-47AA-8BA3-4DE573F0DB36}" keepAlive="1" name="Query - dpc-covid19-ita-andamento-nazionale (8)" description="Connessione alla query 'dpc-covid19-ita-andamento-nazionale (8)' nella cartella di lavoro." type="5" refreshedVersion="6" background="1" saveData="1">
    <dbPr connection="Provider=Microsoft.Mashup.OleDb.1;Data Source=$Workbook$;Location=&quot;dpc-covid19-ita-andamento-nazionale (8)&quot;;Extended Properties=&quot;&quot;" command="SELECT * FROM [dpc-covid19-ita-andamento-nazionale (8)]"/>
  </connection>
  <connection id="10" xr16:uid="{09B9BECC-52F0-443E-85DF-E1447200184C}" keepAlive="1" name="Query - dpc-covid19-ita-andamento-nazionale (9)" description="Connessione alla query 'dpc-covid19-ita-andamento-nazionale (9)' nella cartella di lavoro." type="5" refreshedVersion="6" background="1" saveData="1">
    <dbPr connection="Provider=Microsoft.Mashup.OleDb.1;Data Source=$Workbook$;Location=&quot;dpc-covid19-ita-andamento-nazionale (9)&quot;;Extended Properties=&quot;&quot;" command="SELECT * FROM [dpc-covid19-ita-andamento-nazionale (9)]"/>
  </connection>
  <connection id="11" xr16:uid="{D9C35F96-02C9-490F-87B0-9FE8BEB6F2D3}" keepAlive="1" name="Query - dpc-covid19-ita-regioni" description="Connessione alla query 'dpc-covid19-ita-regioni' nella cartella di lavoro." type="5" refreshedVersion="6" background="1" saveData="1">
    <dbPr connection="Provider=Microsoft.Mashup.OleDb.1;Data Source=$Workbook$;Location=dpc-covid19-ita-regioni;Extended Properties=&quot;&quot;" command="SELECT * FROM [dpc-covid19-ita-regioni]"/>
  </connection>
  <connection id="12" xr16:uid="{7B5BDFD5-A01D-4A93-9334-AF9EAE70351E}" keepAlive="1" name="Query - dpc-covid19-ita-regioni (2)" description="Connessione alla query 'dpc-covid19-ita-regioni (2)' nella cartella di lavoro." type="5" refreshedVersion="6" background="1" saveData="1">
    <dbPr connection="Provider=Microsoft.Mashup.OleDb.1;Data Source=$Workbook$;Location=&quot;dpc-covid19-ita-regioni (2)&quot;;Extended Properties=&quot;&quot;" command="SELECT * FROM [dpc-covid19-ita-regioni (2)]"/>
  </connection>
  <connection id="13" xr16:uid="{78D4B2F2-C57B-4E13-890E-FD5C70175E5E}" keepAlive="1" name="Query - dpc-covid19-ita-regioni (3)" description="Connessione alla query 'dpc-covid19-ita-regioni (3)' nella cartella di lavoro." type="5" refreshedVersion="6" background="1" saveData="1">
    <dbPr connection="Provider=Microsoft.Mashup.OleDb.1;Data Source=$Workbook$;Location=&quot;dpc-covid19-ita-regioni (3)&quot;;Extended Properties=&quot;&quot;" command="SELECT * FROM [dpc-covid19-ita-regioni (3)]"/>
  </connection>
  <connection id="14" xr16:uid="{0E1B982F-57E9-4809-885F-F9AC207D6541}" keepAlive="1" name="Query - dpc-covid19-ita-regioni (4)" description="Connessione alla query 'dpc-covid19-ita-regioni (4)' nella cartella di lavoro." type="5" refreshedVersion="6" background="1" saveData="1">
    <dbPr connection="Provider=Microsoft.Mashup.OleDb.1;Data Source=$Workbook$;Location=&quot;dpc-covid19-ita-regioni (4)&quot;;Extended Properties=&quot;&quot;" command="SELECT * FROM [dpc-covid19-ita-regioni (4)]"/>
  </connection>
  <connection id="15" xr16:uid="{0F897742-E816-4FE8-822F-0141BD59699A}" keepAlive="1" name="Query - dpc-covid19-ita-regioni (5)" description="Connessione alla query 'dpc-covid19-ita-regioni (5)' nella cartella di lavoro." type="5" refreshedVersion="6" background="1" saveData="1">
    <dbPr connection="Provider=Microsoft.Mashup.OleDb.1;Data Source=$Workbook$;Location=&quot;dpc-covid19-ita-regioni (5)&quot;;Extended Properties=&quot;&quot;" command="SELECT * FROM [dpc-covid19-ita-regioni (5)]"/>
  </connection>
  <connection id="16" xr16:uid="{35EC220A-A28A-4804-A7E9-6B59E3FB97E2}" keepAlive="1" name="Query - Tabella1" description="Connessione alla query 'Tabella1' nella cartella di lavoro." type="5" refreshedVersion="6" background="1" saveData="1">
    <dbPr connection="Provider=Microsoft.Mashup.OleDb.1;Data Source=$Workbook$;Location=Tabella1;Extended Properties=&quot;&quot;" command="SELECT * FROM [Tabella1]"/>
  </connection>
  <connection id="17" xr16:uid="{5D9F261F-A413-4AEC-B44E-7E0DE2E4FEB1}" keepAlive="1" name="Query - time_series_covid19_confirmed_global" description="Connessione alla query 'time_series_covid19_confirmed_global' nella cartella di lavoro." type="5" refreshedVersion="6" background="1" saveData="1">
    <dbPr connection="Provider=Microsoft.Mashup.OleDb.1;Data Source=$Workbook$;Location=time_series_covid19_confirmed_global;Extended Properties=&quot;&quot;" command="SELECT * FROM [time_series_covid19_confirmed_global]"/>
  </connection>
  <connection id="18" xr16:uid="{32D9E78D-2352-4A60-B92C-007831B03845}" keepAlive="1" name="ThisWorkbookDataModel" description="Modello di dati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9" xr16:uid="{D40C31B4-445A-4A48-8814-96FBC01F01BB}" name="WorksheetConnection_COVID-19 Italy cases trend - B fit.xlsx!dpc_covid19_ita_andamento_nazionale" type="102" refreshedVersion="6" minRefreshableVersion="5">
    <extLst>
      <ext xmlns:x15="http://schemas.microsoft.com/office/spreadsheetml/2010/11/main" uri="{DE250136-89BD-433C-8126-D09CA5730AF9}">
        <x15:connection id="dpc_covid19_ita_andamento_nazionale" autoDelete="1">
          <x15:rangePr sourceName="_xlcn.WorksheetConnection_COVID19ItalycasestrendBfit.xlsxdpc_covid19_ita_andamento_nazional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<sst xmlns="http://schemas.openxmlformats.org/spreadsheetml/2006/main" count="33563" uniqueCount="4453">
  <si>
    <t>K=</t>
  </si>
  <si>
    <t>Mean_of_y</t>
  </si>
  <si>
    <t>df</t>
  </si>
  <si>
    <t>SE_of_y</t>
  </si>
  <si>
    <r>
      <t>R</t>
    </r>
    <r>
      <rPr>
        <vertAlign val="superscript"/>
        <sz val="11"/>
        <color theme="1"/>
        <rFont val="Calibri"/>
        <family val="2"/>
        <scheme val="minor"/>
      </rPr>
      <t>2</t>
    </r>
  </si>
  <si>
    <t>Critical_t</t>
  </si>
  <si>
    <t>CI</t>
  </si>
  <si>
    <t>Upper CI</t>
  </si>
  <si>
    <t>Lower CI</t>
  </si>
  <si>
    <t>Date</t>
  </si>
  <si>
    <t>Day</t>
  </si>
  <si>
    <t>Iterative non-linear least squares regression</t>
  </si>
  <si>
    <t>data</t>
  </si>
  <si>
    <t>stato</t>
  </si>
  <si>
    <t>ricoverati_con_sintomi</t>
  </si>
  <si>
    <t>terapia_intensiva</t>
  </si>
  <si>
    <t>totale_ospedalizzati</t>
  </si>
  <si>
    <t>isolamento_domiciliare</t>
  </si>
  <si>
    <t>dimessi_guariti</t>
  </si>
  <si>
    <t>deceduti</t>
  </si>
  <si>
    <t>totale_casi</t>
  </si>
  <si>
    <t>tamponi</t>
  </si>
  <si>
    <t>ITA</t>
  </si>
  <si>
    <t>note_it</t>
  </si>
  <si>
    <t>note_en</t>
  </si>
  <si>
    <t/>
  </si>
  <si>
    <t>pd-IT-0003</t>
  </si>
  <si>
    <t>pd-EN-0003</t>
  </si>
  <si>
    <t>pd-IT-0005</t>
  </si>
  <si>
    <t>pd-EN-0005</t>
  </si>
  <si>
    <t>nd-IT-0002</t>
  </si>
  <si>
    <t>nd-EN-0002</t>
  </si>
  <si>
    <t>nd-IT-0004;nd-IT-0006</t>
  </si>
  <si>
    <t>nd-EN-0004;nd-EN-0006</t>
  </si>
  <si>
    <t>nd-IT-0009</t>
  </si>
  <si>
    <t>nd-EN-0009</t>
  </si>
  <si>
    <t>nd-IT-0012;nd-IT-0014</t>
  </si>
  <si>
    <t>nd-EN-0012;nd-EN-0014</t>
  </si>
  <si>
    <t>codice_regione</t>
  </si>
  <si>
    <t>denominazione_regione</t>
  </si>
  <si>
    <t>lat</t>
  </si>
  <si>
    <t>long</t>
  </si>
  <si>
    <t>Abruzzo</t>
  </si>
  <si>
    <t>Basilicata</t>
  </si>
  <si>
    <t>P.A. Bolzano</t>
  </si>
  <si>
    <t>Calabria</t>
  </si>
  <si>
    <t>Campania</t>
  </si>
  <si>
    <t>Friuli Venezia Giulia</t>
  </si>
  <si>
    <t>Lazio</t>
  </si>
  <si>
    <t>Liguria</t>
  </si>
  <si>
    <t>Lombardia</t>
  </si>
  <si>
    <t>Marche</t>
  </si>
  <si>
    <t>Molise</t>
  </si>
  <si>
    <t>Piemonte</t>
  </si>
  <si>
    <t>Puglia</t>
  </si>
  <si>
    <t>Sardegna</t>
  </si>
  <si>
    <t>Sicilia</t>
  </si>
  <si>
    <t>Toscana</t>
  </si>
  <si>
    <t>P.A. Trento</t>
  </si>
  <si>
    <t>Umbria</t>
  </si>
  <si>
    <t>Valle d'Aosta</t>
  </si>
  <si>
    <t>Veneto</t>
  </si>
  <si>
    <t>pd-IT-0002</t>
  </si>
  <si>
    <t>pd-EN-0002</t>
  </si>
  <si>
    <t>pd-IT-0004</t>
  </si>
  <si>
    <t>pd-EN-0004</t>
  </si>
  <si>
    <t>nd-IT-0001</t>
  </si>
  <si>
    <t>nd-EN-0001</t>
  </si>
  <si>
    <t>nd-IT-0005</t>
  </si>
  <si>
    <t>nd-EN-0005</t>
  </si>
  <si>
    <t>nd-IT-0003</t>
  </si>
  <si>
    <t>nd-EN-0003</t>
  </si>
  <si>
    <t>nd-IT-0008</t>
  </si>
  <si>
    <t>nd-EN-0008</t>
  </si>
  <si>
    <t>nd-IT-0013</t>
  </si>
  <si>
    <t>nd-EN-0013</t>
  </si>
  <si>
    <t>nd-IT-0011</t>
  </si>
  <si>
    <t>nd-EN-0011</t>
  </si>
  <si>
    <t>region</t>
  </si>
  <si>
    <t>r. Upper CI</t>
  </si>
  <si>
    <t>r. Lower CI</t>
  </si>
  <si>
    <t>o.r. Upper CI</t>
  </si>
  <si>
    <t>o.r. Lower CI</t>
  </si>
  <si>
    <t>outside</t>
  </si>
  <si>
    <t>Lombardy</t>
  </si>
  <si>
    <t>Italy cumulative</t>
  </si>
  <si>
    <t>Italy fit</t>
  </si>
  <si>
    <t>pd-IT-0007</t>
  </si>
  <si>
    <t>pd-EN-0007</t>
  </si>
  <si>
    <t>pd-IT-0006</t>
  </si>
  <si>
    <t>pd-EN-0006</t>
  </si>
  <si>
    <t>totale_positivi</t>
  </si>
  <si>
    <t>variazione_totale_positivi</t>
  </si>
  <si>
    <t>nuovi_positivi</t>
  </si>
  <si>
    <t>pd-IT-0009</t>
  </si>
  <si>
    <t>pd-EN-0009</t>
  </si>
  <si>
    <t>Emilia-Romagna</t>
  </si>
  <si>
    <t>pd-IT-0008</t>
  </si>
  <si>
    <t>pd-EN-0008</t>
  </si>
  <si>
    <t>Peak value</t>
  </si>
  <si>
    <t>SOLVER models</t>
  </si>
  <si>
    <t>Colonna1</t>
  </si>
  <si>
    <t>Colonna2</t>
  </si>
  <si>
    <t>Colonna3</t>
  </si>
  <si>
    <t>Colonna4</t>
  </si>
  <si>
    <t>Colonna5</t>
  </si>
  <si>
    <t>Colonna6</t>
  </si>
  <si>
    <t>Colonna7</t>
  </si>
  <si>
    <t>pd-IT-0011</t>
  </si>
  <si>
    <t>pd-EN-0011</t>
  </si>
  <si>
    <t>dc-IT-0003</t>
  </si>
  <si>
    <t>dc-EN-0003</t>
  </si>
  <si>
    <t>pd-IT-0010</t>
  </si>
  <si>
    <t>pd-EN-0010</t>
  </si>
  <si>
    <t>dc-IT-0002</t>
  </si>
  <si>
    <t>dc-EN-0002</t>
  </si>
  <si>
    <t>fitting parameter - constraint (none)</t>
  </si>
  <si>
    <t>Italy sum</t>
  </si>
  <si>
    <t>Lombardy fit</t>
  </si>
  <si>
    <t xml:space="preserve">rest of Italy </t>
  </si>
  <si>
    <t>rest of Italy fit</t>
  </si>
  <si>
    <t>Whole country sum</t>
  </si>
  <si>
    <r>
      <t>R</t>
    </r>
    <r>
      <rPr>
        <vertAlign val="superscript"/>
        <sz val="11"/>
        <color theme="3"/>
        <rFont val="Calibri"/>
        <family val="2"/>
        <scheme val="minor"/>
      </rPr>
      <t>2</t>
    </r>
  </si>
  <si>
    <t>rest of Italy</t>
  </si>
  <si>
    <t>Whole country fit</t>
  </si>
  <si>
    <t>Colonna22</t>
  </si>
  <si>
    <t>Colonna32</t>
  </si>
  <si>
    <t>Colonna33</t>
  </si>
  <si>
    <t>Colonna322</t>
  </si>
  <si>
    <t>t-Peak</t>
  </si>
  <si>
    <t>Whole contry fit</t>
  </si>
  <si>
    <t>Saturation value</t>
  </si>
  <si>
    <t>DO NOT EXECUTE</t>
  </si>
  <si>
    <t>Solver method: GRG2 non linear engine - option: default</t>
  </si>
  <si>
    <t>Etichette di riga</t>
  </si>
  <si>
    <t>Totale complessivo</t>
  </si>
  <si>
    <t>24-feb</t>
  </si>
  <si>
    <t>25-feb</t>
  </si>
  <si>
    <t>26-feb</t>
  </si>
  <si>
    <t>27-feb</t>
  </si>
  <si>
    <t>28-feb</t>
  </si>
  <si>
    <t>29-feb</t>
  </si>
  <si>
    <t>01-mar</t>
  </si>
  <si>
    <t>02-mar</t>
  </si>
  <si>
    <t>03-mar</t>
  </si>
  <si>
    <t>04-mar</t>
  </si>
  <si>
    <t>05-mar</t>
  </si>
  <si>
    <t>06-mar</t>
  </si>
  <si>
    <t>07-mar</t>
  </si>
  <si>
    <t>08-mar</t>
  </si>
  <si>
    <t>09-mar</t>
  </si>
  <si>
    <t>10-mar</t>
  </si>
  <si>
    <t>11-mar</t>
  </si>
  <si>
    <t>12-mar</t>
  </si>
  <si>
    <t>13-mar</t>
  </si>
  <si>
    <t>14-mar</t>
  </si>
  <si>
    <t>15-mar</t>
  </si>
  <si>
    <t>16-mar</t>
  </si>
  <si>
    <t>17-mar</t>
  </si>
  <si>
    <t>18-mar</t>
  </si>
  <si>
    <t>19-mar</t>
  </si>
  <si>
    <t>20-mar</t>
  </si>
  <si>
    <t>21-mar</t>
  </si>
  <si>
    <t>22-mar</t>
  </si>
  <si>
    <t>23-mar</t>
  </si>
  <si>
    <t>24-mar</t>
  </si>
  <si>
    <t>25-mar</t>
  </si>
  <si>
    <t>26-mar</t>
  </si>
  <si>
    <t>27-mar</t>
  </si>
  <si>
    <t>28-mar</t>
  </si>
  <si>
    <t>29-mar</t>
  </si>
  <si>
    <t>30-mar</t>
  </si>
  <si>
    <t>31-mar</t>
  </si>
  <si>
    <t>01-apr</t>
  </si>
  <si>
    <t>02-apr</t>
  </si>
  <si>
    <t>03-apr</t>
  </si>
  <si>
    <t>04-apr</t>
  </si>
  <si>
    <t>05-apr</t>
  </si>
  <si>
    <t>06-apr</t>
  </si>
  <si>
    <t>07-apr</t>
  </si>
  <si>
    <t>08-apr</t>
  </si>
  <si>
    <t>09-apr</t>
  </si>
  <si>
    <t>10-apr</t>
  </si>
  <si>
    <t>11-apr</t>
  </si>
  <si>
    <t>12-apr</t>
  </si>
  <si>
    <t>13-apr</t>
  </si>
  <si>
    <t>14-apr</t>
  </si>
  <si>
    <t>dc-IT-0005</t>
  </si>
  <si>
    <t>dc-EN-0005</t>
  </si>
  <si>
    <t>dc-IT-0004</t>
  </si>
  <si>
    <t>dc-EN-0004</t>
  </si>
  <si>
    <t>15-apr</t>
  </si>
  <si>
    <t>16-apr</t>
  </si>
  <si>
    <t>17-apr</t>
  </si>
  <si>
    <t>18-apr</t>
  </si>
  <si>
    <t>casi_testati</t>
  </si>
  <si>
    <t>dc-IT-0007</t>
  </si>
  <si>
    <t>dc-EN-0007</t>
  </si>
  <si>
    <t>pd-IT-0013</t>
  </si>
  <si>
    <t>pd-EN-0013</t>
  </si>
  <si>
    <t>22424</t>
  </si>
  <si>
    <t>6528</t>
  </si>
  <si>
    <t>14783</t>
  </si>
  <si>
    <t>22234</t>
  </si>
  <si>
    <t>34994</t>
  </si>
  <si>
    <t>88776</t>
  </si>
  <si>
    <t>27544</t>
  </si>
  <si>
    <t>22702</t>
  </si>
  <si>
    <t>21103</t>
  </si>
  <si>
    <t>183757</t>
  </si>
  <si>
    <t>27099</t>
  </si>
  <si>
    <t>3482</t>
  </si>
  <si>
    <t>71644</t>
  </si>
  <si>
    <t>41580</t>
  </si>
  <si>
    <t>13760</t>
  </si>
  <si>
    <t>49772</t>
  </si>
  <si>
    <t>84620</t>
  </si>
  <si>
    <t>16685</t>
  </si>
  <si>
    <t>16790</t>
  </si>
  <si>
    <t>3802</t>
  </si>
  <si>
    <t>161231</t>
  </si>
  <si>
    <t>22552</t>
  </si>
  <si>
    <t>6868</t>
  </si>
  <si>
    <t>15089</t>
  </si>
  <si>
    <t>22847</t>
  </si>
  <si>
    <t>36153</t>
  </si>
  <si>
    <t>90894</t>
  </si>
  <si>
    <t>28777</t>
  </si>
  <si>
    <t>23067</t>
  </si>
  <si>
    <t>21979</t>
  </si>
  <si>
    <t>173333</t>
  </si>
  <si>
    <t>dc-IT-0006</t>
  </si>
  <si>
    <t>dc-EN-0006</t>
  </si>
  <si>
    <t>28006</t>
  </si>
  <si>
    <t>3683</t>
  </si>
  <si>
    <t>73192</t>
  </si>
  <si>
    <t>43119</t>
  </si>
  <si>
    <t>14160</t>
  </si>
  <si>
    <t>51373</t>
  </si>
  <si>
    <t>85946</t>
  </si>
  <si>
    <t>17347</t>
  </si>
  <si>
    <t>17099</t>
  </si>
  <si>
    <t>3910</t>
  </si>
  <si>
    <t>163757</t>
  </si>
  <si>
    <t>23901</t>
  </si>
  <si>
    <t>7470</t>
  </si>
  <si>
    <t>15405</t>
  </si>
  <si>
    <t>23914</t>
  </si>
  <si>
    <t>37505</t>
  </si>
  <si>
    <t>93367</t>
  </si>
  <si>
    <t>31352</t>
  </si>
  <si>
    <t>24046</t>
  </si>
  <si>
    <t>22670</t>
  </si>
  <si>
    <t>pd-IT-0012</t>
  </si>
  <si>
    <t>pd-EN-0012</t>
  </si>
  <si>
    <t>29090</t>
  </si>
  <si>
    <t>4015</t>
  </si>
  <si>
    <t>76406</t>
  </si>
  <si>
    <t>44760</t>
  </si>
  <si>
    <t>14526</t>
  </si>
  <si>
    <t>55093</t>
  </si>
  <si>
    <t>87717</t>
  </si>
  <si>
    <t>17705</t>
  </si>
  <si>
    <t>17873</t>
  </si>
  <si>
    <t>3969</t>
  </si>
  <si>
    <t>167129</t>
  </si>
  <si>
    <t>19-apr</t>
  </si>
  <si>
    <t>20-apr</t>
  </si>
  <si>
    <t>21-apr</t>
  </si>
  <si>
    <t>24317</t>
  </si>
  <si>
    <t>8040</t>
  </si>
  <si>
    <t>15736</t>
  </si>
  <si>
    <t>24878</t>
  </si>
  <si>
    <t>38679</t>
  </si>
  <si>
    <t>96824</t>
  </si>
  <si>
    <t>32871</t>
  </si>
  <si>
    <t>25244</t>
  </si>
  <si>
    <t>23756</t>
  </si>
  <si>
    <t>184323</t>
  </si>
  <si>
    <t>30543</t>
  </si>
  <si>
    <t>4252</t>
  </si>
  <si>
    <t>81176</t>
  </si>
  <si>
    <t>46925</t>
  </si>
  <si>
    <t>15354</t>
  </si>
  <si>
    <t>58732</t>
  </si>
  <si>
    <t>91747</t>
  </si>
  <si>
    <t>17672</t>
  </si>
  <si>
    <t>18679</t>
  </si>
  <si>
    <t>4011</t>
  </si>
  <si>
    <t>171735</t>
  </si>
  <si>
    <t>22-apr</t>
  </si>
  <si>
    <r>
      <t>R</t>
    </r>
    <r>
      <rPr>
        <vertAlign val="superscript"/>
        <sz val="11"/>
        <rFont val="Calibri"/>
        <family val="2"/>
        <scheme val="minor"/>
      </rPr>
      <t>2</t>
    </r>
  </si>
  <si>
    <t>Italy data</t>
  </si>
  <si>
    <t>Italy sum of regions</t>
  </si>
  <si>
    <t>Lombardy data</t>
  </si>
  <si>
    <t>Lower CI_</t>
  </si>
  <si>
    <t>Upper CI_</t>
  </si>
  <si>
    <t>rest of Italy data</t>
  </si>
  <si>
    <t>Upper CI__</t>
  </si>
  <si>
    <t>Lower CI__</t>
  </si>
  <si>
    <t>Italy cumul. Fit</t>
  </si>
  <si>
    <t>Lombardy cumul. Fit</t>
  </si>
  <si>
    <t>Italy cumul. Data</t>
  </si>
  <si>
    <t>Lombardy cumul. Data</t>
  </si>
  <si>
    <t>rest of Italy cum. Data</t>
  </si>
  <si>
    <t>rest of Italy cumul. Fit</t>
  </si>
  <si>
    <t>Peak value (mode)</t>
  </si>
  <si>
    <t>μ=</t>
  </si>
  <si>
    <t>σ=</t>
  </si>
  <si>
    <r>
      <t>fitting parameter - constraint (</t>
    </r>
    <r>
      <rPr>
        <b/>
        <sz val="11"/>
        <color theme="3"/>
        <rFont val="Calibri"/>
        <family val="2"/>
      </rPr>
      <t>≠</t>
    </r>
    <r>
      <rPr>
        <b/>
        <sz val="11"/>
        <color theme="3"/>
        <rFont val="Calibri"/>
        <family val="2"/>
        <scheme val="minor"/>
      </rPr>
      <t>0)</t>
    </r>
  </si>
  <si>
    <t>Modeling function: Lognormal</t>
  </si>
  <si>
    <t>Italiy sum of regions  (Norm.)</t>
  </si>
  <si>
    <t>Italy fit (Norm:)</t>
  </si>
  <si>
    <t>Lombardy fit (Norm.)</t>
  </si>
  <si>
    <t>rest of Italy fit (Norm.)</t>
  </si>
  <si>
    <t>&lt; x__________ Today___________ y&gt;</t>
  </si>
  <si>
    <t>Italy sum of regions (Norm.)</t>
  </si>
  <si>
    <t>Italy cum. Fit (Norm.)</t>
  </si>
  <si>
    <t>Italy fit (Norm.)</t>
  </si>
  <si>
    <t>Lombardy cum. Fit (Norm.)</t>
  </si>
  <si>
    <t>rest of Italy com. Fit (Norm.)</t>
  </si>
  <si>
    <t>24751</t>
  </si>
  <si>
    <t>8511</t>
  </si>
  <si>
    <t>16442</t>
  </si>
  <si>
    <t>26187</t>
  </si>
  <si>
    <t>pd-IT-0014</t>
  </si>
  <si>
    <t>pd-EN-0014</t>
  </si>
  <si>
    <t>99714</t>
  </si>
  <si>
    <t>34057</t>
  </si>
  <si>
    <t>26298</t>
  </si>
  <si>
    <t>pd-IT-0016</t>
  </si>
  <si>
    <t>pd-EN-0016</t>
  </si>
  <si>
    <t>25045</t>
  </si>
  <si>
    <t>190451</t>
  </si>
  <si>
    <t>31673</t>
  </si>
  <si>
    <t>4478</t>
  </si>
  <si>
    <t>84648</t>
  </si>
  <si>
    <t>49403</t>
  </si>
  <si>
    <t>16094</t>
  </si>
  <si>
    <t>62150</t>
  </si>
  <si>
    <t>94426</t>
  </si>
  <si>
    <t>18656</t>
  </si>
  <si>
    <t>19627</t>
  </si>
  <si>
    <t>4133</t>
  </si>
  <si>
    <t>177154</t>
  </si>
  <si>
    <t>pd-IT-0015;pd-IT-0017</t>
  </si>
  <si>
    <t>pd-EN-0015;pd-EN-0017</t>
  </si>
  <si>
    <t>23-apr</t>
  </si>
  <si>
    <t>25397</t>
  </si>
  <si>
    <t>9026</t>
  </si>
  <si>
    <t>17024</t>
  </si>
  <si>
    <t>26811</t>
  </si>
  <si>
    <t>40053</t>
  </si>
  <si>
    <t>102495</t>
  </si>
  <si>
    <t>35547</t>
  </si>
  <si>
    <t>86545</t>
  </si>
  <si>
    <t>26040</t>
  </si>
  <si>
    <t>196406</t>
  </si>
  <si>
    <t>33113</t>
  </si>
  <si>
    <t>4718</t>
  </si>
  <si>
    <t>89392</t>
  </si>
  <si>
    <t>51517</t>
  </si>
  <si>
    <t>18050</t>
  </si>
  <si>
    <t>63626</t>
  </si>
  <si>
    <t>96180</t>
  </si>
  <si>
    <t>19250</t>
  </si>
  <si>
    <t>20733</t>
  </si>
  <si>
    <t>4454</t>
  </si>
  <si>
    <t>181473</t>
  </si>
  <si>
    <t>24-apr</t>
  </si>
  <si>
    <r>
      <t>fitting parameter - constraint (</t>
    </r>
    <r>
      <rPr>
        <sz val="14"/>
        <color theme="1"/>
        <rFont val="Calibri"/>
        <family val="2"/>
      </rPr>
      <t>≤0)</t>
    </r>
  </si>
  <si>
    <t>p=</t>
  </si>
  <si>
    <t>&lt;&lt;&lt; predicted starting date of the outbreak &gt;&gt;&gt;</t>
  </si>
  <si>
    <t>&lt;&lt;&lt; backdating of starting day &gt;&gt;&gt;</t>
  </si>
  <si>
    <t>Italy</t>
  </si>
  <si>
    <t>Somma di totale_casi</t>
  </si>
  <si>
    <t>25959</t>
  </si>
  <si>
    <t>9792</t>
  </si>
  <si>
    <t>17573</t>
  </si>
  <si>
    <t>41399</t>
  </si>
  <si>
    <t>105628</t>
  </si>
  <si>
    <t>37211</t>
  </si>
  <si>
    <t>90582</t>
  </si>
  <si>
    <t>26898</t>
  </si>
  <si>
    <t>202827</t>
  </si>
  <si>
    <t>34256</t>
  </si>
  <si>
    <t>5089</t>
  </si>
  <si>
    <t>93325</t>
  </si>
  <si>
    <t>53500</t>
  </si>
  <si>
    <t>18480</t>
  </si>
  <si>
    <t>64892</t>
  </si>
  <si>
    <t>98753</t>
  </si>
  <si>
    <t>19394</t>
  </si>
  <si>
    <t>21842</t>
  </si>
  <si>
    <t>4694</t>
  </si>
  <si>
    <t>186426</t>
  </si>
  <si>
    <t>25-apr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</si>
  <si>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</si>
  <si>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</si>
  <si>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</si>
  <si>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</si>
  <si>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</si>
  <si>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</si>
  <si>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</si>
  <si>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</si>
  <si>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</si>
  <si>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</si>
  <si>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</si>
  <si>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</si>
  <si>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</si>
  <si>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</si>
  <si>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</si>
  <si>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</si>
  <si>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</si>
  <si>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</si>
  <si>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</si>
  <si>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</si>
  <si>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</si>
  <si>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</si>
  <si>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</si>
  <si>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</si>
  <si>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</si>
  <si>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</si>
  <si>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</si>
  <si>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</si>
  <si>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</si>
  <si>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</si>
  <si>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</si>
  <si>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</si>
  <si>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</si>
  <si>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</si>
  <si>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</si>
  <si>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</si>
  <si>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</si>
  <si>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</si>
  <si>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</si>
  <si>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</si>
  <si>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</si>
  <si>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</si>
  <si>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</si>
  <si>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</si>
  <si>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</si>
  <si>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</si>
  <si>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</si>
  <si>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</si>
  <si>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</si>
  <si>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</si>
  <si>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</si>
  <si>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</si>
  <si>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</si>
  <si>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</si>
  <si>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</si>
  <si>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</si>
  <si>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</si>
  <si>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</si>
  <si>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</si>
  <si>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</si>
  <si>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</si>
  <si>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</si>
  <si>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</si>
  <si>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</si>
  <si>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</si>
  <si>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</si>
  <si>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</si>
  <si>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</si>
  <si>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</si>
  <si>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</si>
  <si>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</si>
  <si>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</si>
  <si>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</si>
  <si>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</si>
  <si>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</si>
  <si>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</si>
  <si>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</si>
  <si>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</si>
  <si>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</si>
  <si>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</si>
  <si>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</si>
  <si>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</si>
  <si>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</si>
  <si>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</si>
  <si>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</si>
  <si>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</si>
  <si>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</si>
  <si>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</si>
  <si>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</si>
  <si>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</si>
  <si>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</si>
  <si>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</si>
  <si>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</si>
  <si>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</si>
  <si>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</si>
  <si>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</si>
  <si>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</si>
  <si>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</si>
  <si>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</si>
  <si>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</si>
  <si>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</si>
  <si>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</si>
  <si>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</si>
  <si>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</si>
  <si>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</si>
  <si>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</si>
  <si>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</si>
  <si>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</si>
  <si>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</si>
  <si>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</si>
  <si>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</si>
  <si>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</si>
  <si>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2/1/20</t>
  </si>
  <si>
    <t>2/2/20</t>
  </si>
  <si>
    <t>2/3/20</t>
  </si>
  <si>
    <t>2/4/20</t>
  </si>
  <si>
    <t>2/5/20</t>
  </si>
  <si>
    <t>2/6/20</t>
  </si>
  <si>
    <t>2/7/20</t>
  </si>
  <si>
    <t>2/8/20</t>
  </si>
  <si>
    <t>2/9/20</t>
  </si>
  <si>
    <t>2/10/20</t>
  </si>
  <si>
    <t>2/11/20</t>
  </si>
  <si>
    <t>2/12/20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</si>
  <si>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</si>
  <si>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</si>
  <si>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</si>
  <si>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</si>
  <si>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</si>
  <si>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</si>
  <si>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</si>
  <si>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</si>
  <si>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</si>
  <si>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</si>
  <si>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</si>
  <si>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</si>
  <si>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</si>
  <si>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</si>
  <si>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</si>
  <si>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</si>
  <si>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</si>
  <si>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3/1/20</t>
  </si>
  <si>
    <t>3/2/20</t>
  </si>
  <si>
    <t>3/3/20</t>
  </si>
  <si>
    <t>3/4/20</t>
  </si>
  <si>
    <t>3/5/20</t>
  </si>
  <si>
    <t>3/6/20</t>
  </si>
  <si>
    <t>3/7/20</t>
  </si>
  <si>
    <t>3/8/20</t>
  </si>
  <si>
    <t>3/9/20</t>
  </si>
  <si>
    <t>3/10/20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</si>
  <si>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</si>
  <si>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</si>
  <si>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</si>
  <si>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</si>
  <si>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</si>
  <si>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</si>
  <si>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</si>
  <si>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</si>
  <si>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</si>
  <si>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</si>
  <si>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</si>
  <si>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</si>
  <si>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</si>
  <si>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</si>
  <si>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</si>
  <si>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</si>
  <si>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</si>
  <si>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</si>
  <si>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</si>
  <si>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</si>
  <si>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</si>
  <si>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</si>
  <si>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</si>
  <si>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</si>
  <si>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</si>
  <si>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</si>
  <si>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</si>
  <si>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</si>
  <si>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</si>
  <si>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</si>
  <si>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</si>
  <si>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</si>
  <si>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</si>
  <si>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</si>
  <si>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</si>
  <si>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</si>
  <si>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</si>
  <si>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</si>
  <si>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</si>
  <si>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</si>
  <si>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</si>
  <si>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</si>
  <si>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</si>
  <si>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</si>
  <si>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</si>
  <si>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Afghanistan</t>
  </si>
  <si>
    <t>33.0</t>
  </si>
  <si>
    <t>65.0</t>
  </si>
  <si>
    <t>0</t>
  </si>
  <si>
    <t>1</t>
  </si>
  <si>
    <t>4</t>
  </si>
  <si>
    <t>5</t>
  </si>
  <si>
    <t>7</t>
  </si>
  <si>
    <t>11</t>
  </si>
  <si>
    <t>16</t>
  </si>
  <si>
    <t>21</t>
  </si>
  <si>
    <t>22</t>
  </si>
  <si>
    <t>24</t>
  </si>
  <si>
    <t>40</t>
  </si>
  <si>
    <t>74</t>
  </si>
  <si>
    <t>84</t>
  </si>
  <si>
    <t>94</t>
  </si>
  <si>
    <t>110</t>
  </si>
  <si>
    <t>120</t>
  </si>
  <si>
    <t>170</t>
  </si>
  <si>
    <t>174</t>
  </si>
  <si>
    <t>237</t>
  </si>
  <si>
    <t>273</t>
  </si>
  <si>
    <t>281</t>
  </si>
  <si>
    <t>299</t>
  </si>
  <si>
    <t>349</t>
  </si>
  <si>
    <t>367</t>
  </si>
  <si>
    <t>423</t>
  </si>
  <si>
    <t>444</t>
  </si>
  <si>
    <t>484</t>
  </si>
  <si>
    <t>521</t>
  </si>
  <si>
    <t>555</t>
  </si>
  <si>
    <t>607</t>
  </si>
  <si>
    <t>665</t>
  </si>
  <si>
    <t>714</t>
  </si>
  <si>
    <t>784</t>
  </si>
  <si>
    <t>840</t>
  </si>
  <si>
    <t>906</t>
  </si>
  <si>
    <t>933</t>
  </si>
  <si>
    <t>996</t>
  </si>
  <si>
    <t>1026</t>
  </si>
  <si>
    <t>1092</t>
  </si>
  <si>
    <t>1176</t>
  </si>
  <si>
    <t>1279</t>
  </si>
  <si>
    <t>1351</t>
  </si>
  <si>
    <t>Albania</t>
  </si>
  <si>
    <t>41.1533</t>
  </si>
  <si>
    <t>20.1683</t>
  </si>
  <si>
    <t>2</t>
  </si>
  <si>
    <t>10</t>
  </si>
  <si>
    <t>12</t>
  </si>
  <si>
    <t>23</t>
  </si>
  <si>
    <t>33</t>
  </si>
  <si>
    <t>38</t>
  </si>
  <si>
    <t>42</t>
  </si>
  <si>
    <t>51</t>
  </si>
  <si>
    <t>55</t>
  </si>
  <si>
    <t>59</t>
  </si>
  <si>
    <t>64</t>
  </si>
  <si>
    <t>70</t>
  </si>
  <si>
    <t>76</t>
  </si>
  <si>
    <t>89</t>
  </si>
  <si>
    <t>104</t>
  </si>
  <si>
    <t>123</t>
  </si>
  <si>
    <t>146</t>
  </si>
  <si>
    <t>186</t>
  </si>
  <si>
    <t>197</t>
  </si>
  <si>
    <t>212</t>
  </si>
  <si>
    <t>223</t>
  </si>
  <si>
    <t>243</t>
  </si>
  <si>
    <t>259</t>
  </si>
  <si>
    <t>277</t>
  </si>
  <si>
    <t>304</t>
  </si>
  <si>
    <t>333</t>
  </si>
  <si>
    <t>361</t>
  </si>
  <si>
    <t>377</t>
  </si>
  <si>
    <t>383</t>
  </si>
  <si>
    <t>400</t>
  </si>
  <si>
    <t>409</t>
  </si>
  <si>
    <t>416</t>
  </si>
  <si>
    <t>433</t>
  </si>
  <si>
    <t>446</t>
  </si>
  <si>
    <t>467</t>
  </si>
  <si>
    <t>475</t>
  </si>
  <si>
    <t>494</t>
  </si>
  <si>
    <t>518</t>
  </si>
  <si>
    <t>539</t>
  </si>
  <si>
    <t>548</t>
  </si>
  <si>
    <t>562</t>
  </si>
  <si>
    <t>584</t>
  </si>
  <si>
    <t>609</t>
  </si>
  <si>
    <t>634</t>
  </si>
  <si>
    <t>663</t>
  </si>
  <si>
    <t>678</t>
  </si>
  <si>
    <t>Algeria</t>
  </si>
  <si>
    <t>28.0339</t>
  </si>
  <si>
    <t>1.6596</t>
  </si>
  <si>
    <t>3</t>
  </si>
  <si>
    <t>17</t>
  </si>
  <si>
    <t>19</t>
  </si>
  <si>
    <t>20</t>
  </si>
  <si>
    <t>26</t>
  </si>
  <si>
    <t>37</t>
  </si>
  <si>
    <t>48</t>
  </si>
  <si>
    <t>54</t>
  </si>
  <si>
    <t>60</t>
  </si>
  <si>
    <t>87</t>
  </si>
  <si>
    <t>90</t>
  </si>
  <si>
    <t>139</t>
  </si>
  <si>
    <t>201</t>
  </si>
  <si>
    <t>230</t>
  </si>
  <si>
    <t>264</t>
  </si>
  <si>
    <t>302</t>
  </si>
  <si>
    <t>454</t>
  </si>
  <si>
    <t>511</t>
  </si>
  <si>
    <t>716</t>
  </si>
  <si>
    <t>847</t>
  </si>
  <si>
    <t>986</t>
  </si>
  <si>
    <t>1171</t>
  </si>
  <si>
    <t>1251</t>
  </si>
  <si>
    <t>1320</t>
  </si>
  <si>
    <t>1423</t>
  </si>
  <si>
    <t>1468</t>
  </si>
  <si>
    <t>1572</t>
  </si>
  <si>
    <t>1666</t>
  </si>
  <si>
    <t>1761</t>
  </si>
  <si>
    <t>1825</t>
  </si>
  <si>
    <t>1914</t>
  </si>
  <si>
    <t>1983</t>
  </si>
  <si>
    <t>2070</t>
  </si>
  <si>
    <t>2160</t>
  </si>
  <si>
    <t>2268</t>
  </si>
  <si>
    <t>2418</t>
  </si>
  <si>
    <t>2534</t>
  </si>
  <si>
    <t>2629</t>
  </si>
  <si>
    <t>2718</t>
  </si>
  <si>
    <t>2811</t>
  </si>
  <si>
    <t>2910</t>
  </si>
  <si>
    <t>3007</t>
  </si>
  <si>
    <t>3127</t>
  </si>
  <si>
    <t>Andorra</t>
  </si>
  <si>
    <t>42.5063</t>
  </si>
  <si>
    <t>1.5218</t>
  </si>
  <si>
    <t>39</t>
  </si>
  <si>
    <t>53</t>
  </si>
  <si>
    <t>75</t>
  </si>
  <si>
    <t>88</t>
  </si>
  <si>
    <t>113</t>
  </si>
  <si>
    <t>133</t>
  </si>
  <si>
    <t>164</t>
  </si>
  <si>
    <t>188</t>
  </si>
  <si>
    <t>224</t>
  </si>
  <si>
    <t>267</t>
  </si>
  <si>
    <t>308</t>
  </si>
  <si>
    <t>334</t>
  </si>
  <si>
    <t>370</t>
  </si>
  <si>
    <t>376</t>
  </si>
  <si>
    <t>390</t>
  </si>
  <si>
    <t>428</t>
  </si>
  <si>
    <t>439</t>
  </si>
  <si>
    <t>466</t>
  </si>
  <si>
    <t>501</t>
  </si>
  <si>
    <t>525</t>
  </si>
  <si>
    <t>545</t>
  </si>
  <si>
    <t>564</t>
  </si>
  <si>
    <t>583</t>
  </si>
  <si>
    <t>601</t>
  </si>
  <si>
    <t>638</t>
  </si>
  <si>
    <t>646</t>
  </si>
  <si>
    <t>659</t>
  </si>
  <si>
    <t>673</t>
  </si>
  <si>
    <t>696</t>
  </si>
  <si>
    <t>704</t>
  </si>
  <si>
    <t>713</t>
  </si>
  <si>
    <t>717</t>
  </si>
  <si>
    <t>723</t>
  </si>
  <si>
    <t>731</t>
  </si>
  <si>
    <t>Angola</t>
  </si>
  <si>
    <t>-11.2027</t>
  </si>
  <si>
    <t>17.8739</t>
  </si>
  <si>
    <t>8</t>
  </si>
  <si>
    <t>14</t>
  </si>
  <si>
    <t>25</t>
  </si>
  <si>
    <t>Antigua and Barbuda</t>
  </si>
  <si>
    <t>17.0608</t>
  </si>
  <si>
    <t>-61.7964</t>
  </si>
  <si>
    <t>9</t>
  </si>
  <si>
    <t>15</t>
  </si>
  <si>
    <t>Argentina</t>
  </si>
  <si>
    <t>-38.4161</t>
  </si>
  <si>
    <t>-63.6167</t>
  </si>
  <si>
    <t>31</t>
  </si>
  <si>
    <t>34</t>
  </si>
  <si>
    <t>45</t>
  </si>
  <si>
    <t>56</t>
  </si>
  <si>
    <t>68</t>
  </si>
  <si>
    <t>79</t>
  </si>
  <si>
    <t>97</t>
  </si>
  <si>
    <t>128</t>
  </si>
  <si>
    <t>158</t>
  </si>
  <si>
    <t>266</t>
  </si>
  <si>
    <t>301</t>
  </si>
  <si>
    <t>387</t>
  </si>
  <si>
    <t>502</t>
  </si>
  <si>
    <t>589</t>
  </si>
  <si>
    <t>690</t>
  </si>
  <si>
    <t>745</t>
  </si>
  <si>
    <t>820</t>
  </si>
  <si>
    <t>1054</t>
  </si>
  <si>
    <t>1133</t>
  </si>
  <si>
    <t>1265</t>
  </si>
  <si>
    <t>1451</t>
  </si>
  <si>
    <t>1554</t>
  </si>
  <si>
    <t>1628</t>
  </si>
  <si>
    <t>1715</t>
  </si>
  <si>
    <t>1795</t>
  </si>
  <si>
    <t>1975</t>
  </si>
  <si>
    <t>2142</t>
  </si>
  <si>
    <t>2208</t>
  </si>
  <si>
    <t>2277</t>
  </si>
  <si>
    <t>2443</t>
  </si>
  <si>
    <t>2571</t>
  </si>
  <si>
    <t>2669</t>
  </si>
  <si>
    <t>2758</t>
  </si>
  <si>
    <t>2839</t>
  </si>
  <si>
    <t>2941</t>
  </si>
  <si>
    <t>3031</t>
  </si>
  <si>
    <t>3144</t>
  </si>
  <si>
    <t>3435</t>
  </si>
  <si>
    <t>3607</t>
  </si>
  <si>
    <t>Armenia</t>
  </si>
  <si>
    <t>40.0691</t>
  </si>
  <si>
    <t>45.0382</t>
  </si>
  <si>
    <t>18</t>
  </si>
  <si>
    <t>52</t>
  </si>
  <si>
    <t>78</t>
  </si>
  <si>
    <t>115</t>
  </si>
  <si>
    <t>136</t>
  </si>
  <si>
    <t>160</t>
  </si>
  <si>
    <t>194</t>
  </si>
  <si>
    <t>235</t>
  </si>
  <si>
    <t>249</t>
  </si>
  <si>
    <t>265</t>
  </si>
  <si>
    <t>290</t>
  </si>
  <si>
    <t>329</t>
  </si>
  <si>
    <t>407</t>
  </si>
  <si>
    <t>424</t>
  </si>
  <si>
    <t>482</t>
  </si>
  <si>
    <t>532</t>
  </si>
  <si>
    <t>571</t>
  </si>
  <si>
    <t>736</t>
  </si>
  <si>
    <t>770</t>
  </si>
  <si>
    <t>822</t>
  </si>
  <si>
    <t>833</t>
  </si>
  <si>
    <t>853</t>
  </si>
  <si>
    <t>881</t>
  </si>
  <si>
    <t>921</t>
  </si>
  <si>
    <t>937</t>
  </si>
  <si>
    <t>967</t>
  </si>
  <si>
    <t>1013</t>
  </si>
  <si>
    <t>1039</t>
  </si>
  <si>
    <t>1067</t>
  </si>
  <si>
    <t>1111</t>
  </si>
  <si>
    <t>1159</t>
  </si>
  <si>
    <t>1201</t>
  </si>
  <si>
    <t>1248</t>
  </si>
  <si>
    <t>1291</t>
  </si>
  <si>
    <t>1339</t>
  </si>
  <si>
    <t>1401</t>
  </si>
  <si>
    <t>1473</t>
  </si>
  <si>
    <t>1523</t>
  </si>
  <si>
    <t>1596</t>
  </si>
  <si>
    <t>Australian Capital Territory</t>
  </si>
  <si>
    <t>Australia</t>
  </si>
  <si>
    <t>-35.4735</t>
  </si>
  <si>
    <t>149.0124</t>
  </si>
  <si>
    <t>6</t>
  </si>
  <si>
    <t>32</t>
  </si>
  <si>
    <t>62</t>
  </si>
  <si>
    <t>71</t>
  </si>
  <si>
    <t>77</t>
  </si>
  <si>
    <t>80</t>
  </si>
  <si>
    <t>91</t>
  </si>
  <si>
    <t>93</t>
  </si>
  <si>
    <t>96</t>
  </si>
  <si>
    <t>99</t>
  </si>
  <si>
    <t>100</t>
  </si>
  <si>
    <t>103</t>
  </si>
  <si>
    <t>102</t>
  </si>
  <si>
    <t>105</t>
  </si>
  <si>
    <t>New South Wales</t>
  </si>
  <si>
    <t>-33.8688</t>
  </si>
  <si>
    <t>151.2093</t>
  </si>
  <si>
    <t>13</t>
  </si>
  <si>
    <t>28</t>
  </si>
  <si>
    <t>65</t>
  </si>
  <si>
    <t>92</t>
  </si>
  <si>
    <t>112</t>
  </si>
  <si>
    <t>134</t>
  </si>
  <si>
    <t>171</t>
  </si>
  <si>
    <t>210</t>
  </si>
  <si>
    <t>307</t>
  </si>
  <si>
    <t>353</t>
  </si>
  <si>
    <t>436</t>
  </si>
  <si>
    <t>669</t>
  </si>
  <si>
    <t>818</t>
  </si>
  <si>
    <t>1029</t>
  </si>
  <si>
    <t>1219</t>
  </si>
  <si>
    <t>1405</t>
  </si>
  <si>
    <t>1617</t>
  </si>
  <si>
    <t>1791</t>
  </si>
  <si>
    <t>2032</t>
  </si>
  <si>
    <t>2182</t>
  </si>
  <si>
    <t>2298</t>
  </si>
  <si>
    <t>2389</t>
  </si>
  <si>
    <t>2493</t>
  </si>
  <si>
    <t>2580</t>
  </si>
  <si>
    <t>2637</t>
  </si>
  <si>
    <t>2686</t>
  </si>
  <si>
    <t>2734</t>
  </si>
  <si>
    <t>2773</t>
  </si>
  <si>
    <t>2822</t>
  </si>
  <si>
    <t>2857</t>
  </si>
  <si>
    <t>2863</t>
  </si>
  <si>
    <t>2870</t>
  </si>
  <si>
    <t>2886</t>
  </si>
  <si>
    <t>2897</t>
  </si>
  <si>
    <t>2926</t>
  </si>
  <si>
    <t>2936</t>
  </si>
  <si>
    <t>2957</t>
  </si>
  <si>
    <t>2963</t>
  </si>
  <si>
    <t>2969</t>
  </si>
  <si>
    <t>2971</t>
  </si>
  <si>
    <t>2976</t>
  </si>
  <si>
    <t>2982</t>
  </si>
  <si>
    <t>Northern Territory</t>
  </si>
  <si>
    <t>-12.4634</t>
  </si>
  <si>
    <t>130.8456</t>
  </si>
  <si>
    <t>27</t>
  </si>
  <si>
    <t>Queensland</t>
  </si>
  <si>
    <t>-28.0167</t>
  </si>
  <si>
    <t>153.4</t>
  </si>
  <si>
    <t>35</t>
  </si>
  <si>
    <t>46</t>
  </si>
  <si>
    <t>61</t>
  </si>
  <si>
    <t>144</t>
  </si>
  <si>
    <t>184</t>
  </si>
  <si>
    <t>221</t>
  </si>
  <si>
    <t>319</t>
  </si>
  <si>
    <t>397</t>
  </si>
  <si>
    <t>443</t>
  </si>
  <si>
    <t>493</t>
  </si>
  <si>
    <t>625</t>
  </si>
  <si>
    <t>656</t>
  </si>
  <si>
    <t>689</t>
  </si>
  <si>
    <t>743</t>
  </si>
  <si>
    <t>781</t>
  </si>
  <si>
    <t>835</t>
  </si>
  <si>
    <t>873</t>
  </si>
  <si>
    <t>900</t>
  </si>
  <si>
    <t>907</t>
  </si>
  <si>
    <t>934</t>
  </si>
  <si>
    <t>943</t>
  </si>
  <si>
    <t>953</t>
  </si>
  <si>
    <t>965</t>
  </si>
  <si>
    <t>974</t>
  </si>
  <si>
    <t>983</t>
  </si>
  <si>
    <t>987</t>
  </si>
  <si>
    <t>998</t>
  </si>
  <si>
    <t>999</t>
  </si>
  <si>
    <t>1001</t>
  </si>
  <si>
    <t>1007</t>
  </si>
  <si>
    <t>1015</t>
  </si>
  <si>
    <t>1019</t>
  </si>
  <si>
    <t>1024</t>
  </si>
  <si>
    <t>South Australia</t>
  </si>
  <si>
    <t>-34.9285</t>
  </si>
  <si>
    <t>138.6007</t>
  </si>
  <si>
    <t>29</t>
  </si>
  <si>
    <t>50</t>
  </si>
  <si>
    <t>67</t>
  </si>
  <si>
    <t>257</t>
  </si>
  <si>
    <t>287</t>
  </si>
  <si>
    <t>305</t>
  </si>
  <si>
    <t>337</t>
  </si>
  <si>
    <t>396</t>
  </si>
  <si>
    <t>411</t>
  </si>
  <si>
    <t>415</t>
  </si>
  <si>
    <t>420</t>
  </si>
  <si>
    <t>429</t>
  </si>
  <si>
    <t>435</t>
  </si>
  <si>
    <t>437</t>
  </si>
  <si>
    <t>438</t>
  </si>
  <si>
    <t>Tasmania</t>
  </si>
  <si>
    <t>-41.4545</t>
  </si>
  <si>
    <t>145.9707</t>
  </si>
  <si>
    <t>36</t>
  </si>
  <si>
    <t>47</t>
  </si>
  <si>
    <t>66</t>
  </si>
  <si>
    <t>69</t>
  </si>
  <si>
    <t>72</t>
  </si>
  <si>
    <t>82</t>
  </si>
  <si>
    <t>86</t>
  </si>
  <si>
    <t>98</t>
  </si>
  <si>
    <t>111</t>
  </si>
  <si>
    <t>122</t>
  </si>
  <si>
    <t>165</t>
  </si>
  <si>
    <t>169</t>
  </si>
  <si>
    <t>180</t>
  </si>
  <si>
    <t>195</t>
  </si>
  <si>
    <t>200</t>
  </si>
  <si>
    <t>205</t>
  </si>
  <si>
    <t>207</t>
  </si>
  <si>
    <t>Victoria</t>
  </si>
  <si>
    <t>-37.8136</t>
  </si>
  <si>
    <t>144.9631</t>
  </si>
  <si>
    <t>49</t>
  </si>
  <si>
    <t>57</t>
  </si>
  <si>
    <t>121</t>
  </si>
  <si>
    <t>229</t>
  </si>
  <si>
    <t>355</t>
  </si>
  <si>
    <t>520</t>
  </si>
  <si>
    <t>574</t>
  </si>
  <si>
    <t>685</t>
  </si>
  <si>
    <t>769</t>
  </si>
  <si>
    <t>821</t>
  </si>
  <si>
    <t>917</t>
  </si>
  <si>
    <t>968</t>
  </si>
  <si>
    <t>1036</t>
  </si>
  <si>
    <t>1085</t>
  </si>
  <si>
    <t>1115</t>
  </si>
  <si>
    <t>1135</t>
  </si>
  <si>
    <t>1158</t>
  </si>
  <si>
    <t>1191</t>
  </si>
  <si>
    <t>1212</t>
  </si>
  <si>
    <t>1228</t>
  </si>
  <si>
    <t>1241</t>
  </si>
  <si>
    <t>1268</t>
  </si>
  <si>
    <t>1281</t>
  </si>
  <si>
    <t>1299</t>
  </si>
  <si>
    <t>1302</t>
  </si>
  <si>
    <t>1319</t>
  </si>
  <si>
    <t>1328</t>
  </si>
  <si>
    <t>1329</t>
  </si>
  <si>
    <t>1336</t>
  </si>
  <si>
    <t>1337</t>
  </si>
  <si>
    <t>1343</t>
  </si>
  <si>
    <t>Western Australia</t>
  </si>
  <si>
    <t>-31.9505</t>
  </si>
  <si>
    <t>115.8605</t>
  </si>
  <si>
    <t>140</t>
  </si>
  <si>
    <t>175</t>
  </si>
  <si>
    <t>231</t>
  </si>
  <si>
    <t>278</t>
  </si>
  <si>
    <t>311</t>
  </si>
  <si>
    <t>364</t>
  </si>
  <si>
    <t>392</t>
  </si>
  <si>
    <t>453</t>
  </si>
  <si>
    <t>460</t>
  </si>
  <si>
    <t>481</t>
  </si>
  <si>
    <t>495</t>
  </si>
  <si>
    <t>506</t>
  </si>
  <si>
    <t>514</t>
  </si>
  <si>
    <t>517</t>
  </si>
  <si>
    <t>527</t>
  </si>
  <si>
    <t>541</t>
  </si>
  <si>
    <t>544</t>
  </si>
  <si>
    <t>546</t>
  </si>
  <si>
    <t>Austria</t>
  </si>
  <si>
    <t>47.5162</t>
  </si>
  <si>
    <t>14.5501</t>
  </si>
  <si>
    <t>41</t>
  </si>
  <si>
    <t>131</t>
  </si>
  <si>
    <t>182</t>
  </si>
  <si>
    <t>246</t>
  </si>
  <si>
    <t>504</t>
  </si>
  <si>
    <t>655</t>
  </si>
  <si>
    <t>860</t>
  </si>
  <si>
    <t>1018</t>
  </si>
  <si>
    <t>1332</t>
  </si>
  <si>
    <t>1646</t>
  </si>
  <si>
    <t>2013</t>
  </si>
  <si>
    <t>2388</t>
  </si>
  <si>
    <t>2814</t>
  </si>
  <si>
    <t>3582</t>
  </si>
  <si>
    <t>4474</t>
  </si>
  <si>
    <t>5283</t>
  </si>
  <si>
    <t>5588</t>
  </si>
  <si>
    <t>6909</t>
  </si>
  <si>
    <t>7657</t>
  </si>
  <si>
    <t>8271</t>
  </si>
  <si>
    <t>8788</t>
  </si>
  <si>
    <t>9618</t>
  </si>
  <si>
    <t>10180</t>
  </si>
  <si>
    <t>10711</t>
  </si>
  <si>
    <t>11129</t>
  </si>
  <si>
    <t>11524</t>
  </si>
  <si>
    <t>11781</t>
  </si>
  <si>
    <t>12051</t>
  </si>
  <si>
    <t>12297</t>
  </si>
  <si>
    <t>12639</t>
  </si>
  <si>
    <t>12942</t>
  </si>
  <si>
    <t>13244</t>
  </si>
  <si>
    <t>13555</t>
  </si>
  <si>
    <t>13806</t>
  </si>
  <si>
    <t>13945</t>
  </si>
  <si>
    <t>14041</t>
  </si>
  <si>
    <t>14226</t>
  </si>
  <si>
    <t>14336</t>
  </si>
  <si>
    <t>14476</t>
  </si>
  <si>
    <t>14595</t>
  </si>
  <si>
    <t>14671</t>
  </si>
  <si>
    <t>14749</t>
  </si>
  <si>
    <t>14795</t>
  </si>
  <si>
    <t>14873</t>
  </si>
  <si>
    <t>14925</t>
  </si>
  <si>
    <t>15002</t>
  </si>
  <si>
    <t>15071</t>
  </si>
  <si>
    <t>Azerbaijan</t>
  </si>
  <si>
    <t>40.1431</t>
  </si>
  <si>
    <t>47.5769</t>
  </si>
  <si>
    <t>44</t>
  </si>
  <si>
    <t>209</t>
  </si>
  <si>
    <t>298</t>
  </si>
  <si>
    <t>359</t>
  </si>
  <si>
    <t>641</t>
  </si>
  <si>
    <t>926</t>
  </si>
  <si>
    <t>991</t>
  </si>
  <si>
    <t>1058</t>
  </si>
  <si>
    <t>1098</t>
  </si>
  <si>
    <t>1148</t>
  </si>
  <si>
    <t>1197</t>
  </si>
  <si>
    <t>1253</t>
  </si>
  <si>
    <t>1283</t>
  </si>
  <si>
    <t>1340</t>
  </si>
  <si>
    <t>1373</t>
  </si>
  <si>
    <t>1398</t>
  </si>
  <si>
    <t>1436</t>
  </si>
  <si>
    <t>1480</t>
  </si>
  <si>
    <t>1518</t>
  </si>
  <si>
    <t>1548</t>
  </si>
  <si>
    <t>1592</t>
  </si>
  <si>
    <t>Bahamas</t>
  </si>
  <si>
    <t>25.0343</t>
  </si>
  <si>
    <t>-77.3963</t>
  </si>
  <si>
    <t>73</t>
  </si>
  <si>
    <t>Bahrain</t>
  </si>
  <si>
    <t>26.0275</t>
  </si>
  <si>
    <t>50.55</t>
  </si>
  <si>
    <t>85</t>
  </si>
  <si>
    <t>95</t>
  </si>
  <si>
    <t>214</t>
  </si>
  <si>
    <t>228</t>
  </si>
  <si>
    <t>256</t>
  </si>
  <si>
    <t>285</t>
  </si>
  <si>
    <t>419</t>
  </si>
  <si>
    <t>458</t>
  </si>
  <si>
    <t>476</t>
  </si>
  <si>
    <t>499</t>
  </si>
  <si>
    <t>515</t>
  </si>
  <si>
    <t>567</t>
  </si>
  <si>
    <t>569</t>
  </si>
  <si>
    <t>643</t>
  </si>
  <si>
    <t>672</t>
  </si>
  <si>
    <t>688</t>
  </si>
  <si>
    <t>700</t>
  </si>
  <si>
    <t>756</t>
  </si>
  <si>
    <t>811</t>
  </si>
  <si>
    <t>823</t>
  </si>
  <si>
    <t>887</t>
  </si>
  <si>
    <t>925</t>
  </si>
  <si>
    <t>1040</t>
  </si>
  <si>
    <t>1136</t>
  </si>
  <si>
    <t>1361</t>
  </si>
  <si>
    <t>1528</t>
  </si>
  <si>
    <t>1671</t>
  </si>
  <si>
    <t>1700</t>
  </si>
  <si>
    <t>1740</t>
  </si>
  <si>
    <t>1773</t>
  </si>
  <si>
    <t>1881</t>
  </si>
  <si>
    <t>1907</t>
  </si>
  <si>
    <t>1973</t>
  </si>
  <si>
    <t>2027</t>
  </si>
  <si>
    <t>2217</t>
  </si>
  <si>
    <t>2518</t>
  </si>
  <si>
    <t>Bangladesh</t>
  </si>
  <si>
    <t>23.685</t>
  </si>
  <si>
    <t>90.3563</t>
  </si>
  <si>
    <t>218</t>
  </si>
  <si>
    <t>330</t>
  </si>
  <si>
    <t>621</t>
  </si>
  <si>
    <t>803</t>
  </si>
  <si>
    <t>1012</t>
  </si>
  <si>
    <t>1231</t>
  </si>
  <si>
    <t>1838</t>
  </si>
  <si>
    <t>2144</t>
  </si>
  <si>
    <t>2456</t>
  </si>
  <si>
    <t>2948</t>
  </si>
  <si>
    <t>3382</t>
  </si>
  <si>
    <t>3772</t>
  </si>
  <si>
    <t>4186</t>
  </si>
  <si>
    <t>4689</t>
  </si>
  <si>
    <t>Barbados</t>
  </si>
  <si>
    <t>13.1939</t>
  </si>
  <si>
    <t>-59.5432</t>
  </si>
  <si>
    <t>63</t>
  </si>
  <si>
    <t>Belarus</t>
  </si>
  <si>
    <t>53.7098</t>
  </si>
  <si>
    <t>27.9534</t>
  </si>
  <si>
    <t>81</t>
  </si>
  <si>
    <t>152</t>
  </si>
  <si>
    <t>163</t>
  </si>
  <si>
    <t>351</t>
  </si>
  <si>
    <t>440</t>
  </si>
  <si>
    <t>861</t>
  </si>
  <si>
    <t>1066</t>
  </si>
  <si>
    <t>1486</t>
  </si>
  <si>
    <t>1981</t>
  </si>
  <si>
    <t>2226</t>
  </si>
  <si>
    <t>2578</t>
  </si>
  <si>
    <t>2919</t>
  </si>
  <si>
    <t>3281</t>
  </si>
  <si>
    <t>3728</t>
  </si>
  <si>
    <t>4204</t>
  </si>
  <si>
    <t>4779</t>
  </si>
  <si>
    <t>6264</t>
  </si>
  <si>
    <t>6723</t>
  </si>
  <si>
    <t>7281</t>
  </si>
  <si>
    <t>8022</t>
  </si>
  <si>
    <t>8773</t>
  </si>
  <si>
    <t>Belgium</t>
  </si>
  <si>
    <t>50.8333</t>
  </si>
  <si>
    <t>4.0</t>
  </si>
  <si>
    <t>109</t>
  </si>
  <si>
    <t>239</t>
  </si>
  <si>
    <t>314</t>
  </si>
  <si>
    <t>559</t>
  </si>
  <si>
    <t>886</t>
  </si>
  <si>
    <t>1243</t>
  </si>
  <si>
    <t>2257</t>
  </si>
  <si>
    <t>2815</t>
  </si>
  <si>
    <t>3401</t>
  </si>
  <si>
    <t>3743</t>
  </si>
  <si>
    <t>4269</t>
  </si>
  <si>
    <t>4937</t>
  </si>
  <si>
    <t>6235</t>
  </si>
  <si>
    <t>7284</t>
  </si>
  <si>
    <t>9134</t>
  </si>
  <si>
    <t>10836</t>
  </si>
  <si>
    <t>11899</t>
  </si>
  <si>
    <t>12775</t>
  </si>
  <si>
    <t>13964</t>
  </si>
  <si>
    <t>15348</t>
  </si>
  <si>
    <t>16770</t>
  </si>
  <si>
    <t>18431</t>
  </si>
  <si>
    <t>19691</t>
  </si>
  <si>
    <t>20814</t>
  </si>
  <si>
    <t>22194</t>
  </si>
  <si>
    <t>23403</t>
  </si>
  <si>
    <t>24983</t>
  </si>
  <si>
    <t>26667</t>
  </si>
  <si>
    <t>28018</t>
  </si>
  <si>
    <t>29647</t>
  </si>
  <si>
    <t>30589</t>
  </si>
  <si>
    <t>31119</t>
  </si>
  <si>
    <t>33573</t>
  </si>
  <si>
    <t>34809</t>
  </si>
  <si>
    <t>36138</t>
  </si>
  <si>
    <t>37183</t>
  </si>
  <si>
    <t>38496</t>
  </si>
  <si>
    <t>39983</t>
  </si>
  <si>
    <t>40956</t>
  </si>
  <si>
    <t>41889</t>
  </si>
  <si>
    <t>42797</t>
  </si>
  <si>
    <t>44293</t>
  </si>
  <si>
    <t>Benin</t>
  </si>
  <si>
    <t>9.3077</t>
  </si>
  <si>
    <t>2.3158</t>
  </si>
  <si>
    <t>Bhutan</t>
  </si>
  <si>
    <t>27.5142</t>
  </si>
  <si>
    <t>90.4336</t>
  </si>
  <si>
    <t>Bolivia</t>
  </si>
  <si>
    <t>-16.2902</t>
  </si>
  <si>
    <t>-63.5887</t>
  </si>
  <si>
    <t>43</t>
  </si>
  <si>
    <t>107</t>
  </si>
  <si>
    <t>132</t>
  </si>
  <si>
    <t>157</t>
  </si>
  <si>
    <t>183</t>
  </si>
  <si>
    <t>268</t>
  </si>
  <si>
    <t>275</t>
  </si>
  <si>
    <t>300</t>
  </si>
  <si>
    <t>354</t>
  </si>
  <si>
    <t>441</t>
  </si>
  <si>
    <t>465</t>
  </si>
  <si>
    <t>598</t>
  </si>
  <si>
    <t>703</t>
  </si>
  <si>
    <t>807</t>
  </si>
  <si>
    <t>Bosnia and Herzegovina</t>
  </si>
  <si>
    <t>43.9159</t>
  </si>
  <si>
    <t>17.6791</t>
  </si>
  <si>
    <t>126</t>
  </si>
  <si>
    <t>166</t>
  </si>
  <si>
    <t>176</t>
  </si>
  <si>
    <t>191</t>
  </si>
  <si>
    <t>258</t>
  </si>
  <si>
    <t>323</t>
  </si>
  <si>
    <t>368</t>
  </si>
  <si>
    <t>459</t>
  </si>
  <si>
    <t>533</t>
  </si>
  <si>
    <t>579</t>
  </si>
  <si>
    <t>624</t>
  </si>
  <si>
    <t>654</t>
  </si>
  <si>
    <t>674</t>
  </si>
  <si>
    <t>764</t>
  </si>
  <si>
    <t>804</t>
  </si>
  <si>
    <t>858</t>
  </si>
  <si>
    <t>901</t>
  </si>
  <si>
    <t>946</t>
  </si>
  <si>
    <t>1009</t>
  </si>
  <si>
    <t>1037</t>
  </si>
  <si>
    <t>1083</t>
  </si>
  <si>
    <t>1110</t>
  </si>
  <si>
    <t>1167</t>
  </si>
  <si>
    <t>1214</t>
  </si>
  <si>
    <t>1285</t>
  </si>
  <si>
    <t>1309</t>
  </si>
  <si>
    <t>1342</t>
  </si>
  <si>
    <t>1368</t>
  </si>
  <si>
    <t>1413</t>
  </si>
  <si>
    <t>1421</t>
  </si>
  <si>
    <t>Brazil</t>
  </si>
  <si>
    <t>-14.235</t>
  </si>
  <si>
    <t>-51.9253</t>
  </si>
  <si>
    <t>151</t>
  </si>
  <si>
    <t>162</t>
  </si>
  <si>
    <t>321</t>
  </si>
  <si>
    <t>372</t>
  </si>
  <si>
    <t>793</t>
  </si>
  <si>
    <t>1021</t>
  </si>
  <si>
    <t>1546</t>
  </si>
  <si>
    <t>1924</t>
  </si>
  <si>
    <t>2247</t>
  </si>
  <si>
    <t>2554</t>
  </si>
  <si>
    <t>2985</t>
  </si>
  <si>
    <t>3417</t>
  </si>
  <si>
    <t>3904</t>
  </si>
  <si>
    <t>4256</t>
  </si>
  <si>
    <t>4579</t>
  </si>
  <si>
    <t>5717</t>
  </si>
  <si>
    <t>6836</t>
  </si>
  <si>
    <t>8044</t>
  </si>
  <si>
    <t>9056</t>
  </si>
  <si>
    <t>10360</t>
  </si>
  <si>
    <t>11130</t>
  </si>
  <si>
    <t>12161</t>
  </si>
  <si>
    <t>14034</t>
  </si>
  <si>
    <t>16170</t>
  </si>
  <si>
    <t>18092</t>
  </si>
  <si>
    <t>19638</t>
  </si>
  <si>
    <t>20727</t>
  </si>
  <si>
    <t>22192</t>
  </si>
  <si>
    <t>23430</t>
  </si>
  <si>
    <t>25262</t>
  </si>
  <si>
    <t>28320</t>
  </si>
  <si>
    <t>30425</t>
  </si>
  <si>
    <t>33682</t>
  </si>
  <si>
    <t>36658</t>
  </si>
  <si>
    <t>38654</t>
  </si>
  <si>
    <t>40743</t>
  </si>
  <si>
    <t>43079</t>
  </si>
  <si>
    <t>45757</t>
  </si>
  <si>
    <t>50036</t>
  </si>
  <si>
    <t>54043</t>
  </si>
  <si>
    <t>Brunei</t>
  </si>
  <si>
    <t>4.5353</t>
  </si>
  <si>
    <t>114.7277</t>
  </si>
  <si>
    <t>83</t>
  </si>
  <si>
    <t>114</t>
  </si>
  <si>
    <t>127</t>
  </si>
  <si>
    <t>129</t>
  </si>
  <si>
    <t>135</t>
  </si>
  <si>
    <t>137</t>
  </si>
  <si>
    <t>138</t>
  </si>
  <si>
    <t>Bulgaria</t>
  </si>
  <si>
    <t>42.7339</t>
  </si>
  <si>
    <t>25.4858</t>
  </si>
  <si>
    <t>187</t>
  </si>
  <si>
    <t>242</t>
  </si>
  <si>
    <t>293</t>
  </si>
  <si>
    <t>331</t>
  </si>
  <si>
    <t>346</t>
  </si>
  <si>
    <t>399</t>
  </si>
  <si>
    <t>422</t>
  </si>
  <si>
    <t>457</t>
  </si>
  <si>
    <t>485</t>
  </si>
  <si>
    <t>503</t>
  </si>
  <si>
    <t>531</t>
  </si>
  <si>
    <t>549</t>
  </si>
  <si>
    <t>577</t>
  </si>
  <si>
    <t>593</t>
  </si>
  <si>
    <t>618</t>
  </si>
  <si>
    <t>635</t>
  </si>
  <si>
    <t>661</t>
  </si>
  <si>
    <t>675</t>
  </si>
  <si>
    <t>747</t>
  </si>
  <si>
    <t>800</t>
  </si>
  <si>
    <t>846</t>
  </si>
  <si>
    <t>878</t>
  </si>
  <si>
    <t>894</t>
  </si>
  <si>
    <t>929</t>
  </si>
  <si>
    <t>975</t>
  </si>
  <si>
    <t>1097</t>
  </si>
  <si>
    <t>1234</t>
  </si>
  <si>
    <t>Burkina Faso</t>
  </si>
  <si>
    <t>12.2383</t>
  </si>
  <si>
    <t>-1.5616</t>
  </si>
  <si>
    <t>222</t>
  </si>
  <si>
    <t>261</t>
  </si>
  <si>
    <t>282</t>
  </si>
  <si>
    <t>288</t>
  </si>
  <si>
    <t>318</t>
  </si>
  <si>
    <t>345</t>
  </si>
  <si>
    <t>384</t>
  </si>
  <si>
    <t>414</t>
  </si>
  <si>
    <t>497</t>
  </si>
  <si>
    <t>528</t>
  </si>
  <si>
    <t>542</t>
  </si>
  <si>
    <t>557</t>
  </si>
  <si>
    <t>565</t>
  </si>
  <si>
    <t>576</t>
  </si>
  <si>
    <t>581</t>
  </si>
  <si>
    <t>600</t>
  </si>
  <si>
    <t>616</t>
  </si>
  <si>
    <t>629</t>
  </si>
  <si>
    <t>Cabo Verde</t>
  </si>
  <si>
    <t>16.5388</t>
  </si>
  <si>
    <t>-23.0418</t>
  </si>
  <si>
    <t>58</t>
  </si>
  <si>
    <t>Cambodia</t>
  </si>
  <si>
    <t>11.55</t>
  </si>
  <si>
    <t>104.9167</t>
  </si>
  <si>
    <t>117</t>
  </si>
  <si>
    <t>119</t>
  </si>
  <si>
    <t>Cameroon</t>
  </si>
  <si>
    <t>3.8480000000000003</t>
  </si>
  <si>
    <t>11.5021</t>
  </si>
  <si>
    <t>193</t>
  </si>
  <si>
    <t>233</t>
  </si>
  <si>
    <t>306</t>
  </si>
  <si>
    <t>509</t>
  </si>
  <si>
    <t>650</t>
  </si>
  <si>
    <t>658</t>
  </si>
  <si>
    <t>730</t>
  </si>
  <si>
    <t>848</t>
  </si>
  <si>
    <t>1017</t>
  </si>
  <si>
    <t>1163</t>
  </si>
  <si>
    <t>1334</t>
  </si>
  <si>
    <t>1430</t>
  </si>
  <si>
    <t>Alberta</t>
  </si>
  <si>
    <t>Canada</t>
  </si>
  <si>
    <t>53.9333</t>
  </si>
  <si>
    <t>-116.5765</t>
  </si>
  <si>
    <t>358</t>
  </si>
  <si>
    <t>486</t>
  </si>
  <si>
    <t>754</t>
  </si>
  <si>
    <t>969</t>
  </si>
  <si>
    <t>1075</t>
  </si>
  <si>
    <t>1181</t>
  </si>
  <si>
    <t>1250</t>
  </si>
  <si>
    <t>1567</t>
  </si>
  <si>
    <t>1732</t>
  </si>
  <si>
    <t>1870</t>
  </si>
  <si>
    <t>1996</t>
  </si>
  <si>
    <t>2397</t>
  </si>
  <si>
    <t>2562</t>
  </si>
  <si>
    <t>2803</t>
  </si>
  <si>
    <t>2908</t>
  </si>
  <si>
    <t>3095</t>
  </si>
  <si>
    <t>3720</t>
  </si>
  <si>
    <t>4017</t>
  </si>
  <si>
    <t>British Columbia</t>
  </si>
  <si>
    <t>49.2827</t>
  </si>
  <si>
    <t>-123.1207</t>
  </si>
  <si>
    <t>271</t>
  </si>
  <si>
    <t>472</t>
  </si>
  <si>
    <t>617</t>
  </si>
  <si>
    <t>725</t>
  </si>
  <si>
    <t>884</t>
  </si>
  <si>
    <t>970</t>
  </si>
  <si>
    <t>1121</t>
  </si>
  <si>
    <t>1174</t>
  </si>
  <si>
    <t>1203</t>
  </si>
  <si>
    <t>1266</t>
  </si>
  <si>
    <t>1370</t>
  </si>
  <si>
    <t>1445</t>
  </si>
  <si>
    <t>1490</t>
  </si>
  <si>
    <t>1517</t>
  </si>
  <si>
    <t>1561</t>
  </si>
  <si>
    <t>1575</t>
  </si>
  <si>
    <t>1618</t>
  </si>
  <si>
    <t>1647</t>
  </si>
  <si>
    <t>1724</t>
  </si>
  <si>
    <t>1824</t>
  </si>
  <si>
    <t>1853</t>
  </si>
  <si>
    <t>Grand Princess</t>
  </si>
  <si>
    <t>37.6489</t>
  </si>
  <si>
    <t>-122.6655</t>
  </si>
  <si>
    <t>-1</t>
  </si>
  <si>
    <t>Manitoba</t>
  </si>
  <si>
    <t>53.7609</t>
  </si>
  <si>
    <t>-98.8139</t>
  </si>
  <si>
    <t>167</t>
  </si>
  <si>
    <t>203</t>
  </si>
  <si>
    <t>217</t>
  </si>
  <si>
    <t>250</t>
  </si>
  <si>
    <t>253</t>
  </si>
  <si>
    <t>254</t>
  </si>
  <si>
    <t>255</t>
  </si>
  <si>
    <t>262</t>
  </si>
  <si>
    <t>263</t>
  </si>
  <si>
    <t>New Brunswick</t>
  </si>
  <si>
    <t>46.5653</t>
  </si>
  <si>
    <t>-66.4619</t>
  </si>
  <si>
    <t>108</t>
  </si>
  <si>
    <t>116</t>
  </si>
  <si>
    <t>118</t>
  </si>
  <si>
    <t>Newfoundland and Labrador</t>
  </si>
  <si>
    <t>53.1355</t>
  </si>
  <si>
    <t>-57.6604</t>
  </si>
  <si>
    <t>148</t>
  </si>
  <si>
    <t>226</t>
  </si>
  <si>
    <t>232</t>
  </si>
  <si>
    <t>241</t>
  </si>
  <si>
    <t>244</t>
  </si>
  <si>
    <t>247</t>
  </si>
  <si>
    <t>252</t>
  </si>
  <si>
    <t>Nova Scotia</t>
  </si>
  <si>
    <t>44.681999999999995</t>
  </si>
  <si>
    <t>-63.7443</t>
  </si>
  <si>
    <t>147</t>
  </si>
  <si>
    <t>173</t>
  </si>
  <si>
    <t>236</t>
  </si>
  <si>
    <t>310</t>
  </si>
  <si>
    <t>342</t>
  </si>
  <si>
    <t>445</t>
  </si>
  <si>
    <t>474</t>
  </si>
  <si>
    <t>606</t>
  </si>
  <si>
    <t>649</t>
  </si>
  <si>
    <t>721</t>
  </si>
  <si>
    <t>737</t>
  </si>
  <si>
    <t>772</t>
  </si>
  <si>
    <t>827</t>
  </si>
  <si>
    <t>Ontario</t>
  </si>
  <si>
    <t>51.2538</t>
  </si>
  <si>
    <t>-85.3232</t>
  </si>
  <si>
    <t>177</t>
  </si>
  <si>
    <t>185</t>
  </si>
  <si>
    <t>425</t>
  </si>
  <si>
    <t>588</t>
  </si>
  <si>
    <t>994</t>
  </si>
  <si>
    <t>1144</t>
  </si>
  <si>
    <t>1355</t>
  </si>
  <si>
    <t>1706</t>
  </si>
  <si>
    <t>1966</t>
  </si>
  <si>
    <t>2392</t>
  </si>
  <si>
    <t>2793</t>
  </si>
  <si>
    <t>3255</t>
  </si>
  <si>
    <t>3630</t>
  </si>
  <si>
    <t>4354</t>
  </si>
  <si>
    <t>4347</t>
  </si>
  <si>
    <t>4726</t>
  </si>
  <si>
    <t>5276</t>
  </si>
  <si>
    <t>5759</t>
  </si>
  <si>
    <t>6237</t>
  </si>
  <si>
    <t>6648</t>
  </si>
  <si>
    <t>7049</t>
  </si>
  <si>
    <t>7953</t>
  </si>
  <si>
    <t>8447</t>
  </si>
  <si>
    <t>9840</t>
  </si>
  <si>
    <t>10456</t>
  </si>
  <si>
    <t>11013</t>
  </si>
  <si>
    <t>11561</t>
  </si>
  <si>
    <t>12063</t>
  </si>
  <si>
    <t>12715</t>
  </si>
  <si>
    <t>13718</t>
  </si>
  <si>
    <t>14068</t>
  </si>
  <si>
    <t>14550</t>
  </si>
  <si>
    <t>Prince Edward Island</t>
  </si>
  <si>
    <t>46.5107</t>
  </si>
  <si>
    <t>-63.4168</t>
  </si>
  <si>
    <t>Quebec</t>
  </si>
  <si>
    <t>52.9399</t>
  </si>
  <si>
    <t>-73.5491</t>
  </si>
  <si>
    <t>181</t>
  </si>
  <si>
    <t>219</t>
  </si>
  <si>
    <t>628</t>
  </si>
  <si>
    <t>1632</t>
  </si>
  <si>
    <t>2024</t>
  </si>
  <si>
    <t>2498</t>
  </si>
  <si>
    <t>2840</t>
  </si>
  <si>
    <t>3430</t>
  </si>
  <si>
    <t>4162</t>
  </si>
  <si>
    <t>4611</t>
  </si>
  <si>
    <t>5518</t>
  </si>
  <si>
    <t>6101</t>
  </si>
  <si>
    <t>7944</t>
  </si>
  <si>
    <t>8580</t>
  </si>
  <si>
    <t>9340</t>
  </si>
  <si>
    <t>10031</t>
  </si>
  <si>
    <t>10912</t>
  </si>
  <si>
    <t>11677</t>
  </si>
  <si>
    <t>12292</t>
  </si>
  <si>
    <t>12846</t>
  </si>
  <si>
    <t>13557</t>
  </si>
  <si>
    <t>14248</t>
  </si>
  <si>
    <t>14860</t>
  </si>
  <si>
    <t>15857</t>
  </si>
  <si>
    <t>16798</t>
  </si>
  <si>
    <t>17521</t>
  </si>
  <si>
    <t>17950</t>
  </si>
  <si>
    <t>19319</t>
  </si>
  <si>
    <t>20126</t>
  </si>
  <si>
    <t>20965</t>
  </si>
  <si>
    <t>21838</t>
  </si>
  <si>
    <t>22616</t>
  </si>
  <si>
    <t>Saskatchewan</t>
  </si>
  <si>
    <t>-106.4509</t>
  </si>
  <si>
    <t>156</t>
  </si>
  <si>
    <t>206</t>
  </si>
  <si>
    <t>220</t>
  </si>
  <si>
    <t>260</t>
  </si>
  <si>
    <t>289</t>
  </si>
  <si>
    <t>313</t>
  </si>
  <si>
    <t>315</t>
  </si>
  <si>
    <t>316</t>
  </si>
  <si>
    <t>320</t>
  </si>
  <si>
    <t>326</t>
  </si>
  <si>
    <t>341</t>
  </si>
  <si>
    <t>Central African Republic</t>
  </si>
  <si>
    <t>6.6111</t>
  </si>
  <si>
    <t>20.9394</t>
  </si>
  <si>
    <t>Chad</t>
  </si>
  <si>
    <t>15.4542</t>
  </si>
  <si>
    <t>18.7322</t>
  </si>
  <si>
    <t>Chile</t>
  </si>
  <si>
    <t>-35.6751</t>
  </si>
  <si>
    <t>-71.543</t>
  </si>
  <si>
    <t>155</t>
  </si>
  <si>
    <t>238</t>
  </si>
  <si>
    <t>434</t>
  </si>
  <si>
    <t>537</t>
  </si>
  <si>
    <t>632</t>
  </si>
  <si>
    <t>746</t>
  </si>
  <si>
    <t>922</t>
  </si>
  <si>
    <t>1142</t>
  </si>
  <si>
    <t>1306</t>
  </si>
  <si>
    <t>1610</t>
  </si>
  <si>
    <t>1909</t>
  </si>
  <si>
    <t>2139</t>
  </si>
  <si>
    <t>2449</t>
  </si>
  <si>
    <t>2738</t>
  </si>
  <si>
    <t>3404</t>
  </si>
  <si>
    <t>3737</t>
  </si>
  <si>
    <t>4161</t>
  </si>
  <si>
    <t>4471</t>
  </si>
  <si>
    <t>4815</t>
  </si>
  <si>
    <t>5116</t>
  </si>
  <si>
    <t>5546</t>
  </si>
  <si>
    <t>5972</t>
  </si>
  <si>
    <t>6501</t>
  </si>
  <si>
    <t>6927</t>
  </si>
  <si>
    <t>7213</t>
  </si>
  <si>
    <t>7525</t>
  </si>
  <si>
    <t>7917</t>
  </si>
  <si>
    <t>8273</t>
  </si>
  <si>
    <t>8807</t>
  </si>
  <si>
    <t>9252</t>
  </si>
  <si>
    <t>9730</t>
  </si>
  <si>
    <t>10088</t>
  </si>
  <si>
    <t>10507</t>
  </si>
  <si>
    <t>10832</t>
  </si>
  <si>
    <t>11296</t>
  </si>
  <si>
    <t>11812</t>
  </si>
  <si>
    <t>12306</t>
  </si>
  <si>
    <t>Anhui</t>
  </si>
  <si>
    <t>China</t>
  </si>
  <si>
    <t>31.8257</t>
  </si>
  <si>
    <t>117.2264</t>
  </si>
  <si>
    <t>106</t>
  </si>
  <si>
    <t>297</t>
  </si>
  <si>
    <t>340</t>
  </si>
  <si>
    <t>408</t>
  </si>
  <si>
    <t>480</t>
  </si>
  <si>
    <t>530</t>
  </si>
  <si>
    <t>591</t>
  </si>
  <si>
    <t>733</t>
  </si>
  <si>
    <t>779</t>
  </si>
  <si>
    <t>830</t>
  </si>
  <si>
    <t>889</t>
  </si>
  <si>
    <t>910</t>
  </si>
  <si>
    <t>950</t>
  </si>
  <si>
    <t>962</t>
  </si>
  <si>
    <t>973</t>
  </si>
  <si>
    <t>982</t>
  </si>
  <si>
    <t>988</t>
  </si>
  <si>
    <t>989</t>
  </si>
  <si>
    <t>990</t>
  </si>
  <si>
    <t>Beijing</t>
  </si>
  <si>
    <t>40.1824</t>
  </si>
  <si>
    <t>116.4142</t>
  </si>
  <si>
    <t>168</t>
  </si>
  <si>
    <t>274</t>
  </si>
  <si>
    <t>352</t>
  </si>
  <si>
    <t>366</t>
  </si>
  <si>
    <t>375</t>
  </si>
  <si>
    <t>380</t>
  </si>
  <si>
    <t>381</t>
  </si>
  <si>
    <t>393</t>
  </si>
  <si>
    <t>395</t>
  </si>
  <si>
    <t>410</t>
  </si>
  <si>
    <t>413</t>
  </si>
  <si>
    <t>418</t>
  </si>
  <si>
    <t>426</t>
  </si>
  <si>
    <t>442</t>
  </si>
  <si>
    <t>452</t>
  </si>
  <si>
    <t>456</t>
  </si>
  <si>
    <t>469</t>
  </si>
  <si>
    <t>491</t>
  </si>
  <si>
    <t>522</t>
  </si>
  <si>
    <t>558</t>
  </si>
  <si>
    <t>561</t>
  </si>
  <si>
    <t>566</t>
  </si>
  <si>
    <t>573</t>
  </si>
  <si>
    <t>580</t>
  </si>
  <si>
    <t>582</t>
  </si>
  <si>
    <t>585</t>
  </si>
  <si>
    <t>586</t>
  </si>
  <si>
    <t>587</t>
  </si>
  <si>
    <t>590</t>
  </si>
  <si>
    <t>Chongqing</t>
  </si>
  <si>
    <t>30.0572</t>
  </si>
  <si>
    <t>107.874</t>
  </si>
  <si>
    <t>211</t>
  </si>
  <si>
    <t>389</t>
  </si>
  <si>
    <t>468</t>
  </si>
  <si>
    <t>505</t>
  </si>
  <si>
    <t>529</t>
  </si>
  <si>
    <t>551</t>
  </si>
  <si>
    <t>553</t>
  </si>
  <si>
    <t>560</t>
  </si>
  <si>
    <t>572</t>
  </si>
  <si>
    <t>575</t>
  </si>
  <si>
    <t>578</t>
  </si>
  <si>
    <t>Fujian</t>
  </si>
  <si>
    <t>26.0789</t>
  </si>
  <si>
    <t>117.9874</t>
  </si>
  <si>
    <t>101</t>
  </si>
  <si>
    <t>159</t>
  </si>
  <si>
    <t>179</t>
  </si>
  <si>
    <t>215</t>
  </si>
  <si>
    <t>272</t>
  </si>
  <si>
    <t>279</t>
  </si>
  <si>
    <t>292</t>
  </si>
  <si>
    <t>294</t>
  </si>
  <si>
    <t>296</t>
  </si>
  <si>
    <t>303</t>
  </si>
  <si>
    <t>322</t>
  </si>
  <si>
    <t>328</t>
  </si>
  <si>
    <t>338</t>
  </si>
  <si>
    <t>343</t>
  </si>
  <si>
    <t>350</t>
  </si>
  <si>
    <t>Gansu</t>
  </si>
  <si>
    <t>37.8099</t>
  </si>
  <si>
    <t>101.0583</t>
  </si>
  <si>
    <t>124</t>
  </si>
  <si>
    <t>125</t>
  </si>
  <si>
    <t>Guangdong</t>
  </si>
  <si>
    <t>23.3417</t>
  </si>
  <si>
    <t>113.4244</t>
  </si>
  <si>
    <t>535</t>
  </si>
  <si>
    <t>813</t>
  </si>
  <si>
    <t>895</t>
  </si>
  <si>
    <t>1034</t>
  </si>
  <si>
    <t>1095</t>
  </si>
  <si>
    <t>1131</t>
  </si>
  <si>
    <t>1177</t>
  </si>
  <si>
    <t>1261</t>
  </si>
  <si>
    <t>1294</t>
  </si>
  <si>
    <t>1316</t>
  </si>
  <si>
    <t>1322</t>
  </si>
  <si>
    <t>1331</t>
  </si>
  <si>
    <t>1333</t>
  </si>
  <si>
    <t>1345</t>
  </si>
  <si>
    <t>1347</t>
  </si>
  <si>
    <t>1348</t>
  </si>
  <si>
    <t>1349</t>
  </si>
  <si>
    <t>1350</t>
  </si>
  <si>
    <t>1352</t>
  </si>
  <si>
    <t>1353</t>
  </si>
  <si>
    <t>1356</t>
  </si>
  <si>
    <t>1360</t>
  </si>
  <si>
    <t>1364</t>
  </si>
  <si>
    <t>1378</t>
  </si>
  <si>
    <t>1395</t>
  </si>
  <si>
    <t>1400</t>
  </si>
  <si>
    <t>1415</t>
  </si>
  <si>
    <t>1428</t>
  </si>
  <si>
    <t>1433</t>
  </si>
  <si>
    <t>1448</t>
  </si>
  <si>
    <t>1456</t>
  </si>
  <si>
    <t>1467</t>
  </si>
  <si>
    <t>1475</t>
  </si>
  <si>
    <t>1484</t>
  </si>
  <si>
    <t>1494</t>
  </si>
  <si>
    <t>1501</t>
  </si>
  <si>
    <t>1507</t>
  </si>
  <si>
    <t>1514</t>
  </si>
  <si>
    <t>1516</t>
  </si>
  <si>
    <t>1524</t>
  </si>
  <si>
    <t>1532</t>
  </si>
  <si>
    <t>1533</t>
  </si>
  <si>
    <t>1536</t>
  </si>
  <si>
    <t>1539</t>
  </si>
  <si>
    <t>1544</t>
  </si>
  <si>
    <t>1552</t>
  </si>
  <si>
    <t>1555</t>
  </si>
  <si>
    <t>1564</t>
  </si>
  <si>
    <t>1566</t>
  </si>
  <si>
    <t>1571</t>
  </si>
  <si>
    <t>1577</t>
  </si>
  <si>
    <t>1579</t>
  </si>
  <si>
    <t>1580</t>
  </si>
  <si>
    <t>1581</t>
  </si>
  <si>
    <t>1582</t>
  </si>
  <si>
    <t>1585</t>
  </si>
  <si>
    <t>Guangxi</t>
  </si>
  <si>
    <t>23.8298</t>
  </si>
  <si>
    <t>108.7881</t>
  </si>
  <si>
    <t>150</t>
  </si>
  <si>
    <t>172</t>
  </si>
  <si>
    <t>245</t>
  </si>
  <si>
    <t>251</t>
  </si>
  <si>
    <t>Guizhou</t>
  </si>
  <si>
    <t>26.8154</t>
  </si>
  <si>
    <t>106.8748</t>
  </si>
  <si>
    <t>143</t>
  </si>
  <si>
    <t>Hainan</t>
  </si>
  <si>
    <t>19.1959</t>
  </si>
  <si>
    <t>109.7453</t>
  </si>
  <si>
    <t>Hebei</t>
  </si>
  <si>
    <t>39.549</t>
  </si>
  <si>
    <t>116.1306</t>
  </si>
  <si>
    <t>283</t>
  </si>
  <si>
    <t>291</t>
  </si>
  <si>
    <t>309</t>
  </si>
  <si>
    <t>312</t>
  </si>
  <si>
    <t>317</t>
  </si>
  <si>
    <t>325</t>
  </si>
  <si>
    <t>327</t>
  </si>
  <si>
    <t>Heilongjiang</t>
  </si>
  <si>
    <t>47.861999999999995</t>
  </si>
  <si>
    <t>127.7615</t>
  </si>
  <si>
    <t>190</t>
  </si>
  <si>
    <t>227</t>
  </si>
  <si>
    <t>295</t>
  </si>
  <si>
    <t>360</t>
  </si>
  <si>
    <t>378</t>
  </si>
  <si>
    <t>464</t>
  </si>
  <si>
    <t>470</t>
  </si>
  <si>
    <t>479</t>
  </si>
  <si>
    <t>483</t>
  </si>
  <si>
    <t>488</t>
  </si>
  <si>
    <t>489</t>
  </si>
  <si>
    <t>524</t>
  </si>
  <si>
    <t>684</t>
  </si>
  <si>
    <t>740</t>
  </si>
  <si>
    <t>819</t>
  </si>
  <si>
    <t>841</t>
  </si>
  <si>
    <t>872</t>
  </si>
  <si>
    <t>892</t>
  </si>
  <si>
    <t>898</t>
  </si>
  <si>
    <t>905</t>
  </si>
  <si>
    <t>913</t>
  </si>
  <si>
    <t>928</t>
  </si>
  <si>
    <t>930</t>
  </si>
  <si>
    <t>Henan</t>
  </si>
  <si>
    <t>33.882</t>
  </si>
  <si>
    <t>113.61399999999999</t>
  </si>
  <si>
    <t>851</t>
  </si>
  <si>
    <t>914</t>
  </si>
  <si>
    <t>981</t>
  </si>
  <si>
    <t>1033</t>
  </si>
  <si>
    <t>1073</t>
  </si>
  <si>
    <t>1105</t>
  </si>
  <si>
    <t>1169</t>
  </si>
  <si>
    <t>1184</t>
  </si>
  <si>
    <t>1246</t>
  </si>
  <si>
    <t>1257</t>
  </si>
  <si>
    <t>1262</t>
  </si>
  <si>
    <t>1267</t>
  </si>
  <si>
    <t>1270</t>
  </si>
  <si>
    <t>1271</t>
  </si>
  <si>
    <t>1272</t>
  </si>
  <si>
    <t>1273</t>
  </si>
  <si>
    <t>1274</t>
  </si>
  <si>
    <t>1275</t>
  </si>
  <si>
    <t>1276</t>
  </si>
  <si>
    <t>Hong Kong</t>
  </si>
  <si>
    <t>22.3</t>
  </si>
  <si>
    <t>114.2</t>
  </si>
  <si>
    <t>145</t>
  </si>
  <si>
    <t>208</t>
  </si>
  <si>
    <t>356</t>
  </si>
  <si>
    <t>386</t>
  </si>
  <si>
    <t>519</t>
  </si>
  <si>
    <t>682</t>
  </si>
  <si>
    <t>765</t>
  </si>
  <si>
    <t>802</t>
  </si>
  <si>
    <t>845</t>
  </si>
  <si>
    <t>862</t>
  </si>
  <si>
    <t>890</t>
  </si>
  <si>
    <t>935</t>
  </si>
  <si>
    <t>960</t>
  </si>
  <si>
    <t>1000</t>
  </si>
  <si>
    <t>1004</t>
  </si>
  <si>
    <t>1025</t>
  </si>
  <si>
    <t>1035</t>
  </si>
  <si>
    <t>Hubei</t>
  </si>
  <si>
    <t>30.9756</t>
  </si>
  <si>
    <t>112.2707</t>
  </si>
  <si>
    <t>761</t>
  </si>
  <si>
    <t>3554</t>
  </si>
  <si>
    <t>4903</t>
  </si>
  <si>
    <t>5806</t>
  </si>
  <si>
    <t>7153</t>
  </si>
  <si>
    <t>11177</t>
  </si>
  <si>
    <t>13522</t>
  </si>
  <si>
    <t>16678</t>
  </si>
  <si>
    <t>19665</t>
  </si>
  <si>
    <t>22112</t>
  </si>
  <si>
    <t>24953</t>
  </si>
  <si>
    <t>27100</t>
  </si>
  <si>
    <t>29631</t>
  </si>
  <si>
    <t>31728</t>
  </si>
  <si>
    <t>33366</t>
  </si>
  <si>
    <t>48206</t>
  </si>
  <si>
    <t>54406</t>
  </si>
  <si>
    <t>56249</t>
  </si>
  <si>
    <t>58182</t>
  </si>
  <si>
    <t>59989</t>
  </si>
  <si>
    <t>61682</t>
  </si>
  <si>
    <t>62031</t>
  </si>
  <si>
    <t>62442</t>
  </si>
  <si>
    <t>62662</t>
  </si>
  <si>
    <t>64084</t>
  </si>
  <si>
    <t>64287</t>
  </si>
  <si>
    <t>64786</t>
  </si>
  <si>
    <t>65187</t>
  </si>
  <si>
    <t>65596</t>
  </si>
  <si>
    <t>65914</t>
  </si>
  <si>
    <t>66337</t>
  </si>
  <si>
    <t>66907</t>
  </si>
  <si>
    <t>67103</t>
  </si>
  <si>
    <t>67217</t>
  </si>
  <si>
    <t>67332</t>
  </si>
  <si>
    <t>67466</t>
  </si>
  <si>
    <t>67592</t>
  </si>
  <si>
    <t>67666</t>
  </si>
  <si>
    <t>67707</t>
  </si>
  <si>
    <t>67743</t>
  </si>
  <si>
    <t>67760</t>
  </si>
  <si>
    <t>67773</t>
  </si>
  <si>
    <t>67781</t>
  </si>
  <si>
    <t>67786</t>
  </si>
  <si>
    <t>67790</t>
  </si>
  <si>
    <t>67794</t>
  </si>
  <si>
    <t>67798</t>
  </si>
  <si>
    <t>67799</t>
  </si>
  <si>
    <t>67800</t>
  </si>
  <si>
    <t>67801</t>
  </si>
  <si>
    <t>67802</t>
  </si>
  <si>
    <t>67803</t>
  </si>
  <si>
    <t>68128</t>
  </si>
  <si>
    <t>Hunan</t>
  </si>
  <si>
    <t>27.6104</t>
  </si>
  <si>
    <t>111.7088</t>
  </si>
  <si>
    <t>332</t>
  </si>
  <si>
    <t>463</t>
  </si>
  <si>
    <t>711</t>
  </si>
  <si>
    <t>838</t>
  </si>
  <si>
    <t>879</t>
  </si>
  <si>
    <t>912</t>
  </si>
  <si>
    <t>1006</t>
  </si>
  <si>
    <t>1008</t>
  </si>
  <si>
    <t>1010</t>
  </si>
  <si>
    <t>1011</t>
  </si>
  <si>
    <t>1016</t>
  </si>
  <si>
    <t>Inner Mongolia</t>
  </si>
  <si>
    <t>44.0935</t>
  </si>
  <si>
    <t>113.9448</t>
  </si>
  <si>
    <t>189</t>
  </si>
  <si>
    <t>Jiangsu</t>
  </si>
  <si>
    <t>32.9711</t>
  </si>
  <si>
    <t>119.455</t>
  </si>
  <si>
    <t>202</t>
  </si>
  <si>
    <t>373</t>
  </si>
  <si>
    <t>492</t>
  </si>
  <si>
    <t>543</t>
  </si>
  <si>
    <t>570</t>
  </si>
  <si>
    <t>604</t>
  </si>
  <si>
    <t>626</t>
  </si>
  <si>
    <t>631</t>
  </si>
  <si>
    <t>633</t>
  </si>
  <si>
    <t>636</t>
  </si>
  <si>
    <t>640</t>
  </si>
  <si>
    <t>644</t>
  </si>
  <si>
    <t>645</t>
  </si>
  <si>
    <t>647</t>
  </si>
  <si>
    <t>651</t>
  </si>
  <si>
    <t>652</t>
  </si>
  <si>
    <t>653</t>
  </si>
  <si>
    <t>Jiangxi</t>
  </si>
  <si>
    <t>27.614</t>
  </si>
  <si>
    <t>115.7221</t>
  </si>
  <si>
    <t>240</t>
  </si>
  <si>
    <t>286</t>
  </si>
  <si>
    <t>391</t>
  </si>
  <si>
    <t>698</t>
  </si>
  <si>
    <t>771</t>
  </si>
  <si>
    <t>844</t>
  </si>
  <si>
    <t>936</t>
  </si>
  <si>
    <t>Jilin</t>
  </si>
  <si>
    <t>43.6661</t>
  </si>
  <si>
    <t>126.1923</t>
  </si>
  <si>
    <t>Liaoning</t>
  </si>
  <si>
    <t>41.2956</t>
  </si>
  <si>
    <t>122.6085</t>
  </si>
  <si>
    <t>141</t>
  </si>
  <si>
    <t>142</t>
  </si>
  <si>
    <t>Macau</t>
  </si>
  <si>
    <t>22.1667</t>
  </si>
  <si>
    <t>113.55</t>
  </si>
  <si>
    <t>30</t>
  </si>
  <si>
    <t>Ningxia</t>
  </si>
  <si>
    <t>37.2692</t>
  </si>
  <si>
    <t>106.1655</t>
  </si>
  <si>
    <t>Qinghai</t>
  </si>
  <si>
    <t>35.7452</t>
  </si>
  <si>
    <t>95.9956</t>
  </si>
  <si>
    <t>Shaanxi</t>
  </si>
  <si>
    <t>35.1917</t>
  </si>
  <si>
    <t>108.8701</t>
  </si>
  <si>
    <t>213</t>
  </si>
  <si>
    <t>225</t>
  </si>
  <si>
    <t>248</t>
  </si>
  <si>
    <t>Shandong</t>
  </si>
  <si>
    <t>36.3427</t>
  </si>
  <si>
    <t>118.1498</t>
  </si>
  <si>
    <t>130</t>
  </si>
  <si>
    <t>347</t>
  </si>
  <si>
    <t>487</t>
  </si>
  <si>
    <t>523</t>
  </si>
  <si>
    <t>749</t>
  </si>
  <si>
    <t>750</t>
  </si>
  <si>
    <t>755</t>
  </si>
  <si>
    <t>758</t>
  </si>
  <si>
    <t>760</t>
  </si>
  <si>
    <t>762</t>
  </si>
  <si>
    <t>767</t>
  </si>
  <si>
    <t>768</t>
  </si>
  <si>
    <t>773</t>
  </si>
  <si>
    <t>774</t>
  </si>
  <si>
    <t>775</t>
  </si>
  <si>
    <t>778</t>
  </si>
  <si>
    <t>780</t>
  </si>
  <si>
    <t>783</t>
  </si>
  <si>
    <t>787</t>
  </si>
  <si>
    <t>Shanghai</t>
  </si>
  <si>
    <t>31.201999999999998</t>
  </si>
  <si>
    <t>121.4491</t>
  </si>
  <si>
    <t>335</t>
  </si>
  <si>
    <t>336</t>
  </si>
  <si>
    <t>339</t>
  </si>
  <si>
    <t>344</t>
  </si>
  <si>
    <t>363</t>
  </si>
  <si>
    <t>371</t>
  </si>
  <si>
    <t>404</t>
  </si>
  <si>
    <t>451</t>
  </si>
  <si>
    <t>498</t>
  </si>
  <si>
    <t>516</t>
  </si>
  <si>
    <t>526</t>
  </si>
  <si>
    <t>536</t>
  </si>
  <si>
    <t>538</t>
  </si>
  <si>
    <t>552</t>
  </si>
  <si>
    <t>622</t>
  </si>
  <si>
    <t>639</t>
  </si>
  <si>
    <t>Shanxi</t>
  </si>
  <si>
    <t>37.5777</t>
  </si>
  <si>
    <t>112.2922</t>
  </si>
  <si>
    <t>Sichuan</t>
  </si>
  <si>
    <t>30.6171</t>
  </si>
  <si>
    <t>102.7103</t>
  </si>
  <si>
    <t>405</t>
  </si>
  <si>
    <t>417</t>
  </si>
  <si>
    <t>508</t>
  </si>
  <si>
    <t>534</t>
  </si>
  <si>
    <t>540</t>
  </si>
  <si>
    <t>547</t>
  </si>
  <si>
    <t>550</t>
  </si>
  <si>
    <t>554</t>
  </si>
  <si>
    <t>Tianjin</t>
  </si>
  <si>
    <t>39.3054</t>
  </si>
  <si>
    <t>117.323</t>
  </si>
  <si>
    <t>161</t>
  </si>
  <si>
    <t>Tibet</t>
  </si>
  <si>
    <t>31.6927</t>
  </si>
  <si>
    <t>88.0924</t>
  </si>
  <si>
    <t>Xinjiang</t>
  </si>
  <si>
    <t>41.1129</t>
  </si>
  <si>
    <t>85.2401</t>
  </si>
  <si>
    <t>Yunnan</t>
  </si>
  <si>
    <t>24.974</t>
  </si>
  <si>
    <t>101.48700000000001</t>
  </si>
  <si>
    <t>149</t>
  </si>
  <si>
    <t>153</t>
  </si>
  <si>
    <t>154</t>
  </si>
  <si>
    <t>178</t>
  </si>
  <si>
    <t>Zhejiang</t>
  </si>
  <si>
    <t>29.1832</t>
  </si>
  <si>
    <t>120.0934</t>
  </si>
  <si>
    <t>599</t>
  </si>
  <si>
    <t>724</t>
  </si>
  <si>
    <t>829</t>
  </si>
  <si>
    <t>954</t>
  </si>
  <si>
    <t>1048</t>
  </si>
  <si>
    <t>1117</t>
  </si>
  <si>
    <t>1145</t>
  </si>
  <si>
    <t>1155</t>
  </si>
  <si>
    <t>1162</t>
  </si>
  <si>
    <t>1172</t>
  </si>
  <si>
    <t>1175</t>
  </si>
  <si>
    <t>1205</t>
  </si>
  <si>
    <t>1206</t>
  </si>
  <si>
    <t>1213</t>
  </si>
  <si>
    <t>1215</t>
  </si>
  <si>
    <t>1227</t>
  </si>
  <si>
    <t>1232</t>
  </si>
  <si>
    <t>1233</t>
  </si>
  <si>
    <t>1236</t>
  </si>
  <si>
    <t>1238</t>
  </si>
  <si>
    <t>1240</t>
  </si>
  <si>
    <t>1247</t>
  </si>
  <si>
    <t>1254</t>
  </si>
  <si>
    <t>1255</t>
  </si>
  <si>
    <t>1258</t>
  </si>
  <si>
    <t>1260</t>
  </si>
  <si>
    <t>1263</t>
  </si>
  <si>
    <t>1264</t>
  </si>
  <si>
    <t>Colombia</t>
  </si>
  <si>
    <t>4.5709</t>
  </si>
  <si>
    <t>-74.2973</t>
  </si>
  <si>
    <t>196</t>
  </si>
  <si>
    <t>608</t>
  </si>
  <si>
    <t>702</t>
  </si>
  <si>
    <t>798</t>
  </si>
  <si>
    <t>1065</t>
  </si>
  <si>
    <t>1161</t>
  </si>
  <si>
    <t>1406</t>
  </si>
  <si>
    <t>1485</t>
  </si>
  <si>
    <t>1780</t>
  </si>
  <si>
    <t>2054</t>
  </si>
  <si>
    <t>2223</t>
  </si>
  <si>
    <t>2473</t>
  </si>
  <si>
    <t>2709</t>
  </si>
  <si>
    <t>2776</t>
  </si>
  <si>
    <t>2852</t>
  </si>
  <si>
    <t>2979</t>
  </si>
  <si>
    <t>3105</t>
  </si>
  <si>
    <t>3233</t>
  </si>
  <si>
    <t>3439</t>
  </si>
  <si>
    <t>3792</t>
  </si>
  <si>
    <t>3977</t>
  </si>
  <si>
    <t>4149</t>
  </si>
  <si>
    <t>4356</t>
  </si>
  <si>
    <t>4561</t>
  </si>
  <si>
    <t>4881</t>
  </si>
  <si>
    <t>Congo (Brazzaville)</t>
  </si>
  <si>
    <t>-4.0383</t>
  </si>
  <si>
    <t>21.7587</t>
  </si>
  <si>
    <t>Congo (Kinshasa)</t>
  </si>
  <si>
    <t>234</t>
  </si>
  <si>
    <t>394</t>
  </si>
  <si>
    <t>Costa Rica</t>
  </si>
  <si>
    <t>9.7489</t>
  </si>
  <si>
    <t>-83.7534</t>
  </si>
  <si>
    <t>595</t>
  </si>
  <si>
    <t>612</t>
  </si>
  <si>
    <t>642</t>
  </si>
  <si>
    <t>660</t>
  </si>
  <si>
    <t>662</t>
  </si>
  <si>
    <t>681</t>
  </si>
  <si>
    <t>686</t>
  </si>
  <si>
    <t>687</t>
  </si>
  <si>
    <t>Cote d'Ivoire</t>
  </si>
  <si>
    <t>7.54</t>
  </si>
  <si>
    <t>-5.5471</t>
  </si>
  <si>
    <t>801</t>
  </si>
  <si>
    <t>916</t>
  </si>
  <si>
    <t>952</t>
  </si>
  <si>
    <t>1077</t>
  </si>
  <si>
    <t>Croatia</t>
  </si>
  <si>
    <t>45.1</t>
  </si>
  <si>
    <t>15.2</t>
  </si>
  <si>
    <t>382</t>
  </si>
  <si>
    <t>657</t>
  </si>
  <si>
    <t>790</t>
  </si>
  <si>
    <t>867</t>
  </si>
  <si>
    <t>963</t>
  </si>
  <si>
    <t>1079</t>
  </si>
  <si>
    <t>1126</t>
  </si>
  <si>
    <t>1182</t>
  </si>
  <si>
    <t>1222</t>
  </si>
  <si>
    <t>1282</t>
  </si>
  <si>
    <t>1407</t>
  </si>
  <si>
    <t>1495</t>
  </si>
  <si>
    <t>1534</t>
  </si>
  <si>
    <t>1600</t>
  </si>
  <si>
    <t>1650</t>
  </si>
  <si>
    <t>1704</t>
  </si>
  <si>
    <t>1741</t>
  </si>
  <si>
    <t>1814</t>
  </si>
  <si>
    <t>1832</t>
  </si>
  <si>
    <t>1871</t>
  </si>
  <si>
    <t>1908</t>
  </si>
  <si>
    <t>1950</t>
  </si>
  <si>
    <t>2009</t>
  </si>
  <si>
    <t>Diamond Princess</t>
  </si>
  <si>
    <t>0.0</t>
  </si>
  <si>
    <t>691</t>
  </si>
  <si>
    <t>705</t>
  </si>
  <si>
    <t>706</t>
  </si>
  <si>
    <t>712</t>
  </si>
  <si>
    <t>Cuba</t>
  </si>
  <si>
    <t>22.0</t>
  </si>
  <si>
    <t>-80.0</t>
  </si>
  <si>
    <t>269</t>
  </si>
  <si>
    <t>620</t>
  </si>
  <si>
    <t>726</t>
  </si>
  <si>
    <t>766</t>
  </si>
  <si>
    <t>814</t>
  </si>
  <si>
    <t>923</t>
  </si>
  <si>
    <t>1087</t>
  </si>
  <si>
    <t>1137</t>
  </si>
  <si>
    <t>1189</t>
  </si>
  <si>
    <t>1235</t>
  </si>
  <si>
    <t>Cyprus</t>
  </si>
  <si>
    <t>35.1264</t>
  </si>
  <si>
    <t>33.4299</t>
  </si>
  <si>
    <t>695</t>
  </si>
  <si>
    <t>715</t>
  </si>
  <si>
    <t>735</t>
  </si>
  <si>
    <t>795</t>
  </si>
  <si>
    <t>Czechia</t>
  </si>
  <si>
    <t>49.8175</t>
  </si>
  <si>
    <t>15.472999999999999</t>
  </si>
  <si>
    <t>694</t>
  </si>
  <si>
    <t>995</t>
  </si>
  <si>
    <t>1120</t>
  </si>
  <si>
    <t>1394</t>
  </si>
  <si>
    <t>1654</t>
  </si>
  <si>
    <t>1925</t>
  </si>
  <si>
    <t>2279</t>
  </si>
  <si>
    <t>2631</t>
  </si>
  <si>
    <t>2817</t>
  </si>
  <si>
    <t>3001</t>
  </si>
  <si>
    <t>3308</t>
  </si>
  <si>
    <t>3508</t>
  </si>
  <si>
    <t>3858</t>
  </si>
  <si>
    <t>4091</t>
  </si>
  <si>
    <t>4472</t>
  </si>
  <si>
    <t>4587</t>
  </si>
  <si>
    <t>4822</t>
  </si>
  <si>
    <t>5017</t>
  </si>
  <si>
    <t>5312</t>
  </si>
  <si>
    <t>5569</t>
  </si>
  <si>
    <t>5732</t>
  </si>
  <si>
    <t>5831</t>
  </si>
  <si>
    <t>5991</t>
  </si>
  <si>
    <t>6059</t>
  </si>
  <si>
    <t>6111</t>
  </si>
  <si>
    <t>6216</t>
  </si>
  <si>
    <t>6433</t>
  </si>
  <si>
    <t>6549</t>
  </si>
  <si>
    <t>6606</t>
  </si>
  <si>
    <t>6746</t>
  </si>
  <si>
    <t>6900</t>
  </si>
  <si>
    <t>7033</t>
  </si>
  <si>
    <t>7132</t>
  </si>
  <si>
    <t>7187</t>
  </si>
  <si>
    <t>7273</t>
  </si>
  <si>
    <t>Faroe Islands</t>
  </si>
  <si>
    <t>Denmark</t>
  </si>
  <si>
    <t>61.8926</t>
  </si>
  <si>
    <t>-6.9118</t>
  </si>
  <si>
    <t>Greenland</t>
  </si>
  <si>
    <t>71.7069</t>
  </si>
  <si>
    <t>-42.6043</t>
  </si>
  <si>
    <t>56.2639</t>
  </si>
  <si>
    <t>9.5018</t>
  </si>
  <si>
    <t>615</t>
  </si>
  <si>
    <t>864</t>
  </si>
  <si>
    <t>977</t>
  </si>
  <si>
    <t>1057</t>
  </si>
  <si>
    <t>1151</t>
  </si>
  <si>
    <t>1326</t>
  </si>
  <si>
    <t>1450</t>
  </si>
  <si>
    <t>1591</t>
  </si>
  <si>
    <t>1877</t>
  </si>
  <si>
    <t>2046</t>
  </si>
  <si>
    <t>2201</t>
  </si>
  <si>
    <t>2395</t>
  </si>
  <si>
    <t>2577</t>
  </si>
  <si>
    <t>2860</t>
  </si>
  <si>
    <t>3107</t>
  </si>
  <si>
    <t>3386</t>
  </si>
  <si>
    <t>3757</t>
  </si>
  <si>
    <t>4077</t>
  </si>
  <si>
    <t>4369</t>
  </si>
  <si>
    <t>4681</t>
  </si>
  <si>
    <t>5071</t>
  </si>
  <si>
    <t>5402</t>
  </si>
  <si>
    <t>5635</t>
  </si>
  <si>
    <t>5819</t>
  </si>
  <si>
    <t>5996</t>
  </si>
  <si>
    <t>6174</t>
  </si>
  <si>
    <t>6318</t>
  </si>
  <si>
    <t>6511</t>
  </si>
  <si>
    <t>6681</t>
  </si>
  <si>
    <t>6879</t>
  </si>
  <si>
    <t>7073</t>
  </si>
  <si>
    <t>7242</t>
  </si>
  <si>
    <t>7384</t>
  </si>
  <si>
    <t>7515</t>
  </si>
  <si>
    <t>7695</t>
  </si>
  <si>
    <t>7912</t>
  </si>
  <si>
    <t>8073</t>
  </si>
  <si>
    <t>8210</t>
  </si>
  <si>
    <t>Djibouti</t>
  </si>
  <si>
    <t>11.8251</t>
  </si>
  <si>
    <t>42.5903</t>
  </si>
  <si>
    <t>732</t>
  </si>
  <si>
    <t>945</t>
  </si>
  <si>
    <t>Dominican Republic</t>
  </si>
  <si>
    <t>18.7357</t>
  </si>
  <si>
    <t>-70.1627</t>
  </si>
  <si>
    <t>719</t>
  </si>
  <si>
    <t>859</t>
  </si>
  <si>
    <t>1109</t>
  </si>
  <si>
    <t>1284</t>
  </si>
  <si>
    <t>1380</t>
  </si>
  <si>
    <t>1488</t>
  </si>
  <si>
    <t>1745</t>
  </si>
  <si>
    <t>1828</t>
  </si>
  <si>
    <t>1956</t>
  </si>
  <si>
    <t>2111</t>
  </si>
  <si>
    <t>2349</t>
  </si>
  <si>
    <t>2620</t>
  </si>
  <si>
    <t>2759</t>
  </si>
  <si>
    <t>2967</t>
  </si>
  <si>
    <t>3167</t>
  </si>
  <si>
    <t>3286</t>
  </si>
  <si>
    <t>3614</t>
  </si>
  <si>
    <t>3755</t>
  </si>
  <si>
    <t>4126</t>
  </si>
  <si>
    <t>4335</t>
  </si>
  <si>
    <t>4680</t>
  </si>
  <si>
    <t>4964</t>
  </si>
  <si>
    <t>5044</t>
  </si>
  <si>
    <t>5300</t>
  </si>
  <si>
    <t>5543</t>
  </si>
  <si>
    <t>5749</t>
  </si>
  <si>
    <t>Ecuador</t>
  </si>
  <si>
    <t>-1.8312</t>
  </si>
  <si>
    <t>-78.1834</t>
  </si>
  <si>
    <t>199</t>
  </si>
  <si>
    <t>789</t>
  </si>
  <si>
    <t>1082</t>
  </si>
  <si>
    <t>1173</t>
  </si>
  <si>
    <t>1403</t>
  </si>
  <si>
    <t>1595</t>
  </si>
  <si>
    <t>1823</t>
  </si>
  <si>
    <t>1962</t>
  </si>
  <si>
    <t>2240</t>
  </si>
  <si>
    <t>2748</t>
  </si>
  <si>
    <t>3163</t>
  </si>
  <si>
    <t>3368</t>
  </si>
  <si>
    <t>3465</t>
  </si>
  <si>
    <t>3646</t>
  </si>
  <si>
    <t>3747</t>
  </si>
  <si>
    <t>4450</t>
  </si>
  <si>
    <t>4965</t>
  </si>
  <si>
    <t>7161</t>
  </si>
  <si>
    <t>7257</t>
  </si>
  <si>
    <t>7466</t>
  </si>
  <si>
    <t>7529</t>
  </si>
  <si>
    <t>7603</t>
  </si>
  <si>
    <t>7858</t>
  </si>
  <si>
    <t>8225</t>
  </si>
  <si>
    <t>8450</t>
  </si>
  <si>
    <t>9022</t>
  </si>
  <si>
    <t>9468</t>
  </si>
  <si>
    <t>10128</t>
  </si>
  <si>
    <t>10398</t>
  </si>
  <si>
    <t>10850</t>
  </si>
  <si>
    <t>11183</t>
  </si>
  <si>
    <t>22719</t>
  </si>
  <si>
    <t>Egypt</t>
  </si>
  <si>
    <t>26.0</t>
  </si>
  <si>
    <t>30.0</t>
  </si>
  <si>
    <t>402</t>
  </si>
  <si>
    <t>710</t>
  </si>
  <si>
    <t>865</t>
  </si>
  <si>
    <t>985</t>
  </si>
  <si>
    <t>1070</t>
  </si>
  <si>
    <t>1560</t>
  </si>
  <si>
    <t>1699</t>
  </si>
  <si>
    <t>1794</t>
  </si>
  <si>
    <t>1939</t>
  </si>
  <si>
    <t>2065</t>
  </si>
  <si>
    <t>2190</t>
  </si>
  <si>
    <t>2350</t>
  </si>
  <si>
    <t>2505</t>
  </si>
  <si>
    <t>2673</t>
  </si>
  <si>
    <t>2844</t>
  </si>
  <si>
    <t>3032</t>
  </si>
  <si>
    <t>3333</t>
  </si>
  <si>
    <t>3490</t>
  </si>
  <si>
    <t>3659</t>
  </si>
  <si>
    <t>3891</t>
  </si>
  <si>
    <t>4092</t>
  </si>
  <si>
    <t>El Salvador</t>
  </si>
  <si>
    <t>13.7942</t>
  </si>
  <si>
    <t>-88.8965</t>
  </si>
  <si>
    <t>Equatorial Guinea</t>
  </si>
  <si>
    <t>1.5</t>
  </si>
  <si>
    <t>10.0</t>
  </si>
  <si>
    <t>Eritrea</t>
  </si>
  <si>
    <t>15.1794</t>
  </si>
  <si>
    <t>39.7823</t>
  </si>
  <si>
    <t>Estonia</t>
  </si>
  <si>
    <t>58.5953</t>
  </si>
  <si>
    <t>25.0136</t>
  </si>
  <si>
    <t>369</t>
  </si>
  <si>
    <t>679</t>
  </si>
  <si>
    <t>961</t>
  </si>
  <si>
    <t>1108</t>
  </si>
  <si>
    <t>1149</t>
  </si>
  <si>
    <t>1185</t>
  </si>
  <si>
    <t>1207</t>
  </si>
  <si>
    <t>1304</t>
  </si>
  <si>
    <t>1434</t>
  </si>
  <si>
    <t>1459</t>
  </si>
  <si>
    <t>1512</t>
  </si>
  <si>
    <t>1535</t>
  </si>
  <si>
    <t>1559</t>
  </si>
  <si>
    <t>1605</t>
  </si>
  <si>
    <t>Eswatini</t>
  </si>
  <si>
    <t>-26.5225</t>
  </si>
  <si>
    <t>31.4659</t>
  </si>
  <si>
    <t>Ethiopia</t>
  </si>
  <si>
    <t>9.145</t>
  </si>
  <si>
    <t>40.4897</t>
  </si>
  <si>
    <t>Fiji</t>
  </si>
  <si>
    <t>-17.7134</t>
  </si>
  <si>
    <t>178.065</t>
  </si>
  <si>
    <t>Finland</t>
  </si>
  <si>
    <t>64.0</t>
  </si>
  <si>
    <t>450</t>
  </si>
  <si>
    <t>792</t>
  </si>
  <si>
    <t>880</t>
  </si>
  <si>
    <t>958</t>
  </si>
  <si>
    <t>1041</t>
  </si>
  <si>
    <t>1418</t>
  </si>
  <si>
    <t>1446</t>
  </si>
  <si>
    <t>1615</t>
  </si>
  <si>
    <t>1882</t>
  </si>
  <si>
    <t>1927</t>
  </si>
  <si>
    <t>2176</t>
  </si>
  <si>
    <t>2308</t>
  </si>
  <si>
    <t>2487</t>
  </si>
  <si>
    <t>2605</t>
  </si>
  <si>
    <t>2769</t>
  </si>
  <si>
    <t>2905</t>
  </si>
  <si>
    <t>2974</t>
  </si>
  <si>
    <t>3064</t>
  </si>
  <si>
    <t>3161</t>
  </si>
  <si>
    <t>3237</t>
  </si>
  <si>
    <t>3369</t>
  </si>
  <si>
    <t>3489</t>
  </si>
  <si>
    <t>3681</t>
  </si>
  <si>
    <t>3783</t>
  </si>
  <si>
    <t>3868</t>
  </si>
  <si>
    <t>4014</t>
  </si>
  <si>
    <t>4129</t>
  </si>
  <si>
    <t>4284</t>
  </si>
  <si>
    <t>4395</t>
  </si>
  <si>
    <t>French Guiana</t>
  </si>
  <si>
    <t>France</t>
  </si>
  <si>
    <t>3.9339</t>
  </si>
  <si>
    <t>-53.1258</t>
  </si>
  <si>
    <t>French Polynesia</t>
  </si>
  <si>
    <t>-17.6797</t>
  </si>
  <si>
    <t>149.4068</t>
  </si>
  <si>
    <t>Guadeloupe</t>
  </si>
  <si>
    <t>16.25</t>
  </si>
  <si>
    <t>-61.5833</t>
  </si>
  <si>
    <t>Mayotte</t>
  </si>
  <si>
    <t>-12.8275</t>
  </si>
  <si>
    <t>45.1662</t>
  </si>
  <si>
    <t>New Caledonia</t>
  </si>
  <si>
    <t>-20.9043</t>
  </si>
  <si>
    <t>165.618</t>
  </si>
  <si>
    <t>Reunion</t>
  </si>
  <si>
    <t>-21.1351</t>
  </si>
  <si>
    <t>55.2471</t>
  </si>
  <si>
    <t>362</t>
  </si>
  <si>
    <t>388</t>
  </si>
  <si>
    <t>412</t>
  </si>
  <si>
    <t>Saint Barthelemy</t>
  </si>
  <si>
    <t>17.9</t>
  </si>
  <si>
    <t>-62.8333</t>
  </si>
  <si>
    <t>St Martin</t>
  </si>
  <si>
    <t>18.0708</t>
  </si>
  <si>
    <t>-63.0501</t>
  </si>
  <si>
    <t>Martinique</t>
  </si>
  <si>
    <t>14.6415</t>
  </si>
  <si>
    <t>-61.0242</t>
  </si>
  <si>
    <t>46.2276</t>
  </si>
  <si>
    <t>2.2137</t>
  </si>
  <si>
    <t>204</t>
  </si>
  <si>
    <t>949</t>
  </si>
  <si>
    <t>1209</t>
  </si>
  <si>
    <t>1784</t>
  </si>
  <si>
    <t>2281</t>
  </si>
  <si>
    <t>3661</t>
  </si>
  <si>
    <t>4469</t>
  </si>
  <si>
    <t>4499</t>
  </si>
  <si>
    <t>6633</t>
  </si>
  <si>
    <t>7652</t>
  </si>
  <si>
    <t>9043</t>
  </si>
  <si>
    <t>10871</t>
  </si>
  <si>
    <t>12612</t>
  </si>
  <si>
    <t>14282</t>
  </si>
  <si>
    <t>16018</t>
  </si>
  <si>
    <t>19856</t>
  </si>
  <si>
    <t>22304</t>
  </si>
  <si>
    <t>25233</t>
  </si>
  <si>
    <t>29155</t>
  </si>
  <si>
    <t>32964</t>
  </si>
  <si>
    <t>37575</t>
  </si>
  <si>
    <t>40174</t>
  </si>
  <si>
    <t>44550</t>
  </si>
  <si>
    <t>52128</t>
  </si>
  <si>
    <t>56989</t>
  </si>
  <si>
    <t>59105</t>
  </si>
  <si>
    <t>64338</t>
  </si>
  <si>
    <t>68605</t>
  </si>
  <si>
    <t>70478</t>
  </si>
  <si>
    <t>74390</t>
  </si>
  <si>
    <t>78167</t>
  </si>
  <si>
    <t>82048</t>
  </si>
  <si>
    <t>86334</t>
  </si>
  <si>
    <t>90676</t>
  </si>
  <si>
    <t>93790</t>
  </si>
  <si>
    <t>120633</t>
  </si>
  <si>
    <t>124298</t>
  </si>
  <si>
    <t>129257</t>
  </si>
  <si>
    <t>132473</t>
  </si>
  <si>
    <t>144944</t>
  </si>
  <si>
    <t>146923</t>
  </si>
  <si>
    <t>146906</t>
  </si>
  <si>
    <t>151808</t>
  </si>
  <si>
    <t>154188</t>
  </si>
  <si>
    <t>156921</t>
  </si>
  <si>
    <t>154715</t>
  </si>
  <si>
    <t>157026</t>
  </si>
  <si>
    <t>158636</t>
  </si>
  <si>
    <t>Gabon</t>
  </si>
  <si>
    <t>-0.8037</t>
  </si>
  <si>
    <t>11.6094</t>
  </si>
  <si>
    <t>Gambia</t>
  </si>
  <si>
    <t>13.4432</t>
  </si>
  <si>
    <t>-15.3101</t>
  </si>
  <si>
    <t>Georgia</t>
  </si>
  <si>
    <t>42.3154</t>
  </si>
  <si>
    <t>43.3569</t>
  </si>
  <si>
    <t>348</t>
  </si>
  <si>
    <t>Germany</t>
  </si>
  <si>
    <t>51.0</t>
  </si>
  <si>
    <t>9.0</t>
  </si>
  <si>
    <t>670</t>
  </si>
  <si>
    <t>799</t>
  </si>
  <si>
    <t>1457</t>
  </si>
  <si>
    <t>2078</t>
  </si>
  <si>
    <t>3675</t>
  </si>
  <si>
    <t>4585</t>
  </si>
  <si>
    <t>5795</t>
  </si>
  <si>
    <t>7272</t>
  </si>
  <si>
    <t>9257</t>
  </si>
  <si>
    <t>12327</t>
  </si>
  <si>
    <t>15320</t>
  </si>
  <si>
    <t>19848</t>
  </si>
  <si>
    <t>22213</t>
  </si>
  <si>
    <t>24873</t>
  </si>
  <si>
    <t>29056</t>
  </si>
  <si>
    <t>32986</t>
  </si>
  <si>
    <t>37323</t>
  </si>
  <si>
    <t>43938</t>
  </si>
  <si>
    <t>50871</t>
  </si>
  <si>
    <t>57695</t>
  </si>
  <si>
    <t>62095</t>
  </si>
  <si>
    <t>66885</t>
  </si>
  <si>
    <t>71808</t>
  </si>
  <si>
    <t>77872</t>
  </si>
  <si>
    <t>84794</t>
  </si>
  <si>
    <t>91159</t>
  </si>
  <si>
    <t>96092</t>
  </si>
  <si>
    <t>100123</t>
  </si>
  <si>
    <t>103374</t>
  </si>
  <si>
    <t>107663</t>
  </si>
  <si>
    <t>113296</t>
  </si>
  <si>
    <t>118181</t>
  </si>
  <si>
    <t>122171</t>
  </si>
  <si>
    <t>124908</t>
  </si>
  <si>
    <t>127854</t>
  </si>
  <si>
    <t>130072</t>
  </si>
  <si>
    <t>131359</t>
  </si>
  <si>
    <t>134753</t>
  </si>
  <si>
    <t>137698</t>
  </si>
  <si>
    <t>141397</t>
  </si>
  <si>
    <t>143342</t>
  </si>
  <si>
    <t>145184</t>
  </si>
  <si>
    <t>147065</t>
  </si>
  <si>
    <t>148291</t>
  </si>
  <si>
    <t>150648</t>
  </si>
  <si>
    <t>153129</t>
  </si>
  <si>
    <t>154999</t>
  </si>
  <si>
    <t>Ghana</t>
  </si>
  <si>
    <t>7.9465</t>
  </si>
  <si>
    <t>-1.0232</t>
  </si>
  <si>
    <t>834</t>
  </si>
  <si>
    <t>1042</t>
  </si>
  <si>
    <t>1154</t>
  </si>
  <si>
    <t>Greece</t>
  </si>
  <si>
    <t>39.0742</t>
  </si>
  <si>
    <t>21.8243</t>
  </si>
  <si>
    <t>966</t>
  </si>
  <si>
    <t>1061</t>
  </si>
  <si>
    <t>1156</t>
  </si>
  <si>
    <t>1314</t>
  </si>
  <si>
    <t>1613</t>
  </si>
  <si>
    <t>1673</t>
  </si>
  <si>
    <t>1735</t>
  </si>
  <si>
    <t>1755</t>
  </si>
  <si>
    <t>1884</t>
  </si>
  <si>
    <t>1955</t>
  </si>
  <si>
    <t>2011</t>
  </si>
  <si>
    <t>2081</t>
  </si>
  <si>
    <t>2114</t>
  </si>
  <si>
    <t>2145</t>
  </si>
  <si>
    <t>2170</t>
  </si>
  <si>
    <t>2192</t>
  </si>
  <si>
    <t>2207</t>
  </si>
  <si>
    <t>2224</t>
  </si>
  <si>
    <t>2235</t>
  </si>
  <si>
    <t>2245</t>
  </si>
  <si>
    <t>2401</t>
  </si>
  <si>
    <t>2408</t>
  </si>
  <si>
    <t>2463</t>
  </si>
  <si>
    <t>2490</t>
  </si>
  <si>
    <t>Guatemala</t>
  </si>
  <si>
    <t>15.7835</t>
  </si>
  <si>
    <t>-90.2308</t>
  </si>
  <si>
    <t>430</t>
  </si>
  <si>
    <t>Guinea</t>
  </si>
  <si>
    <t>9.9456</t>
  </si>
  <si>
    <t>-9.6966</t>
  </si>
  <si>
    <t>477</t>
  </si>
  <si>
    <t>Guyana</t>
  </si>
  <si>
    <t>5.0</t>
  </si>
  <si>
    <t>-58.75</t>
  </si>
  <si>
    <t>Haiti</t>
  </si>
  <si>
    <t>18.9712</t>
  </si>
  <si>
    <t>-72.2852</t>
  </si>
  <si>
    <t>Holy See</t>
  </si>
  <si>
    <t>41.9029</t>
  </si>
  <si>
    <t>12.4534</t>
  </si>
  <si>
    <t>Honduras</t>
  </si>
  <si>
    <t>-86.2419</t>
  </si>
  <si>
    <t>510</t>
  </si>
  <si>
    <t>Hungary</t>
  </si>
  <si>
    <t>47.1625</t>
  </si>
  <si>
    <t>19.5033</t>
  </si>
  <si>
    <t>447</t>
  </si>
  <si>
    <t>623</t>
  </si>
  <si>
    <t>744</t>
  </si>
  <si>
    <t>817</t>
  </si>
  <si>
    <t>980</t>
  </si>
  <si>
    <t>1190</t>
  </si>
  <si>
    <t>1310</t>
  </si>
  <si>
    <t>1410</t>
  </si>
  <si>
    <t>1458</t>
  </si>
  <si>
    <t>1652</t>
  </si>
  <si>
    <t>1763</t>
  </si>
  <si>
    <t>1834</t>
  </si>
  <si>
    <t>1916</t>
  </si>
  <si>
    <t>1984</t>
  </si>
  <si>
    <t>2098</t>
  </si>
  <si>
    <t>2168</t>
  </si>
  <si>
    <t>2284</t>
  </si>
  <si>
    <t>Iceland</t>
  </si>
  <si>
    <t>64.9631</t>
  </si>
  <si>
    <t>-19.0208</t>
  </si>
  <si>
    <t>473</t>
  </si>
  <si>
    <t>568</t>
  </si>
  <si>
    <t>648</t>
  </si>
  <si>
    <t>1020</t>
  </si>
  <si>
    <t>1086</t>
  </si>
  <si>
    <t>1220</t>
  </si>
  <si>
    <t>1417</t>
  </si>
  <si>
    <t>1562</t>
  </si>
  <si>
    <t>1586</t>
  </si>
  <si>
    <t>1616</t>
  </si>
  <si>
    <t>1648</t>
  </si>
  <si>
    <t>1675</t>
  </si>
  <si>
    <t>1689</t>
  </si>
  <si>
    <t>1701</t>
  </si>
  <si>
    <t>1711</t>
  </si>
  <si>
    <t>1720</t>
  </si>
  <si>
    <t>1727</t>
  </si>
  <si>
    <t>1739</t>
  </si>
  <si>
    <t>1754</t>
  </si>
  <si>
    <t>1760</t>
  </si>
  <si>
    <t>1771</t>
  </si>
  <si>
    <t>1778</t>
  </si>
  <si>
    <t>1785</t>
  </si>
  <si>
    <t>1789</t>
  </si>
  <si>
    <t>India</t>
  </si>
  <si>
    <t>21.0</t>
  </si>
  <si>
    <t>78.0</t>
  </si>
  <si>
    <t>727</t>
  </si>
  <si>
    <t>1397</t>
  </si>
  <si>
    <t>1998</t>
  </si>
  <si>
    <t>2543</t>
  </si>
  <si>
    <t>2567</t>
  </si>
  <si>
    <t>3082</t>
  </si>
  <si>
    <t>3588</t>
  </si>
  <si>
    <t>4778</t>
  </si>
  <si>
    <t>5311</t>
  </si>
  <si>
    <t>5916</t>
  </si>
  <si>
    <t>6725</t>
  </si>
  <si>
    <t>7598</t>
  </si>
  <si>
    <t>8446</t>
  </si>
  <si>
    <t>9205</t>
  </si>
  <si>
    <t>10453</t>
  </si>
  <si>
    <t>11487</t>
  </si>
  <si>
    <t>12322</t>
  </si>
  <si>
    <t>13430</t>
  </si>
  <si>
    <t>14352</t>
  </si>
  <si>
    <t>15722</t>
  </si>
  <si>
    <t>17615</t>
  </si>
  <si>
    <t>18539</t>
  </si>
  <si>
    <t>20080</t>
  </si>
  <si>
    <t>21370</t>
  </si>
  <si>
    <t>23077</t>
  </si>
  <si>
    <t>24530</t>
  </si>
  <si>
    <t>Indonesia</t>
  </si>
  <si>
    <t>-0.7893</t>
  </si>
  <si>
    <t>113.9213</t>
  </si>
  <si>
    <t>893</t>
  </si>
  <si>
    <t>1046</t>
  </si>
  <si>
    <t>1414</t>
  </si>
  <si>
    <t>1677</t>
  </si>
  <si>
    <t>1790</t>
  </si>
  <si>
    <t>1986</t>
  </si>
  <si>
    <t>2092</t>
  </si>
  <si>
    <t>2273</t>
  </si>
  <si>
    <t>2491</t>
  </si>
  <si>
    <t>2956</t>
  </si>
  <si>
    <t>3293</t>
  </si>
  <si>
    <t>3512</t>
  </si>
  <si>
    <t>3842</t>
  </si>
  <si>
    <t>4241</t>
  </si>
  <si>
    <t>4557</t>
  </si>
  <si>
    <t>4839</t>
  </si>
  <si>
    <t>5136</t>
  </si>
  <si>
    <t>5516</t>
  </si>
  <si>
    <t>5923</t>
  </si>
  <si>
    <t>6248</t>
  </si>
  <si>
    <t>6575</t>
  </si>
  <si>
    <t>6760</t>
  </si>
  <si>
    <t>7135</t>
  </si>
  <si>
    <t>7418</t>
  </si>
  <si>
    <t>7775</t>
  </si>
  <si>
    <t>8211</t>
  </si>
  <si>
    <t>Iran</t>
  </si>
  <si>
    <t>32.0</t>
  </si>
  <si>
    <t>53.0</t>
  </si>
  <si>
    <t>978</t>
  </si>
  <si>
    <t>2336</t>
  </si>
  <si>
    <t>2922</t>
  </si>
  <si>
    <t>3513</t>
  </si>
  <si>
    <t>4747</t>
  </si>
  <si>
    <t>5823</t>
  </si>
  <si>
    <t>6566</t>
  </si>
  <si>
    <t>8042</t>
  </si>
  <si>
    <t>9000</t>
  </si>
  <si>
    <t>10075</t>
  </si>
  <si>
    <t>11364</t>
  </si>
  <si>
    <t>12729</t>
  </si>
  <si>
    <t>13938</t>
  </si>
  <si>
    <t>14991</t>
  </si>
  <si>
    <t>16169</t>
  </si>
  <si>
    <t>17361</t>
  </si>
  <si>
    <t>18407</t>
  </si>
  <si>
    <t>19644</t>
  </si>
  <si>
    <t>20610</t>
  </si>
  <si>
    <t>21638</t>
  </si>
  <si>
    <t>23049</t>
  </si>
  <si>
    <t>24811</t>
  </si>
  <si>
    <t>27017</t>
  </si>
  <si>
    <t>29406</t>
  </si>
  <si>
    <t>32332</t>
  </si>
  <si>
    <t>35408</t>
  </si>
  <si>
    <t>38309</t>
  </si>
  <si>
    <t>41495</t>
  </si>
  <si>
    <t>44605</t>
  </si>
  <si>
    <t>47593</t>
  </si>
  <si>
    <t>50468</t>
  </si>
  <si>
    <t>53183</t>
  </si>
  <si>
    <t>55743</t>
  </si>
  <si>
    <t>58226</t>
  </si>
  <si>
    <t>60500</t>
  </si>
  <si>
    <t>62589</t>
  </si>
  <si>
    <t>64586</t>
  </si>
  <si>
    <t>66220</t>
  </si>
  <si>
    <t>68192</t>
  </si>
  <si>
    <t>70029</t>
  </si>
  <si>
    <t>71686</t>
  </si>
  <si>
    <t>73303</t>
  </si>
  <si>
    <t>74877</t>
  </si>
  <si>
    <t>76389</t>
  </si>
  <si>
    <t>77995</t>
  </si>
  <si>
    <t>79494</t>
  </si>
  <si>
    <t>80868</t>
  </si>
  <si>
    <t>82211</t>
  </si>
  <si>
    <t>83505</t>
  </si>
  <si>
    <t>84802</t>
  </si>
  <si>
    <t>85996</t>
  </si>
  <si>
    <t>87026</t>
  </si>
  <si>
    <t>88194</t>
  </si>
  <si>
    <t>Iraq</t>
  </si>
  <si>
    <t>44.0</t>
  </si>
  <si>
    <t>192</t>
  </si>
  <si>
    <t>630</t>
  </si>
  <si>
    <t>728</t>
  </si>
  <si>
    <t>1031</t>
  </si>
  <si>
    <t>1122</t>
  </si>
  <si>
    <t>1202</t>
  </si>
  <si>
    <t>1318</t>
  </si>
  <si>
    <t>1482</t>
  </si>
  <si>
    <t>1513</t>
  </si>
  <si>
    <t>1574</t>
  </si>
  <si>
    <t>1602</t>
  </si>
  <si>
    <t>1631</t>
  </si>
  <si>
    <t>1708</t>
  </si>
  <si>
    <t>Ireland</t>
  </si>
  <si>
    <t>53.1424</t>
  </si>
  <si>
    <t>-7.6921</t>
  </si>
  <si>
    <t>683</t>
  </si>
  <si>
    <t>785</t>
  </si>
  <si>
    <t>1125</t>
  </si>
  <si>
    <t>1819</t>
  </si>
  <si>
    <t>2121</t>
  </si>
  <si>
    <t>2415</t>
  </si>
  <si>
    <t>2615</t>
  </si>
  <si>
    <t>3235</t>
  </si>
  <si>
    <t>3447</t>
  </si>
  <si>
    <t>3849</t>
  </si>
  <si>
    <t>4273</t>
  </si>
  <si>
    <t>4604</t>
  </si>
  <si>
    <t>4994</t>
  </si>
  <si>
    <t>5364</t>
  </si>
  <si>
    <t>5709</t>
  </si>
  <si>
    <t>6074</t>
  </si>
  <si>
    <t>6574</t>
  </si>
  <si>
    <t>8089</t>
  </si>
  <si>
    <t>8928</t>
  </si>
  <si>
    <t>9655</t>
  </si>
  <si>
    <t>10647</t>
  </si>
  <si>
    <t>11479</t>
  </si>
  <si>
    <t>12547</t>
  </si>
  <si>
    <t>13271</t>
  </si>
  <si>
    <t>13980</t>
  </si>
  <si>
    <t>14758</t>
  </si>
  <si>
    <t>15251</t>
  </si>
  <si>
    <t>15652</t>
  </si>
  <si>
    <t>16040</t>
  </si>
  <si>
    <t>16671</t>
  </si>
  <si>
    <t>17607</t>
  </si>
  <si>
    <t>18184</t>
  </si>
  <si>
    <t>Israel</t>
  </si>
  <si>
    <t>31.0</t>
  </si>
  <si>
    <t>35.0</t>
  </si>
  <si>
    <t>427</t>
  </si>
  <si>
    <t>883</t>
  </si>
  <si>
    <t>1071</t>
  </si>
  <si>
    <t>2369</t>
  </si>
  <si>
    <t>2693</t>
  </si>
  <si>
    <t>3035</t>
  </si>
  <si>
    <t>3619</t>
  </si>
  <si>
    <t>4247</t>
  </si>
  <si>
    <t>4695</t>
  </si>
  <si>
    <t>5358</t>
  </si>
  <si>
    <t>6092</t>
  </si>
  <si>
    <t>6857</t>
  </si>
  <si>
    <t>7428</t>
  </si>
  <si>
    <t>7851</t>
  </si>
  <si>
    <t>8430</t>
  </si>
  <si>
    <t>8904</t>
  </si>
  <si>
    <t>9248</t>
  </si>
  <si>
    <t>9404</t>
  </si>
  <si>
    <t>9968</t>
  </si>
  <si>
    <t>10408</t>
  </si>
  <si>
    <t>10743</t>
  </si>
  <si>
    <t>11145</t>
  </si>
  <si>
    <t>11586</t>
  </si>
  <si>
    <t>12046</t>
  </si>
  <si>
    <t>12501</t>
  </si>
  <si>
    <t>12758</t>
  </si>
  <si>
    <t>12982</t>
  </si>
  <si>
    <t>13265</t>
  </si>
  <si>
    <t>13491</t>
  </si>
  <si>
    <t>13713</t>
  </si>
  <si>
    <t>13942</t>
  </si>
  <si>
    <t>14498</t>
  </si>
  <si>
    <t>14803</t>
  </si>
  <si>
    <t>15058</t>
  </si>
  <si>
    <t>43.0</t>
  </si>
  <si>
    <t>12.0</t>
  </si>
  <si>
    <t>888</t>
  </si>
  <si>
    <t>1128</t>
  </si>
  <si>
    <t>1694</t>
  </si>
  <si>
    <t>2036</t>
  </si>
  <si>
    <t>2502</t>
  </si>
  <si>
    <t>3089</t>
  </si>
  <si>
    <t>4636</t>
  </si>
  <si>
    <t>5883</t>
  </si>
  <si>
    <t>7375</t>
  </si>
  <si>
    <t>9172</t>
  </si>
  <si>
    <t>10149</t>
  </si>
  <si>
    <t>12462</t>
  </si>
  <si>
    <t>17660</t>
  </si>
  <si>
    <t>21157</t>
  </si>
  <si>
    <t>24747</t>
  </si>
  <si>
    <t>27980</t>
  </si>
  <si>
    <t>31506</t>
  </si>
  <si>
    <t>35713</t>
  </si>
  <si>
    <t>41035</t>
  </si>
  <si>
    <t>47021</t>
  </si>
  <si>
    <t>53578</t>
  </si>
  <si>
    <t>59138</t>
  </si>
  <si>
    <t>63927</t>
  </si>
  <si>
    <t>69176</t>
  </si>
  <si>
    <t>74386</t>
  </si>
  <si>
    <t>80589</t>
  </si>
  <si>
    <t>86498</t>
  </si>
  <si>
    <t>92472</t>
  </si>
  <si>
    <t>97689</t>
  </si>
  <si>
    <t>101739</t>
  </si>
  <si>
    <t>105792</t>
  </si>
  <si>
    <t>110574</t>
  </si>
  <si>
    <t>115242</t>
  </si>
  <si>
    <t>119827</t>
  </si>
  <si>
    <t>124632</t>
  </si>
  <si>
    <t>128948</t>
  </si>
  <si>
    <t>132547</t>
  </si>
  <si>
    <t>135586</t>
  </si>
  <si>
    <t>139422</t>
  </si>
  <si>
    <t>143626</t>
  </si>
  <si>
    <t>147577</t>
  </si>
  <si>
    <t>152271</t>
  </si>
  <si>
    <t>156363</t>
  </si>
  <si>
    <t>159516</t>
  </si>
  <si>
    <t>162488</t>
  </si>
  <si>
    <t>165155</t>
  </si>
  <si>
    <t>168941</t>
  </si>
  <si>
    <t>172434</t>
  </si>
  <si>
    <t>175925</t>
  </si>
  <si>
    <t>178972</t>
  </si>
  <si>
    <t>181228</t>
  </si>
  <si>
    <t>183957</t>
  </si>
  <si>
    <t>187327</t>
  </si>
  <si>
    <t>189973</t>
  </si>
  <si>
    <t>192994</t>
  </si>
  <si>
    <t>Jamaica</t>
  </si>
  <si>
    <t>18.1096</t>
  </si>
  <si>
    <t>-77.2975</t>
  </si>
  <si>
    <t>Japan</t>
  </si>
  <si>
    <t>36.0</t>
  </si>
  <si>
    <t>138.0</t>
  </si>
  <si>
    <t>461</t>
  </si>
  <si>
    <t>701</t>
  </si>
  <si>
    <t>839</t>
  </si>
  <si>
    <t>924</t>
  </si>
  <si>
    <t>1101</t>
  </si>
  <si>
    <t>1193</t>
  </si>
  <si>
    <t>1307</t>
  </si>
  <si>
    <t>1387</t>
  </si>
  <si>
    <t>1693</t>
  </si>
  <si>
    <t>1866</t>
  </si>
  <si>
    <t>1953</t>
  </si>
  <si>
    <t>2178</t>
  </si>
  <si>
    <t>2495</t>
  </si>
  <si>
    <t>2617</t>
  </si>
  <si>
    <t>3139</t>
  </si>
  <si>
    <t>3654</t>
  </si>
  <si>
    <t>3906</t>
  </si>
  <si>
    <t>4257</t>
  </si>
  <si>
    <t>4667</t>
  </si>
  <si>
    <t>5530</t>
  </si>
  <si>
    <t>6005</t>
  </si>
  <si>
    <t>6748</t>
  </si>
  <si>
    <t>7370</t>
  </si>
  <si>
    <t>7645</t>
  </si>
  <si>
    <t>8100</t>
  </si>
  <si>
    <t>8626</t>
  </si>
  <si>
    <t>9787</t>
  </si>
  <si>
    <t>10296</t>
  </si>
  <si>
    <t>10797</t>
  </si>
  <si>
    <t>11135</t>
  </si>
  <si>
    <t>11512</t>
  </si>
  <si>
    <t>12368</t>
  </si>
  <si>
    <t>12829</t>
  </si>
  <si>
    <t>Jordan</t>
  </si>
  <si>
    <t>31.24</t>
  </si>
  <si>
    <t>36.51</t>
  </si>
  <si>
    <t>401</t>
  </si>
  <si>
    <t>Kazakhstan</t>
  </si>
  <si>
    <t>48.0196</t>
  </si>
  <si>
    <t>66.9237</t>
  </si>
  <si>
    <t>284</t>
  </si>
  <si>
    <t>697</t>
  </si>
  <si>
    <t>812</t>
  </si>
  <si>
    <t>951</t>
  </si>
  <si>
    <t>1091</t>
  </si>
  <si>
    <t>1295</t>
  </si>
  <si>
    <t>1402</t>
  </si>
  <si>
    <t>1676</t>
  </si>
  <si>
    <t>1852</t>
  </si>
  <si>
    <t>1995</t>
  </si>
  <si>
    <t>2135</t>
  </si>
  <si>
    <t>2289</t>
  </si>
  <si>
    <t>2482</t>
  </si>
  <si>
    <t>Kenya</t>
  </si>
  <si>
    <t>-0.0236</t>
  </si>
  <si>
    <t>37.9062</t>
  </si>
  <si>
    <t>216</t>
  </si>
  <si>
    <t>270</t>
  </si>
  <si>
    <t>Korea, South</t>
  </si>
  <si>
    <t>128.0</t>
  </si>
  <si>
    <t>602</t>
  </si>
  <si>
    <t>1766</t>
  </si>
  <si>
    <t>2337</t>
  </si>
  <si>
    <t>3150</t>
  </si>
  <si>
    <t>3736</t>
  </si>
  <si>
    <t>5186</t>
  </si>
  <si>
    <t>5621</t>
  </si>
  <si>
    <t>6088</t>
  </si>
  <si>
    <t>6593</t>
  </si>
  <si>
    <t>7041</t>
  </si>
  <si>
    <t>7314</t>
  </si>
  <si>
    <t>7478</t>
  </si>
  <si>
    <t>7513</t>
  </si>
  <si>
    <t>7755</t>
  </si>
  <si>
    <t>7869</t>
  </si>
  <si>
    <t>7979</t>
  </si>
  <si>
    <t>8086</t>
  </si>
  <si>
    <t>8162</t>
  </si>
  <si>
    <t>8236</t>
  </si>
  <si>
    <t>8320</t>
  </si>
  <si>
    <t>8413</t>
  </si>
  <si>
    <t>8565</t>
  </si>
  <si>
    <t>8652</t>
  </si>
  <si>
    <t>8799</t>
  </si>
  <si>
    <t>8961</t>
  </si>
  <si>
    <t>9037</t>
  </si>
  <si>
    <t>9137</t>
  </si>
  <si>
    <t>9241</t>
  </si>
  <si>
    <t>9332</t>
  </si>
  <si>
    <t>9478</t>
  </si>
  <si>
    <t>9583</t>
  </si>
  <si>
    <t>9661</t>
  </si>
  <si>
    <t>9786</t>
  </si>
  <si>
    <t>9887</t>
  </si>
  <si>
    <t>9976</t>
  </si>
  <si>
    <t>10062</t>
  </si>
  <si>
    <t>10156</t>
  </si>
  <si>
    <t>10237</t>
  </si>
  <si>
    <t>10284</t>
  </si>
  <si>
    <t>10331</t>
  </si>
  <si>
    <t>10384</t>
  </si>
  <si>
    <t>10423</t>
  </si>
  <si>
    <t>10450</t>
  </si>
  <si>
    <t>10480</t>
  </si>
  <si>
    <t>10512</t>
  </si>
  <si>
    <t>10537</t>
  </si>
  <si>
    <t>10564</t>
  </si>
  <si>
    <t>10591</t>
  </si>
  <si>
    <t>10613</t>
  </si>
  <si>
    <t>10635</t>
  </si>
  <si>
    <t>10653</t>
  </si>
  <si>
    <t>10661</t>
  </si>
  <si>
    <t>10674</t>
  </si>
  <si>
    <t>10683</t>
  </si>
  <si>
    <t>10694</t>
  </si>
  <si>
    <t>10708</t>
  </si>
  <si>
    <t>10718</t>
  </si>
  <si>
    <t>Kuwait</t>
  </si>
  <si>
    <t>29.5</t>
  </si>
  <si>
    <t>47.75</t>
  </si>
  <si>
    <t>556</t>
  </si>
  <si>
    <t>855</t>
  </si>
  <si>
    <t>993</t>
  </si>
  <si>
    <t>1300</t>
  </si>
  <si>
    <t>1658</t>
  </si>
  <si>
    <t>1751</t>
  </si>
  <si>
    <t>1915</t>
  </si>
  <si>
    <t>2080</t>
  </si>
  <si>
    <t>2248</t>
  </si>
  <si>
    <t>2399</t>
  </si>
  <si>
    <t>2614</t>
  </si>
  <si>
    <t>Kyrgyzstan</t>
  </si>
  <si>
    <t>41.2044</t>
  </si>
  <si>
    <t>74.7661</t>
  </si>
  <si>
    <t>280</t>
  </si>
  <si>
    <t>449</t>
  </si>
  <si>
    <t>Latvia</t>
  </si>
  <si>
    <t>56.8796</t>
  </si>
  <si>
    <t>24.6032</t>
  </si>
  <si>
    <t>398</t>
  </si>
  <si>
    <t>666</t>
  </si>
  <si>
    <t>739</t>
  </si>
  <si>
    <t>748</t>
  </si>
  <si>
    <t>Lebanon</t>
  </si>
  <si>
    <t>33.8547</t>
  </si>
  <si>
    <t>35.8623</t>
  </si>
  <si>
    <t>619</t>
  </si>
  <si>
    <t>668</t>
  </si>
  <si>
    <t>677</t>
  </si>
  <si>
    <t>Liberia</t>
  </si>
  <si>
    <t>6.4281</t>
  </si>
  <si>
    <t>-9.4295</t>
  </si>
  <si>
    <t>Liechtenstein</t>
  </si>
  <si>
    <t>47.14</t>
  </si>
  <si>
    <t>9.55</t>
  </si>
  <si>
    <t>Lithuania</t>
  </si>
  <si>
    <t>55.1694</t>
  </si>
  <si>
    <t>23.8813</t>
  </si>
  <si>
    <t>843</t>
  </si>
  <si>
    <t>955</t>
  </si>
  <si>
    <t>1053</t>
  </si>
  <si>
    <t>1062</t>
  </si>
  <si>
    <t>1239</t>
  </si>
  <si>
    <t>1298</t>
  </si>
  <si>
    <t>Luxembourg</t>
  </si>
  <si>
    <t>49.8153</t>
  </si>
  <si>
    <t>6.1296</t>
  </si>
  <si>
    <t>875</t>
  </si>
  <si>
    <t>1099</t>
  </si>
  <si>
    <t>1453</t>
  </si>
  <si>
    <t>1831</t>
  </si>
  <si>
    <t>1988</t>
  </si>
  <si>
    <t>2319</t>
  </si>
  <si>
    <t>2612</t>
  </si>
  <si>
    <t>2729</t>
  </si>
  <si>
    <t>2804</t>
  </si>
  <si>
    <t>2843</t>
  </si>
  <si>
    <t>2970</t>
  </si>
  <si>
    <t>3034</t>
  </si>
  <si>
    <t>3115</t>
  </si>
  <si>
    <t>3223</t>
  </si>
  <si>
    <t>3270</t>
  </si>
  <si>
    <t>3292</t>
  </si>
  <si>
    <t>3307</t>
  </si>
  <si>
    <t>3373</t>
  </si>
  <si>
    <t>3444</t>
  </si>
  <si>
    <t>3480</t>
  </si>
  <si>
    <t>3537</t>
  </si>
  <si>
    <t>3550</t>
  </si>
  <si>
    <t>3558</t>
  </si>
  <si>
    <t>3618</t>
  </si>
  <si>
    <t>3665</t>
  </si>
  <si>
    <t>3695</t>
  </si>
  <si>
    <t>Madagascar</t>
  </si>
  <si>
    <t>-18.7669</t>
  </si>
  <si>
    <t>46.8691</t>
  </si>
  <si>
    <t>Malaysia</t>
  </si>
  <si>
    <t>2.5</t>
  </si>
  <si>
    <t>112.5</t>
  </si>
  <si>
    <t>1030</t>
  </si>
  <si>
    <t>1183</t>
  </si>
  <si>
    <t>1624</t>
  </si>
  <si>
    <t>1796</t>
  </si>
  <si>
    <t>2031</t>
  </si>
  <si>
    <t>2161</t>
  </si>
  <si>
    <t>2320</t>
  </si>
  <si>
    <t>2470</t>
  </si>
  <si>
    <t>2626</t>
  </si>
  <si>
    <t>2766</t>
  </si>
  <si>
    <t>3116</t>
  </si>
  <si>
    <t>3483</t>
  </si>
  <si>
    <t>3662</t>
  </si>
  <si>
    <t>3793</t>
  </si>
  <si>
    <t>3963</t>
  </si>
  <si>
    <t>4119</t>
  </si>
  <si>
    <t>4228</t>
  </si>
  <si>
    <t>4346</t>
  </si>
  <si>
    <t>4530</t>
  </si>
  <si>
    <t>4683</t>
  </si>
  <si>
    <t>4817</t>
  </si>
  <si>
    <t>4987</t>
  </si>
  <si>
    <t>5072</t>
  </si>
  <si>
    <t>5182</t>
  </si>
  <si>
    <t>5251</t>
  </si>
  <si>
    <t>5305</t>
  </si>
  <si>
    <t>5389</t>
  </si>
  <si>
    <t>5425</t>
  </si>
  <si>
    <t>5482</t>
  </si>
  <si>
    <t>5532</t>
  </si>
  <si>
    <t>5603</t>
  </si>
  <si>
    <t>5691</t>
  </si>
  <si>
    <t>Maldives</t>
  </si>
  <si>
    <t>3.2028</t>
  </si>
  <si>
    <t>73.2207</t>
  </si>
  <si>
    <t>Malta</t>
  </si>
  <si>
    <t>35.9375</t>
  </si>
  <si>
    <t>14.3754</t>
  </si>
  <si>
    <t>431</t>
  </si>
  <si>
    <t>Mauritania</t>
  </si>
  <si>
    <t>21.0079</t>
  </si>
  <si>
    <t>10.9408</t>
  </si>
  <si>
    <t>Mauritius</t>
  </si>
  <si>
    <t>-20.2</t>
  </si>
  <si>
    <t>57.5</t>
  </si>
  <si>
    <t>324</t>
  </si>
  <si>
    <t>Mexico</t>
  </si>
  <si>
    <t>23.6345</t>
  </si>
  <si>
    <t>-102.5528</t>
  </si>
  <si>
    <t>1094</t>
  </si>
  <si>
    <t>1510</t>
  </si>
  <si>
    <t>1688</t>
  </si>
  <si>
    <t>1890</t>
  </si>
  <si>
    <t>2143</t>
  </si>
  <si>
    <t>2439</t>
  </si>
  <si>
    <t>2785</t>
  </si>
  <si>
    <t>3181</t>
  </si>
  <si>
    <t>3441</t>
  </si>
  <si>
    <t>3844</t>
  </si>
  <si>
    <t>4219</t>
  </si>
  <si>
    <t>4661</t>
  </si>
  <si>
    <t>5014</t>
  </si>
  <si>
    <t>5399</t>
  </si>
  <si>
    <t>5847</t>
  </si>
  <si>
    <t>6297</t>
  </si>
  <si>
    <t>6875</t>
  </si>
  <si>
    <t>7497</t>
  </si>
  <si>
    <t>8261</t>
  </si>
  <si>
    <t>8772</t>
  </si>
  <si>
    <t>9501</t>
  </si>
  <si>
    <t>11633</t>
  </si>
  <si>
    <t>Moldova</t>
  </si>
  <si>
    <t>47.4116</t>
  </si>
  <si>
    <t>28.3699</t>
  </si>
  <si>
    <t>752</t>
  </si>
  <si>
    <t>1056</t>
  </si>
  <si>
    <t>1289</t>
  </si>
  <si>
    <t>1438</t>
  </si>
  <si>
    <t>1662</t>
  </si>
  <si>
    <t>1712</t>
  </si>
  <si>
    <t>1934</t>
  </si>
  <si>
    <t>2049</t>
  </si>
  <si>
    <t>2154</t>
  </si>
  <si>
    <t>2264</t>
  </si>
  <si>
    <t>2378</t>
  </si>
  <si>
    <t>2472</t>
  </si>
  <si>
    <t>2548</t>
  </si>
  <si>
    <t>2778</t>
  </si>
  <si>
    <t>3110</t>
  </si>
  <si>
    <t>Monaco</t>
  </si>
  <si>
    <t>43.7333</t>
  </si>
  <si>
    <t>7.4167</t>
  </si>
  <si>
    <t>Mongolia</t>
  </si>
  <si>
    <t>46.8625</t>
  </si>
  <si>
    <t>103.8467</t>
  </si>
  <si>
    <t>Montenegro</t>
  </si>
  <si>
    <t>42.5</t>
  </si>
  <si>
    <t>19.3</t>
  </si>
  <si>
    <t>Morocco</t>
  </si>
  <si>
    <t>31.7917</t>
  </si>
  <si>
    <t>-7.0926</t>
  </si>
  <si>
    <t>708</t>
  </si>
  <si>
    <t>791</t>
  </si>
  <si>
    <t>919</t>
  </si>
  <si>
    <t>1374</t>
  </si>
  <si>
    <t>1545</t>
  </si>
  <si>
    <t>1661</t>
  </si>
  <si>
    <t>1888</t>
  </si>
  <si>
    <t>2283</t>
  </si>
  <si>
    <t>2564</t>
  </si>
  <si>
    <t>2685</t>
  </si>
  <si>
    <t>2855</t>
  </si>
  <si>
    <t>3046</t>
  </si>
  <si>
    <t>3209</t>
  </si>
  <si>
    <t>3446</t>
  </si>
  <si>
    <t>3568</t>
  </si>
  <si>
    <t>3758</t>
  </si>
  <si>
    <t>Namibia</t>
  </si>
  <si>
    <t>-22.9576</t>
  </si>
  <si>
    <t>18.4904</t>
  </si>
  <si>
    <t>Nepal</t>
  </si>
  <si>
    <t>28.1667</t>
  </si>
  <si>
    <t>84.25</t>
  </si>
  <si>
    <t>Aruba</t>
  </si>
  <si>
    <t>Netherlands</t>
  </si>
  <si>
    <t>12.5186</t>
  </si>
  <si>
    <t>-70.0358</t>
  </si>
  <si>
    <t>Curacao</t>
  </si>
  <si>
    <t>12.1696</t>
  </si>
  <si>
    <t>-68.99</t>
  </si>
  <si>
    <t>Sint Maarten</t>
  </si>
  <si>
    <t>18.0425</t>
  </si>
  <si>
    <t>-63.0548</t>
  </si>
  <si>
    <t>52.1326</t>
  </si>
  <si>
    <t>5.2913</t>
  </si>
  <si>
    <t>959</t>
  </si>
  <si>
    <t>1705</t>
  </si>
  <si>
    <t>2051</t>
  </si>
  <si>
    <t>2460</t>
  </si>
  <si>
    <t>2994</t>
  </si>
  <si>
    <t>3631</t>
  </si>
  <si>
    <t>4749</t>
  </si>
  <si>
    <t>5560</t>
  </si>
  <si>
    <t>6412</t>
  </si>
  <si>
    <t>7431</t>
  </si>
  <si>
    <t>8603</t>
  </si>
  <si>
    <t>9762</t>
  </si>
  <si>
    <t>10866</t>
  </si>
  <si>
    <t>11750</t>
  </si>
  <si>
    <t>12595</t>
  </si>
  <si>
    <t>13614</t>
  </si>
  <si>
    <t>14697</t>
  </si>
  <si>
    <t>15723</t>
  </si>
  <si>
    <t>16627</t>
  </si>
  <si>
    <t>17851</t>
  </si>
  <si>
    <t>18803</t>
  </si>
  <si>
    <t>19580</t>
  </si>
  <si>
    <t>20549</t>
  </si>
  <si>
    <t>21762</t>
  </si>
  <si>
    <t>23097</t>
  </si>
  <si>
    <t>24413</t>
  </si>
  <si>
    <t>25587</t>
  </si>
  <si>
    <t>26551</t>
  </si>
  <si>
    <t>27419</t>
  </si>
  <si>
    <t>28153</t>
  </si>
  <si>
    <t>29214</t>
  </si>
  <si>
    <t>30449</t>
  </si>
  <si>
    <t>31589</t>
  </si>
  <si>
    <t>32655</t>
  </si>
  <si>
    <t>33405</t>
  </si>
  <si>
    <t>34134</t>
  </si>
  <si>
    <t>34842</t>
  </si>
  <si>
    <t>35729</t>
  </si>
  <si>
    <t>36535</t>
  </si>
  <si>
    <t>New Zealand</t>
  </si>
  <si>
    <t>-40.9006</t>
  </si>
  <si>
    <t>174.886</t>
  </si>
  <si>
    <t>797</t>
  </si>
  <si>
    <t>868</t>
  </si>
  <si>
    <t>1106</t>
  </si>
  <si>
    <t>1160</t>
  </si>
  <si>
    <t>1210</t>
  </si>
  <si>
    <t>1312</t>
  </si>
  <si>
    <t>1330</t>
  </si>
  <si>
    <t>1366</t>
  </si>
  <si>
    <t>1386</t>
  </si>
  <si>
    <t>1409</t>
  </si>
  <si>
    <t>1422</t>
  </si>
  <si>
    <t>1431</t>
  </si>
  <si>
    <t>1440</t>
  </si>
  <si>
    <t>1461</t>
  </si>
  <si>
    <t>Nicaragua</t>
  </si>
  <si>
    <t>12.8654</t>
  </si>
  <si>
    <t>-85.2072</t>
  </si>
  <si>
    <t>Niger</t>
  </si>
  <si>
    <t>17.6078</t>
  </si>
  <si>
    <t>8.0817</t>
  </si>
  <si>
    <t>627</t>
  </si>
  <si>
    <t>671</t>
  </si>
  <si>
    <t>Nigeria</t>
  </si>
  <si>
    <t>9.082</t>
  </si>
  <si>
    <t>8.6753</t>
  </si>
  <si>
    <t>276</t>
  </si>
  <si>
    <t>North Macedonia</t>
  </si>
  <si>
    <t>41.6086</t>
  </si>
  <si>
    <t>21.7453</t>
  </si>
  <si>
    <t>828</t>
  </si>
  <si>
    <t>854</t>
  </si>
  <si>
    <t>908</t>
  </si>
  <si>
    <t>1081</t>
  </si>
  <si>
    <t>1170</t>
  </si>
  <si>
    <t>1225</t>
  </si>
  <si>
    <t>1259</t>
  </si>
  <si>
    <t>Norway</t>
  </si>
  <si>
    <t>60.472</t>
  </si>
  <si>
    <t>8.4689</t>
  </si>
  <si>
    <t>1090</t>
  </si>
  <si>
    <t>1221</t>
  </si>
  <si>
    <t>1463</t>
  </si>
  <si>
    <t>1550</t>
  </si>
  <si>
    <t>1746</t>
  </si>
  <si>
    <t>2118</t>
  </si>
  <si>
    <t>2385</t>
  </si>
  <si>
    <t>2621</t>
  </si>
  <si>
    <t>3084</t>
  </si>
  <si>
    <t>4445</t>
  </si>
  <si>
    <t>4641</t>
  </si>
  <si>
    <t>4863</t>
  </si>
  <si>
    <t>5147</t>
  </si>
  <si>
    <t>5370</t>
  </si>
  <si>
    <t>5550</t>
  </si>
  <si>
    <t>5687</t>
  </si>
  <si>
    <t>5865</t>
  </si>
  <si>
    <t>6086</t>
  </si>
  <si>
    <t>6211</t>
  </si>
  <si>
    <t>6314</t>
  </si>
  <si>
    <t>6409</t>
  </si>
  <si>
    <t>6525</t>
  </si>
  <si>
    <t>6603</t>
  </si>
  <si>
    <t>6623</t>
  </si>
  <si>
    <t>6740</t>
  </si>
  <si>
    <t>6896</t>
  </si>
  <si>
    <t>6937</t>
  </si>
  <si>
    <t>7036</t>
  </si>
  <si>
    <t>7078</t>
  </si>
  <si>
    <t>7156</t>
  </si>
  <si>
    <t>7191</t>
  </si>
  <si>
    <t>7338</t>
  </si>
  <si>
    <t>7401</t>
  </si>
  <si>
    <t>7463</t>
  </si>
  <si>
    <t>Oman</t>
  </si>
  <si>
    <t>57.0</t>
  </si>
  <si>
    <t>1069</t>
  </si>
  <si>
    <t>1180</t>
  </si>
  <si>
    <t>1508</t>
  </si>
  <si>
    <t>1614</t>
  </si>
  <si>
    <t>1716</t>
  </si>
  <si>
    <t>Pakistan</t>
  </si>
  <si>
    <t>30.3753</t>
  </si>
  <si>
    <t>69.3451</t>
  </si>
  <si>
    <t>776</t>
  </si>
  <si>
    <t>972</t>
  </si>
  <si>
    <t>1063</t>
  </si>
  <si>
    <t>1597</t>
  </si>
  <si>
    <t>1717</t>
  </si>
  <si>
    <t>1938</t>
  </si>
  <si>
    <t>2421</t>
  </si>
  <si>
    <t>2818</t>
  </si>
  <si>
    <t>3157</t>
  </si>
  <si>
    <t>3766</t>
  </si>
  <si>
    <t>4035</t>
  </si>
  <si>
    <t>4263</t>
  </si>
  <si>
    <t>4489</t>
  </si>
  <si>
    <t>5011</t>
  </si>
  <si>
    <t>5230</t>
  </si>
  <si>
    <t>5496</t>
  </si>
  <si>
    <t>5837</t>
  </si>
  <si>
    <t>6383</t>
  </si>
  <si>
    <t>6919</t>
  </si>
  <si>
    <t>7025</t>
  </si>
  <si>
    <t>7638</t>
  </si>
  <si>
    <t>8348</t>
  </si>
  <si>
    <t>8418</t>
  </si>
  <si>
    <t>9565</t>
  </si>
  <si>
    <t>10076</t>
  </si>
  <si>
    <t>11155</t>
  </si>
  <si>
    <t>11940</t>
  </si>
  <si>
    <t>Panama</t>
  </si>
  <si>
    <t>8.538</t>
  </si>
  <si>
    <t>-80.7821</t>
  </si>
  <si>
    <t>786</t>
  </si>
  <si>
    <t>1317</t>
  </si>
  <si>
    <t>1801</t>
  </si>
  <si>
    <t>2100</t>
  </si>
  <si>
    <t>2249</t>
  </si>
  <si>
    <t>2528</t>
  </si>
  <si>
    <t>2752</t>
  </si>
  <si>
    <t>3234</t>
  </si>
  <si>
    <t>3400</t>
  </si>
  <si>
    <t>3472</t>
  </si>
  <si>
    <t>3574</t>
  </si>
  <si>
    <t>3751</t>
  </si>
  <si>
    <t>4016</t>
  </si>
  <si>
    <t>4210</t>
  </si>
  <si>
    <t>4467</t>
  </si>
  <si>
    <t>4658</t>
  </si>
  <si>
    <t>4821</t>
  </si>
  <si>
    <t>5166</t>
  </si>
  <si>
    <t>5338</t>
  </si>
  <si>
    <t>Papua New Guinea</t>
  </si>
  <si>
    <t>-6.315</t>
  </si>
  <si>
    <t>143.9555</t>
  </si>
  <si>
    <t>Paraguay</t>
  </si>
  <si>
    <t>-23.4425</t>
  </si>
  <si>
    <t>-58.4438</t>
  </si>
  <si>
    <t>Peru</t>
  </si>
  <si>
    <t>-9.19</t>
  </si>
  <si>
    <t>-75.0152</t>
  </si>
  <si>
    <t>852</t>
  </si>
  <si>
    <t>1323</t>
  </si>
  <si>
    <t>2561</t>
  </si>
  <si>
    <t>2954</t>
  </si>
  <si>
    <t>4342</t>
  </si>
  <si>
    <t>5256</t>
  </si>
  <si>
    <t>5897</t>
  </si>
  <si>
    <t>6848</t>
  </si>
  <si>
    <t>7519</t>
  </si>
  <si>
    <t>9784</t>
  </si>
  <si>
    <t>10303</t>
  </si>
  <si>
    <t>11475</t>
  </si>
  <si>
    <t>12491</t>
  </si>
  <si>
    <t>13489</t>
  </si>
  <si>
    <t>14420</t>
  </si>
  <si>
    <t>15628</t>
  </si>
  <si>
    <t>16325</t>
  </si>
  <si>
    <t>17837</t>
  </si>
  <si>
    <t>20914</t>
  </si>
  <si>
    <t>21648</t>
  </si>
  <si>
    <t>Philippines</t>
  </si>
  <si>
    <t>13.0</t>
  </si>
  <si>
    <t>122.0</t>
  </si>
  <si>
    <t>462</t>
  </si>
  <si>
    <t>707</t>
  </si>
  <si>
    <t>2084</t>
  </si>
  <si>
    <t>2311</t>
  </si>
  <si>
    <t>2633</t>
  </si>
  <si>
    <t>3018</t>
  </si>
  <si>
    <t>3094</t>
  </si>
  <si>
    <t>3246</t>
  </si>
  <si>
    <t>3660</t>
  </si>
  <si>
    <t>3764</t>
  </si>
  <si>
    <t>3870</t>
  </si>
  <si>
    <t>4076</t>
  </si>
  <si>
    <t>4195</t>
  </si>
  <si>
    <t>4428</t>
  </si>
  <si>
    <t>4648</t>
  </si>
  <si>
    <t>4932</t>
  </si>
  <si>
    <t>5223</t>
  </si>
  <si>
    <t>5453</t>
  </si>
  <si>
    <t>5660</t>
  </si>
  <si>
    <t>5878</t>
  </si>
  <si>
    <t>6087</t>
  </si>
  <si>
    <t>6259</t>
  </si>
  <si>
    <t>6459</t>
  </si>
  <si>
    <t>6599</t>
  </si>
  <si>
    <t>6710</t>
  </si>
  <si>
    <t>6981</t>
  </si>
  <si>
    <t>7192</t>
  </si>
  <si>
    <t>Poland</t>
  </si>
  <si>
    <t>51.9194</t>
  </si>
  <si>
    <t>19.1451</t>
  </si>
  <si>
    <t>1051</t>
  </si>
  <si>
    <t>1389</t>
  </si>
  <si>
    <t>1638</t>
  </si>
  <si>
    <t>1862</t>
  </si>
  <si>
    <t>2055</t>
  </si>
  <si>
    <t>2946</t>
  </si>
  <si>
    <t>3383</t>
  </si>
  <si>
    <t>3627</t>
  </si>
  <si>
    <t>4102</t>
  </si>
  <si>
    <t>4413</t>
  </si>
  <si>
    <t>4848</t>
  </si>
  <si>
    <t>5205</t>
  </si>
  <si>
    <t>5575</t>
  </si>
  <si>
    <t>5955</t>
  </si>
  <si>
    <t>6356</t>
  </si>
  <si>
    <t>6674</t>
  </si>
  <si>
    <t>6934</t>
  </si>
  <si>
    <t>7202</t>
  </si>
  <si>
    <t>7582</t>
  </si>
  <si>
    <t>7918</t>
  </si>
  <si>
    <t>8379</t>
  </si>
  <si>
    <t>8742</t>
  </si>
  <si>
    <t>9287</t>
  </si>
  <si>
    <t>9593</t>
  </si>
  <si>
    <t>9856</t>
  </si>
  <si>
    <t>10169</t>
  </si>
  <si>
    <t>10511</t>
  </si>
  <si>
    <t>10892</t>
  </si>
  <si>
    <t>Portugal</t>
  </si>
  <si>
    <t>39.3999</t>
  </si>
  <si>
    <t>-8.2245</t>
  </si>
  <si>
    <t>448</t>
  </si>
  <si>
    <t>1280</t>
  </si>
  <si>
    <t>2060</t>
  </si>
  <si>
    <t>2362</t>
  </si>
  <si>
    <t>2995</t>
  </si>
  <si>
    <t>3544</t>
  </si>
  <si>
    <t>4268</t>
  </si>
  <si>
    <t>5170</t>
  </si>
  <si>
    <t>5962</t>
  </si>
  <si>
    <t>6408</t>
  </si>
  <si>
    <t>7443</t>
  </si>
  <si>
    <t>8251</t>
  </si>
  <si>
    <t>9034</t>
  </si>
  <si>
    <t>9886</t>
  </si>
  <si>
    <t>10524</t>
  </si>
  <si>
    <t>11278</t>
  </si>
  <si>
    <t>11730</t>
  </si>
  <si>
    <t>12442</t>
  </si>
  <si>
    <t>13141</t>
  </si>
  <si>
    <t>13956</t>
  </si>
  <si>
    <t>15472</t>
  </si>
  <si>
    <t>15987</t>
  </si>
  <si>
    <t>16585</t>
  </si>
  <si>
    <t>16934</t>
  </si>
  <si>
    <t>17448</t>
  </si>
  <si>
    <t>18091</t>
  </si>
  <si>
    <t>18841</t>
  </si>
  <si>
    <t>19022</t>
  </si>
  <si>
    <t>19685</t>
  </si>
  <si>
    <t>20206</t>
  </si>
  <si>
    <t>20863</t>
  </si>
  <si>
    <t>21379</t>
  </si>
  <si>
    <t>21982</t>
  </si>
  <si>
    <t>22353</t>
  </si>
  <si>
    <t>22797</t>
  </si>
  <si>
    <t>Qatar</t>
  </si>
  <si>
    <t>25.3548</t>
  </si>
  <si>
    <t>51.1839</t>
  </si>
  <si>
    <t>693</t>
  </si>
  <si>
    <t>1325</t>
  </si>
  <si>
    <t>1604</t>
  </si>
  <si>
    <t>2057</t>
  </si>
  <si>
    <t>2210</t>
  </si>
  <si>
    <t>2376</t>
  </si>
  <si>
    <t>2512</t>
  </si>
  <si>
    <t>2728</t>
  </si>
  <si>
    <t>3231</t>
  </si>
  <si>
    <t>3428</t>
  </si>
  <si>
    <t>3711</t>
  </si>
  <si>
    <t>4103</t>
  </si>
  <si>
    <t>4663</t>
  </si>
  <si>
    <t>5008</t>
  </si>
  <si>
    <t>5448</t>
  </si>
  <si>
    <t>6015</t>
  </si>
  <si>
    <t>6533</t>
  </si>
  <si>
    <t>7141</t>
  </si>
  <si>
    <t>7764</t>
  </si>
  <si>
    <t>8525</t>
  </si>
  <si>
    <t>Romania</t>
  </si>
  <si>
    <t>45.9432</t>
  </si>
  <si>
    <t>24.9668</t>
  </si>
  <si>
    <t>794</t>
  </si>
  <si>
    <t>1292</t>
  </si>
  <si>
    <t>1452</t>
  </si>
  <si>
    <t>1815</t>
  </si>
  <si>
    <t>2109</t>
  </si>
  <si>
    <t>3183</t>
  </si>
  <si>
    <t>3613</t>
  </si>
  <si>
    <t>3864</t>
  </si>
  <si>
    <t>4057</t>
  </si>
  <si>
    <t>4417</t>
  </si>
  <si>
    <t>4761</t>
  </si>
  <si>
    <t>5202</t>
  </si>
  <si>
    <t>5467</t>
  </si>
  <si>
    <t>5990</t>
  </si>
  <si>
    <t>6300</t>
  </si>
  <si>
    <t>7216</t>
  </si>
  <si>
    <t>7707</t>
  </si>
  <si>
    <t>8067</t>
  </si>
  <si>
    <t>8746</t>
  </si>
  <si>
    <t>8936</t>
  </si>
  <si>
    <t>9242</t>
  </si>
  <si>
    <t>9710</t>
  </si>
  <si>
    <t>10096</t>
  </si>
  <si>
    <t>10417</t>
  </si>
  <si>
    <t>Russia</t>
  </si>
  <si>
    <t>60.0</t>
  </si>
  <si>
    <t>90.0</t>
  </si>
  <si>
    <t>1836</t>
  </si>
  <si>
    <t>2777</t>
  </si>
  <si>
    <t>3548</t>
  </si>
  <si>
    <t>4731</t>
  </si>
  <si>
    <t>6343</t>
  </si>
  <si>
    <t>8672</t>
  </si>
  <si>
    <t>10131</t>
  </si>
  <si>
    <t>11917</t>
  </si>
  <si>
    <t>13584</t>
  </si>
  <si>
    <t>15770</t>
  </si>
  <si>
    <t>18328</t>
  </si>
  <si>
    <t>21102</t>
  </si>
  <si>
    <t>24490</t>
  </si>
  <si>
    <t>27938</t>
  </si>
  <si>
    <t>32008</t>
  </si>
  <si>
    <t>36793</t>
  </si>
  <si>
    <t>42853</t>
  </si>
  <si>
    <t>47121</t>
  </si>
  <si>
    <t>52763</t>
  </si>
  <si>
    <t>57999</t>
  </si>
  <si>
    <t>62773</t>
  </si>
  <si>
    <t>68622</t>
  </si>
  <si>
    <t>Rwanda</t>
  </si>
  <si>
    <t>-1.9403</t>
  </si>
  <si>
    <t>29.8739</t>
  </si>
  <si>
    <t>Saint Lucia</t>
  </si>
  <si>
    <t>13.9094</t>
  </si>
  <si>
    <t>-60.9789</t>
  </si>
  <si>
    <t>Saint Vincent and the Grenadines</t>
  </si>
  <si>
    <t>12.9843</t>
  </si>
  <si>
    <t>-61.2872</t>
  </si>
  <si>
    <t>San Marino</t>
  </si>
  <si>
    <t>43.9424</t>
  </si>
  <si>
    <t>12.4578</t>
  </si>
  <si>
    <t>455</t>
  </si>
  <si>
    <t>513</t>
  </si>
  <si>
    <t>Saudi Arabia</t>
  </si>
  <si>
    <t>24.0</t>
  </si>
  <si>
    <t>45.0</t>
  </si>
  <si>
    <t>1104</t>
  </si>
  <si>
    <t>1563</t>
  </si>
  <si>
    <t>1885</t>
  </si>
  <si>
    <t>2039</t>
  </si>
  <si>
    <t>2179</t>
  </si>
  <si>
    <t>2402</t>
  </si>
  <si>
    <t>2795</t>
  </si>
  <si>
    <t>2932</t>
  </si>
  <si>
    <t>3287</t>
  </si>
  <si>
    <t>3651</t>
  </si>
  <si>
    <t>4033</t>
  </si>
  <si>
    <t>4462</t>
  </si>
  <si>
    <t>4934</t>
  </si>
  <si>
    <t>5369</t>
  </si>
  <si>
    <t>5862</t>
  </si>
  <si>
    <t>6380</t>
  </si>
  <si>
    <t>7142</t>
  </si>
  <si>
    <t>8274</t>
  </si>
  <si>
    <t>9362</t>
  </si>
  <si>
    <t>10484</t>
  </si>
  <si>
    <t>11631</t>
  </si>
  <si>
    <t>12772</t>
  </si>
  <si>
    <t>13930</t>
  </si>
  <si>
    <t>15102</t>
  </si>
  <si>
    <t>Senegal</t>
  </si>
  <si>
    <t>14.4974</t>
  </si>
  <si>
    <t>-14.4524</t>
  </si>
  <si>
    <t>Serbia</t>
  </si>
  <si>
    <t>44.0165</t>
  </si>
  <si>
    <t>21.0059</t>
  </si>
  <si>
    <t>741</t>
  </si>
  <si>
    <t>1060</t>
  </si>
  <si>
    <t>1476</t>
  </si>
  <si>
    <t>2200</t>
  </si>
  <si>
    <t>2447</t>
  </si>
  <si>
    <t>2666</t>
  </si>
  <si>
    <t>2867</t>
  </si>
  <si>
    <t>3380</t>
  </si>
  <si>
    <t>4054</t>
  </si>
  <si>
    <t>4465</t>
  </si>
  <si>
    <t>4873</t>
  </si>
  <si>
    <t>5318</t>
  </si>
  <si>
    <t>5690</t>
  </si>
  <si>
    <t>5994</t>
  </si>
  <si>
    <t>6630</t>
  </si>
  <si>
    <t>Seychelles</t>
  </si>
  <si>
    <t>-4.6796</t>
  </si>
  <si>
    <t>55.492</t>
  </si>
  <si>
    <t>Singapore</t>
  </si>
  <si>
    <t>1.2833</t>
  </si>
  <si>
    <t>103.8333</t>
  </si>
  <si>
    <t>385</t>
  </si>
  <si>
    <t>432</t>
  </si>
  <si>
    <t>1049</t>
  </si>
  <si>
    <t>1114</t>
  </si>
  <si>
    <t>1375</t>
  </si>
  <si>
    <t>1481</t>
  </si>
  <si>
    <t>1623</t>
  </si>
  <si>
    <t>1910</t>
  </si>
  <si>
    <t>2108</t>
  </si>
  <si>
    <t>2299</t>
  </si>
  <si>
    <t>2532</t>
  </si>
  <si>
    <t>2918</t>
  </si>
  <si>
    <t>3252</t>
  </si>
  <si>
    <t>3699</t>
  </si>
  <si>
    <t>4427</t>
  </si>
  <si>
    <t>5050</t>
  </si>
  <si>
    <t>5992</t>
  </si>
  <si>
    <t>6588</t>
  </si>
  <si>
    <t>8014</t>
  </si>
  <si>
    <t>9125</t>
  </si>
  <si>
    <t>10141</t>
  </si>
  <si>
    <t>11178</t>
  </si>
  <si>
    <t>12075</t>
  </si>
  <si>
    <t>Slovakia</t>
  </si>
  <si>
    <t>48.669</t>
  </si>
  <si>
    <t>19.699</t>
  </si>
  <si>
    <t>471</t>
  </si>
  <si>
    <t>742</t>
  </si>
  <si>
    <t>863</t>
  </si>
  <si>
    <t>1089</t>
  </si>
  <si>
    <t>1199</t>
  </si>
  <si>
    <t>1244</t>
  </si>
  <si>
    <t>Slovenia</t>
  </si>
  <si>
    <t>46.1512</t>
  </si>
  <si>
    <t>14.9955</t>
  </si>
  <si>
    <t>897</t>
  </si>
  <si>
    <t>997</t>
  </si>
  <si>
    <t>1059</t>
  </si>
  <si>
    <t>1124</t>
  </si>
  <si>
    <t>1188</t>
  </si>
  <si>
    <t>1335</t>
  </si>
  <si>
    <t>1344</t>
  </si>
  <si>
    <t>Somalia</t>
  </si>
  <si>
    <t>5.1521</t>
  </si>
  <si>
    <t>46.1996</t>
  </si>
  <si>
    <t>South Africa</t>
  </si>
  <si>
    <t>-30.5595</t>
  </si>
  <si>
    <t>22.9375</t>
  </si>
  <si>
    <t>709</t>
  </si>
  <si>
    <t>927</t>
  </si>
  <si>
    <t>1187</t>
  </si>
  <si>
    <t>1462</t>
  </si>
  <si>
    <t>1505</t>
  </si>
  <si>
    <t>1655</t>
  </si>
  <si>
    <t>1686</t>
  </si>
  <si>
    <t>1749</t>
  </si>
  <si>
    <t>1845</t>
  </si>
  <si>
    <t>2003</t>
  </si>
  <si>
    <t>2028</t>
  </si>
  <si>
    <t>2173</t>
  </si>
  <si>
    <t>2272</t>
  </si>
  <si>
    <t>2506</t>
  </si>
  <si>
    <t>2783</t>
  </si>
  <si>
    <t>3158</t>
  </si>
  <si>
    <t>3300</t>
  </si>
  <si>
    <t>3635</t>
  </si>
  <si>
    <t>3953</t>
  </si>
  <si>
    <t>4220</t>
  </si>
  <si>
    <t>Spain</t>
  </si>
  <si>
    <t>40.0</t>
  </si>
  <si>
    <t>-4.0</t>
  </si>
  <si>
    <t>500</t>
  </si>
  <si>
    <t>1695</t>
  </si>
  <si>
    <t>5232</t>
  </si>
  <si>
    <t>6391</t>
  </si>
  <si>
    <t>7798</t>
  </si>
  <si>
    <t>9942</t>
  </si>
  <si>
    <t>11748</t>
  </si>
  <si>
    <t>13910</t>
  </si>
  <si>
    <t>17963</t>
  </si>
  <si>
    <t>20410</t>
  </si>
  <si>
    <t>25374</t>
  </si>
  <si>
    <t>28768</t>
  </si>
  <si>
    <t>35136</t>
  </si>
  <si>
    <t>39885</t>
  </si>
  <si>
    <t>49515</t>
  </si>
  <si>
    <t>57786</t>
  </si>
  <si>
    <t>65719</t>
  </si>
  <si>
    <t>73235</t>
  </si>
  <si>
    <t>80110</t>
  </si>
  <si>
    <t>87956</t>
  </si>
  <si>
    <t>95923</t>
  </si>
  <si>
    <t>104118</t>
  </si>
  <si>
    <t>112065</t>
  </si>
  <si>
    <t>119199</t>
  </si>
  <si>
    <t>126168</t>
  </si>
  <si>
    <t>131646</t>
  </si>
  <si>
    <t>136675</t>
  </si>
  <si>
    <t>141942</t>
  </si>
  <si>
    <t>148220</t>
  </si>
  <si>
    <t>153222</t>
  </si>
  <si>
    <t>158273</t>
  </si>
  <si>
    <t>163027</t>
  </si>
  <si>
    <t>166831</t>
  </si>
  <si>
    <t>170099</t>
  </si>
  <si>
    <t>172541</t>
  </si>
  <si>
    <t>177644</t>
  </si>
  <si>
    <t>184948</t>
  </si>
  <si>
    <t>190839</t>
  </si>
  <si>
    <t>191726</t>
  </si>
  <si>
    <t>198674</t>
  </si>
  <si>
    <t>200210</t>
  </si>
  <si>
    <t>204178</t>
  </si>
  <si>
    <t>208389</t>
  </si>
  <si>
    <t>213024</t>
  </si>
  <si>
    <t>219764</t>
  </si>
  <si>
    <t>Sri Lanka</t>
  </si>
  <si>
    <t>7.0</t>
  </si>
  <si>
    <t>81.0</t>
  </si>
  <si>
    <t>198</t>
  </si>
  <si>
    <t>Sudan</t>
  </si>
  <si>
    <t>12.8628</t>
  </si>
  <si>
    <t>30.2176</t>
  </si>
  <si>
    <t>Suriname</t>
  </si>
  <si>
    <t>3.9193</t>
  </si>
  <si>
    <t>-56.0278</t>
  </si>
  <si>
    <t>Sweden</t>
  </si>
  <si>
    <t>63.0</t>
  </si>
  <si>
    <t>16.0</t>
  </si>
  <si>
    <t>1022</t>
  </si>
  <si>
    <t>1103</t>
  </si>
  <si>
    <t>1439</t>
  </si>
  <si>
    <t>1639</t>
  </si>
  <si>
    <t>2286</t>
  </si>
  <si>
    <t>2526</t>
  </si>
  <si>
    <t>3069</t>
  </si>
  <si>
    <t>3700</t>
  </si>
  <si>
    <t>4028</t>
  </si>
  <si>
    <t>4435</t>
  </si>
  <si>
    <t>4947</t>
  </si>
  <si>
    <t>5568</t>
  </si>
  <si>
    <t>6131</t>
  </si>
  <si>
    <t>6443</t>
  </si>
  <si>
    <t>6830</t>
  </si>
  <si>
    <t>7206</t>
  </si>
  <si>
    <t>7693</t>
  </si>
  <si>
    <t>8419</t>
  </si>
  <si>
    <t>9141</t>
  </si>
  <si>
    <t>9685</t>
  </si>
  <si>
    <t>10151</t>
  </si>
  <si>
    <t>10483</t>
  </si>
  <si>
    <t>10948</t>
  </si>
  <si>
    <t>11445</t>
  </si>
  <si>
    <t>11927</t>
  </si>
  <si>
    <t>12540</t>
  </si>
  <si>
    <t>13216</t>
  </si>
  <si>
    <t>13822</t>
  </si>
  <si>
    <t>14385</t>
  </si>
  <si>
    <t>14777</t>
  </si>
  <si>
    <t>15322</t>
  </si>
  <si>
    <t>16004</t>
  </si>
  <si>
    <t>16755</t>
  </si>
  <si>
    <t>17567</t>
  </si>
  <si>
    <t>Switzerland</t>
  </si>
  <si>
    <t>46.8182</t>
  </si>
  <si>
    <t>8.2275</t>
  </si>
  <si>
    <t>374</t>
  </si>
  <si>
    <t>1139</t>
  </si>
  <si>
    <t>1359</t>
  </si>
  <si>
    <t>2700</t>
  </si>
  <si>
    <t>3028</t>
  </si>
  <si>
    <t>4075</t>
  </si>
  <si>
    <t>5294</t>
  </si>
  <si>
    <t>7474</t>
  </si>
  <si>
    <t>8795</t>
  </si>
  <si>
    <t>9877</t>
  </si>
  <si>
    <t>10897</t>
  </si>
  <si>
    <t>11811</t>
  </si>
  <si>
    <t>12928</t>
  </si>
  <si>
    <t>14076</t>
  </si>
  <si>
    <t>14829</t>
  </si>
  <si>
    <t>15922</t>
  </si>
  <si>
    <t>16605</t>
  </si>
  <si>
    <t>17768</t>
  </si>
  <si>
    <t>18827</t>
  </si>
  <si>
    <t>19606</t>
  </si>
  <si>
    <t>20505</t>
  </si>
  <si>
    <t>21100</t>
  </si>
  <si>
    <t>21657</t>
  </si>
  <si>
    <t>22253</t>
  </si>
  <si>
    <t>23280</t>
  </si>
  <si>
    <t>24051</t>
  </si>
  <si>
    <t>24551</t>
  </si>
  <si>
    <t>25107</t>
  </si>
  <si>
    <t>25415</t>
  </si>
  <si>
    <t>25688</t>
  </si>
  <si>
    <t>25936</t>
  </si>
  <si>
    <t>26336</t>
  </si>
  <si>
    <t>26732</t>
  </si>
  <si>
    <t>27078</t>
  </si>
  <si>
    <t>27404</t>
  </si>
  <si>
    <t>27740</t>
  </si>
  <si>
    <t>27944</t>
  </si>
  <si>
    <t>28063</t>
  </si>
  <si>
    <t>28268</t>
  </si>
  <si>
    <t>28496</t>
  </si>
  <si>
    <t>28677</t>
  </si>
  <si>
    <t>Taiwan*</t>
  </si>
  <si>
    <t>23.7</t>
  </si>
  <si>
    <t>121.0</t>
  </si>
  <si>
    <t>379</t>
  </si>
  <si>
    <t>Tanzania</t>
  </si>
  <si>
    <t>-6.369</t>
  </si>
  <si>
    <t>34.8888</t>
  </si>
  <si>
    <t>Thailand</t>
  </si>
  <si>
    <t>15.0</t>
  </si>
  <si>
    <t>101.0</t>
  </si>
  <si>
    <t>1045</t>
  </si>
  <si>
    <t>1245</t>
  </si>
  <si>
    <t>1388</t>
  </si>
  <si>
    <t>1651</t>
  </si>
  <si>
    <t>1875</t>
  </si>
  <si>
    <t>1978</t>
  </si>
  <si>
    <t>2067</t>
  </si>
  <si>
    <t>2169</t>
  </si>
  <si>
    <t>2220</t>
  </si>
  <si>
    <t>2258</t>
  </si>
  <si>
    <t>2423</t>
  </si>
  <si>
    <t>2551</t>
  </si>
  <si>
    <t>2579</t>
  </si>
  <si>
    <t>2613</t>
  </si>
  <si>
    <t>2643</t>
  </si>
  <si>
    <t>2672</t>
  </si>
  <si>
    <t>2733</t>
  </si>
  <si>
    <t>2765</t>
  </si>
  <si>
    <t>2792</t>
  </si>
  <si>
    <t>2826</t>
  </si>
  <si>
    <t>2907</t>
  </si>
  <si>
    <t>Togo</t>
  </si>
  <si>
    <t>8.6195</t>
  </si>
  <si>
    <t>0.8248</t>
  </si>
  <si>
    <t>Trinidad and Tobago</t>
  </si>
  <si>
    <t>10.6918</t>
  </si>
  <si>
    <t>-61.2225</t>
  </si>
  <si>
    <t>Tunisia</t>
  </si>
  <si>
    <t>34.0</t>
  </si>
  <si>
    <t>596</t>
  </si>
  <si>
    <t>909</t>
  </si>
  <si>
    <t>918</t>
  </si>
  <si>
    <t>Turkey</t>
  </si>
  <si>
    <t>38.9637</t>
  </si>
  <si>
    <t>35.2433</t>
  </si>
  <si>
    <t>1529</t>
  </si>
  <si>
    <t>1872</t>
  </si>
  <si>
    <t>2433</t>
  </si>
  <si>
    <t>3629</t>
  </si>
  <si>
    <t>5698</t>
  </si>
  <si>
    <t>7402</t>
  </si>
  <si>
    <t>9217</t>
  </si>
  <si>
    <t>10827</t>
  </si>
  <si>
    <t>13531</t>
  </si>
  <si>
    <t>15679</t>
  </si>
  <si>
    <t>18135</t>
  </si>
  <si>
    <t>20921</t>
  </si>
  <si>
    <t>23934</t>
  </si>
  <si>
    <t>27069</t>
  </si>
  <si>
    <t>30217</t>
  </si>
  <si>
    <t>34109</t>
  </si>
  <si>
    <t>38226</t>
  </si>
  <si>
    <t>42282</t>
  </si>
  <si>
    <t>47029</t>
  </si>
  <si>
    <t>52167</t>
  </si>
  <si>
    <t>56956</t>
  </si>
  <si>
    <t>61049</t>
  </si>
  <si>
    <t>65111</t>
  </si>
  <si>
    <t>69392</t>
  </si>
  <si>
    <t>74193</t>
  </si>
  <si>
    <t>78546</t>
  </si>
  <si>
    <t>82329</t>
  </si>
  <si>
    <t>86306</t>
  </si>
  <si>
    <t>90980</t>
  </si>
  <si>
    <t>95591</t>
  </si>
  <si>
    <t>98674</t>
  </si>
  <si>
    <t>101790</t>
  </si>
  <si>
    <t>104912</t>
  </si>
  <si>
    <t>Uganda</t>
  </si>
  <si>
    <t>1.0</t>
  </si>
  <si>
    <t>Ukraine</t>
  </si>
  <si>
    <t>48.3794</t>
  </si>
  <si>
    <t>31.1656</t>
  </si>
  <si>
    <t>1072</t>
  </si>
  <si>
    <t>1308</t>
  </si>
  <si>
    <t>1668</t>
  </si>
  <si>
    <t>1892</t>
  </si>
  <si>
    <t>2203</t>
  </si>
  <si>
    <t>2511</t>
  </si>
  <si>
    <t>3102</t>
  </si>
  <si>
    <t>3372</t>
  </si>
  <si>
    <t>4662</t>
  </si>
  <si>
    <t>5106</t>
  </si>
  <si>
    <t>5449</t>
  </si>
  <si>
    <t>5710</t>
  </si>
  <si>
    <t>6125</t>
  </si>
  <si>
    <t>6592</t>
  </si>
  <si>
    <t>7170</t>
  </si>
  <si>
    <t>8125</t>
  </si>
  <si>
    <t>United Arab Emirates</t>
  </si>
  <si>
    <t>54.0</t>
  </si>
  <si>
    <t>611</t>
  </si>
  <si>
    <t>664</t>
  </si>
  <si>
    <t>1799</t>
  </si>
  <si>
    <t>2076</t>
  </si>
  <si>
    <t>2359</t>
  </si>
  <si>
    <t>2659</t>
  </si>
  <si>
    <t>2990</t>
  </si>
  <si>
    <t>3360</t>
  </si>
  <si>
    <t>4123</t>
  </si>
  <si>
    <t>4521</t>
  </si>
  <si>
    <t>4933</t>
  </si>
  <si>
    <t>5365</t>
  </si>
  <si>
    <t>5825</t>
  </si>
  <si>
    <t>6302</t>
  </si>
  <si>
    <t>6781</t>
  </si>
  <si>
    <t>7265</t>
  </si>
  <si>
    <t>8238</t>
  </si>
  <si>
    <t>8756</t>
  </si>
  <si>
    <t>9281</t>
  </si>
  <si>
    <t>Bermuda</t>
  </si>
  <si>
    <t>United Kingdom</t>
  </si>
  <si>
    <t>32.3078</t>
  </si>
  <si>
    <t>-64.7505</t>
  </si>
  <si>
    <t>Cayman Islands</t>
  </si>
  <si>
    <t>19.3133</t>
  </si>
  <si>
    <t>-81.2546</t>
  </si>
  <si>
    <t>Channel Islands</t>
  </si>
  <si>
    <t>49.3723</t>
  </si>
  <si>
    <t>-2.3644</t>
  </si>
  <si>
    <t>496</t>
  </si>
  <si>
    <t>Gibraltar</t>
  </si>
  <si>
    <t>36.1408</t>
  </si>
  <si>
    <t>-5.3536</t>
  </si>
  <si>
    <t>Isle of Man</t>
  </si>
  <si>
    <t>54.2361</t>
  </si>
  <si>
    <t>-4.5481</t>
  </si>
  <si>
    <t>Montserrat</t>
  </si>
  <si>
    <t>16.7425</t>
  </si>
  <si>
    <t>-62.1874</t>
  </si>
  <si>
    <t>55.3781</t>
  </si>
  <si>
    <t>-3.4360000000000004</t>
  </si>
  <si>
    <t>1140</t>
  </si>
  <si>
    <t>1543</t>
  </si>
  <si>
    <t>2689</t>
  </si>
  <si>
    <t>3983</t>
  </si>
  <si>
    <t>5018</t>
  </si>
  <si>
    <t>5683</t>
  </si>
  <si>
    <t>6650</t>
  </si>
  <si>
    <t>8077</t>
  </si>
  <si>
    <t>9529</t>
  </si>
  <si>
    <t>11658</t>
  </si>
  <si>
    <t>14543</t>
  </si>
  <si>
    <t>17089</t>
  </si>
  <si>
    <t>19522</t>
  </si>
  <si>
    <t>22141</t>
  </si>
  <si>
    <t>25150</t>
  </si>
  <si>
    <t>29474</t>
  </si>
  <si>
    <t>33718</t>
  </si>
  <si>
    <t>38168</t>
  </si>
  <si>
    <t>41903</t>
  </si>
  <si>
    <t>47806</t>
  </si>
  <si>
    <t>51608</t>
  </si>
  <si>
    <t>55242</t>
  </si>
  <si>
    <t>60733</t>
  </si>
  <si>
    <t>65077</t>
  </si>
  <si>
    <t>73758</t>
  </si>
  <si>
    <t>78991</t>
  </si>
  <si>
    <t>84279</t>
  </si>
  <si>
    <t>88621</t>
  </si>
  <si>
    <t>93873</t>
  </si>
  <si>
    <t>98476</t>
  </si>
  <si>
    <t>103093</t>
  </si>
  <si>
    <t>108692</t>
  </si>
  <si>
    <t>114217</t>
  </si>
  <si>
    <t>120067</t>
  </si>
  <si>
    <t>124743</t>
  </si>
  <si>
    <t>129044</t>
  </si>
  <si>
    <t>133495</t>
  </si>
  <si>
    <t>138078</t>
  </si>
  <si>
    <t>143464</t>
  </si>
  <si>
    <t>Uruguay</t>
  </si>
  <si>
    <t>-32.5228</t>
  </si>
  <si>
    <t>-55.7658</t>
  </si>
  <si>
    <t>406</t>
  </si>
  <si>
    <t>563</t>
  </si>
  <si>
    <t>US</t>
  </si>
  <si>
    <t>37.0902</t>
  </si>
  <si>
    <t>-95.7129</t>
  </si>
  <si>
    <t>1663</t>
  </si>
  <si>
    <t>2727</t>
  </si>
  <si>
    <t>3499</t>
  </si>
  <si>
    <t>4632</t>
  </si>
  <si>
    <t>6421</t>
  </si>
  <si>
    <t>7783</t>
  </si>
  <si>
    <t>13747</t>
  </si>
  <si>
    <t>19273</t>
  </si>
  <si>
    <t>25600</t>
  </si>
  <si>
    <t>33276</t>
  </si>
  <si>
    <t>43843</t>
  </si>
  <si>
    <t>53736</t>
  </si>
  <si>
    <t>65778</t>
  </si>
  <si>
    <t>83836</t>
  </si>
  <si>
    <t>101657</t>
  </si>
  <si>
    <t>121465</t>
  </si>
  <si>
    <t>140909</t>
  </si>
  <si>
    <t>161831</t>
  </si>
  <si>
    <t>188172</t>
  </si>
  <si>
    <t>213242</t>
  </si>
  <si>
    <t>243622</t>
  </si>
  <si>
    <t>275367</t>
  </si>
  <si>
    <t>308650</t>
  </si>
  <si>
    <t>336802</t>
  </si>
  <si>
    <t>366317</t>
  </si>
  <si>
    <t>397121</t>
  </si>
  <si>
    <t>428654</t>
  </si>
  <si>
    <t>462780</t>
  </si>
  <si>
    <t>496535</t>
  </si>
  <si>
    <t>526396</t>
  </si>
  <si>
    <t>555313</t>
  </si>
  <si>
    <t>580619</t>
  </si>
  <si>
    <t>607670</t>
  </si>
  <si>
    <t>636350</t>
  </si>
  <si>
    <t>667592</t>
  </si>
  <si>
    <t>699706</t>
  </si>
  <si>
    <t>732197</t>
  </si>
  <si>
    <t>758809</t>
  </si>
  <si>
    <t>784326</t>
  </si>
  <si>
    <t>811865</t>
  </si>
  <si>
    <t>840351</t>
  </si>
  <si>
    <t>869170</t>
  </si>
  <si>
    <t>905358</t>
  </si>
  <si>
    <t>Uzbekistan</t>
  </si>
  <si>
    <t>41.3775</t>
  </si>
  <si>
    <t>64.5853</t>
  </si>
  <si>
    <t>1165</t>
  </si>
  <si>
    <t>1565</t>
  </si>
  <si>
    <t>1627</t>
  </si>
  <si>
    <t>1678</t>
  </si>
  <si>
    <t>1758</t>
  </si>
  <si>
    <t>1804</t>
  </si>
  <si>
    <t>Venezuela</t>
  </si>
  <si>
    <t>6.4238</t>
  </si>
  <si>
    <t>-66.5897</t>
  </si>
  <si>
    <t>Vietnam</t>
  </si>
  <si>
    <t>108.0</t>
  </si>
  <si>
    <t>Zambia</t>
  </si>
  <si>
    <t>-15.4167</t>
  </si>
  <si>
    <t>28.2833</t>
  </si>
  <si>
    <t>Zimbabwe</t>
  </si>
  <si>
    <t>-20.0</t>
  </si>
  <si>
    <t>Dominica</t>
  </si>
  <si>
    <t>15.415</t>
  </si>
  <si>
    <t>-61.371</t>
  </si>
  <si>
    <t>Grenada</t>
  </si>
  <si>
    <t>12.1165</t>
  </si>
  <si>
    <t>-61.678999999999995</t>
  </si>
  <si>
    <t>Mozambique</t>
  </si>
  <si>
    <t>-18.665695</t>
  </si>
  <si>
    <t>35.529562</t>
  </si>
  <si>
    <t>Syria</t>
  </si>
  <si>
    <t>34.802075</t>
  </si>
  <si>
    <t>38.99681500000001</t>
  </si>
  <si>
    <t>Timor-Leste</t>
  </si>
  <si>
    <t>-8.874217</t>
  </si>
  <si>
    <t>125.727539</t>
  </si>
  <si>
    <t>Belize</t>
  </si>
  <si>
    <t>Recovered</t>
  </si>
  <si>
    <t>Laos</t>
  </si>
  <si>
    <t>19.856270000000002</t>
  </si>
  <si>
    <t>102.495496</t>
  </si>
  <si>
    <t>Libya</t>
  </si>
  <si>
    <t>26.3351</t>
  </si>
  <si>
    <t>17.228331</t>
  </si>
  <si>
    <t>West Bank and Gaza</t>
  </si>
  <si>
    <t>31.9522</t>
  </si>
  <si>
    <t>35.2332</t>
  </si>
  <si>
    <t>Guinea-Bissau</t>
  </si>
  <si>
    <t>11.8037</t>
  </si>
  <si>
    <t>-15.1804</t>
  </si>
  <si>
    <t>Mali</t>
  </si>
  <si>
    <t>17.570692</t>
  </si>
  <si>
    <t>-3.996166000000001</t>
  </si>
  <si>
    <t>Saint Kitts and Nevis</t>
  </si>
  <si>
    <t>17.357822</t>
  </si>
  <si>
    <t>-62.782998</t>
  </si>
  <si>
    <t>Northwest Territories</t>
  </si>
  <si>
    <t>64.8255</t>
  </si>
  <si>
    <t>-124.8457</t>
  </si>
  <si>
    <t>Yukon</t>
  </si>
  <si>
    <t>64.2823</t>
  </si>
  <si>
    <t>-135.0</t>
  </si>
  <si>
    <t>Kosovo</t>
  </si>
  <si>
    <t>42.602636</t>
  </si>
  <si>
    <t>20.902977</t>
  </si>
  <si>
    <t>Burma</t>
  </si>
  <si>
    <t>21.9162</t>
  </si>
  <si>
    <t>95.956</t>
  </si>
  <si>
    <t>Anguilla</t>
  </si>
  <si>
    <t>18.2206</t>
  </si>
  <si>
    <t>-63.0686</t>
  </si>
  <si>
    <t>British Virgin Islands</t>
  </si>
  <si>
    <t>18.4207</t>
  </si>
  <si>
    <t>-64.64</t>
  </si>
  <si>
    <t>Turks and Caicos Islands</t>
  </si>
  <si>
    <t>21.69400000000001</t>
  </si>
  <si>
    <t>-71.7979</t>
  </si>
  <si>
    <t>MS Zaandam</t>
  </si>
  <si>
    <t>Botswana</t>
  </si>
  <si>
    <t>-22.3285</t>
  </si>
  <si>
    <t>24.6849</t>
  </si>
  <si>
    <t>Burundi</t>
  </si>
  <si>
    <t>-3.3731</t>
  </si>
  <si>
    <t>29.9189</t>
  </si>
  <si>
    <t>Sierra Leone</t>
  </si>
  <si>
    <t>8.460555000000001</t>
  </si>
  <si>
    <t>-11.779889</t>
  </si>
  <si>
    <t>Bonaire, Sint Eustatius and Saba</t>
  </si>
  <si>
    <t>12.1784</t>
  </si>
  <si>
    <t>-68.2385</t>
  </si>
  <si>
    <t>Malawi</t>
  </si>
  <si>
    <t>-13.254307999999998</t>
  </si>
  <si>
    <t>34.301525</t>
  </si>
  <si>
    <t>Falkland Islands (Malvinas)</t>
  </si>
  <si>
    <t>-51.7963</t>
  </si>
  <si>
    <t>-59.5236</t>
  </si>
  <si>
    <t>Saint Pierre and Miquelon</t>
  </si>
  <si>
    <t>46.8852</t>
  </si>
  <si>
    <t>-56.3159</t>
  </si>
  <si>
    <t>South Sudan</t>
  </si>
  <si>
    <t>6.8770000000000024</t>
  </si>
  <si>
    <t>31.307</t>
  </si>
  <si>
    <t>Western Sahara</t>
  </si>
  <si>
    <t>24.2155</t>
  </si>
  <si>
    <t>-12.8858</t>
  </si>
  <si>
    <t>Sao Tome and Principe</t>
  </si>
  <si>
    <t>0.18636</t>
  </si>
  <si>
    <t>6.613081</t>
  </si>
  <si>
    <t>Yemen</t>
  </si>
  <si>
    <t>15.552726999999999</t>
  </si>
  <si>
    <t>48.516388</t>
  </si>
  <si>
    <t>dc-IT-0009;dc-IT-0011</t>
  </si>
  <si>
    <t>dc-EN-0009;dc-EN-0011</t>
  </si>
  <si>
    <t>dc-IT-0013</t>
  </si>
  <si>
    <t>dc-EN-0013</t>
  </si>
  <si>
    <t>dc-IT-0008</t>
  </si>
  <si>
    <t>dc-EN-0008</t>
  </si>
  <si>
    <t>dc-IT-0010</t>
  </si>
  <si>
    <t>dc-EN-0010</t>
  </si>
  <si>
    <t>26184</t>
  </si>
  <si>
    <t>10077</t>
  </si>
  <si>
    <t>17895</t>
  </si>
  <si>
    <t>28900</t>
  </si>
  <si>
    <t>42279</t>
  </si>
  <si>
    <t>109192</t>
  </si>
  <si>
    <t>38202</t>
  </si>
  <si>
    <t>93811</t>
  </si>
  <si>
    <t>27852</t>
  </si>
  <si>
    <t>208471</t>
  </si>
  <si>
    <t>35107</t>
  </si>
  <si>
    <t>5334</t>
  </si>
  <si>
    <t>96977</t>
  </si>
  <si>
    <t>55397</t>
  </si>
  <si>
    <t>19162</t>
  </si>
  <si>
    <t>65689</t>
  </si>
  <si>
    <t>99751</t>
  </si>
  <si>
    <t>19902</t>
  </si>
  <si>
    <t>22320</t>
  </si>
  <si>
    <t>4624</t>
  </si>
  <si>
    <t>dc-IT-0012</t>
  </si>
  <si>
    <t>dc-EN-0012</t>
  </si>
  <si>
    <t>183513</t>
  </si>
  <si>
    <t>26-apr</t>
  </si>
  <si>
    <t>p</t>
  </si>
  <si>
    <t>Italy d.t.</t>
  </si>
  <si>
    <t>alpha</t>
  </si>
  <si>
    <t>Lombardy d.t</t>
  </si>
  <si>
    <t>rest of Italy d.t.</t>
  </si>
  <si>
    <t>Italy g.r.</t>
  </si>
  <si>
    <t>Italy acc. fit</t>
  </si>
  <si>
    <t>Lombardy acc. fit</t>
  </si>
  <si>
    <t>Italy velocity</t>
  </si>
  <si>
    <t>Lombardy velocity</t>
  </si>
  <si>
    <t>Lombardy g.r.</t>
  </si>
  <si>
    <t>rest of Italy acc. fit</t>
  </si>
  <si>
    <t>rest of Italy velocity</t>
  </si>
  <si>
    <t>rest of Italy g.r.</t>
  </si>
  <si>
    <t>Italy (fitted Lombardy + fitted sum of the other regions)</t>
  </si>
  <si>
    <r>
      <t>R</t>
    </r>
    <r>
      <rPr>
        <strike/>
        <vertAlign val="superscript"/>
        <sz val="11"/>
        <rFont val="Calibri"/>
        <family val="2"/>
        <scheme val="minor"/>
      </rPr>
      <t>2</t>
    </r>
  </si>
  <si>
    <r>
      <t>R</t>
    </r>
    <r>
      <rPr>
        <strike/>
        <vertAlign val="superscript"/>
        <sz val="11"/>
        <color theme="1"/>
        <rFont val="Calibri"/>
        <family val="2"/>
        <scheme val="minor"/>
      </rPr>
      <t>2</t>
    </r>
  </si>
  <si>
    <t>26443</t>
  </si>
  <si>
    <t>10364</t>
  </si>
  <si>
    <t>18423</t>
  </si>
  <si>
    <t>29834</t>
  </si>
  <si>
    <t>42463</t>
  </si>
  <si>
    <t>111041</t>
  </si>
  <si>
    <t>39330</t>
  </si>
  <si>
    <t>95719</t>
  </si>
  <si>
    <t>28739</t>
  </si>
  <si>
    <t>211523</t>
  </si>
  <si>
    <t>35617</t>
  </si>
  <si>
    <t>5423</t>
  </si>
  <si>
    <t>99144</t>
  </si>
  <si>
    <t>55897</t>
  </si>
  <si>
    <t>19424</t>
  </si>
  <si>
    <t>66749</t>
  </si>
  <si>
    <t>100869</t>
  </si>
  <si>
    <t>20199</t>
  </si>
  <si>
    <t>22492</t>
  </si>
  <si>
    <t>192751</t>
  </si>
  <si>
    <t>27-apr</t>
  </si>
  <si>
    <t>Lombardy x=(ln(t-p)-mu)/sigma2</t>
  </si>
  <si>
    <t>Italy h.t.</t>
  </si>
  <si>
    <t>x_t</t>
  </si>
  <si>
    <t>verify</t>
  </si>
  <si>
    <t>t_alpha_t+plus</t>
  </si>
  <si>
    <t>t_alpha_t-minus</t>
  </si>
  <si>
    <t>x_t_alpha©+plus</t>
  </si>
  <si>
    <t>x_t_alpha©-minus</t>
  </si>
  <si>
    <t>c_t</t>
  </si>
  <si>
    <t>rest of Italy x=(ln(t-p)-mu)/sigma</t>
  </si>
  <si>
    <t>t_alpha_r+plus</t>
  </si>
  <si>
    <t>t_alpha_r-minus</t>
  </si>
  <si>
    <t>x_r_alpha©+plus</t>
  </si>
  <si>
    <t>x_r_alpha©-minus</t>
  </si>
  <si>
    <t>c_r</t>
  </si>
  <si>
    <t>Lombardy h.t.</t>
  </si>
  <si>
    <t>t_alpha_o+plus</t>
  </si>
  <si>
    <t>t_alpha_o-minus</t>
  </si>
  <si>
    <t>x_o_alpha©+plus</t>
  </si>
  <si>
    <t>x_o_alpha©-minus</t>
  </si>
  <si>
    <t>c_o</t>
  </si>
  <si>
    <t>rest of Italy h.t.</t>
  </si>
  <si>
    <t>Italy acc.</t>
  </si>
  <si>
    <t>Lombardy acc.</t>
  </si>
  <si>
    <t>rest of Italy acc.</t>
  </si>
  <si>
    <t>Italy d.t. (Norm. To val. at lockdown)</t>
  </si>
  <si>
    <t>Italy g.r. (Norm. To val. at lockdown)</t>
  </si>
  <si>
    <t>Italy h.t. (Norm. To val. at lockdown)</t>
  </si>
  <si>
    <t>Italy acc. Fit (Norm. To val. at lockdown)</t>
  </si>
  <si>
    <t>27054</t>
  </si>
  <si>
    <t>10889</t>
  </si>
  <si>
    <t>18567</t>
  </si>
  <si>
    <t>31802</t>
  </si>
  <si>
    <t>42690</t>
  </si>
  <si>
    <t>116624</t>
  </si>
  <si>
    <t>41273</t>
  </si>
  <si>
    <t>98968</t>
  </si>
  <si>
    <t>29794</t>
  </si>
  <si>
    <t>216526</t>
  </si>
  <si>
    <t>36650</t>
  </si>
  <si>
    <t>5538</t>
  </si>
  <si>
    <t>102514</t>
  </si>
  <si>
    <t>57574</t>
  </si>
  <si>
    <t>20053</t>
  </si>
  <si>
    <t>68729</t>
  </si>
  <si>
    <t>103891</t>
  </si>
  <si>
    <t>20539</t>
  </si>
  <si>
    <t>23263</t>
  </si>
  <si>
    <t>5069</t>
  </si>
  <si>
    <t>196864</t>
  </si>
  <si>
    <t>28-apr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</si>
</sst>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0"/>
    <numFmt numFmtId="165" formatCode="[$-409]mmmm\ d\,\ yyyy;@"/>
    <numFmt numFmtId="166" formatCode="0.000000000"/>
    <numFmt numFmtId="167" formatCode="0.000000000000"/>
    <numFmt numFmtId="168" formatCode="0.000000000000000"/>
    <numFmt numFmtId="169" formatCode="#,##0.000000000000000"/>
    <numFmt numFmtId="170" formatCode="[$-409]d\-mmm;@"/>
  </numFmts>
  <fonts count="5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theme="3"/>
      <name val="Calibri"/>
      <family val="2"/>
      <scheme val="minor"/>
    </font>
    <font>
      <i/>
      <sz val="11"/>
      <color theme="3"/>
      <name val="Calibri"/>
      <family val="2"/>
      <scheme val="minor"/>
    </font>
    <font>
      <vertAlign val="superscript"/>
      <sz val="11"/>
      <color theme="3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i/>
      <sz val="11"/>
      <color rgb="FF00B050"/>
      <name val="Calibri"/>
      <family val="2"/>
      <scheme val="minor"/>
    </font>
    <font>
      <i/>
      <sz val="11"/>
      <color rgb="FF0070C0"/>
      <name val="Calibri"/>
      <family val="2"/>
      <scheme val="minor"/>
    </font>
    <font>
      <b/>
      <sz val="11"/>
      <color theme="3"/>
      <name val="Calibri"/>
      <family val="2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</font>
    <font>
      <b/>
      <sz val="11"/>
      <name val="Calibri"/>
      <family val="2"/>
      <scheme val="minor"/>
    </font>
    <font>
      <i/>
      <sz val="11"/>
      <name val="Calibri"/>
      <family val="2"/>
      <scheme val="minor"/>
    </font>
    <font>
      <i/>
      <sz val="11"/>
      <name val="Calibri"/>
      <family val="2"/>
    </font>
    <font>
      <vertAlign val="superscript"/>
      <sz val="1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</font>
    <font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i/>
      <strike/>
      <sz val="11"/>
      <name val="Calibri"/>
      <family val="2"/>
      <scheme val="minor"/>
    </font>
    <font>
      <i/>
      <strike/>
      <sz val="11"/>
      <name val="Calibri"/>
      <family val="2"/>
    </font>
    <font>
      <strike/>
      <sz val="11"/>
      <name val="Calibri"/>
      <family val="2"/>
      <scheme val="minor"/>
    </font>
    <font>
      <strike/>
      <vertAlign val="superscript"/>
      <sz val="11"/>
      <name val="Calibri"/>
      <family val="2"/>
      <scheme val="minor"/>
    </font>
    <font>
      <b/>
      <strike/>
      <sz val="11"/>
      <name val="Calibri"/>
      <family val="2"/>
      <scheme val="minor"/>
    </font>
    <font>
      <i/>
      <strike/>
      <sz val="11"/>
      <color theme="1"/>
      <name val="Calibri"/>
      <family val="2"/>
      <scheme val="minor"/>
    </font>
    <font>
      <i/>
      <strike/>
      <sz val="11"/>
      <color theme="1"/>
      <name val="Calibri"/>
      <family val="2"/>
    </font>
    <font>
      <strike/>
      <sz val="11"/>
      <color theme="1"/>
      <name val="Calibri"/>
      <family val="2"/>
      <scheme val="minor"/>
    </font>
    <font>
      <strike/>
      <vertAlign val="superscript"/>
      <sz val="11"/>
      <color theme="1"/>
      <name val="Calibri"/>
      <family val="2"/>
      <scheme val="minor"/>
    </font>
    <font>
      <b/>
      <strike/>
      <sz val="11"/>
      <color rgb="FFFF0000"/>
      <name val="Calibri"/>
      <family val="2"/>
      <scheme val="minor"/>
    </font>
    <font>
      <i/>
      <strike/>
      <sz val="11"/>
      <color rgb="FFFF0000"/>
      <name val="Calibri"/>
      <family val="2"/>
      <scheme val="minor"/>
    </font>
    <font>
      <strike/>
      <sz val="11"/>
      <color rgb="FFFF0000"/>
      <name val="Calibri"/>
      <family val="2"/>
      <scheme val="minor"/>
    </font>
    <font>
      <b/>
      <strike/>
      <sz val="11"/>
      <color rgb="FF00B050"/>
      <name val="Calibri"/>
      <family val="2"/>
      <scheme val="minor"/>
    </font>
    <font>
      <i/>
      <strike/>
      <sz val="11"/>
      <color rgb="FF00B050"/>
      <name val="Calibri"/>
      <family val="2"/>
      <scheme val="minor"/>
    </font>
    <font>
      <strike/>
      <sz val="11"/>
      <color rgb="FF00B050"/>
      <name val="Calibri"/>
      <family val="2"/>
      <scheme val="minor"/>
    </font>
    <font>
      <b/>
      <strike/>
      <sz val="11"/>
      <color rgb="FF0070C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gray0625"/>
    </fill>
    <fill>
      <patternFill patternType="solid">
        <fgColor theme="5" tint="0.79998168889431442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rgb="FF92D050"/>
        <bgColor indexed="64"/>
      </patternFill>
    </fill>
    <fill>
      <patternFill patternType="gray0625">
        <bgColor rgb="FF92D050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65"/>
        <bgColor indexed="64"/>
      </patternFill>
    </fill>
    <fill>
      <patternFill patternType="gray125">
        <bgColor rgb="FFF2F2F2"/>
      </patternFill>
    </fill>
    <fill>
      <patternFill patternType="gray125">
        <bgColor rgb="FFFFC000"/>
      </patternFill>
    </fill>
    <fill>
      <patternFill patternType="solid">
        <fgColor theme="4" tint="0.39997558519241921"/>
        <bgColor indexed="64"/>
      </patternFill>
    </fill>
    <fill>
      <patternFill patternType="gray0625">
        <bgColor theme="4" tint="0.39997558519241921"/>
      </patternFill>
    </fill>
    <fill>
      <patternFill patternType="solid">
        <fgColor rgb="FF00B0F0"/>
        <bgColor indexed="64"/>
      </patternFill>
    </fill>
    <fill>
      <patternFill patternType="gray0625">
        <bgColor rgb="FF00B0F0"/>
      </patternFill>
    </fill>
    <fill>
      <patternFill patternType="solid">
        <fgColor theme="7"/>
        <bgColor indexed="64"/>
      </patternFill>
    </fill>
    <fill>
      <patternFill patternType="gray0625">
        <bgColor theme="7"/>
      </patternFill>
    </fill>
    <fill>
      <patternFill patternType="darkGrid"/>
    </fill>
    <fill>
      <patternFill patternType="darkGrid">
        <bgColor rgb="FFFFC000"/>
      </patternFill>
    </fill>
  </fills>
  <borders count="28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medium">
        <color theme="4" tint="0.39997558519241921"/>
      </top>
      <bottom style="medium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ck">
        <color theme="4" tint="0.499984740745262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ck">
        <color theme="4"/>
      </top>
      <bottom style="thick">
        <color theme="4" tint="0.499984740745262"/>
      </bottom>
      <diagonal/>
    </border>
    <border>
      <left/>
      <right style="thin">
        <color rgb="FF3F3F3F"/>
      </right>
      <top/>
      <bottom/>
      <diagonal/>
    </border>
    <border>
      <left style="thin">
        <color rgb="FF3F3F3F"/>
      </left>
      <right/>
      <top/>
      <bottom/>
      <diagonal/>
    </border>
    <border>
      <left style="thin">
        <color rgb="FF3F3F3F"/>
      </left>
      <right/>
      <top style="thin">
        <color rgb="FF3F3F3F"/>
      </top>
      <bottom style="thin">
        <color rgb="FF3F3F3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auto="1"/>
      </right>
      <top/>
      <bottom/>
      <diagonal/>
    </border>
  </borders>
  <cellStyleXfs count="12">
    <xf numFmtId="0" fontId="0" fillId="0" borderId="0"/>
    <xf numFmtId="0" fontId="5" fillId="3" borderId="1" applyNumberFormat="0" applyFont="0" applyAlignment="0" applyProtection="0"/>
    <xf numFmtId="0" fontId="10" fillId="0" borderId="0" applyNumberFormat="0" applyFill="0" applyBorder="0" applyAlignment="0" applyProtection="0"/>
    <xf numFmtId="0" fontId="11" fillId="0" borderId="8" applyNumberFormat="0" applyFill="0" applyAlignment="0" applyProtection="0"/>
    <xf numFmtId="0" fontId="12" fillId="0" borderId="9" applyNumberFormat="0" applyFill="0" applyAlignment="0" applyProtection="0"/>
    <xf numFmtId="0" fontId="13" fillId="0" borderId="10" applyNumberFormat="0" applyFill="0" applyAlignment="0" applyProtection="0"/>
    <xf numFmtId="0" fontId="14" fillId="4" borderId="0" applyNumberFormat="0" applyBorder="0" applyAlignment="0" applyProtection="0"/>
    <xf numFmtId="0" fontId="5" fillId="6" borderId="0" applyNumberFormat="0" applyBorder="0" applyAlignment="0" applyProtection="0"/>
    <xf numFmtId="0" fontId="5" fillId="10" borderId="0" applyNumberFormat="0" applyBorder="0" applyAlignment="0" applyProtection="0"/>
    <xf numFmtId="0" fontId="31" fillId="12" borderId="16" applyNumberFormat="0" applyAlignment="0" applyProtection="0"/>
    <xf numFmtId="0" fontId="5" fillId="15" borderId="0" applyNumberFormat="0" applyBorder="0" applyAlignment="0" applyProtection="0"/>
    <xf numFmtId="9" fontId="5" fillId="0" borderId="0" applyFont="0" applyFill="0" applyBorder="0" applyAlignment="0" applyProtection="0"/>
  </cellStyleXfs>
  <cellXfs count="317">
    <xf numFmtId="0" fontId="0" fillId="0" borderId="0" xfId="0"/>
    <xf numFmtId="1" fontId="0" fillId="0" borderId="0" xfId="0" applyNumberFormat="1"/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1" fontId="0" fillId="2" borderId="0" xfId="0" applyNumberFormat="1" applyFill="1"/>
    <xf numFmtId="2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 wrapText="1"/>
    </xf>
    <xf numFmtId="16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4" fillId="0" borderId="0" xfId="0" applyFont="1"/>
    <xf numFmtId="0" fontId="0" fillId="0" borderId="0" xfId="0" applyNumberFormat="1"/>
    <xf numFmtId="22" fontId="0" fillId="0" borderId="0" xfId="0" applyNumberFormat="1"/>
    <xf numFmtId="0" fontId="3" fillId="0" borderId="0" xfId="0" applyFont="1" applyAlignment="1">
      <alignment horizontal="left" vertical="center"/>
    </xf>
    <xf numFmtId="0" fontId="6" fillId="2" borderId="0" xfId="0" applyFont="1" applyFill="1"/>
    <xf numFmtId="16" fontId="0" fillId="3" borderId="1" xfId="1" applyNumberFormat="1" applyFont="1" applyAlignment="1">
      <alignment horizontal="center"/>
    </xf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9" fillId="0" borderId="0" xfId="0" applyFont="1" applyAlignment="1">
      <alignment horizontal="center" wrapText="1"/>
    </xf>
    <xf numFmtId="0" fontId="9" fillId="0" borderId="0" xfId="0" applyFont="1"/>
    <xf numFmtId="0" fontId="15" fillId="0" borderId="0" xfId="0" applyFont="1" applyAlignment="1">
      <alignment horizontal="center" wrapText="1"/>
    </xf>
    <xf numFmtId="0" fontId="15" fillId="0" borderId="0" xfId="0" applyFont="1" applyAlignment="1">
      <alignment wrapText="1"/>
    </xf>
    <xf numFmtId="1" fontId="0" fillId="0" borderId="0" xfId="0" applyNumberFormat="1" applyAlignment="1">
      <alignment horizontal="center" wrapText="1"/>
    </xf>
    <xf numFmtId="0" fontId="16" fillId="2" borderId="0" xfId="0" applyFont="1" applyFill="1"/>
    <xf numFmtId="1" fontId="15" fillId="2" borderId="0" xfId="0" applyNumberFormat="1" applyFont="1" applyFill="1"/>
    <xf numFmtId="0" fontId="15" fillId="0" borderId="0" xfId="0" applyFont="1"/>
    <xf numFmtId="1" fontId="15" fillId="0" borderId="0" xfId="0" applyNumberFormat="1" applyFont="1"/>
    <xf numFmtId="2" fontId="15" fillId="0" borderId="0" xfId="0" applyNumberFormat="1" applyFont="1"/>
    <xf numFmtId="164" fontId="15" fillId="0" borderId="0" xfId="0" applyNumberFormat="1" applyFont="1"/>
    <xf numFmtId="0" fontId="1" fillId="0" borderId="0" xfId="0" applyFont="1" applyAlignment="1">
      <alignment horizontal="center"/>
    </xf>
    <xf numFmtId="2" fontId="0" fillId="2" borderId="0" xfId="0" applyNumberFormat="1" applyFill="1"/>
    <xf numFmtId="0" fontId="18" fillId="0" borderId="0" xfId="0" applyFont="1" applyAlignment="1">
      <alignment horizontal="center"/>
    </xf>
    <xf numFmtId="0" fontId="18" fillId="0" borderId="0" xfId="0" applyFont="1"/>
    <xf numFmtId="1" fontId="14" fillId="4" borderId="0" xfId="6" applyNumberFormat="1" applyAlignment="1">
      <alignment horizontal="center"/>
    </xf>
    <xf numFmtId="165" fontId="9" fillId="0" borderId="0" xfId="0" applyNumberFormat="1" applyFont="1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wrapText="1"/>
    </xf>
    <xf numFmtId="0" fontId="19" fillId="0" borderId="0" xfId="0" applyFont="1"/>
    <xf numFmtId="165" fontId="19" fillId="0" borderId="0" xfId="0" applyNumberFormat="1" applyFont="1"/>
    <xf numFmtId="0" fontId="8" fillId="0" borderId="0" xfId="0" applyFont="1" applyAlignment="1">
      <alignment horizontal="center" wrapText="1"/>
    </xf>
    <xf numFmtId="0" fontId="0" fillId="0" borderId="2" xfId="0" applyFill="1" applyBorder="1" applyAlignment="1">
      <alignment wrapText="1"/>
    </xf>
    <xf numFmtId="164" fontId="1" fillId="0" borderId="3" xfId="0" applyNumberFormat="1" applyFont="1" applyFill="1" applyBorder="1"/>
    <xf numFmtId="0" fontId="1" fillId="0" borderId="3" xfId="0" applyFont="1" applyFill="1" applyBorder="1"/>
    <xf numFmtId="0" fontId="1" fillId="0" borderId="5" xfId="0" applyFont="1" applyFill="1" applyBorder="1"/>
    <xf numFmtId="0" fontId="0" fillId="0" borderId="6" xfId="0" applyFill="1" applyBorder="1"/>
    <xf numFmtId="0" fontId="0" fillId="0" borderId="3" xfId="0" applyFill="1" applyBorder="1"/>
    <xf numFmtId="0" fontId="0" fillId="0" borderId="4" xfId="0" applyFill="1" applyBorder="1"/>
    <xf numFmtId="164" fontId="18" fillId="0" borderId="3" xfId="0" applyNumberFormat="1" applyFont="1" applyFill="1" applyBorder="1"/>
    <xf numFmtId="0" fontId="18" fillId="0" borderId="3" xfId="0" applyFont="1" applyFill="1" applyBorder="1"/>
    <xf numFmtId="0" fontId="18" fillId="0" borderId="5" xfId="0" applyFont="1" applyFill="1" applyBorder="1"/>
    <xf numFmtId="164" fontId="7" fillId="0" borderId="3" xfId="0" applyNumberFormat="1" applyFont="1" applyFill="1" applyBorder="1"/>
    <xf numFmtId="0" fontId="7" fillId="0" borderId="3" xfId="0" applyFont="1" applyFill="1" applyBorder="1"/>
    <xf numFmtId="0" fontId="7" fillId="0" borderId="7" xfId="0" applyFont="1" applyFill="1" applyBorder="1"/>
    <xf numFmtId="164" fontId="7" fillId="0" borderId="3" xfId="0" applyNumberFormat="1" applyFont="1" applyFill="1" applyBorder="1" applyAlignment="1">
      <alignment horizontal="center" vertical="center" textRotation="255" wrapText="1"/>
    </xf>
    <xf numFmtId="0" fontId="0" fillId="5" borderId="2" xfId="0" applyFill="1" applyBorder="1" applyAlignment="1">
      <alignment wrapText="1"/>
    </xf>
    <xf numFmtId="164" fontId="1" fillId="5" borderId="3" xfId="0" applyNumberFormat="1" applyFont="1" applyFill="1" applyBorder="1"/>
    <xf numFmtId="0" fontId="1" fillId="5" borderId="3" xfId="0" applyFont="1" applyFill="1" applyBorder="1"/>
    <xf numFmtId="0" fontId="1" fillId="5" borderId="5" xfId="0" applyFont="1" applyFill="1" applyBorder="1"/>
    <xf numFmtId="0" fontId="0" fillId="5" borderId="6" xfId="0" applyFill="1" applyBorder="1"/>
    <xf numFmtId="0" fontId="0" fillId="5" borderId="3" xfId="0" applyFill="1" applyBorder="1"/>
    <xf numFmtId="0" fontId="0" fillId="5" borderId="4" xfId="0" applyFill="1" applyBorder="1"/>
    <xf numFmtId="164" fontId="18" fillId="5" borderId="3" xfId="0" applyNumberFormat="1" applyFont="1" applyFill="1" applyBorder="1"/>
    <xf numFmtId="0" fontId="18" fillId="5" borderId="3" xfId="0" applyFont="1" applyFill="1" applyBorder="1"/>
    <xf numFmtId="164" fontId="0" fillId="5" borderId="12" xfId="0" applyNumberFormat="1" applyFill="1" applyBorder="1"/>
    <xf numFmtId="164" fontId="7" fillId="5" borderId="3" xfId="0" applyNumberFormat="1" applyFont="1" applyFill="1" applyBorder="1"/>
    <xf numFmtId="0" fontId="7" fillId="5" borderId="3" xfId="0" applyFont="1" applyFill="1" applyBorder="1"/>
    <xf numFmtId="0" fontId="7" fillId="5" borderId="7" xfId="0" applyFont="1" applyFill="1" applyBorder="1"/>
    <xf numFmtId="0" fontId="13" fillId="0" borderId="10" xfId="5" applyAlignment="1">
      <alignment horizontal="left" vertical="center"/>
    </xf>
    <xf numFmtId="0" fontId="0" fillId="0" borderId="6" xfId="0" applyBorder="1"/>
    <xf numFmtId="164" fontId="7" fillId="0" borderId="7" xfId="0" applyNumberFormat="1" applyFont="1" applyFill="1" applyBorder="1" applyAlignment="1">
      <alignment horizontal="center" vertical="center" textRotation="255" wrapText="1"/>
    </xf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3" fillId="0" borderId="10" xfId="5" applyAlignment="1">
      <alignment horizontal="left" vertical="center"/>
    </xf>
    <xf numFmtId="0" fontId="5" fillId="6" borderId="0" xfId="7" applyAlignment="1">
      <alignment horizontal="center"/>
    </xf>
    <xf numFmtId="0" fontId="5" fillId="6" borderId="0" xfId="7"/>
    <xf numFmtId="0" fontId="0" fillId="0" borderId="0" xfId="0"/>
    <xf numFmtId="0" fontId="20" fillId="2" borderId="0" xfId="0" applyFont="1" applyFill="1"/>
    <xf numFmtId="0" fontId="22" fillId="2" borderId="0" xfId="0" applyFont="1" applyFill="1"/>
    <xf numFmtId="0" fontId="8" fillId="0" borderId="0" xfId="0" applyFont="1"/>
    <xf numFmtId="1" fontId="7" fillId="0" borderId="0" xfId="0" applyNumberFormat="1" applyFont="1" applyAlignment="1">
      <alignment horizontal="center"/>
    </xf>
    <xf numFmtId="1" fontId="18" fillId="0" borderId="0" xfId="0" applyNumberFormat="1" applyFont="1" applyAlignment="1">
      <alignment horizontal="center"/>
    </xf>
    <xf numFmtId="0" fontId="20" fillId="0" borderId="0" xfId="0" applyFont="1" applyAlignment="1">
      <alignment horizontal="center" vertical="center"/>
    </xf>
    <xf numFmtId="0" fontId="1" fillId="0" borderId="0" xfId="0" applyFont="1"/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7" fillId="0" borderId="0" xfId="0" applyFont="1"/>
    <xf numFmtId="166" fontId="1" fillId="0" borderId="0" xfId="0" applyNumberFormat="1" applyFont="1"/>
    <xf numFmtId="0" fontId="1" fillId="0" borderId="0" xfId="0" applyFont="1" applyAlignment="1">
      <alignment horizontal="right"/>
    </xf>
    <xf numFmtId="0" fontId="0" fillId="0" borderId="0" xfId="0"/>
    <xf numFmtId="0" fontId="0" fillId="0" borderId="0" xfId="0" applyNumberFormat="1" applyAlignment="1">
      <alignment horizontal="center"/>
    </xf>
    <xf numFmtId="0" fontId="19" fillId="0" borderId="0" xfId="0" applyNumberFormat="1" applyFont="1"/>
    <xf numFmtId="0" fontId="8" fillId="0" borderId="0" xfId="0" applyNumberFormat="1" applyFont="1"/>
    <xf numFmtId="0" fontId="9" fillId="0" borderId="0" xfId="0" applyNumberFormat="1" applyFont="1"/>
    <xf numFmtId="165" fontId="8" fillId="0" borderId="0" xfId="0" applyNumberFormat="1" applyFont="1"/>
    <xf numFmtId="0" fontId="0" fillId="5" borderId="0" xfId="0" applyNumberFormat="1" applyFill="1" applyAlignment="1">
      <alignment horizontal="center"/>
    </xf>
    <xf numFmtId="0" fontId="24" fillId="5" borderId="0" xfId="0" applyFont="1" applyFill="1" applyAlignment="1">
      <alignment horizontal="center" wrapText="1"/>
    </xf>
    <xf numFmtId="0" fontId="0" fillId="0" borderId="0" xfId="0"/>
    <xf numFmtId="169" fontId="0" fillId="0" borderId="0" xfId="0" applyNumberFormat="1"/>
    <xf numFmtId="0" fontId="7" fillId="0" borderId="0" xfId="0" applyNumberFormat="1" applyFont="1"/>
    <xf numFmtId="0" fontId="0" fillId="0" borderId="0" xfId="0"/>
    <xf numFmtId="0" fontId="0" fillId="0" borderId="0" xfId="0"/>
    <xf numFmtId="0" fontId="13" fillId="0" borderId="10" xfId="5" applyAlignment="1">
      <alignment horizontal="left" vertical="center"/>
    </xf>
    <xf numFmtId="0" fontId="26" fillId="2" borderId="0" xfId="0" applyFont="1" applyFill="1"/>
    <xf numFmtId="0" fontId="0" fillId="0" borderId="0" xfId="0"/>
    <xf numFmtId="0" fontId="0" fillId="6" borderId="0" xfId="0" applyNumberFormat="1" applyFont="1" applyFill="1"/>
    <xf numFmtId="1" fontId="8" fillId="0" borderId="0" xfId="0" applyNumberFormat="1" applyFont="1"/>
    <xf numFmtId="1" fontId="19" fillId="0" borderId="0" xfId="0" applyNumberFormat="1" applyFont="1"/>
    <xf numFmtId="1" fontId="9" fillId="0" borderId="0" xfId="0" applyNumberFormat="1" applyFont="1"/>
    <xf numFmtId="0" fontId="27" fillId="0" borderId="0" xfId="0" applyFont="1" applyAlignment="1">
      <alignment horizontal="center" wrapText="1"/>
    </xf>
    <xf numFmtId="0" fontId="24" fillId="0" borderId="0" xfId="0" applyFont="1" applyAlignment="1">
      <alignment wrapText="1"/>
    </xf>
    <xf numFmtId="0" fontId="28" fillId="2" borderId="0" xfId="0" applyFont="1" applyFill="1"/>
    <xf numFmtId="1" fontId="24" fillId="2" borderId="0" xfId="0" applyNumberFormat="1" applyFont="1" applyFill="1"/>
    <xf numFmtId="0" fontId="29" fillId="2" borderId="0" xfId="0" applyFont="1" applyFill="1"/>
    <xf numFmtId="2" fontId="24" fillId="2" borderId="0" xfId="0" applyNumberFormat="1" applyFont="1" applyFill="1"/>
    <xf numFmtId="0" fontId="24" fillId="0" borderId="0" xfId="0" applyFont="1"/>
    <xf numFmtId="2" fontId="24" fillId="0" borderId="0" xfId="0" applyNumberFormat="1" applyFont="1"/>
    <xf numFmtId="1" fontId="24" fillId="0" borderId="0" xfId="0" applyNumberFormat="1" applyFont="1"/>
    <xf numFmtId="164" fontId="24" fillId="0" borderId="0" xfId="0" applyNumberFormat="1" applyFont="1"/>
    <xf numFmtId="0" fontId="27" fillId="0" borderId="0" xfId="0" applyFont="1"/>
    <xf numFmtId="1" fontId="27" fillId="0" borderId="0" xfId="0" applyNumberFormat="1" applyFont="1"/>
    <xf numFmtId="165" fontId="27" fillId="0" borderId="0" xfId="0" applyNumberFormat="1" applyFont="1"/>
    <xf numFmtId="0" fontId="0" fillId="0" borderId="0" xfId="0"/>
    <xf numFmtId="0" fontId="11" fillId="0" borderId="8" xfId="3"/>
    <xf numFmtId="0" fontId="12" fillId="0" borderId="9" xfId="4"/>
    <xf numFmtId="0" fontId="13" fillId="0" borderId="10" xfId="5" applyAlignment="1">
      <alignment horizontal="left" vertical="center"/>
    </xf>
    <xf numFmtId="0" fontId="0" fillId="8" borderId="0" xfId="0" applyNumberFormat="1" applyFill="1" applyAlignment="1">
      <alignment horizontal="center" wrapText="1"/>
    </xf>
    <xf numFmtId="0" fontId="0" fillId="9" borderId="0" xfId="0" applyNumberFormat="1" applyFill="1" applyAlignment="1">
      <alignment horizontal="center" wrapText="1"/>
    </xf>
    <xf numFmtId="0" fontId="0" fillId="7" borderId="0" xfId="0" applyNumberFormat="1" applyFill="1" applyAlignment="1">
      <alignment horizontal="center" wrapText="1"/>
    </xf>
    <xf numFmtId="14" fontId="3" fillId="11" borderId="0" xfId="0" applyNumberFormat="1" applyFont="1" applyFill="1"/>
    <xf numFmtId="0" fontId="3" fillId="11" borderId="0" xfId="0" applyFont="1" applyFill="1" applyAlignment="1">
      <alignment horizontal="center"/>
    </xf>
    <xf numFmtId="0" fontId="7" fillId="5" borderId="14" xfId="0" applyFont="1" applyFill="1" applyBorder="1" applyAlignment="1">
      <alignment horizontal="center"/>
    </xf>
    <xf numFmtId="0" fontId="7" fillId="5" borderId="15" xfId="0" applyFont="1" applyFill="1" applyBorder="1" applyAlignment="1">
      <alignment horizontal="center"/>
    </xf>
    <xf numFmtId="0" fontId="1" fillId="5" borderId="14" xfId="0" applyFont="1" applyFill="1" applyBorder="1" applyAlignment="1">
      <alignment horizontal="center"/>
    </xf>
    <xf numFmtId="0" fontId="1" fillId="5" borderId="15" xfId="0" applyFont="1" applyFill="1" applyBorder="1" applyAlignment="1">
      <alignment horizontal="center"/>
    </xf>
    <xf numFmtId="0" fontId="18" fillId="5" borderId="14" xfId="0" applyFont="1" applyFill="1" applyBorder="1" applyAlignment="1">
      <alignment horizontal="center"/>
    </xf>
    <xf numFmtId="0" fontId="18" fillId="5" borderId="15" xfId="0" applyFont="1" applyFill="1" applyBorder="1" applyAlignment="1">
      <alignment horizontal="center"/>
    </xf>
    <xf numFmtId="14" fontId="31" fillId="12" borderId="16" xfId="9" applyNumberFormat="1" applyAlignment="1">
      <alignment horizontal="center"/>
    </xf>
    <xf numFmtId="0" fontId="3" fillId="2" borderId="0" xfId="0" applyNumberFormat="1" applyFont="1" applyFill="1" applyAlignment="1">
      <alignment horizontal="center"/>
    </xf>
    <xf numFmtId="14" fontId="31" fillId="12" borderId="20" xfId="9" applyNumberFormat="1" applyBorder="1" applyAlignment="1">
      <alignment horizontal="center"/>
    </xf>
    <xf numFmtId="1" fontId="0" fillId="5" borderId="0" xfId="0" applyNumberFormat="1" applyFill="1" applyAlignment="1">
      <alignment horizontal="center"/>
    </xf>
    <xf numFmtId="0" fontId="0" fillId="5" borderId="0" xfId="0" applyFill="1"/>
    <xf numFmtId="0" fontId="24" fillId="5" borderId="0" xfId="0" applyFont="1" applyFill="1" applyAlignment="1">
      <alignment horizontal="center"/>
    </xf>
    <xf numFmtId="0" fontId="0" fillId="5" borderId="12" xfId="0" applyFill="1" applyBorder="1"/>
    <xf numFmtId="0" fontId="0" fillId="5" borderId="7" xfId="0" applyFill="1" applyBorder="1"/>
    <xf numFmtId="0" fontId="0" fillId="13" borderId="0" xfId="0" applyFill="1" applyAlignment="1">
      <alignment horizontal="center"/>
    </xf>
    <xf numFmtId="0" fontId="0" fillId="13" borderId="0" xfId="0" applyNumberFormat="1" applyFill="1" applyAlignment="1">
      <alignment horizontal="center"/>
    </xf>
    <xf numFmtId="0" fontId="0" fillId="14" borderId="0" xfId="0" applyNumberFormat="1" applyFill="1" applyAlignment="1">
      <alignment horizontal="center"/>
    </xf>
    <xf numFmtId="1" fontId="0" fillId="13" borderId="0" xfId="0" applyNumberFormat="1" applyFill="1" applyAlignment="1">
      <alignment horizontal="center"/>
    </xf>
    <xf numFmtId="0" fontId="0" fillId="0" borderId="0" xfId="0"/>
    <xf numFmtId="0" fontId="0" fillId="0" borderId="0" xfId="0"/>
    <xf numFmtId="0" fontId="0" fillId="7" borderId="0" xfId="0" applyNumberFormat="1" applyFill="1" applyAlignment="1">
      <alignment horizontal="center"/>
    </xf>
    <xf numFmtId="1" fontId="0" fillId="7" borderId="0" xfId="0" applyNumberFormat="1" applyFill="1" applyAlignment="1">
      <alignment horizontal="center"/>
    </xf>
    <xf numFmtId="16" fontId="5" fillId="15" borderId="0" xfId="10" applyNumberFormat="1" applyAlignment="1">
      <alignment horizontal="center"/>
    </xf>
    <xf numFmtId="16" fontId="14" fillId="4" borderId="0" xfId="6" applyNumberFormat="1" applyAlignment="1">
      <alignment horizontal="center"/>
    </xf>
    <xf numFmtId="0" fontId="1" fillId="2" borderId="0" xfId="0" applyNumberFormat="1" applyFont="1" applyFill="1"/>
    <xf numFmtId="0" fontId="18" fillId="2" borderId="0" xfId="0" applyNumberFormat="1" applyFont="1" applyFill="1"/>
    <xf numFmtId="0" fontId="7" fillId="2" borderId="0" xfId="0" applyNumberFormat="1" applyFont="1" applyFill="1"/>
    <xf numFmtId="0" fontId="5" fillId="11" borderId="0" xfId="7" applyFill="1" applyAlignment="1">
      <alignment horizontal="center"/>
    </xf>
    <xf numFmtId="0" fontId="0" fillId="0" borderId="0" xfId="0"/>
    <xf numFmtId="1" fontId="0" fillId="11" borderId="0" xfId="0" applyNumberFormat="1" applyFill="1" applyAlignment="1">
      <alignment horizontal="center"/>
    </xf>
    <xf numFmtId="1" fontId="24" fillId="5" borderId="0" xfId="0" applyNumberFormat="1" applyFont="1" applyFill="1" applyAlignment="1">
      <alignment horizontal="center"/>
    </xf>
    <xf numFmtId="0" fontId="24" fillId="5" borderId="0" xfId="0" applyNumberFormat="1" applyFont="1" applyFill="1" applyAlignment="1">
      <alignment horizontal="center"/>
    </xf>
    <xf numFmtId="0" fontId="14" fillId="4" borderId="0" xfId="6" applyNumberFormat="1" applyAlignment="1">
      <alignment horizontal="center"/>
    </xf>
    <xf numFmtId="1" fontId="0" fillId="5" borderId="0" xfId="0" applyNumberFormat="1" applyFill="1" applyAlignment="1">
      <alignment horizontal="center" wrapText="1"/>
    </xf>
    <xf numFmtId="0" fontId="0" fillId="16" borderId="0" xfId="0" applyNumberFormat="1" applyFill="1" applyAlignment="1">
      <alignment horizontal="center"/>
    </xf>
    <xf numFmtId="1" fontId="24" fillId="5" borderId="0" xfId="0" applyNumberFormat="1" applyFont="1" applyFill="1" applyAlignment="1">
      <alignment horizontal="center" wrapText="1"/>
    </xf>
    <xf numFmtId="0" fontId="0" fillId="1" borderId="0" xfId="0" applyFill="1"/>
    <xf numFmtId="14" fontId="31" fillId="17" borderId="20" xfId="9" applyNumberFormat="1" applyFill="1" applyBorder="1" applyAlignment="1">
      <alignment horizontal="center"/>
    </xf>
    <xf numFmtId="0" fontId="32" fillId="1" borderId="0" xfId="0" applyFont="1" applyFill="1" applyBorder="1" applyAlignment="1">
      <alignment horizontal="center"/>
    </xf>
    <xf numFmtId="0" fontId="1" fillId="1" borderId="14" xfId="0" applyFont="1" applyFill="1" applyBorder="1" applyAlignment="1">
      <alignment horizontal="center"/>
    </xf>
    <xf numFmtId="0" fontId="1" fillId="1" borderId="15" xfId="0" applyFont="1" applyFill="1" applyBorder="1" applyAlignment="1">
      <alignment horizontal="center"/>
    </xf>
    <xf numFmtId="0" fontId="3" fillId="18" borderId="0" xfId="0" applyNumberFormat="1" applyFont="1" applyFill="1" applyAlignment="1">
      <alignment horizontal="center"/>
    </xf>
    <xf numFmtId="0" fontId="32" fillId="1" borderId="0" xfId="0" applyFont="1" applyFill="1" applyAlignment="1">
      <alignment horizontal="center"/>
    </xf>
    <xf numFmtId="0" fontId="18" fillId="1" borderId="14" xfId="0" applyFont="1" applyFill="1" applyBorder="1" applyAlignment="1">
      <alignment horizontal="center"/>
    </xf>
    <xf numFmtId="0" fontId="18" fillId="1" borderId="15" xfId="0" applyFont="1" applyFill="1" applyBorder="1" applyAlignment="1">
      <alignment horizontal="center"/>
    </xf>
    <xf numFmtId="0" fontId="34" fillId="13" borderId="0" xfId="0" applyNumberFormat="1" applyFont="1" applyFill="1" applyAlignment="1">
      <alignment horizontal="center"/>
    </xf>
    <xf numFmtId="0" fontId="0" fillId="0" borderId="0" xfId="0"/>
    <xf numFmtId="0" fontId="0" fillId="5" borderId="0" xfId="0" applyNumberFormat="1" applyFill="1" applyAlignment="1">
      <alignment horizontal="center" wrapText="1"/>
    </xf>
    <xf numFmtId="16" fontId="0" fillId="21" borderId="0" xfId="0" applyNumberFormat="1" applyFill="1" applyAlignment="1">
      <alignment horizontal="center"/>
    </xf>
    <xf numFmtId="0" fontId="0" fillId="21" borderId="0" xfId="0" applyFill="1" applyAlignment="1">
      <alignment horizontal="center"/>
    </xf>
    <xf numFmtId="0" fontId="0" fillId="21" borderId="0" xfId="0" applyNumberFormat="1" applyFill="1" applyAlignment="1">
      <alignment horizontal="center"/>
    </xf>
    <xf numFmtId="0" fontId="0" fillId="22" borderId="0" xfId="0" applyNumberFormat="1" applyFill="1" applyAlignment="1">
      <alignment horizontal="center"/>
    </xf>
    <xf numFmtId="0" fontId="34" fillId="21" borderId="0" xfId="0" applyNumberFormat="1" applyFont="1" applyFill="1" applyAlignment="1">
      <alignment horizontal="center"/>
    </xf>
    <xf numFmtId="1" fontId="0" fillId="21" borderId="0" xfId="0" applyNumberFormat="1" applyFill="1" applyAlignment="1">
      <alignment horizontal="center"/>
    </xf>
    <xf numFmtId="16" fontId="0" fillId="23" borderId="0" xfId="0" applyNumberFormat="1" applyFill="1" applyAlignment="1">
      <alignment horizontal="center"/>
    </xf>
    <xf numFmtId="0" fontId="0" fillId="23" borderId="0" xfId="0" applyFill="1" applyAlignment="1">
      <alignment horizontal="center"/>
    </xf>
    <xf numFmtId="0" fontId="0" fillId="23" borderId="0" xfId="0" applyNumberFormat="1" applyFill="1" applyAlignment="1">
      <alignment horizontal="center"/>
    </xf>
    <xf numFmtId="0" fontId="0" fillId="24" borderId="0" xfId="0" applyNumberFormat="1" applyFill="1" applyAlignment="1">
      <alignment horizontal="center"/>
    </xf>
    <xf numFmtId="0" fontId="34" fillId="23" borderId="0" xfId="0" applyNumberFormat="1" applyFont="1" applyFill="1" applyAlignment="1">
      <alignment horizontal="center"/>
    </xf>
    <xf numFmtId="1" fontId="0" fillId="23" borderId="0" xfId="0" applyNumberFormat="1" applyFill="1" applyAlignment="1">
      <alignment horizontal="center"/>
    </xf>
    <xf numFmtId="0" fontId="7" fillId="5" borderId="22" xfId="0" applyFont="1" applyFill="1" applyBorder="1" applyAlignment="1">
      <alignment horizontal="center"/>
    </xf>
    <xf numFmtId="0" fontId="35" fillId="0" borderId="21" xfId="0" applyFont="1" applyBorder="1" applyAlignment="1">
      <alignment horizontal="center"/>
    </xf>
    <xf numFmtId="0" fontId="1" fillId="1" borderId="23" xfId="0" applyFont="1" applyFill="1" applyBorder="1" applyAlignment="1">
      <alignment horizontal="center"/>
    </xf>
    <xf numFmtId="0" fontId="18" fillId="1" borderId="23" xfId="0" applyFont="1" applyFill="1" applyBorder="1" applyAlignment="1">
      <alignment horizontal="center"/>
    </xf>
    <xf numFmtId="0" fontId="1" fillId="13" borderId="0" xfId="0" applyFont="1" applyFill="1" applyAlignment="1">
      <alignment horizontal="center"/>
    </xf>
    <xf numFmtId="0" fontId="1" fillId="0" borderId="23" xfId="0" applyFont="1" applyBorder="1" applyAlignment="1">
      <alignment horizontal="center"/>
    </xf>
    <xf numFmtId="1" fontId="0" fillId="0" borderId="23" xfId="0" applyNumberFormat="1" applyBorder="1" applyAlignment="1">
      <alignment horizontal="center"/>
    </xf>
    <xf numFmtId="0" fontId="0" fillId="0" borderId="23" xfId="0" applyNumberFormat="1" applyBorder="1" applyAlignment="1">
      <alignment horizontal="center"/>
    </xf>
    <xf numFmtId="0" fontId="0" fillId="5" borderId="23" xfId="0" applyNumberFormat="1" applyFill="1" applyBorder="1" applyAlignment="1">
      <alignment horizontal="center"/>
    </xf>
    <xf numFmtId="0" fontId="24" fillId="5" borderId="23" xfId="0" applyNumberFormat="1" applyFont="1" applyFill="1" applyBorder="1" applyAlignment="1">
      <alignment horizontal="center"/>
    </xf>
    <xf numFmtId="0" fontId="0" fillId="16" borderId="23" xfId="0" applyNumberFormat="1" applyFill="1" applyBorder="1" applyAlignment="1">
      <alignment horizontal="center"/>
    </xf>
    <xf numFmtId="0" fontId="0" fillId="0" borderId="23" xfId="0" applyBorder="1" applyAlignment="1">
      <alignment horizontal="center"/>
    </xf>
    <xf numFmtId="1" fontId="14" fillId="4" borderId="23" xfId="6" applyNumberFormat="1" applyBorder="1" applyAlignment="1">
      <alignment horizontal="center"/>
    </xf>
    <xf numFmtId="0" fontId="0" fillId="5" borderId="24" xfId="0" applyNumberFormat="1" applyFill="1" applyBorder="1" applyAlignment="1">
      <alignment horizontal="center"/>
    </xf>
    <xf numFmtId="9" fontId="24" fillId="5" borderId="0" xfId="11" applyFont="1" applyFill="1" applyAlignment="1">
      <alignment horizontal="center"/>
    </xf>
    <xf numFmtId="9" fontId="24" fillId="5" borderId="23" xfId="11" applyFont="1" applyFill="1" applyBorder="1" applyAlignment="1">
      <alignment horizontal="center"/>
    </xf>
    <xf numFmtId="9" fontId="0" fillId="5" borderId="23" xfId="11" applyFont="1" applyFill="1" applyBorder="1" applyAlignment="1">
      <alignment horizontal="center"/>
    </xf>
    <xf numFmtId="9" fontId="0" fillId="5" borderId="0" xfId="11" applyFont="1" applyFill="1" applyAlignment="1">
      <alignment horizontal="center"/>
    </xf>
    <xf numFmtId="9" fontId="0" fillId="14" borderId="0" xfId="11" applyFont="1" applyFill="1" applyAlignment="1">
      <alignment horizontal="center"/>
    </xf>
    <xf numFmtId="0" fontId="24" fillId="5" borderId="0" xfId="0" applyNumberFormat="1" applyFont="1" applyFill="1" applyAlignment="1">
      <alignment horizontal="center" wrapText="1"/>
    </xf>
    <xf numFmtId="0" fontId="0" fillId="5" borderId="0" xfId="0" applyNumberFormat="1" applyFill="1"/>
    <xf numFmtId="0" fontId="1" fillId="23" borderId="0" xfId="0" applyFont="1" applyFill="1" applyAlignment="1">
      <alignment horizontal="center"/>
    </xf>
    <xf numFmtId="0" fontId="24" fillId="24" borderId="0" xfId="0" applyNumberFormat="1" applyFont="1" applyFill="1" applyAlignment="1">
      <alignment horizontal="center"/>
    </xf>
    <xf numFmtId="9" fontId="24" fillId="24" borderId="0" xfId="11" applyFont="1" applyFill="1" applyAlignment="1">
      <alignment horizontal="center"/>
    </xf>
    <xf numFmtId="9" fontId="0" fillId="24" borderId="0" xfId="11" applyFont="1" applyFill="1" applyAlignment="1">
      <alignment horizontal="center"/>
    </xf>
    <xf numFmtId="0" fontId="24" fillId="14" borderId="0" xfId="0" applyNumberFormat="1" applyFont="1" applyFill="1" applyAlignment="1">
      <alignment horizontal="center"/>
    </xf>
    <xf numFmtId="9" fontId="24" fillId="14" borderId="0" xfId="11" applyFont="1" applyFill="1" applyAlignment="1">
      <alignment horizontal="center"/>
    </xf>
    <xf numFmtId="0" fontId="27" fillId="25" borderId="0" xfId="0" applyFont="1" applyFill="1" applyAlignment="1">
      <alignment horizontal="center" wrapText="1"/>
    </xf>
    <xf numFmtId="0" fontId="38" fillId="25" borderId="0" xfId="0" applyFont="1" applyFill="1" applyAlignment="1">
      <alignment wrapText="1"/>
    </xf>
    <xf numFmtId="0" fontId="36" fillId="26" borderId="0" xfId="0" applyFont="1" applyFill="1"/>
    <xf numFmtId="1" fontId="38" fillId="26" borderId="0" xfId="0" applyNumberFormat="1" applyFont="1" applyFill="1"/>
    <xf numFmtId="0" fontId="37" fillId="26" borderId="0" xfId="0" applyFont="1" applyFill="1"/>
    <xf numFmtId="2" fontId="38" fillId="26" borderId="0" xfId="0" applyNumberFormat="1" applyFont="1" applyFill="1"/>
    <xf numFmtId="0" fontId="38" fillId="25" borderId="0" xfId="0" applyFont="1" applyFill="1"/>
    <xf numFmtId="2" fontId="38" fillId="25" borderId="0" xfId="0" applyNumberFormat="1" applyFont="1" applyFill="1"/>
    <xf numFmtId="1" fontId="38" fillId="25" borderId="0" xfId="0" applyNumberFormat="1" applyFont="1" applyFill="1"/>
    <xf numFmtId="164" fontId="38" fillId="25" borderId="0" xfId="0" applyNumberFormat="1" applyFont="1" applyFill="1"/>
    <xf numFmtId="0" fontId="40" fillId="25" borderId="0" xfId="0" applyFont="1" applyFill="1"/>
    <xf numFmtId="1" fontId="40" fillId="25" borderId="0" xfId="0" applyNumberFormat="1" applyFont="1" applyFill="1"/>
    <xf numFmtId="165" fontId="27" fillId="25" borderId="0" xfId="0" applyNumberFormat="1" applyFont="1" applyFill="1"/>
    <xf numFmtId="0" fontId="9" fillId="25" borderId="0" xfId="0" applyFont="1" applyFill="1" applyAlignment="1">
      <alignment horizontal="center" wrapText="1"/>
    </xf>
    <xf numFmtId="0" fontId="0" fillId="25" borderId="0" xfId="0" applyFill="1" applyAlignment="1">
      <alignment wrapText="1"/>
    </xf>
    <xf numFmtId="0" fontId="41" fillId="26" borderId="0" xfId="0" applyFont="1" applyFill="1"/>
    <xf numFmtId="1" fontId="43" fillId="26" borderId="0" xfId="0" applyNumberFormat="1" applyFont="1" applyFill="1"/>
    <xf numFmtId="0" fontId="42" fillId="26" borderId="0" xfId="0" applyFont="1" applyFill="1"/>
    <xf numFmtId="2" fontId="43" fillId="26" borderId="0" xfId="0" applyNumberFormat="1" applyFont="1" applyFill="1"/>
    <xf numFmtId="0" fontId="43" fillId="25" borderId="0" xfId="0" applyFont="1" applyFill="1"/>
    <xf numFmtId="2" fontId="43" fillId="25" borderId="0" xfId="0" applyNumberFormat="1" applyFont="1" applyFill="1"/>
    <xf numFmtId="1" fontId="43" fillId="25" borderId="0" xfId="0" applyNumberFormat="1" applyFont="1" applyFill="1"/>
    <xf numFmtId="164" fontId="43" fillId="25" borderId="0" xfId="0" applyNumberFormat="1" applyFont="1" applyFill="1"/>
    <xf numFmtId="0" fontId="45" fillId="25" borderId="0" xfId="0" applyFont="1" applyFill="1"/>
    <xf numFmtId="1" fontId="45" fillId="25" borderId="0" xfId="0" applyNumberFormat="1" applyFont="1" applyFill="1"/>
    <xf numFmtId="165" fontId="45" fillId="25" borderId="0" xfId="0" applyNumberFormat="1" applyFont="1" applyFill="1"/>
    <xf numFmtId="0" fontId="46" fillId="26" borderId="0" xfId="0" applyFont="1" applyFill="1"/>
    <xf numFmtId="0" fontId="47" fillId="26" borderId="0" xfId="0" applyNumberFormat="1" applyFont="1" applyFill="1"/>
    <xf numFmtId="0" fontId="48" fillId="25" borderId="0" xfId="0" applyFont="1" applyFill="1" applyAlignment="1">
      <alignment horizontal="center" wrapText="1"/>
    </xf>
    <xf numFmtId="0" fontId="50" fillId="25" borderId="0" xfId="0" applyFont="1" applyFill="1" applyAlignment="1">
      <alignment wrapText="1"/>
    </xf>
    <xf numFmtId="0" fontId="48" fillId="25" borderId="0" xfId="0" applyFont="1" applyFill="1"/>
    <xf numFmtId="1" fontId="48" fillId="25" borderId="0" xfId="0" applyNumberFormat="1" applyFont="1" applyFill="1"/>
    <xf numFmtId="165" fontId="48" fillId="25" borderId="0" xfId="0" applyNumberFormat="1" applyFont="1" applyFill="1"/>
    <xf numFmtId="0" fontId="49" fillId="26" borderId="0" xfId="0" applyFont="1" applyFill="1"/>
    <xf numFmtId="0" fontId="50" fillId="26" borderId="0" xfId="0" applyNumberFormat="1" applyFont="1" applyFill="1"/>
    <xf numFmtId="0" fontId="8" fillId="25" borderId="0" xfId="0" applyFont="1" applyFill="1" applyAlignment="1">
      <alignment horizontal="center" wrapText="1"/>
    </xf>
    <xf numFmtId="0" fontId="7" fillId="25" borderId="0" xfId="0" applyFont="1" applyFill="1" applyAlignment="1">
      <alignment wrapText="1"/>
    </xf>
    <xf numFmtId="0" fontId="51" fillId="25" borderId="0" xfId="0" applyFont="1" applyFill="1"/>
    <xf numFmtId="1" fontId="51" fillId="25" borderId="0" xfId="0" applyNumberFormat="1" applyFont="1" applyFill="1"/>
    <xf numFmtId="165" fontId="51" fillId="25" borderId="0" xfId="0" applyNumberFormat="1" applyFont="1" applyFill="1"/>
    <xf numFmtId="0" fontId="0" fillId="25" borderId="0" xfId="0" applyFill="1"/>
    <xf numFmtId="0" fontId="0" fillId="0" borderId="0" xfId="0"/>
    <xf numFmtId="0" fontId="24" fillId="5" borderId="0" xfId="11" applyNumberFormat="1" applyFont="1" applyFill="1" applyAlignment="1">
      <alignment horizontal="center"/>
    </xf>
    <xf numFmtId="0" fontId="24" fillId="5" borderId="23" xfId="11" applyNumberFormat="1" applyFont="1" applyFill="1" applyBorder="1" applyAlignment="1">
      <alignment horizontal="center"/>
    </xf>
    <xf numFmtId="0" fontId="24" fillId="24" borderId="0" xfId="11" applyNumberFormat="1" applyFont="1" applyFill="1" applyAlignment="1">
      <alignment horizontal="center"/>
    </xf>
    <xf numFmtId="0" fontId="24" fillId="14" borderId="0" xfId="11" applyNumberFormat="1" applyFont="1" applyFill="1" applyAlignment="1">
      <alignment horizontal="center"/>
    </xf>
    <xf numFmtId="0" fontId="0" fillId="5" borderId="23" xfId="11" applyNumberFormat="1" applyFont="1" applyFill="1" applyBorder="1" applyAlignment="1">
      <alignment horizontal="center"/>
    </xf>
    <xf numFmtId="0" fontId="0" fillId="5" borderId="0" xfId="11" applyNumberFormat="1" applyFont="1" applyFill="1" applyAlignment="1">
      <alignment horizontal="center"/>
    </xf>
    <xf numFmtId="0" fontId="0" fillId="24" borderId="0" xfId="11" applyNumberFormat="1" applyFont="1" applyFill="1" applyAlignment="1">
      <alignment horizontal="center"/>
    </xf>
    <xf numFmtId="0" fontId="0" fillId="14" borderId="0" xfId="11" applyNumberFormat="1" applyFont="1" applyFill="1" applyAlignment="1">
      <alignment horizontal="center"/>
    </xf>
    <xf numFmtId="0" fontId="1" fillId="5" borderId="0" xfId="11" applyNumberFormat="1" applyFont="1" applyFill="1" applyAlignment="1">
      <alignment horizontal="center"/>
    </xf>
    <xf numFmtId="0" fontId="1" fillId="5" borderId="23" xfId="11" applyNumberFormat="1" applyFont="1" applyFill="1" applyBorder="1" applyAlignment="1">
      <alignment horizontal="center"/>
    </xf>
    <xf numFmtId="0" fontId="9" fillId="19" borderId="25" xfId="0" applyFont="1" applyFill="1" applyBorder="1" applyAlignment="1">
      <alignment horizontal="center"/>
    </xf>
    <xf numFmtId="1" fontId="32" fillId="19" borderId="25" xfId="0" applyNumberFormat="1" applyFont="1" applyFill="1" applyBorder="1" applyAlignment="1">
      <alignment horizontal="center"/>
    </xf>
    <xf numFmtId="0" fontId="32" fillId="19" borderId="25" xfId="0" applyNumberFormat="1" applyFont="1" applyFill="1" applyBorder="1" applyAlignment="1">
      <alignment horizontal="center"/>
    </xf>
    <xf numFmtId="0" fontId="32" fillId="20" borderId="25" xfId="0" applyNumberFormat="1" applyFont="1" applyFill="1" applyBorder="1" applyAlignment="1">
      <alignment horizontal="center"/>
    </xf>
    <xf numFmtId="0" fontId="27" fillId="20" borderId="25" xfId="0" applyNumberFormat="1" applyFont="1" applyFill="1" applyBorder="1" applyAlignment="1">
      <alignment horizontal="center"/>
    </xf>
    <xf numFmtId="9" fontId="27" fillId="20" borderId="25" xfId="11" applyFont="1" applyFill="1" applyBorder="1" applyAlignment="1">
      <alignment horizontal="center"/>
    </xf>
    <xf numFmtId="0" fontId="9" fillId="5" borderId="25" xfId="11" applyNumberFormat="1" applyFont="1" applyFill="1" applyBorder="1" applyAlignment="1">
      <alignment horizontal="center"/>
    </xf>
    <xf numFmtId="0" fontId="52" fillId="19" borderId="25" xfId="0" applyNumberFormat="1" applyFont="1" applyFill="1" applyBorder="1" applyAlignment="1">
      <alignment horizontal="center"/>
    </xf>
    <xf numFmtId="0" fontId="32" fillId="19" borderId="25" xfId="0" applyFont="1" applyFill="1" applyBorder="1" applyAlignment="1">
      <alignment horizontal="center"/>
    </xf>
    <xf numFmtId="9" fontId="32" fillId="20" borderId="25" xfId="11" applyFont="1" applyFill="1" applyBorder="1" applyAlignment="1">
      <alignment horizontal="center"/>
    </xf>
    <xf numFmtId="0" fontId="32" fillId="20" borderId="25" xfId="11" applyNumberFormat="1" applyFont="1" applyFill="1" applyBorder="1" applyAlignment="1">
      <alignment horizontal="center"/>
    </xf>
    <xf numFmtId="0" fontId="27" fillId="20" borderId="25" xfId="11" applyNumberFormat="1" applyFont="1" applyFill="1" applyBorder="1" applyAlignment="1">
      <alignment horizontal="center"/>
    </xf>
    <xf numFmtId="0" fontId="32" fillId="20" borderId="26" xfId="0" applyNumberFormat="1" applyFont="1" applyFill="1" applyBorder="1" applyAlignment="1">
      <alignment horizontal="center"/>
    </xf>
    <xf numFmtId="0" fontId="24" fillId="5" borderId="0" xfId="0" applyNumberFormat="1" applyFont="1" applyFill="1" applyBorder="1" applyAlignment="1">
      <alignment horizontal="center"/>
    </xf>
    <xf numFmtId="9" fontId="0" fillId="0" borderId="0" xfId="0" applyNumberFormat="1"/>
    <xf numFmtId="0" fontId="35" fillId="0" borderId="0" xfId="0" applyFont="1" applyBorder="1" applyAlignment="1">
      <alignment horizontal="center"/>
    </xf>
    <xf numFmtId="0" fontId="35" fillId="0" borderId="27" xfId="0" applyFont="1" applyBorder="1" applyAlignment="1">
      <alignment horizontal="center"/>
    </xf>
    <xf numFmtId="170" fontId="0" fillId="0" borderId="0" xfId="0" applyNumberFormat="1" applyAlignment="1">
      <alignment horizontal="center"/>
    </xf>
    <xf numFmtId="170" fontId="3" fillId="11" borderId="0" xfId="0" applyNumberFormat="1" applyFont="1" applyFill="1" applyAlignment="1">
      <alignment horizontal="center"/>
    </xf>
    <xf numFmtId="0" fontId="18" fillId="0" borderId="0" xfId="0" applyFont="1" applyAlignment="1">
      <alignment horizontal="center" vertical="center"/>
    </xf>
    <xf numFmtId="168" fontId="18" fillId="0" borderId="0" xfId="0" applyNumberFormat="1" applyFont="1" applyAlignment="1">
      <alignment horizontal="center" vertical="center"/>
    </xf>
    <xf numFmtId="168" fontId="7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67" fontId="18" fillId="0" borderId="0" xfId="0" applyNumberFormat="1" applyFont="1" applyAlignment="1">
      <alignment horizontal="center" vertical="center"/>
    </xf>
    <xf numFmtId="168" fontId="1" fillId="0" borderId="0" xfId="0" applyNumberFormat="1" applyFont="1" applyAlignment="1">
      <alignment horizontal="center" vertical="center"/>
    </xf>
    <xf numFmtId="167" fontId="1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167" fontId="7" fillId="0" borderId="0" xfId="0" applyNumberFormat="1" applyFont="1" applyAlignment="1">
      <alignment horizontal="center" vertical="center"/>
    </xf>
    <xf numFmtId="0" fontId="10" fillId="0" borderId="0" xfId="2"/>
    <xf numFmtId="0" fontId="13" fillId="0" borderId="11" xfId="5" applyBorder="1" applyAlignment="1">
      <alignment horizontal="left" vertical="center"/>
    </xf>
    <xf numFmtId="0" fontId="11" fillId="0" borderId="8" xfId="3"/>
    <xf numFmtId="0" fontId="13" fillId="0" borderId="10" xfId="5" applyAlignment="1">
      <alignment horizontal="left" vertical="center"/>
    </xf>
    <xf numFmtId="0" fontId="0" fillId="0" borderId="0" xfId="0"/>
    <xf numFmtId="0" fontId="5" fillId="10" borderId="0" xfId="8"/>
    <xf numFmtId="0" fontId="3" fillId="11" borderId="13" xfId="0" applyFont="1" applyFill="1" applyBorder="1" applyAlignment="1">
      <alignment horizontal="center"/>
    </xf>
    <xf numFmtId="0" fontId="12" fillId="0" borderId="17" xfId="4" applyBorder="1"/>
    <xf numFmtId="0" fontId="32" fillId="0" borderId="0" xfId="0" applyFont="1" applyAlignment="1">
      <alignment horizontal="center"/>
    </xf>
    <xf numFmtId="0" fontId="32" fillId="0" borderId="18" xfId="0" applyFont="1" applyBorder="1" applyAlignment="1">
      <alignment horizontal="center"/>
    </xf>
    <xf numFmtId="0" fontId="32" fillId="0" borderId="19" xfId="0" applyFont="1" applyBorder="1" applyAlignment="1">
      <alignment horizontal="center"/>
    </xf>
    <xf numFmtId="164" fontId="7" fillId="5" borderId="6" xfId="0" applyNumberFormat="1" applyFont="1" applyFill="1" applyBorder="1" applyAlignment="1">
      <alignment textRotation="255" wrapText="1"/>
    </xf>
    <xf numFmtId="164" fontId="7" fillId="5" borderId="3" xfId="0" applyNumberFormat="1" applyFont="1" applyFill="1" applyBorder="1" applyAlignment="1">
      <alignment textRotation="255" wrapText="1"/>
    </xf>
    <xf numFmtId="164" fontId="7" fillId="5" borderId="4" xfId="0" applyNumberFormat="1" applyFont="1" applyFill="1" applyBorder="1" applyAlignment="1">
      <alignment textRotation="255" wrapText="1"/>
    </xf>
    <xf numFmtId="0" fontId="12" fillId="0" borderId="9" xfId="4"/>
    <xf numFmtId="0" fontId="32" fillId="0" borderId="0" xfId="0" applyFont="1" applyBorder="1" applyAlignment="1">
      <alignment horizontal="center"/>
    </xf>
    <xf numFmtId="0" fontId="32" fillId="1" borderId="0" xfId="0" applyFont="1" applyFill="1" applyAlignment="1">
      <alignment horizontal="center"/>
    </xf>
    <xf numFmtId="0" fontId="32" fillId="1" borderId="0" xfId="0" applyFont="1" applyFill="1" applyBorder="1" applyAlignment="1">
      <alignment horizontal="center"/>
    </xf>
  </cellXfs>
  <cellStyles count="12">
    <cellStyle name="20% - Colore 2" xfId="7" builtinId="34"/>
    <cellStyle name="20% - Colore 6" xfId="10" builtinId="50"/>
    <cellStyle name="60% - Colore 1" xfId="8" builtinId="32"/>
    <cellStyle name="Neutrale" xfId="6" builtinId="28"/>
    <cellStyle name="Normale" xfId="0" builtinId="0"/>
    <cellStyle name="Nota" xfId="1" builtinId="10"/>
    <cellStyle name="Output" xfId="9" builtinId="21"/>
    <cellStyle name="Percentuale" xfId="11" builtinId="5"/>
    <cellStyle name="Titolo" xfId="2" builtinId="15"/>
    <cellStyle name="Titolo 1" xfId="3" builtinId="16"/>
    <cellStyle name="Titolo 2" xfId="4" builtinId="17"/>
    <cellStyle name="Titolo 3" xfId="5" builtinId="18"/>
  </cellStyles>
  <dxfs count="274"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70C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/>
        <outline val="0"/>
        <shadow val="0"/>
        <u val="none"/>
        <sz val="11"/>
        <name val="Calibri"/>
        <family val="2"/>
      </font>
      <fill>
        <patternFill patternType="darkGrid">
          <fgColor indexed="64"/>
        </patternFill>
      </fill>
    </dxf>
    <dxf>
      <font>
        <strike/>
        <outline val="0"/>
        <shadow val="0"/>
        <u val="none"/>
        <sz val="11"/>
        <name val="Calibri"/>
        <family val="2"/>
      </font>
      <fill>
        <patternFill patternType="darkGrid">
          <fgColor indexed="64"/>
        </patternFill>
      </fill>
    </dxf>
    <dxf>
      <fill>
        <patternFill patternType="darkGrid">
          <fgColor indexed="64"/>
        </patternFill>
      </fill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darkGrid">
          <fgColor indexed="64"/>
        </patternFill>
      </fill>
    </dxf>
    <dxf>
      <font>
        <strike/>
        <outline val="0"/>
        <shadow val="0"/>
        <u val="none"/>
        <sz val="11"/>
        <name val="Calibri"/>
        <family val="2"/>
      </font>
      <fill>
        <patternFill patternType="darkGrid">
          <fgColor indexed="64"/>
        </patternFill>
      </fill>
    </dxf>
    <dxf>
      <font>
        <strike/>
        <outline val="0"/>
        <shadow val="0"/>
        <u val="none"/>
        <sz val="11"/>
        <name val="Calibri"/>
        <family val="2"/>
      </font>
      <fill>
        <patternFill patternType="darkGrid">
          <fgColor indexed="64"/>
        </patternFill>
      </fill>
    </dxf>
    <dxf>
      <fill>
        <patternFill patternType="darkGrid">
          <fgColor indexed="64"/>
        </patternFill>
      </fill>
    </dxf>
    <dxf>
      <font>
        <strike/>
        <outline val="0"/>
        <shadow val="0"/>
        <u val="none"/>
        <vertAlign val="baseline"/>
        <sz val="11"/>
        <color rgb="FF00B050"/>
        <name val="Calibri"/>
        <family val="2"/>
        <scheme val="minor"/>
      </font>
      <fill>
        <patternFill patternType="darkGrid">
          <fgColor indexed="64"/>
        </patternFill>
      </fill>
    </dxf>
    <dxf>
      <font>
        <strike/>
        <outline val="0"/>
        <shadow val="0"/>
        <u val="none"/>
        <sz val="11"/>
        <name val="Calibri"/>
        <family val="2"/>
      </font>
      <fill>
        <patternFill patternType="darkGrid">
          <fgColor indexed="64"/>
        </patternFill>
      </fill>
    </dxf>
    <dxf>
      <font>
        <strike/>
        <outline val="0"/>
        <shadow val="0"/>
        <u val="none"/>
        <sz val="11"/>
        <name val="Calibri"/>
        <family val="2"/>
      </font>
      <fill>
        <patternFill patternType="darkGrid">
          <fgColor indexed="64"/>
        </patternFill>
      </fill>
    </dxf>
    <dxf>
      <fill>
        <patternFill patternType="darkGrid">
          <fgColor indexed="64"/>
        </patternFill>
      </fill>
    </dxf>
    <dxf>
      <fill>
        <patternFill patternType="darkGrid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  <scheme val="minor"/>
      </font>
      <fill>
        <patternFill patternType="darkGrid">
          <fgColor indexed="64"/>
        </patternFill>
      </fill>
    </dxf>
    <dxf>
      <font>
        <strike/>
        <outline val="0"/>
        <shadow val="0"/>
        <u val="none"/>
        <sz val="11"/>
        <color auto="1"/>
        <name val="Calibri"/>
        <family val="2"/>
        <scheme val="minor"/>
      </font>
      <fill>
        <patternFill patternType="darkGrid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  <scheme val="minor"/>
      </font>
      <fill>
        <patternFill patternType="darkGrid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</font>
      <fill>
        <patternFill patternType="darkGrid">
          <fgColor indexed="64"/>
        </patternFill>
      </fill>
    </dxf>
    <dxf>
      <fill>
        <patternFill patternType="gray0625">
          <fgColor indexed="64"/>
          <bgColor indexed="65"/>
        </patternFill>
      </fill>
    </dxf>
    <dxf>
      <numFmt numFmtId="0" formatCode="General"/>
      <fill>
        <patternFill patternType="gray0625">
          <fgColor indexed="64"/>
          <bgColor indexed="65"/>
        </patternFill>
      </fill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color auto="1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ill>
        <patternFill patternType="gray0625">
          <fgColor indexed="64"/>
          <bgColor indexed="65"/>
        </patternFill>
      </fill>
    </dxf>
    <dxf>
      <fill>
        <patternFill patternType="gray0625">
          <fgColor indexed="64"/>
          <bgColor indexed="65"/>
        </patternFill>
      </fill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color auto="1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ill>
        <patternFill patternType="gray0625">
          <fgColor indexed="64"/>
          <bgColor indexed="65"/>
        </patternFill>
      </fill>
    </dxf>
    <dxf>
      <fill>
        <patternFill patternType="gray0625">
          <fgColor indexed="64"/>
          <bgColor indexed="65"/>
        </patternFill>
      </fill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1" formatCode="dd\-mmm"/>
      <alignment horizontal="center" vertical="bottom" textRotation="0" wrapText="0" indent="0" justifyLastLine="0" shrinkToFit="0" readingOrder="0"/>
    </dxf>
    <dxf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00B050"/>
        <name val="Calibri"/>
        <family val="2"/>
        <scheme val="minor"/>
      </font>
    </dxf>
    <dxf>
      <font>
        <strike val="0"/>
        <outline val="0"/>
        <shadow val="0"/>
        <u val="none"/>
        <sz val="11"/>
        <color auto="1"/>
        <name val="Calibri"/>
        <family val="2"/>
        <scheme val="minor"/>
      </font>
      <fill>
        <patternFill patternType="solid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  <scheme val="minor"/>
      </font>
      <fill>
        <patternFill patternType="solid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  <scheme val="minor"/>
      </font>
      <fill>
        <patternFill patternType="solid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</font>
    </dxf>
    <dxf>
      <numFmt numFmtId="1" formatCode="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1" formatCode="dd\-mmm"/>
      <alignment horizontal="center" vertical="bottom" textRotation="0" wrapText="0" indent="0" justifyLastLine="0" shrinkToFit="0" readingOrder="0"/>
    </dxf>
    <dxf>
      <alignment horizontal="center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rgb="FF00B050"/>
        <name val="Calibri"/>
        <family val="2"/>
        <scheme val="minor"/>
      </font>
    </dxf>
    <dxf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sz val="11"/>
        <color theme="3"/>
        <name val="Calibri"/>
        <family val="2"/>
        <scheme val="minor"/>
      </font>
    </dxf>
    <dxf>
      <font>
        <strike val="0"/>
        <outline val="0"/>
        <shadow val="0"/>
        <u val="none"/>
        <sz val="11"/>
        <color theme="3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sz val="11"/>
        <color theme="3"/>
        <name val="Calibri"/>
        <family val="2"/>
        <scheme val="minor"/>
      </font>
    </dxf>
    <dxf>
      <font>
        <strike val="0"/>
        <outline val="0"/>
        <shadow val="0"/>
        <u val="none"/>
        <sz val="11"/>
        <color theme="3"/>
        <name val="Calibri"/>
        <family val="2"/>
        <scheme val="minor"/>
      </font>
    </dxf>
    <dxf>
      <numFmt numFmtId="1" formatCode="0"/>
      <alignment horizontal="center" vertical="bottom" textRotation="0" wrapText="1" indent="0" justifyLastLine="0" shrinkToFit="0" readingOrder="0"/>
    </dxf>
    <dxf>
      <numFmt numFmtId="1" formatCode="0"/>
      <fill>
        <patternFill patternType="solid">
          <fgColor indexed="64"/>
          <bgColor theme="9" tint="0.59999389629810485"/>
        </patternFill>
      </fill>
      <alignment horizontal="center" vertical="bottom" textRotation="0" wrapText="1" indent="0" justifyLastLine="0" shrinkToFit="0" readingOrder="0"/>
    </dxf>
    <dxf>
      <numFmt numFmtId="0" formatCode="General"/>
      <fill>
        <patternFill patternType="solid">
          <fgColor indexed="64"/>
          <bgColor theme="9" tint="0.59999389629810485"/>
        </patternFill>
      </fill>
      <alignment horizontal="center" vertical="bottom" textRotation="0" wrapText="1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1" indent="0" justifyLastLine="0" shrinkToFit="0" readingOrder="0"/>
    </dxf>
    <dxf>
      <numFmt numFmtId="1" formatCode="0"/>
      <fill>
        <patternFill patternType="solid">
          <fgColor indexed="64"/>
          <bgColor theme="7" tint="0.39997558519241921"/>
        </patternFill>
      </fill>
      <alignment horizontal="center" vertical="bottom" textRotation="0" wrapText="1" indent="0" justifyLastLine="0" shrinkToFit="0" readingOrder="0"/>
    </dxf>
    <dxf>
      <numFmt numFmtId="0" formatCode="General"/>
      <fill>
        <patternFill patternType="solid">
          <fgColor indexed="64"/>
          <bgColor theme="7" tint="0.39997558519241921"/>
        </patternFill>
      </fill>
      <alignment horizontal="center" vertical="bottom" textRotation="0" wrapText="1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1" indent="0" justifyLastLine="0" shrinkToFit="0" readingOrder="0"/>
    </dxf>
    <dxf>
      <numFmt numFmtId="1" formatCode="0"/>
      <fill>
        <patternFill patternType="solid">
          <fgColor indexed="64"/>
          <bgColor theme="4" tint="0.5999938962981048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4" tint="0.59999389629810485"/>
        </patternFill>
      </fill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</dxf>
    <dxf>
      <alignment horizontal="center" vertical="bottom" textRotation="0" wrapText="0" indent="0" justifyLastLine="0" shrinkToFit="0" readingOrder="0"/>
    </dxf>
    <dxf>
      <numFmt numFmtId="21" formatCode="dd\-mmm"/>
      <alignment horizontal="center" vertical="bottom" textRotation="0" wrapText="0" indent="0" justifyLastLine="0" shrinkToFit="0" readingOrder="0"/>
    </dxf>
    <dxf>
      <alignment horizontal="center" vertical="bottom" textRotation="0" wrapText="1" indent="0" justifyLastLine="0" shrinkToFit="0" readingOrder="0"/>
    </dxf>
    <dxf>
      <fill>
        <patternFill patternType="solid">
          <f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it-IT" sz="1800" b="1" i="0" baseline="0">
                <a:effectLst/>
              </a:rPr>
              <a:t>COVID-19 Italy Confirmed Cases </a:t>
            </a:r>
            <a:endParaRPr lang="it-IT">
              <a:effectLst/>
            </a:endParaRPr>
          </a:p>
          <a:p>
            <a:pPr>
              <a:defRPr/>
            </a:pPr>
            <a:r>
              <a:rPr lang="it-IT" sz="1800" b="1" i="0" baseline="0">
                <a:effectLst/>
              </a:rPr>
              <a:t>Cumulative Cases - LogN model displacements</a:t>
            </a:r>
            <a:endParaRPr lang="it-IT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0546164268848419"/>
          <c:y val="0.1523757215453829"/>
          <c:w val="0.67992425879723528"/>
          <c:h val="0.79451795610791842"/>
        </c:manualLayout>
      </c:layout>
      <c:scatterChart>
        <c:scatterStyle val="smoothMarker"/>
        <c:varyColors val="0"/>
        <c:ser>
          <c:idx val="1"/>
          <c:order val="1"/>
          <c:tx>
            <c:strRef>
              <c:f>'Cumul_cases - LNorm'!$F$7</c:f>
              <c:strCache>
                <c:ptCount val="1"/>
                <c:pt idx="0">
                  <c:v>Italy sum of regions</c:v>
                </c:pt>
              </c:strCache>
            </c:strRef>
          </c:tx>
          <c:spPr>
            <a:ln w="9525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LNorm'!$F$8:$F$184</c:f>
              <c:numCache>
                <c:formatCode>0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4.5004674482023335E-33</c:v>
                </c:pt>
                <c:pt idx="32">
                  <c:v>9.982998313231629E-21</c:v>
                </c:pt>
                <c:pt idx="33">
                  <c:v>4.0616974750038979E-15</c:v>
                </c:pt>
                <c:pt idx="34">
                  <c:v>1.1067531237093309E-11</c:v>
                </c:pt>
                <c:pt idx="35">
                  <c:v>2.706273601535887E-9</c:v>
                </c:pt>
                <c:pt idx="36">
                  <c:v>1.6452786763801899E-7</c:v>
                </c:pt>
                <c:pt idx="37">
                  <c:v>4.0922874212949553E-6</c:v>
                </c:pt>
                <c:pt idx="38">
                  <c:v>5.4980686627547732E-5</c:v>
                </c:pt>
                <c:pt idx="39">
                  <c:v>4.7268540916532232E-4</c:v>
                </c:pt>
                <c:pt idx="40">
                  <c:v>2.9037514905536042E-3</c:v>
                </c:pt>
                <c:pt idx="41">
                  <c:v>1.3744676062602434E-2</c:v>
                </c:pt>
                <c:pt idx="42">
                  <c:v>5.2892301194459222E-2</c:v>
                </c:pt>
                <c:pt idx="43">
                  <c:v>0.17211852188333596</c:v>
                </c:pt>
                <c:pt idx="44">
                  <c:v>0.48788730195463637</c:v>
                </c:pt>
                <c:pt idx="45">
                  <c:v>1.2325396545465104</c:v>
                </c:pt>
                <c:pt idx="46">
                  <c:v>2.8255460495103497</c:v>
                </c:pt>
                <c:pt idx="47">
                  <c:v>5.9639118879091244</c:v>
                </c:pt>
                <c:pt idx="48">
                  <c:v>11.729230736660888</c:v>
                </c:pt>
                <c:pt idx="49">
                  <c:v>21.709222970948375</c:v>
                </c:pt>
                <c:pt idx="50">
                  <c:v>38.133444094002002</c:v>
                </c:pt>
                <c:pt idx="51">
                  <c:v>64.024494720082998</c:v>
                </c:pt>
                <c:pt idx="52">
                  <c:v>103.36555302362525</c:v>
                </c:pt>
                <c:pt idx="53">
                  <c:v>161.28137187543177</c:v>
                </c:pt>
                <c:pt idx="54">
                  <c:v>244.2235783812792</c:v>
                </c:pt>
                <c:pt idx="55">
                  <c:v>360.14400750899983</c:v>
                </c:pt>
                <c:pt idx="56">
                  <c:v>518.63417298978618</c:v>
                </c:pt>
                <c:pt idx="57">
                  <c:v>731.00667902949851</c:v>
                </c:pt>
                <c:pt idx="58">
                  <c:v>1010.29626931027</c:v>
                </c:pt>
                <c:pt idx="59">
                  <c:v>1371.164054113412</c:v>
                </c:pt>
                <c:pt idx="60">
                  <c:v>1829.6971437101604</c:v>
                </c:pt>
                <c:pt idx="61">
                  <c:v>2403.10588496729</c:v>
                </c:pt>
                <c:pt idx="62">
                  <c:v>3109.3305548019885</c:v>
                </c:pt>
                <c:pt idx="63">
                  <c:v>3966.5774007833652</c:v>
                </c:pt>
                <c:pt idx="64">
                  <c:v>4992.8094864000268</c:v>
                </c:pt>
                <c:pt idx="65">
                  <c:v>6205.2205426203027</c:v>
                </c:pt>
                <c:pt idx="66">
                  <c:v>7619.7200291023146</c:v>
                </c:pt>
                <c:pt idx="67">
                  <c:v>9250.4552672215996</c:v>
                </c:pt>
                <c:pt idx="68">
                  <c:v>11109.392409622546</c:v>
                </c:pt>
                <c:pt idx="69">
                  <c:v>13205.97281082476</c:v>
                </c:pt>
                <c:pt idx="70">
                  <c:v>15546.85568695049</c:v>
                </c:pt>
                <c:pt idx="71">
                  <c:v>18135.752336390269</c:v>
                </c:pt>
                <c:pt idx="72">
                  <c:v>20973.352050556168</c:v>
                </c:pt>
                <c:pt idx="73">
                  <c:v>24057.335455797715</c:v>
                </c:pt>
                <c:pt idx="74">
                  <c:v>27382.467550749243</c:v>
                </c:pt>
                <c:pt idx="75">
                  <c:v>30940.760188690729</c:v>
                </c:pt>
                <c:pt idx="76">
                  <c:v>34721.692170457092</c:v>
                </c:pt>
                <c:pt idx="77">
                  <c:v>38712.47437050291</c:v>
                </c:pt>
                <c:pt idx="78">
                  <c:v>42898.34729166919</c:v>
                </c:pt>
                <c:pt idx="79">
                  <c:v>47262.898990850474</c:v>
                </c:pt>
                <c:pt idx="80">
                  <c:v>51788.392293714103</c:v>
                </c:pt>
                <c:pt idx="81">
                  <c:v>56456.091485776371</c:v>
                </c:pt>
                <c:pt idx="82">
                  <c:v>61246.580108486727</c:v>
                </c:pt>
                <c:pt idx="83">
                  <c:v>66140.063000390539</c:v>
                </c:pt>
                <c:pt idx="84">
                  <c:v>71116.64722294877</c:v>
                </c:pt>
                <c:pt idx="85">
                  <c:v>76156.597935979022</c:v>
                </c:pt>
                <c:pt idx="86">
                  <c:v>81240.566594869859</c:v>
                </c:pt>
                <c:pt idx="87">
                  <c:v>86349.790002497699</c:v>
                </c:pt>
                <c:pt idx="88">
                  <c:v>91466.259748193843</c:v>
                </c:pt>
                <c:pt idx="89">
                  <c:v>96572.862399826437</c:v>
                </c:pt>
                <c:pt idx="90">
                  <c:v>101653.49148685293</c:v>
                </c:pt>
                <c:pt idx="91">
                  <c:v>106693.13283167446</c:v>
                </c:pt>
                <c:pt idx="92">
                  <c:v>111677.92516733294</c:v>
                </c:pt>
                <c:pt idx="93">
                  <c:v>116595.19823737163</c:v>
                </c:pt>
                <c:pt idx="94">
                  <c:v>121433.49072542376</c:v>
                </c:pt>
                <c:pt idx="95">
                  <c:v>126182.5504247365</c:v>
                </c:pt>
                <c:pt idx="96">
                  <c:v>130833.31904764526</c:v>
                </c:pt>
                <c:pt idx="97">
                  <c:v>135377.90400714288</c:v>
                </c:pt>
                <c:pt idx="98">
                  <c:v>139809.53939077051</c:v>
                </c:pt>
                <c:pt idx="99">
                  <c:v>144122.53820318717</c:v>
                </c:pt>
                <c:pt idx="100">
                  <c:v>148312.23778828976</c:v>
                </c:pt>
                <c:pt idx="101">
                  <c:v>152374.94016345244</c:v>
                </c:pt>
                <c:pt idx="102">
                  <c:v>156307.84881447605</c:v>
                </c:pt>
                <c:pt idx="103">
                  <c:v>160109.00331601998</c:v>
                </c:pt>
                <c:pt idx="104">
                  <c:v>163777.21296308562</c:v>
                </c:pt>
                <c:pt idx="105">
                  <c:v>167311.99042796053</c:v>
                </c:pt>
                <c:pt idx="106">
                  <c:v>170713.48629632263</c:v>
                </c:pt>
                <c:pt idx="107">
                  <c:v>173982.42518758285</c:v>
                </c:pt>
                <c:pt idx="108">
                  <c:v>177120.04402895441</c:v>
                </c:pt>
                <c:pt idx="109">
                  <c:v>180128.03293061454</c:v>
                </c:pt>
                <c:pt idx="110">
                  <c:v>183008.4790006371</c:v>
                </c:pt>
                <c:pt idx="111">
                  <c:v>185763.81334280915</c:v>
                </c:pt>
                <c:pt idx="112">
                  <c:v>188396.76139740302</c:v>
                </c:pt>
                <c:pt idx="113">
                  <c:v>190910.29671371981</c:v>
                </c:pt>
                <c:pt idx="114">
                  <c:v>193307.598182883</c:v>
                </c:pt>
                <c:pt idx="115">
                  <c:v>195592.01070900948</c:v>
                </c:pt>
                <c:pt idx="116">
                  <c:v>197767.00925557717</c:v>
                </c:pt>
                <c:pt idx="117">
                  <c:v>199836.1661705788</c:v>
                </c:pt>
                <c:pt idx="118">
                  <c:v>201803.12166798054</c:v>
                </c:pt>
                <c:pt idx="119">
                  <c:v>203671.5573232102</c:v>
                </c:pt>
                <c:pt idx="120">
                  <c:v>205445.17242604817</c:v>
                </c:pt>
                <c:pt idx="121">
                  <c:v>207127.66302461133</c:v>
                </c:pt>
                <c:pt idx="122">
                  <c:v>208722.70348841036</c:v>
                </c:pt>
                <c:pt idx="123">
                  <c:v>210233.93041607417</c:v>
                </c:pt>
                <c:pt idx="124">
                  <c:v>211664.92871370498</c:v>
                </c:pt>
                <c:pt idx="125">
                  <c:v>213019.21967243735</c:v>
                </c:pt>
                <c:pt idx="126">
                  <c:v>214300.25087818265</c:v>
                </c:pt>
                <c:pt idx="127">
                  <c:v>215511.38779234685</c:v>
                </c:pt>
                <c:pt idx="128">
                  <c:v>216655.90684917575</c:v>
                </c:pt>
                <c:pt idx="129">
                  <c:v>217736.9899230242</c:v>
                </c:pt>
                <c:pt idx="130">
                  <c:v>218757.72002700187</c:v>
                </c:pt>
                <c:pt idx="131">
                  <c:v>219721.07811292523</c:v>
                </c:pt>
                <c:pt idx="132">
                  <c:v>220629.94085111681</c:v>
                </c:pt>
                <c:pt idx="133">
                  <c:v>221487.07927720773</c:v>
                </c:pt>
                <c:pt idx="134">
                  <c:v>222295.15820159164</c:v>
                </c:pt>
                <c:pt idx="135">
                  <c:v>223056.73628546734</c:v>
                </c:pt>
                <c:pt idx="136">
                  <c:v>223774.2666954124</c:v>
                </c:pt>
                <c:pt idx="137">
                  <c:v>224450.09825610532</c:v>
                </c:pt>
                <c:pt idx="138">
                  <c:v>225086.47702811612</c:v>
                </c:pt>
                <c:pt idx="139">
                  <c:v>225685.54824459017</c:v>
                </c:pt>
                <c:pt idx="140">
                  <c:v>226249.35854714314</c:v>
                </c:pt>
                <c:pt idx="141">
                  <c:v>226779.85846735528</c:v>
                </c:pt>
                <c:pt idx="142">
                  <c:v>227278.90510590805</c:v>
                </c:pt>
                <c:pt idx="143">
                  <c:v>227748.2649666428</c:v>
                </c:pt>
                <c:pt idx="144">
                  <c:v>228189.61690765643</c:v>
                </c:pt>
                <c:pt idx="145">
                  <c:v>228604.5551759933</c:v>
                </c:pt>
                <c:pt idx="146">
                  <c:v>228994.59249656362</c:v>
                </c:pt>
                <c:pt idx="147">
                  <c:v>229361.16318963227</c:v>
                </c:pt>
                <c:pt idx="148">
                  <c:v>229705.62629460136</c:v>
                </c:pt>
                <c:pt idx="149">
                  <c:v>230029.26868087053</c:v>
                </c:pt>
                <c:pt idx="150">
                  <c:v>230333.30812932408</c:v>
                </c:pt>
                <c:pt idx="151">
                  <c:v>230618.8963704842</c:v>
                </c:pt>
                <c:pt idx="152">
                  <c:v>230887.12206760075</c:v>
                </c:pt>
                <c:pt idx="153">
                  <c:v>231139.01373494638</c:v>
                </c:pt>
                <c:pt idx="154">
                  <c:v>231375.54258336208</c:v>
                </c:pt>
                <c:pt idx="155">
                  <c:v>231597.62528667797</c:v>
                </c:pt>
                <c:pt idx="156">
                  <c:v>231806.12666402874</c:v>
                </c:pt>
                <c:pt idx="157">
                  <c:v>232001.86227431142</c:v>
                </c:pt>
                <c:pt idx="158">
                  <c:v>232185.60092011085</c:v>
                </c:pt>
                <c:pt idx="159">
                  <c:v>232358.06705935643</c:v>
                </c:pt>
                <c:pt idx="160">
                  <c:v>232519.94312379044</c:v>
                </c:pt>
                <c:pt idx="161">
                  <c:v>232671.8717440301</c:v>
                </c:pt>
                <c:pt idx="162">
                  <c:v>232814.45788160968</c:v>
                </c:pt>
                <c:pt idx="163">
                  <c:v>232948.27086890029</c:v>
                </c:pt>
                <c:pt idx="164">
                  <c:v>233073.84635823951</c:v>
                </c:pt>
                <c:pt idx="165">
                  <c:v>233191.68818196113</c:v>
                </c:pt>
                <c:pt idx="166">
                  <c:v>233302.27012531471</c:v>
                </c:pt>
                <c:pt idx="167">
                  <c:v>233406.03761450434</c:v>
                </c:pt>
                <c:pt idx="168">
                  <c:v>233503.40932226798</c:v>
                </c:pt>
                <c:pt idx="169">
                  <c:v>233594.77869356587</c:v>
                </c:pt>
                <c:pt idx="170">
                  <c:v>233680.51539405785</c:v>
                </c:pt>
                <c:pt idx="171">
                  <c:v>233760.96668412344</c:v>
                </c:pt>
                <c:pt idx="172">
                  <c:v>233836.45872122922</c:v>
                </c:pt>
                <c:pt idx="173">
                  <c:v>233907.29779346852</c:v>
                </c:pt>
                <c:pt idx="174">
                  <c:v>233973.77148710235</c:v>
                </c:pt>
                <c:pt idx="175">
                  <c:v>234036.1497909117</c:v>
                </c:pt>
                <c:pt idx="176">
                  <c:v>234094.68614014282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97-44AA-A96B-8DCC64E76E94}"/>
            </c:ext>
          </c:extLst>
        </c:ser>
        <c:ser>
          <c:idx val="12"/>
          <c:order val="2"/>
          <c:tx>
            <c:strRef>
              <c:f>'Cumul_cases - LNorm'!$I$7</c:f>
              <c:strCache>
                <c:ptCount val="1"/>
                <c:pt idx="0">
                  <c:v>Italy fit</c:v>
                </c:pt>
              </c:strCache>
            </c:strRef>
          </c:tx>
          <c:spPr>
            <a:ln w="9525" cap="rnd">
              <a:solidFill>
                <a:srgbClr val="0070C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LNorm'!$I$8:$I$184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1.2186525250989826E-49</c:v>
                </c:pt>
                <c:pt idx="32">
                  <c:v>2.2973690458980703E-28</c:v>
                </c:pt>
                <c:pt idx="33">
                  <c:v>2.8069230466772731E-20</c:v>
                </c:pt>
                <c:pt idx="34">
                  <c:v>1.3857888971887324E-15</c:v>
                </c:pt>
                <c:pt idx="35">
                  <c:v>2.0823402486464643E-12</c:v>
                </c:pt>
                <c:pt idx="36">
                  <c:v>4.501955402814469E-10</c:v>
                </c:pt>
                <c:pt idx="37">
                  <c:v>2.8876918843484096E-8</c:v>
                </c:pt>
                <c:pt idx="38">
                  <c:v>8.1291660405198682E-7</c:v>
                </c:pt>
                <c:pt idx="39">
                  <c:v>1.2688925762854161E-5</c:v>
                </c:pt>
                <c:pt idx="40">
                  <c:v>1.2756894283845585E-4</c:v>
                </c:pt>
                <c:pt idx="41">
                  <c:v>9.1402821745318599E-4</c:v>
                </c:pt>
                <c:pt idx="42">
                  <c:v>5.0121003400024787E-3</c:v>
                </c:pt>
                <c:pt idx="43">
                  <c:v>2.2154310095265854E-2</c:v>
                </c:pt>
                <c:pt idx="44">
                  <c:v>8.2060546897765735E-2</c:v>
                </c:pt>
                <c:pt idx="45">
                  <c:v>0.26239467251559667</c:v>
                </c:pt>
                <c:pt idx="46">
                  <c:v>0.74130172007041095</c:v>
                </c:pt>
                <c:pt idx="47">
                  <c:v>1.8847411036195787</c:v>
                </c:pt>
                <c:pt idx="48">
                  <c:v>4.3768973631711958</c:v>
                </c:pt>
                <c:pt idx="49">
                  <c:v>9.3970979442358509</c:v>
                </c:pt>
                <c:pt idx="50">
                  <c:v>18.839505530649845</c:v>
                </c:pt>
                <c:pt idx="51">
                  <c:v>35.563717330267153</c:v>
                </c:pt>
                <c:pt idx="52">
                  <c:v>63.656950488563709</c:v>
                </c:pt>
                <c:pt idx="53">
                  <c:v>108.68322883616682</c:v>
                </c:pt>
                <c:pt idx="54">
                  <c:v>177.89291256402961</c:v>
                </c:pt>
                <c:pt idx="55">
                  <c:v>280.36735611097754</c:v>
                </c:pt>
                <c:pt idx="56">
                  <c:v>427.07811706368591</c:v>
                </c:pt>
                <c:pt idx="57">
                  <c:v>630.84715786776644</c:v>
                </c:pt>
                <c:pt idx="58">
                  <c:v>906.20280733092886</c:v>
                </c:pt>
                <c:pt idx="59">
                  <c:v>1269.1347662049882</c:v>
                </c:pt>
                <c:pt idx="60">
                  <c:v>1736.7591757755515</c:v>
                </c:pt>
                <c:pt idx="61">
                  <c:v>2326.9109965351204</c:v>
                </c:pt>
                <c:pt idx="62">
                  <c:v>3057.6852377631972</c:v>
                </c:pt>
                <c:pt idx="63">
                  <c:v>3946.950796681635</c:v>
                </c:pt>
                <c:pt idx="64">
                  <c:v>5011.860906359665</c:v>
                </c:pt>
                <c:pt idx="65">
                  <c:v>6268.3827280753967</c:v>
                </c:pt>
                <c:pt idx="66">
                  <c:v>7730.8658351714957</c:v>
                </c:pt>
                <c:pt idx="67">
                  <c:v>9411.6656426695663</c:v>
                </c:pt>
                <c:pt idx="68">
                  <c:v>11320.833652693669</c:v>
                </c:pt>
                <c:pt idx="69">
                  <c:v>13465.882078228418</c:v>
                </c:pt>
                <c:pt idx="70">
                  <c:v>15851.626278701038</c:v>
                </c:pt>
                <c:pt idx="71">
                  <c:v>18480.104716344176</c:v>
                </c:pt>
                <c:pt idx="72">
                  <c:v>21350.572972603877</c:v>
                </c:pt>
                <c:pt idx="73">
                  <c:v>24459.565830411917</c:v>
                </c:pt>
                <c:pt idx="74">
                  <c:v>27801.019554172199</c:v>
                </c:pt>
                <c:pt idx="75">
                  <c:v>31366.445262399022</c:v>
                </c:pt>
                <c:pt idx="76">
                  <c:v>35145.1436326927</c:v>
                </c:pt>
                <c:pt idx="77">
                  <c:v>39124.451028498035</c:v>
                </c:pt>
                <c:pt idx="78">
                  <c:v>43290.007403986529</c:v>
                </c:pt>
                <c:pt idx="79">
                  <c:v>47626.036936478224</c:v>
                </c:pt>
                <c:pt idx="80">
                  <c:v>52115.633167139393</c:v>
                </c:pt>
                <c:pt idx="81">
                  <c:v>56741.041419626286</c:v>
                </c:pt>
                <c:pt idx="82">
                  <c:v>61483.932342251152</c:v>
                </c:pt>
                <c:pt idx="83">
                  <c:v>66325.661522775845</c:v>
                </c:pt>
                <c:pt idx="84">
                  <c:v>71247.51120842305</c:v>
                </c:pt>
                <c:pt idx="85">
                  <c:v>76230.911190638726</c:v>
                </c:pt>
                <c:pt idx="86">
                  <c:v>81257.636858365309</c:v>
                </c:pt>
                <c:pt idx="87">
                  <c:v>86309.98326793914</c:v>
                </c:pt>
                <c:pt idx="88">
                  <c:v>91370.914812723233</c:v>
                </c:pt>
                <c:pt idx="89">
                  <c:v>96424.190697983926</c:v>
                </c:pt>
                <c:pt idx="90">
                  <c:v>101454.46693801886</c:v>
                </c:pt>
                <c:pt idx="91">
                  <c:v>106447.37599845715</c:v>
                </c:pt>
                <c:pt idx="92">
                  <c:v>111389.58551494063</c:v>
                </c:pt>
                <c:pt idx="93">
                  <c:v>116268.83773965859</c:v>
                </c:pt>
                <c:pt idx="94">
                  <c:v>121073.97150995432</c:v>
                </c:pt>
                <c:pt idx="95">
                  <c:v>125794.92860924851</c:v>
                </c:pt>
                <c:pt idx="96">
                  <c:v>130422.74641050897</c:v>
                </c:pt>
                <c:pt idx="97">
                  <c:v>134949.53866653281</c:v>
                </c:pt>
                <c:pt idx="98">
                  <c:v>139368.46624883637</c:v>
                </c:pt>
                <c:pt idx="99">
                  <c:v>143673.69954644406</c:v>
                </c:pt>
                <c:pt idx="100">
                  <c:v>147860.37412487992</c:v>
                </c:pt>
                <c:pt idx="101">
                  <c:v>151924.54112074536</c:v>
                </c:pt>
                <c:pt idx="102">
                  <c:v>155863.11371396549</c:v>
                </c:pt>
                <c:pt idx="103">
                  <c:v>159673.81088277901</c:v>
                </c:pt>
                <c:pt idx="104">
                  <c:v>163355.09950958795</c:v>
                </c:pt>
                <c:pt idx="105">
                  <c:v>166906.13577190106</c:v>
                </c:pt>
                <c:pt idx="106">
                  <c:v>170326.70662412138</c:v>
                </c:pt>
                <c:pt idx="107">
                  <c:v>173617.17205452768</c:v>
                </c:pt>
                <c:pt idx="108">
                  <c:v>176778.40868871909</c:v>
                </c:pt>
                <c:pt idx="109">
                  <c:v>179811.75520674791</c:v>
                </c:pt>
                <c:pt idx="110">
                  <c:v>182718.95994659094</c:v>
                </c:pt>
                <c:pt idx="111">
                  <c:v>185502.13098157951</c:v>
                </c:pt>
                <c:pt idx="112">
                  <c:v>188163.68888382229</c:v>
                </c:pt>
                <c:pt idx="113">
                  <c:v>190706.32231918254</c:v>
                </c:pt>
                <c:pt idx="114">
                  <c:v>193132.94656158893</c:v>
                </c:pt>
                <c:pt idx="115">
                  <c:v>195446.66496482416</c:v>
                </c:pt>
                <c:pt idx="116">
                  <c:v>197650.73338786166</c:v>
                </c:pt>
                <c:pt idx="117">
                  <c:v>199748.52753466243</c:v>
                </c:pt>
                <c:pt idx="118">
                  <c:v>201743.51314047718</c:v>
                </c:pt>
                <c:pt idx="119">
                  <c:v>203639.218913466</c:v>
                </c:pt>
                <c:pt idx="120">
                  <c:v>205439.21212223719</c:v>
                </c:pt>
                <c:pt idx="121">
                  <c:v>207147.07670611676</c:v>
                </c:pt>
                <c:pt idx="122">
                  <c:v>208766.39377502905</c:v>
                </c:pt>
                <c:pt idx="123">
                  <c:v>210300.72435927263</c:v>
                </c:pt>
                <c:pt idx="124">
                  <c:v>211753.59426572785</c:v>
                </c:pt>
                <c:pt idx="125">
                  <c:v>213128.4808956983</c:v>
                </c:pt>
                <c:pt idx="126">
                  <c:v>214428.80188025994</c:v>
                </c:pt>
                <c:pt idx="127">
                  <c:v>215657.90539131587</c:v>
                </c:pt>
                <c:pt idx="128">
                  <c:v>216819.06199021783</c:v>
                </c:pt>
                <c:pt idx="129">
                  <c:v>217915.45788052466</c:v>
                </c:pt>
                <c:pt idx="130">
                  <c:v>218950.18943699327</c:v>
                </c:pt>
                <c:pt idx="131">
                  <c:v>219926.25888901411</c:v>
                </c:pt>
                <c:pt idx="132">
                  <c:v>220846.57104323604</c:v>
                </c:pt>
                <c:pt idx="133">
                  <c:v>221713.93093691496</c:v>
                </c:pt>
                <c:pt idx="134">
                  <c:v>222531.04232043843</c:v>
                </c:pt>
                <c:pt idx="135">
                  <c:v>223300.50687441678</c:v>
                </c:pt>
                <c:pt idx="136">
                  <c:v>224024.82407359386</c:v>
                </c:pt>
                <c:pt idx="137">
                  <c:v>224706.39161655519</c:v>
                </c:pt>
                <c:pt idx="138">
                  <c:v>225347.50634673334</c:v>
                </c:pt>
                <c:pt idx="139">
                  <c:v>225950.36559648617</c:v>
                </c:pt>
                <c:pt idx="140">
                  <c:v>226517.06889202536</c:v>
                </c:pt>
                <c:pt idx="141">
                  <c:v>227049.61996266877</c:v>
                </c:pt>
                <c:pt idx="142">
                  <c:v>227549.92900327404</c:v>
                </c:pt>
                <c:pt idx="143">
                  <c:v>228019.81514376547</c:v>
                </c:pt>
                <c:pt idx="144">
                  <c:v>228461.00908439638</c:v>
                </c:pt>
                <c:pt idx="145">
                  <c:v>228875.15585979028</c:v>
                </c:pt>
                <c:pt idx="146">
                  <c:v>229263.8176988872</c:v>
                </c:pt>
                <c:pt idx="147">
                  <c:v>229628.47695168926</c:v>
                </c:pt>
                <c:pt idx="148">
                  <c:v>229970.53905716853</c:v>
                </c:pt>
                <c:pt idx="149">
                  <c:v>230291.33552987993</c:v>
                </c:pt>
                <c:pt idx="150">
                  <c:v>230592.1269457241</c:v>
                </c:pt>
                <c:pt idx="151">
                  <c:v>230874.10590995103</c:v>
                </c:pt>
                <c:pt idx="152">
                  <c:v>231138.39999289124</c:v>
                </c:pt>
                <c:pt idx="153">
                  <c:v>231386.07462107181</c:v>
                </c:pt>
                <c:pt idx="154">
                  <c:v>231618.13591332614</c:v>
                </c:pt>
                <c:pt idx="155">
                  <c:v>231835.53345326131</c:v>
                </c:pt>
                <c:pt idx="156">
                  <c:v>232039.16299101591</c:v>
                </c:pt>
                <c:pt idx="157">
                  <c:v>232229.86906863999</c:v>
                </c:pt>
                <c:pt idx="158">
                  <c:v>232408.44756466881</c:v>
                </c:pt>
                <c:pt idx="159">
                  <c:v>232575.6481545617</c:v>
                </c:pt>
                <c:pt idx="160">
                  <c:v>232732.17668464207</c:v>
                </c:pt>
                <c:pt idx="161">
                  <c:v>232878.6974580216</c:v>
                </c:pt>
                <c:pt idx="162">
                  <c:v>233015.83543172845</c:v>
                </c:pt>
                <c:pt idx="163">
                  <c:v>233144.17832489943</c:v>
                </c:pt>
                <c:pt idx="164">
                  <c:v>233264.27863844397</c:v>
                </c:pt>
                <c:pt idx="165">
                  <c:v>233376.65558705977</c:v>
                </c:pt>
                <c:pt idx="166">
                  <c:v>233481.796944876</c:v>
                </c:pt>
                <c:pt idx="167">
                  <c:v>233580.16080633365</c:v>
                </c:pt>
                <c:pt idx="168">
                  <c:v>233672.17726419002</c:v>
                </c:pt>
                <c:pt idx="169">
                  <c:v>233758.25000675643</c:v>
                </c:pt>
                <c:pt idx="170">
                  <c:v>233838.75783666124</c:v>
                </c:pt>
                <c:pt idx="171">
                  <c:v>233914.05611356712</c:v>
                </c:pt>
                <c:pt idx="172">
                  <c:v>233984.47812337833</c:v>
                </c:pt>
                <c:pt idx="173">
                  <c:v>234050.33637654621</c:v>
                </c:pt>
                <c:pt idx="174">
                  <c:v>234111.9238381293</c:v>
                </c:pt>
                <c:pt idx="175">
                  <c:v>234169.51509228779</c:v>
                </c:pt>
                <c:pt idx="176">
                  <c:v>234223.36744389645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97-44AA-A96B-8DCC64E76E94}"/>
            </c:ext>
          </c:extLst>
        </c:ser>
        <c:ser>
          <c:idx val="5"/>
          <c:order val="6"/>
          <c:tx>
            <c:strRef>
              <c:f>'Cumul_cases - LNorm'!$P$7</c:f>
              <c:strCache>
                <c:ptCount val="1"/>
                <c:pt idx="0">
                  <c:v>Lombardy fit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LNorm'!$P$8:$P$184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4.5004674482023335E-33</c:v>
                </c:pt>
                <c:pt idx="32">
                  <c:v>9.982998313231629E-21</c:v>
                </c:pt>
                <c:pt idx="33">
                  <c:v>4.0616974750038979E-15</c:v>
                </c:pt>
                <c:pt idx="34">
                  <c:v>1.1067531237093309E-11</c:v>
                </c:pt>
                <c:pt idx="35">
                  <c:v>2.706273601535887E-9</c:v>
                </c:pt>
                <c:pt idx="36">
                  <c:v>1.6452786763801899E-7</c:v>
                </c:pt>
                <c:pt idx="37">
                  <c:v>4.0922874212949553E-6</c:v>
                </c:pt>
                <c:pt idx="38">
                  <c:v>5.4980686627547732E-5</c:v>
                </c:pt>
                <c:pt idx="39">
                  <c:v>4.7268540916532139E-4</c:v>
                </c:pt>
                <c:pt idx="40">
                  <c:v>2.9037514905089928E-3</c:v>
                </c:pt>
                <c:pt idx="41">
                  <c:v>1.3744676008109632E-2</c:v>
                </c:pt>
                <c:pt idx="42">
                  <c:v>5.289229195701816E-2</c:v>
                </c:pt>
                <c:pt idx="43">
                  <c:v>0.17211805434560609</c:v>
                </c:pt>
                <c:pt idx="44">
                  <c:v>0.48787673256248693</c:v>
                </c:pt>
                <c:pt idx="45">
                  <c:v>1.232404561241581</c:v>
                </c:pt>
                <c:pt idx="46">
                  <c:v>2.8244131218996005</c:v>
                </c:pt>
                <c:pt idx="47">
                  <c:v>5.9570265831536959</c:v>
                </c:pt>
                <c:pt idx="48">
                  <c:v>11.696728324452055</c:v>
                </c:pt>
                <c:pt idx="49">
                  <c:v>21.583926129223123</c:v>
                </c:pt>
                <c:pt idx="50">
                  <c:v>37.724019062370473</c:v>
                </c:pt>
                <c:pt idx="51">
                  <c:v>62.857858736043291</c:v>
                </c:pt>
                <c:pt idx="52">
                  <c:v>100.40214228955595</c:v>
                </c:pt>
                <c:pt idx="53">
                  <c:v>154.45315185535208</c:v>
                </c:pt>
                <c:pt idx="54">
                  <c:v>229.75081032074394</c:v>
                </c:pt>
                <c:pt idx="55">
                  <c:v>331.60368823539022</c:v>
                </c:pt>
                <c:pt idx="56">
                  <c:v>465.77889435556489</c:v>
                </c:pt>
                <c:pt idx="57">
                  <c:v>638.36338064302606</c:v>
                </c:pt>
                <c:pt idx="58">
                  <c:v>855.6049183896896</c:v>
                </c:pt>
                <c:pt idx="59">
                  <c:v>1123.7418244760652</c:v>
                </c:pt>
                <c:pt idx="60">
                  <c:v>1448.8305134421209</c:v>
                </c:pt>
                <c:pt idx="61">
                  <c:v>1836.5792702222441</c:v>
                </c:pt>
                <c:pt idx="62">
                  <c:v>2292.1954624306022</c:v>
                </c:pt>
                <c:pt idx="63">
                  <c:v>2820.2519272416362</c:v>
                </c:pt>
                <c:pt idx="64">
                  <c:v>3424.5766475447799</c:v>
                </c:pt>
                <c:pt idx="65">
                  <c:v>4108.168218034295</c:v>
                </c:pt>
                <c:pt idx="66">
                  <c:v>4873.1381029957529</c:v>
                </c:pt>
                <c:pt idx="67">
                  <c:v>5720.6793780428634</c:v>
                </c:pt>
                <c:pt idx="68">
                  <c:v>6651.0605708092144</c:v>
                </c:pt>
                <c:pt idx="69">
                  <c:v>7663.6423871361549</c:v>
                </c:pt>
                <c:pt idx="70">
                  <c:v>8756.9145256784268</c:v>
                </c:pt>
                <c:pt idx="71">
                  <c:v>9928.5494264847639</c:v>
                </c:pt>
                <c:pt idx="72">
                  <c:v>11175.46964004266</c:v>
                </c:pt>
                <c:pt idx="73">
                  <c:v>12493.925509581044</c:v>
                </c:pt>
                <c:pt idx="74">
                  <c:v>13879.579996701837</c:v>
                </c:pt>
                <c:pt idx="75">
                  <c:v>15327.597715323067</c:v>
                </c:pt>
                <c:pt idx="76">
                  <c:v>16832.735540922957</c:v>
                </c:pt>
                <c:pt idx="77">
                  <c:v>18389.432504465833</c:v>
                </c:pt>
                <c:pt idx="78">
                  <c:v>19991.897040773845</c:v>
                </c:pt>
                <c:pt idx="79">
                  <c:v>21634.190021491242</c:v>
                </c:pt>
                <c:pt idx="80">
                  <c:v>23310.302349365797</c:v>
                </c:pt>
                <c:pt idx="81">
                  <c:v>25014.226213352795</c:v>
                </c:pt>
                <c:pt idx="82">
                  <c:v>26740.019396335363</c:v>
                </c:pt>
                <c:pt idx="83">
                  <c:v>28481.862285154002</c:v>
                </c:pt>
                <c:pt idx="84">
                  <c:v>30234.107454482848</c:v>
                </c:pt>
                <c:pt idx="85">
                  <c:v>31991.321881984775</c:v>
                </c:pt>
                <c:pt idx="86">
                  <c:v>33748.322003527355</c:v>
                </c:pt>
                <c:pt idx="87">
                  <c:v>35500.201936379526</c:v>
                </c:pt>
                <c:pt idx="88">
                  <c:v>37242.355288164421</c:v>
                </c:pt>
                <c:pt idx="89">
                  <c:v>38970.491033185979</c:v>
                </c:pt>
                <c:pt idx="90">
                  <c:v>40680.643978973909</c:v>
                </c:pt>
                <c:pt idx="91">
                  <c:v>42369.180367868961</c:v>
                </c:pt>
                <c:pt idx="92">
                  <c:v>44032.799164431563</c:v>
                </c:pt>
                <c:pt idx="93">
                  <c:v>45668.529572397463</c:v>
                </c:pt>
                <c:pt idx="94">
                  <c:v>47273.725307568522</c:v>
                </c:pt>
                <c:pt idx="95">
                  <c:v>48846.056127844786</c:v>
                </c:pt>
                <c:pt idx="96">
                  <c:v>50383.497090705459</c:v>
                </c:pt>
                <c:pt idx="97">
                  <c:v>51884.31597367175</c:v>
                </c:pt>
                <c:pt idx="98">
                  <c:v>53347.059256157372</c:v>
                </c:pt>
                <c:pt idx="99">
                  <c:v>54770.537022930162</c:v>
                </c:pt>
                <c:pt idx="100">
                  <c:v>56153.80711118412</c:v>
                </c:pt>
                <c:pt idx="101">
                  <c:v>57496.158785785505</c:v>
                </c:pt>
                <c:pt idx="102">
                  <c:v>58797.096191230899</c:v>
                </c:pt>
                <c:pt idx="103">
                  <c:v>60056.3217947015</c:v>
                </c:pt>
                <c:pt idx="104">
                  <c:v>61273.720002643167</c:v>
                </c:pt>
                <c:pt idx="105">
                  <c:v>62449.3411037525</c:v>
                </c:pt>
                <c:pt idx="106">
                  <c:v>63583.38566421374</c:v>
                </c:pt>
                <c:pt idx="107">
                  <c:v>64676.189476553751</c:v>
                </c:pt>
                <c:pt idx="108">
                  <c:v>65728.209141519241</c:v>
                </c:pt>
                <c:pt idx="109">
                  <c:v>66740.0083428785</c:v>
                </c:pt>
                <c:pt idx="110">
                  <c:v>67712.244857883314</c:v>
                </c:pt>
                <c:pt idx="111">
                  <c:v>68645.658331171959</c:v>
                </c:pt>
                <c:pt idx="112">
                  <c:v>69541.058826994791</c:v>
                </c:pt>
                <c:pt idx="113">
                  <c:v>70399.316163647018</c:v>
                </c:pt>
                <c:pt idx="114">
                  <c:v>71221.350024725776</c:v>
                </c:pt>
                <c:pt idx="115">
                  <c:v>72008.120834134315</c:v>
                </c:pt>
                <c:pt idx="116">
                  <c:v>72760.621375470975</c:v>
                </c:pt>
                <c:pt idx="117">
                  <c:v>73479.869131409956</c:v>
                </c:pt>
                <c:pt idx="118">
                  <c:v>74166.8993147609</c:v>
                </c:pt>
                <c:pt idx="119">
                  <c:v>74822.758559943803</c:v>
                </c:pt>
                <c:pt idx="120">
                  <c:v>75448.499241512851</c:v>
                </c:pt>
                <c:pt idx="121">
                  <c:v>76045.1743849841</c:v>
                </c:pt>
                <c:pt idx="122">
                  <c:v>76613.833134465094</c:v>
                </c:pt>
                <c:pt idx="123">
                  <c:v>77155.516741352141</c:v>
                </c:pt>
                <c:pt idx="124">
                  <c:v>77671.255038565258</c:v>
                </c:pt>
                <c:pt idx="125">
                  <c:v>78162.063365355221</c:v>
                </c:pt>
                <c:pt idx="126">
                  <c:v>78628.939908572895</c:v>
                </c:pt>
                <c:pt idx="127">
                  <c:v>79072.86342737946</c:v>
                </c:pt>
                <c:pt idx="128">
                  <c:v>79494.791329642132</c:v>
                </c:pt>
                <c:pt idx="129">
                  <c:v>79895.658069660931</c:v>
                </c:pt>
                <c:pt idx="130">
                  <c:v>80276.373838365733</c:v>
                </c:pt>
                <c:pt idx="131">
                  <c:v>80637.823518680394</c:v>
                </c:pt>
                <c:pt idx="132">
                  <c:v>80980.86588033702</c:v>
                </c:pt>
                <c:pt idx="133">
                  <c:v>81306.332990023977</c:v>
                </c:pt>
                <c:pt idx="134">
                  <c:v>81615.02981433706</c:v>
                </c:pt>
                <c:pt idx="135">
                  <c:v>81907.733994565613</c:v>
                </c:pt>
                <c:pt idx="136">
                  <c:v>82185.195773867905</c:v>
                </c:pt>
                <c:pt idx="137">
                  <c:v>82448.138058862911</c:v>
                </c:pt>
                <c:pt idx="138">
                  <c:v>82697.256599083383</c:v>
                </c:pt>
                <c:pt idx="139">
                  <c:v>82933.220269088051</c:v>
                </c:pt>
                <c:pt idx="140">
                  <c:v>83156.671439319733</c:v>
                </c:pt>
                <c:pt idx="141">
                  <c:v>83368.226423014072</c:v>
                </c:pt>
                <c:pt idx="142">
                  <c:v>83568.475987613274</c:v>
                </c:pt>
                <c:pt idx="143">
                  <c:v>83757.985920216946</c:v>
                </c:pt>
                <c:pt idx="144">
                  <c:v>83937.297637611147</c:v>
                </c:pt>
                <c:pt idx="145">
                  <c:v>84106.928832356643</c:v>
                </c:pt>
                <c:pt idx="146">
                  <c:v>84267.37414729064</c:v>
                </c:pt>
                <c:pt idx="147">
                  <c:v>84419.10587160557</c:v>
                </c:pt>
                <c:pt idx="148">
                  <c:v>84562.574652415191</c:v>
                </c:pt>
                <c:pt idx="149">
                  <c:v>84698.210216405729</c:v>
                </c:pt>
                <c:pt idx="150">
                  <c:v>84826.422096802387</c:v>
                </c:pt>
                <c:pt idx="151">
                  <c:v>84947.600361458666</c:v>
                </c:pt>
                <c:pt idx="152">
                  <c:v>85062.116338405118</c:v>
                </c:pt>
                <c:pt idx="153">
                  <c:v>85170.323335674941</c:v>
                </c:pt>
                <c:pt idx="154">
                  <c:v>85272.55735266082</c:v>
                </c:pt>
                <c:pt idx="155">
                  <c:v>85369.137780653706</c:v>
                </c:pt>
                <c:pt idx="156">
                  <c:v>85460.368090571821</c:v>
                </c:pt>
                <c:pt idx="157">
                  <c:v>85546.536506210832</c:v>
                </c:pt>
                <c:pt idx="158">
                  <c:v>85627.916661635274</c:v>
                </c:pt>
                <c:pt idx="159">
                  <c:v>85704.768241591519</c:v>
                </c:pt>
                <c:pt idx="160">
                  <c:v>85777.337604053508</c:v>
                </c:pt>
                <c:pt idx="161">
                  <c:v>85845.858384218838</c:v>
                </c:pt>
                <c:pt idx="162">
                  <c:v>85910.552079455883</c:v>
                </c:pt>
                <c:pt idx="163">
                  <c:v>85971.628614863439</c:v>
                </c:pt>
                <c:pt idx="164">
                  <c:v>86029.286889247014</c:v>
                </c:pt>
                <c:pt idx="165">
                  <c:v>86083.71530143969</c:v>
                </c:pt>
                <c:pt idx="166">
                  <c:v>86135.092257003984</c:v>
                </c:pt>
                <c:pt idx="167">
                  <c:v>86183.586655444858</c:v>
                </c:pt>
                <c:pt idx="168">
                  <c:v>86229.358358144367</c:v>
                </c:pt>
                <c:pt idx="169">
                  <c:v>86272.558637297756</c:v>
                </c:pt>
                <c:pt idx="170">
                  <c:v>86313.330606188189</c:v>
                </c:pt>
                <c:pt idx="171">
                  <c:v>86351.809631186756</c:v>
                </c:pt>
                <c:pt idx="172">
                  <c:v>86388.123725904021</c:v>
                </c:pt>
                <c:pt idx="173">
                  <c:v>86422.393927951678</c:v>
                </c:pt>
                <c:pt idx="174">
                  <c:v>86454.7346587996</c:v>
                </c:pt>
                <c:pt idx="175">
                  <c:v>86485.254067232017</c:v>
                </c:pt>
                <c:pt idx="176">
                  <c:v>86514.054356922541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97-44AA-A96B-8DCC64E76E94}"/>
            </c:ext>
          </c:extLst>
        </c:ser>
        <c:ser>
          <c:idx val="9"/>
          <c:order val="10"/>
          <c:tx>
            <c:strRef>
              <c:f>'Cumul_cases - LNorm'!$W$7</c:f>
              <c:strCache>
                <c:ptCount val="1"/>
                <c:pt idx="0">
                  <c:v>rest of Italy fit</c:v>
                </c:pt>
              </c:strCache>
            </c:strRef>
          </c:tx>
          <c:spPr>
            <a:ln w="952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LNorm'!$W$8:$W$184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1.9507327401080682E-56</c:v>
                </c:pt>
                <c:pt idx="38">
                  <c:v>2.4258346319876795E-27</c:v>
                </c:pt>
                <c:pt idx="39">
                  <c:v>9.0611137748086005E-19</c:v>
                </c:pt>
                <c:pt idx="40">
                  <c:v>4.4611368624324991E-14</c:v>
                </c:pt>
                <c:pt idx="41">
                  <c:v>5.4492801872499963E-11</c:v>
                </c:pt>
                <c:pt idx="42">
                  <c:v>9.2374410644758984E-9</c:v>
                </c:pt>
                <c:pt idx="43">
                  <c:v>4.6753772985919447E-7</c:v>
                </c:pt>
                <c:pt idx="44">
                  <c:v>1.0569392149442228E-5</c:v>
                </c:pt>
                <c:pt idx="45">
                  <c:v>1.3509330492944511E-4</c:v>
                </c:pt>
                <c:pt idx="46">
                  <c:v>1.1329276107491756E-3</c:v>
                </c:pt>
                <c:pt idx="47">
                  <c:v>6.8853047554286546E-3</c:v>
                </c:pt>
                <c:pt idx="48">
                  <c:v>3.250241220883384E-2</c:v>
                </c:pt>
                <c:pt idx="49">
                  <c:v>0.12529684172525352</c:v>
                </c:pt>
                <c:pt idx="50">
                  <c:v>0.40942503163152882</c:v>
                </c:pt>
                <c:pt idx="51">
                  <c:v>1.166635984039708</c:v>
                </c:pt>
                <c:pt idx="52">
                  <c:v>2.9634107340692979</c:v>
                </c:pt>
                <c:pt idx="53">
                  <c:v>6.8282200200796863</c:v>
                </c:pt>
                <c:pt idx="54">
                  <c:v>14.472768060535266</c:v>
                </c:pt>
                <c:pt idx="55">
                  <c:v>28.540319273609629</c:v>
                </c:pt>
                <c:pt idx="56">
                  <c:v>52.855278634221321</c:v>
                </c:pt>
                <c:pt idx="57">
                  <c:v>92.643298386472409</c:v>
                </c:pt>
                <c:pt idx="58">
                  <c:v>154.69135092058042</c:v>
                </c:pt>
                <c:pt idx="59">
                  <c:v>247.42222963734693</c:v>
                </c:pt>
                <c:pt idx="60">
                  <c:v>380.86663026803939</c:v>
                </c:pt>
                <c:pt idx="61">
                  <c:v>566.52661474504566</c:v>
                </c:pt>
                <c:pt idx="62">
                  <c:v>817.13509237138612</c:v>
                </c:pt>
                <c:pt idx="63">
                  <c:v>1146.3254735417293</c:v>
                </c:pt>
                <c:pt idx="64">
                  <c:v>1568.2328388552471</c:v>
                </c:pt>
                <c:pt idx="65">
                  <c:v>2097.0523245860077</c:v>
                </c:pt>
                <c:pt idx="66">
                  <c:v>2746.5819261065622</c:v>
                </c:pt>
                <c:pt idx="67">
                  <c:v>3529.7758891787362</c:v>
                </c:pt>
                <c:pt idx="68">
                  <c:v>4458.3318388133321</c:v>
                </c:pt>
                <c:pt idx="69">
                  <c:v>5542.3304236886052</c:v>
                </c:pt>
                <c:pt idx="70">
                  <c:v>6789.9411612720642</c:v>
                </c:pt>
                <c:pt idx="71">
                  <c:v>8207.2029099055053</c:v>
                </c:pt>
                <c:pt idx="72">
                  <c:v>9797.8824105135063</c:v>
                </c:pt>
                <c:pt idx="73">
                  <c:v>11563.409946216672</c:v>
                </c:pt>
                <c:pt idx="74">
                  <c:v>13502.887554047407</c:v>
                </c:pt>
                <c:pt idx="75">
                  <c:v>15613.162473367664</c:v>
                </c:pt>
                <c:pt idx="76">
                  <c:v>17888.956629534136</c:v>
                </c:pt>
                <c:pt idx="77">
                  <c:v>20323.041866037074</c:v>
                </c:pt>
                <c:pt idx="78">
                  <c:v>22906.450250895345</c:v>
                </c:pt>
                <c:pt idx="79">
                  <c:v>25628.708969359228</c:v>
                </c:pt>
                <c:pt idx="80">
                  <c:v>28478.089944348303</c:v>
                </c:pt>
                <c:pt idx="81">
                  <c:v>31441.865272423573</c:v>
                </c:pt>
                <c:pt idx="82">
                  <c:v>34506.560712151368</c:v>
                </c:pt>
                <c:pt idx="83">
                  <c:v>37658.20071523654</c:v>
                </c:pt>
                <c:pt idx="84">
                  <c:v>40882.539768465918</c:v>
                </c:pt>
                <c:pt idx="85">
                  <c:v>44165.276053994246</c:v>
                </c:pt>
                <c:pt idx="86">
                  <c:v>47492.244591342511</c:v>
                </c:pt>
                <c:pt idx="87">
                  <c:v>50849.58806611818</c:v>
                </c:pt>
                <c:pt idx="88">
                  <c:v>54223.904460029429</c:v>
                </c:pt>
                <c:pt idx="89">
                  <c:v>57602.371366640451</c:v>
                </c:pt>
                <c:pt idx="90">
                  <c:v>60972.847507879022</c:v>
                </c:pt>
                <c:pt idx="91">
                  <c:v>64323.952463805501</c:v>
                </c:pt>
                <c:pt idx="92">
                  <c:v>67645.126002901379</c:v>
                </c:pt>
                <c:pt idx="93">
                  <c:v>70926.668664974175</c:v>
                </c:pt>
                <c:pt idx="94">
                  <c:v>74159.765417855233</c:v>
                </c:pt>
                <c:pt idx="95">
                  <c:v>77336.494296891717</c:v>
                </c:pt>
                <c:pt idx="96">
                  <c:v>80449.821956939806</c:v>
                </c:pt>
                <c:pt idx="97">
                  <c:v>83493.588033471126</c:v>
                </c:pt>
                <c:pt idx="98">
                  <c:v>86462.480134613143</c:v>
                </c:pt>
                <c:pt idx="99">
                  <c:v>89352.001180257022</c:v>
                </c:pt>
                <c:pt idx="100">
                  <c:v>92158.430677105629</c:v>
                </c:pt>
                <c:pt idx="101">
                  <c:v>94878.781377666935</c:v>
                </c:pt>
                <c:pt idx="102">
                  <c:v>97510.752623245149</c:v>
                </c:pt>
                <c:pt idx="103">
                  <c:v>100052.68152131849</c:v>
                </c:pt>
                <c:pt idx="104">
                  <c:v>102503.49296044245</c:v>
                </c:pt>
                <c:pt idx="105">
                  <c:v>104862.64932420803</c:v>
                </c:pt>
                <c:pt idx="106">
                  <c:v>107130.10063210889</c:v>
                </c:pt>
                <c:pt idx="107">
                  <c:v>109306.23571102909</c:v>
                </c:pt>
                <c:pt idx="108">
                  <c:v>111391.83488743517</c:v>
                </c:pt>
                <c:pt idx="109">
                  <c:v>113388.02458773604</c:v>
                </c:pt>
                <c:pt idx="110">
                  <c:v>115296.23414275379</c:v>
                </c:pt>
                <c:pt idx="111">
                  <c:v>117118.15501163721</c:v>
                </c:pt>
                <c:pt idx="112">
                  <c:v>118855.70257040823</c:v>
                </c:pt>
                <c:pt idx="113">
                  <c:v>120510.9805500728</c:v>
                </c:pt>
                <c:pt idx="114">
                  <c:v>122086.24815815724</c:v>
                </c:pt>
                <c:pt idx="115">
                  <c:v>123583.88987487515</c:v>
                </c:pt>
                <c:pt idx="116">
                  <c:v>125006.38788010621</c:v>
                </c:pt>
                <c:pt idx="117">
                  <c:v>126356.29703916883</c:v>
                </c:pt>
                <c:pt idx="118">
                  <c:v>127636.22235321964</c:v>
                </c:pt>
                <c:pt idx="119">
                  <c:v>128848.7987632664</c:v>
                </c:pt>
                <c:pt idx="120">
                  <c:v>129996.67318453532</c:v>
                </c:pt>
                <c:pt idx="121">
                  <c:v>131082.48863962723</c:v>
                </c:pt>
                <c:pt idx="122">
                  <c:v>132108.87035394527</c:v>
                </c:pt>
                <c:pt idx="123">
                  <c:v>133078.41367472205</c:v>
                </c:pt>
                <c:pt idx="124">
                  <c:v>133993.67367513973</c:v>
                </c:pt>
                <c:pt idx="125">
                  <c:v>134857.15630708213</c:v>
                </c:pt>
                <c:pt idx="126">
                  <c:v>135671.31096960977</c:v>
                </c:pt>
                <c:pt idx="127">
                  <c:v>136438.52436496739</c:v>
                </c:pt>
                <c:pt idx="128">
                  <c:v>137161.11551953363</c:v>
                </c:pt>
                <c:pt idx="129">
                  <c:v>137841.33185336328</c:v>
                </c:pt>
                <c:pt idx="130">
                  <c:v>138481.34618863615</c:v>
                </c:pt>
                <c:pt idx="131">
                  <c:v>139083.25459424485</c:v>
                </c:pt>
                <c:pt idx="132">
                  <c:v>139649.07497077979</c:v>
                </c:pt>
                <c:pt idx="133">
                  <c:v>140180.74628718375</c:v>
                </c:pt>
                <c:pt idx="134">
                  <c:v>140680.12838725458</c:v>
                </c:pt>
                <c:pt idx="135">
                  <c:v>141149.00229090173</c:v>
                </c:pt>
                <c:pt idx="136">
                  <c:v>141589.07092154451</c:v>
                </c:pt>
                <c:pt idx="137">
                  <c:v>142001.96019724241</c:v>
                </c:pt>
                <c:pt idx="138">
                  <c:v>142389.22042903272</c:v>
                </c:pt>
                <c:pt idx="139">
                  <c:v>142752.32797550212</c:v>
                </c:pt>
                <c:pt idx="140">
                  <c:v>143092.68710782341</c:v>
                </c:pt>
                <c:pt idx="141">
                  <c:v>143411.63204434121</c:v>
                </c:pt>
                <c:pt idx="142">
                  <c:v>143710.42911829479</c:v>
                </c:pt>
                <c:pt idx="143">
                  <c:v>143990.27904642586</c:v>
                </c:pt>
                <c:pt idx="144">
                  <c:v>144252.31927004526</c:v>
                </c:pt>
                <c:pt idx="145">
                  <c:v>144497.62634363666</c:v>
                </c:pt>
                <c:pt idx="146">
                  <c:v>144727.218349273</c:v>
                </c:pt>
                <c:pt idx="147">
                  <c:v>144942.05731802669</c:v>
                </c:pt>
                <c:pt idx="148">
                  <c:v>145143.05164218618</c:v>
                </c:pt>
                <c:pt idx="149">
                  <c:v>145331.05846446479</c:v>
                </c:pt>
                <c:pt idx="150">
                  <c:v>145506.8860325217</c:v>
                </c:pt>
                <c:pt idx="151">
                  <c:v>145671.29600902554</c:v>
                </c:pt>
                <c:pt idx="152">
                  <c:v>145825.00572919563</c:v>
                </c:pt>
                <c:pt idx="153">
                  <c:v>145968.69039927144</c:v>
                </c:pt>
                <c:pt idx="154">
                  <c:v>146102.98523070125</c:v>
                </c:pt>
                <c:pt idx="155">
                  <c:v>146228.48750602425</c:v>
                </c:pt>
                <c:pt idx="156">
                  <c:v>146345.7585734569</c:v>
                </c:pt>
                <c:pt idx="157">
                  <c:v>146455.32576810059</c:v>
                </c:pt>
                <c:pt idx="158">
                  <c:v>146557.68425847558</c:v>
                </c:pt>
                <c:pt idx="159">
                  <c:v>146653.29881776491</c:v>
                </c:pt>
                <c:pt idx="160">
                  <c:v>146742.60551973694</c:v>
                </c:pt>
                <c:pt idx="161">
                  <c:v>146826.01335981127</c:v>
                </c:pt>
                <c:pt idx="162">
                  <c:v>146903.90580215378</c:v>
                </c:pt>
                <c:pt idx="163">
                  <c:v>146976.64225403685</c:v>
                </c:pt>
                <c:pt idx="164">
                  <c:v>147044.55946899249</c:v>
                </c:pt>
                <c:pt idx="165">
                  <c:v>147107.97288052144</c:v>
                </c:pt>
                <c:pt idx="166">
                  <c:v>147167.17786831071</c:v>
                </c:pt>
                <c:pt idx="167">
                  <c:v>147222.4509590595</c:v>
                </c:pt>
                <c:pt idx="168">
                  <c:v>147274.0509641236</c:v>
                </c:pt>
                <c:pt idx="169">
                  <c:v>147322.22005626812</c:v>
                </c:pt>
                <c:pt idx="170">
                  <c:v>147367.18478786966</c:v>
                </c:pt>
                <c:pt idx="171">
                  <c:v>147409.1570529367</c:v>
                </c:pt>
                <c:pt idx="172">
                  <c:v>147448.33499532519</c:v>
                </c:pt>
                <c:pt idx="173">
                  <c:v>147484.90386551686</c:v>
                </c:pt>
                <c:pt idx="174">
                  <c:v>147519.03682830275</c:v>
                </c:pt>
                <c:pt idx="175">
                  <c:v>147550.89572367969</c:v>
                </c:pt>
                <c:pt idx="176">
                  <c:v>147580.63178322028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697-44AA-A96B-8DCC64E7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081744"/>
        <c:axId val="622082064"/>
        <c:extLst>
          <c:ext xmlns:c15="http://schemas.microsoft.com/office/drawing/2012/chart" uri="{02D57815-91ED-43cb-92C2-25804820EDAC}">
            <c15:filteredScatterSeries>
              <c15:ser>
                <c:idx val="6"/>
                <c:order val="7"/>
                <c:tx>
                  <c:strRef>
                    <c:extLst>
                      <c:ext uri="{02D57815-91ED-43cb-92C2-25804820EDAC}">
                        <c15:formulaRef>
                          <c15:sqref>'Cumul_cases - LNorm'!$S$7</c15:sqref>
                        </c15:formulaRef>
                      </c:ext>
                    </c:extLst>
                    <c:strCache>
                      <c:ptCount val="1"/>
                      <c:pt idx="0">
                        <c:v>r. Upper CI</c:v>
                      </c:pt>
                    </c:strCache>
                  </c:strRef>
                </c:tx>
                <c:spPr>
                  <a:ln w="952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'Cumul_cases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'Cumul_cases - LNorm'!$S$8:$S$184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2975.4614235634544</c:v>
                      </c:pt>
                      <c:pt idx="1">
                        <c:v>2975.4614235634544</c:v>
                      </c:pt>
                      <c:pt idx="2">
                        <c:v>2975.4614235634544</c:v>
                      </c:pt>
                      <c:pt idx="3">
                        <c:v>2975.4614235634544</c:v>
                      </c:pt>
                      <c:pt idx="4">
                        <c:v>2975.4614235634544</c:v>
                      </c:pt>
                      <c:pt idx="5">
                        <c:v>2975.4614235634544</c:v>
                      </c:pt>
                      <c:pt idx="6">
                        <c:v>2975.4614235634544</c:v>
                      </c:pt>
                      <c:pt idx="7">
                        <c:v>2975.4614235634544</c:v>
                      </c:pt>
                      <c:pt idx="8">
                        <c:v>2975.4614235634544</c:v>
                      </c:pt>
                      <c:pt idx="9">
                        <c:v>2975.4614235634544</c:v>
                      </c:pt>
                      <c:pt idx="10">
                        <c:v>2975.4614235634544</c:v>
                      </c:pt>
                      <c:pt idx="11">
                        <c:v>2975.4614235634544</c:v>
                      </c:pt>
                      <c:pt idx="12">
                        <c:v>2975.4614235634544</c:v>
                      </c:pt>
                      <c:pt idx="13">
                        <c:v>2975.4614235634544</c:v>
                      </c:pt>
                      <c:pt idx="14">
                        <c:v>2975.4614235634544</c:v>
                      </c:pt>
                      <c:pt idx="15">
                        <c:v>2975.4614235634544</c:v>
                      </c:pt>
                      <c:pt idx="16">
                        <c:v>2975.4614235634544</c:v>
                      </c:pt>
                      <c:pt idx="17">
                        <c:v>2975.4614235634544</c:v>
                      </c:pt>
                      <c:pt idx="18">
                        <c:v>2975.4614235634544</c:v>
                      </c:pt>
                      <c:pt idx="19">
                        <c:v>2975.4614235634544</c:v>
                      </c:pt>
                      <c:pt idx="20">
                        <c:v>2975.4614235634544</c:v>
                      </c:pt>
                      <c:pt idx="21">
                        <c:v>2975.4614235634544</c:v>
                      </c:pt>
                      <c:pt idx="22">
                        <c:v>2975.4614235634544</c:v>
                      </c:pt>
                      <c:pt idx="23">
                        <c:v>2975.4614235634544</c:v>
                      </c:pt>
                      <c:pt idx="24">
                        <c:v>2975.4614235634544</c:v>
                      </c:pt>
                      <c:pt idx="25">
                        <c:v>2975.4614235634544</c:v>
                      </c:pt>
                      <c:pt idx="26">
                        <c:v>2975.4614235634544</c:v>
                      </c:pt>
                      <c:pt idx="27">
                        <c:v>2975.4614235634544</c:v>
                      </c:pt>
                      <c:pt idx="28">
                        <c:v>2975.4614235634544</c:v>
                      </c:pt>
                      <c:pt idx="29">
                        <c:v>2975.4614235634544</c:v>
                      </c:pt>
                      <c:pt idx="30">
                        <c:v>2975.4614235634544</c:v>
                      </c:pt>
                      <c:pt idx="31">
                        <c:v>2975.4614235634544</c:v>
                      </c:pt>
                      <c:pt idx="32">
                        <c:v>2975.4614235634544</c:v>
                      </c:pt>
                      <c:pt idx="33">
                        <c:v>2975.4614235634544</c:v>
                      </c:pt>
                      <c:pt idx="34">
                        <c:v>2975.4614235634654</c:v>
                      </c:pt>
                      <c:pt idx="35">
                        <c:v>2975.4614235661606</c:v>
                      </c:pt>
                      <c:pt idx="36">
                        <c:v>2975.4614237279825</c:v>
                      </c:pt>
                      <c:pt idx="37">
                        <c:v>2975.4614276557418</c:v>
                      </c:pt>
                      <c:pt idx="38">
                        <c:v>2975.4614785441408</c:v>
                      </c:pt>
                      <c:pt idx="39">
                        <c:v>2975.4618962488635</c:v>
                      </c:pt>
                      <c:pt idx="40">
                        <c:v>2975.464327314945</c:v>
                      </c:pt>
                      <c:pt idx="41">
                        <c:v>2975.4751682394626</c:v>
                      </c:pt>
                      <c:pt idx="42">
                        <c:v>2975.5143158554115</c:v>
                      </c:pt>
                      <c:pt idx="43">
                        <c:v>2975.6335416177999</c:v>
                      </c:pt>
                      <c:pt idx="44">
                        <c:v>2975.9493002960171</c:v>
                      </c:pt>
                      <c:pt idx="45">
                        <c:v>2976.6938281246962</c:v>
                      </c:pt>
                      <c:pt idx="46">
                        <c:v>2978.2858366853538</c:v>
                      </c:pt>
                      <c:pt idx="47">
                        <c:v>2981.4184501466079</c:v>
                      </c:pt>
                      <c:pt idx="48">
                        <c:v>2987.1581518879066</c:v>
                      </c:pt>
                      <c:pt idx="49">
                        <c:v>2997.0453496926775</c:v>
                      </c:pt>
                      <c:pt idx="50">
                        <c:v>3013.1854426258251</c:v>
                      </c:pt>
                      <c:pt idx="51">
                        <c:v>3038.3192822994979</c:v>
                      </c:pt>
                      <c:pt idx="52">
                        <c:v>3075.8635658530102</c:v>
                      </c:pt>
                      <c:pt idx="53">
                        <c:v>3129.9145754188066</c:v>
                      </c:pt>
                      <c:pt idx="54">
                        <c:v>3205.2122338841982</c:v>
                      </c:pt>
                      <c:pt idx="55">
                        <c:v>3307.0651117988446</c:v>
                      </c:pt>
                      <c:pt idx="56">
                        <c:v>3441.2403179190192</c:v>
                      </c:pt>
                      <c:pt idx="57">
                        <c:v>3613.8248042064806</c:v>
                      </c:pt>
                      <c:pt idx="58">
                        <c:v>3831.0663419531438</c:v>
                      </c:pt>
                      <c:pt idx="59">
                        <c:v>4099.2032480395192</c:v>
                      </c:pt>
                      <c:pt idx="60">
                        <c:v>4424.2919370055752</c:v>
                      </c:pt>
                      <c:pt idx="61">
                        <c:v>4812.0406937856987</c:v>
                      </c:pt>
                      <c:pt idx="62">
                        <c:v>5267.6568859940562</c:v>
                      </c:pt>
                      <c:pt idx="63">
                        <c:v>5795.7133508050902</c:v>
                      </c:pt>
                      <c:pt idx="64">
                        <c:v>6400.0380711082344</c:v>
                      </c:pt>
                      <c:pt idx="65">
                        <c:v>7083.6296415977495</c:v>
                      </c:pt>
                      <c:pt idx="66">
                        <c:v>7848.5995265592073</c:v>
                      </c:pt>
                      <c:pt idx="67">
                        <c:v>8696.1408016063178</c:v>
                      </c:pt>
                      <c:pt idx="68">
                        <c:v>9626.5219943726697</c:v>
                      </c:pt>
                      <c:pt idx="69">
                        <c:v>10639.103810699609</c:v>
                      </c:pt>
                      <c:pt idx="70">
                        <c:v>11732.375949241881</c:v>
                      </c:pt>
                      <c:pt idx="71">
                        <c:v>12904.010850048218</c:v>
                      </c:pt>
                      <c:pt idx="72">
                        <c:v>14150.931063606115</c:v>
                      </c:pt>
                      <c:pt idx="73">
                        <c:v>15469.386933144498</c:v>
                      </c:pt>
                      <c:pt idx="74">
                        <c:v>16855.04142026529</c:v>
                      </c:pt>
                      <c:pt idx="75">
                        <c:v>18303.059138886521</c:v>
                      </c:pt>
                      <c:pt idx="76">
                        <c:v>19808.196964486411</c:v>
                      </c:pt>
                      <c:pt idx="77">
                        <c:v>21364.893928029287</c:v>
                      </c:pt>
                      <c:pt idx="78">
                        <c:v>22967.3584643373</c:v>
                      </c:pt>
                      <c:pt idx="79">
                        <c:v>24609.651445054697</c:v>
                      </c:pt>
                      <c:pt idx="80">
                        <c:v>26285.763772929251</c:v>
                      </c:pt>
                      <c:pt idx="81">
                        <c:v>27989.687636916249</c:v>
                      </c:pt>
                      <c:pt idx="82">
                        <c:v>29715.480819898818</c:v>
                      </c:pt>
                      <c:pt idx="83">
                        <c:v>31457.323708717457</c:v>
                      </c:pt>
                      <c:pt idx="84">
                        <c:v>33209.568878046302</c:v>
                      </c:pt>
                      <c:pt idx="85">
                        <c:v>34966.783305548233</c:v>
                      </c:pt>
                      <c:pt idx="86">
                        <c:v>36723.783427090806</c:v>
                      </c:pt>
                      <c:pt idx="87">
                        <c:v>38475.663359942977</c:v>
                      </c:pt>
                      <c:pt idx="88">
                        <c:v>40217.816711727879</c:v>
                      </c:pt>
                      <c:pt idx="89">
                        <c:v>41945.952456749437</c:v>
                      </c:pt>
                      <c:pt idx="90">
                        <c:v>43656.10540253736</c:v>
                      </c:pt>
                      <c:pt idx="91">
                        <c:v>45344.641791432412</c:v>
                      </c:pt>
                      <c:pt idx="92">
                        <c:v>47008.260587995013</c:v>
                      </c:pt>
                      <c:pt idx="93">
                        <c:v>48643.990995960921</c:v>
                      </c:pt>
                      <c:pt idx="94">
                        <c:v>50249.18673113198</c:v>
                      </c:pt>
                      <c:pt idx="95">
                        <c:v>51821.517551408237</c:v>
                      </c:pt>
                      <c:pt idx="96">
                        <c:v>53358.958514268917</c:v>
                      </c:pt>
                      <c:pt idx="97">
                        <c:v>54859.777397235201</c:v>
                      </c:pt>
                      <c:pt idx="98">
                        <c:v>56322.520679720823</c:v>
                      </c:pt>
                      <c:pt idx="99">
                        <c:v>57745.998446493613</c:v>
                      </c:pt>
                      <c:pt idx="100">
                        <c:v>59129.268534747578</c:v>
                      </c:pt>
                      <c:pt idx="101">
                        <c:v>60471.620209348956</c:v>
                      </c:pt>
                      <c:pt idx="102">
                        <c:v>61772.55761479435</c:v>
                      </c:pt>
                      <c:pt idx="103">
                        <c:v>63031.783218264958</c:v>
                      </c:pt>
                      <c:pt idx="104">
                        <c:v>64249.181426206618</c:v>
                      </c:pt>
                      <c:pt idx="105">
                        <c:v>65424.802527315958</c:v>
                      </c:pt>
                      <c:pt idx="106">
                        <c:v>66558.847087777191</c:v>
                      </c:pt>
                      <c:pt idx="107">
                        <c:v>67651.650900117209</c:v>
                      </c:pt>
                      <c:pt idx="108">
                        <c:v>68703.670565082692</c:v>
                      </c:pt>
                      <c:pt idx="109">
                        <c:v>69715.469766441951</c:v>
                      </c:pt>
                      <c:pt idx="110">
                        <c:v>70687.706281446764</c:v>
                      </c:pt>
                      <c:pt idx="111">
                        <c:v>71621.11975473541</c:v>
                      </c:pt>
                      <c:pt idx="112">
                        <c:v>72516.520250558242</c:v>
                      </c:pt>
                      <c:pt idx="113">
                        <c:v>73374.777587210468</c:v>
                      </c:pt>
                      <c:pt idx="114">
                        <c:v>74196.811448289227</c:v>
                      </c:pt>
                      <c:pt idx="115">
                        <c:v>74983.582257697766</c:v>
                      </c:pt>
                      <c:pt idx="116">
                        <c:v>75736.082799034426</c:v>
                      </c:pt>
                      <c:pt idx="117">
                        <c:v>76455.330554973407</c:v>
                      </c:pt>
                      <c:pt idx="118">
                        <c:v>77142.360738324351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9-C697-44AA-A96B-8DCC64E76E94}"/>
                  </c:ext>
                </c:extLst>
              </c15:ser>
            </c15:filteredScatterSeries>
            <c15:filteredScatterSeries>
              <c15:ser>
                <c:idx val="7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LNorm'!$T$7</c15:sqref>
                        </c15:formulaRef>
                      </c:ext>
                    </c:extLst>
                    <c:strCache>
                      <c:ptCount val="1"/>
                      <c:pt idx="0">
                        <c:v>r. Lower CI</c:v>
                      </c:pt>
                    </c:strCache>
                  </c:strRef>
                </c:tx>
                <c:spPr>
                  <a:ln w="952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LNorm'!$T$8:$T$184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449.11522398132547</c:v>
                      </c:pt>
                      <c:pt idx="65">
                        <c:v>1132.7067944708406</c:v>
                      </c:pt>
                      <c:pt idx="66">
                        <c:v>1897.6766794322984</c:v>
                      </c:pt>
                      <c:pt idx="67">
                        <c:v>2745.2179544794089</c:v>
                      </c:pt>
                      <c:pt idx="68">
                        <c:v>3675.5991472457599</c:v>
                      </c:pt>
                      <c:pt idx="69">
                        <c:v>4688.1809635727004</c:v>
                      </c:pt>
                      <c:pt idx="70">
                        <c:v>5781.4531021149724</c:v>
                      </c:pt>
                      <c:pt idx="71">
                        <c:v>6953.0880029213095</c:v>
                      </c:pt>
                      <c:pt idx="72">
                        <c:v>8200.0082164792057</c:v>
                      </c:pt>
                      <c:pt idx="73">
                        <c:v>9518.4640860175896</c:v>
                      </c:pt>
                      <c:pt idx="74">
                        <c:v>10904.118573138383</c:v>
                      </c:pt>
                      <c:pt idx="75">
                        <c:v>12352.136291759613</c:v>
                      </c:pt>
                      <c:pt idx="76">
                        <c:v>13857.274117359502</c:v>
                      </c:pt>
                      <c:pt idx="77">
                        <c:v>15413.971080902378</c:v>
                      </c:pt>
                      <c:pt idx="78">
                        <c:v>17016.435617210391</c:v>
                      </c:pt>
                      <c:pt idx="79">
                        <c:v>18658.728597927788</c:v>
                      </c:pt>
                      <c:pt idx="80">
                        <c:v>20334.840925802342</c:v>
                      </c:pt>
                      <c:pt idx="81">
                        <c:v>22038.76478978934</c:v>
                      </c:pt>
                      <c:pt idx="82">
                        <c:v>23764.557972771909</c:v>
                      </c:pt>
                      <c:pt idx="83">
                        <c:v>25506.400861590548</c:v>
                      </c:pt>
                      <c:pt idx="84">
                        <c:v>27258.646030919394</c:v>
                      </c:pt>
                      <c:pt idx="85">
                        <c:v>29015.860458421321</c:v>
                      </c:pt>
                      <c:pt idx="86">
                        <c:v>30772.860579963901</c:v>
                      </c:pt>
                      <c:pt idx="87">
                        <c:v>32524.740512816072</c:v>
                      </c:pt>
                      <c:pt idx="88">
                        <c:v>34266.893864600963</c:v>
                      </c:pt>
                      <c:pt idx="89">
                        <c:v>35995.029609622521</c:v>
                      </c:pt>
                      <c:pt idx="90">
                        <c:v>37705.182555410458</c:v>
                      </c:pt>
                      <c:pt idx="91">
                        <c:v>39393.71894430551</c:v>
                      </c:pt>
                      <c:pt idx="92">
                        <c:v>41057.337740868112</c:v>
                      </c:pt>
                      <c:pt idx="93">
                        <c:v>42693.068148834005</c:v>
                      </c:pt>
                      <c:pt idx="94">
                        <c:v>44298.263884005064</c:v>
                      </c:pt>
                      <c:pt idx="95">
                        <c:v>45870.594704281335</c:v>
                      </c:pt>
                      <c:pt idx="96">
                        <c:v>47408.035667142001</c:v>
                      </c:pt>
                      <c:pt idx="97">
                        <c:v>48908.854550108299</c:v>
                      </c:pt>
                      <c:pt idx="98">
                        <c:v>50371.597832593921</c:v>
                      </c:pt>
                      <c:pt idx="99">
                        <c:v>51795.075599366712</c:v>
                      </c:pt>
                      <c:pt idx="100">
                        <c:v>53178.345687620662</c:v>
                      </c:pt>
                      <c:pt idx="101">
                        <c:v>54520.697362222054</c:v>
                      </c:pt>
                      <c:pt idx="102">
                        <c:v>55821.634767667449</c:v>
                      </c:pt>
                      <c:pt idx="103">
                        <c:v>57080.860371138042</c:v>
                      </c:pt>
                      <c:pt idx="104">
                        <c:v>58298.258579079717</c:v>
                      </c:pt>
                      <c:pt idx="105">
                        <c:v>59473.879680189042</c:v>
                      </c:pt>
                      <c:pt idx="106">
                        <c:v>60607.924240650289</c:v>
                      </c:pt>
                      <c:pt idx="107">
                        <c:v>61700.728052990293</c:v>
                      </c:pt>
                      <c:pt idx="108">
                        <c:v>62752.74771795579</c:v>
                      </c:pt>
                      <c:pt idx="109">
                        <c:v>63764.546919315049</c:v>
                      </c:pt>
                      <c:pt idx="110">
                        <c:v>64736.783434319863</c:v>
                      </c:pt>
                      <c:pt idx="111">
                        <c:v>65670.196907608508</c:v>
                      </c:pt>
                      <c:pt idx="112">
                        <c:v>66565.59740343134</c:v>
                      </c:pt>
                      <c:pt idx="113">
                        <c:v>67423.854740083567</c:v>
                      </c:pt>
                      <c:pt idx="114">
                        <c:v>68245.888601162325</c:v>
                      </c:pt>
                      <c:pt idx="115">
                        <c:v>69032.659410570865</c:v>
                      </c:pt>
                      <c:pt idx="116">
                        <c:v>69785.159951907524</c:v>
                      </c:pt>
                      <c:pt idx="117">
                        <c:v>70504.407707846505</c:v>
                      </c:pt>
                      <c:pt idx="118">
                        <c:v>71191.437891197449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C697-44AA-A96B-8DCC64E76E94}"/>
                  </c:ext>
                </c:extLst>
              </c15:ser>
            </c15:filteredScatterSeries>
            <c15:filteredScatterSeries>
              <c15:ser>
                <c:idx val="10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LNorm'!$Z$7</c15:sqref>
                        </c15:formulaRef>
                      </c:ext>
                    </c:extLst>
                    <c:strCache>
                      <c:ptCount val="1"/>
                      <c:pt idx="0">
                        <c:v>o.r. Upper CI</c:v>
                      </c:pt>
                    </c:strCache>
                  </c:strRef>
                </c:tx>
                <c:spPr>
                  <a:ln w="952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LNorm'!$Z$8:$Z$184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2432.9562065854871</c:v>
                      </c:pt>
                      <c:pt idx="1">
                        <c:v>2432.9562065854871</c:v>
                      </c:pt>
                      <c:pt idx="2">
                        <c:v>2432.9562065854871</c:v>
                      </c:pt>
                      <c:pt idx="3">
                        <c:v>2432.9562065854871</c:v>
                      </c:pt>
                      <c:pt idx="4">
                        <c:v>2432.9562065854871</c:v>
                      </c:pt>
                      <c:pt idx="5">
                        <c:v>2432.9562065854871</c:v>
                      </c:pt>
                      <c:pt idx="6">
                        <c:v>2432.9562065854871</c:v>
                      </c:pt>
                      <c:pt idx="7">
                        <c:v>2432.9562065854871</c:v>
                      </c:pt>
                      <c:pt idx="8">
                        <c:v>2432.9562065854871</c:v>
                      </c:pt>
                      <c:pt idx="9">
                        <c:v>2432.9562065854871</c:v>
                      </c:pt>
                      <c:pt idx="10">
                        <c:v>2432.9562065854871</c:v>
                      </c:pt>
                      <c:pt idx="11">
                        <c:v>2432.9562065854871</c:v>
                      </c:pt>
                      <c:pt idx="12">
                        <c:v>2432.9562065854871</c:v>
                      </c:pt>
                      <c:pt idx="13">
                        <c:v>2432.9562065854871</c:v>
                      </c:pt>
                      <c:pt idx="14">
                        <c:v>2432.9562065854871</c:v>
                      </c:pt>
                      <c:pt idx="15">
                        <c:v>2432.9562065854871</c:v>
                      </c:pt>
                      <c:pt idx="16">
                        <c:v>2432.9562065854871</c:v>
                      </c:pt>
                      <c:pt idx="17">
                        <c:v>2432.9562065854871</c:v>
                      </c:pt>
                      <c:pt idx="18">
                        <c:v>2432.9562065854871</c:v>
                      </c:pt>
                      <c:pt idx="19">
                        <c:v>2432.9562065854871</c:v>
                      </c:pt>
                      <c:pt idx="20">
                        <c:v>2432.9562065854871</c:v>
                      </c:pt>
                      <c:pt idx="21">
                        <c:v>2432.9562065854871</c:v>
                      </c:pt>
                      <c:pt idx="22">
                        <c:v>2432.9562065854871</c:v>
                      </c:pt>
                      <c:pt idx="23">
                        <c:v>2432.9562065854871</c:v>
                      </c:pt>
                      <c:pt idx="24">
                        <c:v>2432.9562065854871</c:v>
                      </c:pt>
                      <c:pt idx="25">
                        <c:v>2432.9562065854871</c:v>
                      </c:pt>
                      <c:pt idx="26">
                        <c:v>2432.9562065854871</c:v>
                      </c:pt>
                      <c:pt idx="27">
                        <c:v>2432.9562065854871</c:v>
                      </c:pt>
                      <c:pt idx="28">
                        <c:v>2432.9562065854871</c:v>
                      </c:pt>
                      <c:pt idx="29">
                        <c:v>2432.9562065854871</c:v>
                      </c:pt>
                      <c:pt idx="30">
                        <c:v>2432.9562065854871</c:v>
                      </c:pt>
                      <c:pt idx="31">
                        <c:v>2432.9562065854871</c:v>
                      </c:pt>
                      <c:pt idx="32">
                        <c:v>2432.9562065854871</c:v>
                      </c:pt>
                      <c:pt idx="33">
                        <c:v>2432.9562065854871</c:v>
                      </c:pt>
                      <c:pt idx="34">
                        <c:v>2432.9562065854871</c:v>
                      </c:pt>
                      <c:pt idx="35">
                        <c:v>2432.9562065854871</c:v>
                      </c:pt>
                      <c:pt idx="36">
                        <c:v>2432.9562065854871</c:v>
                      </c:pt>
                      <c:pt idx="37">
                        <c:v>2432.9562065854871</c:v>
                      </c:pt>
                      <c:pt idx="38">
                        <c:v>2432.9562065854871</c:v>
                      </c:pt>
                      <c:pt idx="39">
                        <c:v>2432.9562065854871</c:v>
                      </c:pt>
                      <c:pt idx="40">
                        <c:v>2432.9562065854871</c:v>
                      </c:pt>
                      <c:pt idx="41">
                        <c:v>2432.9562065855416</c:v>
                      </c:pt>
                      <c:pt idx="42">
                        <c:v>2432.9562065947243</c:v>
                      </c:pt>
                      <c:pt idx="43">
                        <c:v>2432.9562070530246</c:v>
                      </c:pt>
                      <c:pt idx="44">
                        <c:v>2432.9562171548791</c:v>
                      </c:pt>
                      <c:pt idx="45">
                        <c:v>2432.9563416787919</c:v>
                      </c:pt>
                      <c:pt idx="46">
                        <c:v>2432.9573395130978</c:v>
                      </c:pt>
                      <c:pt idx="47">
                        <c:v>2432.9630918902426</c:v>
                      </c:pt>
                      <c:pt idx="48">
                        <c:v>2432.988708997696</c:v>
                      </c:pt>
                      <c:pt idx="49">
                        <c:v>2433.0815034272123</c:v>
                      </c:pt>
                      <c:pt idx="50">
                        <c:v>2433.3656316171187</c:v>
                      </c:pt>
                      <c:pt idx="51">
                        <c:v>2434.1228425695267</c:v>
                      </c:pt>
                      <c:pt idx="52">
                        <c:v>2435.9196173195564</c:v>
                      </c:pt>
                      <c:pt idx="53">
                        <c:v>2439.7844266055668</c:v>
                      </c:pt>
                      <c:pt idx="54">
                        <c:v>2447.4289746460222</c:v>
                      </c:pt>
                      <c:pt idx="55">
                        <c:v>2461.4965258590969</c:v>
                      </c:pt>
                      <c:pt idx="56">
                        <c:v>2485.8114852197082</c:v>
                      </c:pt>
                      <c:pt idx="57">
                        <c:v>2525.5995049719595</c:v>
                      </c:pt>
                      <c:pt idx="58">
                        <c:v>2587.6475575060676</c:v>
                      </c:pt>
                      <c:pt idx="59">
                        <c:v>2680.3784362228339</c:v>
                      </c:pt>
                      <c:pt idx="60">
                        <c:v>2813.8228368535265</c:v>
                      </c:pt>
                      <c:pt idx="61">
                        <c:v>2999.4828213305327</c:v>
                      </c:pt>
                      <c:pt idx="62">
                        <c:v>3250.0912989568733</c:v>
                      </c:pt>
                      <c:pt idx="63">
                        <c:v>3579.2816801272165</c:v>
                      </c:pt>
                      <c:pt idx="64">
                        <c:v>4001.1890454407339</c:v>
                      </c:pt>
                      <c:pt idx="65">
                        <c:v>4530.0085311714947</c:v>
                      </c:pt>
                      <c:pt idx="66">
                        <c:v>5179.5381326920487</c:v>
                      </c:pt>
                      <c:pt idx="67">
                        <c:v>5962.7320957642232</c:v>
                      </c:pt>
                      <c:pt idx="68">
                        <c:v>6891.2880453988191</c:v>
                      </c:pt>
                      <c:pt idx="69">
                        <c:v>7975.2866302740922</c:v>
                      </c:pt>
                      <c:pt idx="70">
                        <c:v>9222.8973678575512</c:v>
                      </c:pt>
                      <c:pt idx="71">
                        <c:v>10640.159116490991</c:v>
                      </c:pt>
                      <c:pt idx="72">
                        <c:v>12230.838617098994</c:v>
                      </c:pt>
                      <c:pt idx="73">
                        <c:v>13996.366152802158</c:v>
                      </c:pt>
                      <c:pt idx="74">
                        <c:v>15935.843760632895</c:v>
                      </c:pt>
                      <c:pt idx="75">
                        <c:v>18046.11867995315</c:v>
                      </c:pt>
                      <c:pt idx="76">
                        <c:v>20321.912836119624</c:v>
                      </c:pt>
                      <c:pt idx="77">
                        <c:v>22755.998072622562</c:v>
                      </c:pt>
                      <c:pt idx="78">
                        <c:v>25339.406457480833</c:v>
                      </c:pt>
                      <c:pt idx="79">
                        <c:v>28061.665175944716</c:v>
                      </c:pt>
                      <c:pt idx="80">
                        <c:v>30911.046150933791</c:v>
                      </c:pt>
                      <c:pt idx="81">
                        <c:v>33874.821479009057</c:v>
                      </c:pt>
                      <c:pt idx="82">
                        <c:v>36939.516918736852</c:v>
                      </c:pt>
                      <c:pt idx="83">
                        <c:v>40091.156921822025</c:v>
                      </c:pt>
                      <c:pt idx="84">
                        <c:v>43315.495975051403</c:v>
                      </c:pt>
                      <c:pt idx="85">
                        <c:v>46598.232260579731</c:v>
                      </c:pt>
                      <c:pt idx="86">
                        <c:v>49925.200797927995</c:v>
                      </c:pt>
                      <c:pt idx="87">
                        <c:v>53282.544272703664</c:v>
                      </c:pt>
                      <c:pt idx="88">
                        <c:v>56656.860666614913</c:v>
                      </c:pt>
                      <c:pt idx="89">
                        <c:v>60035.327573225935</c:v>
                      </c:pt>
                      <c:pt idx="90">
                        <c:v>63405.803714464506</c:v>
                      </c:pt>
                      <c:pt idx="91">
                        <c:v>66756.908670390985</c:v>
                      </c:pt>
                      <c:pt idx="92">
                        <c:v>70078.082209486864</c:v>
                      </c:pt>
                      <c:pt idx="93">
                        <c:v>73359.624871559659</c:v>
                      </c:pt>
                      <c:pt idx="94">
                        <c:v>76592.721624440717</c:v>
                      </c:pt>
                      <c:pt idx="95">
                        <c:v>79769.450503477201</c:v>
                      </c:pt>
                      <c:pt idx="96">
                        <c:v>82882.77816352529</c:v>
                      </c:pt>
                      <c:pt idx="97">
                        <c:v>85926.54424005661</c:v>
                      </c:pt>
                      <c:pt idx="98">
                        <c:v>88895.436341198627</c:v>
                      </c:pt>
                      <c:pt idx="99">
                        <c:v>91784.957386842507</c:v>
                      </c:pt>
                      <c:pt idx="100">
                        <c:v>94591.386883691113</c:v>
                      </c:pt>
                      <c:pt idx="101">
                        <c:v>97311.73758425242</c:v>
                      </c:pt>
                      <c:pt idx="102">
                        <c:v>99943.708829830633</c:v>
                      </c:pt>
                      <c:pt idx="103">
                        <c:v>102485.63772790397</c:v>
                      </c:pt>
                      <c:pt idx="104">
                        <c:v>104936.44916702794</c:v>
                      </c:pt>
                      <c:pt idx="105">
                        <c:v>107295.60553079352</c:v>
                      </c:pt>
                      <c:pt idx="106">
                        <c:v>109563.05683869438</c:v>
                      </c:pt>
                      <c:pt idx="107">
                        <c:v>111739.19191761457</c:v>
                      </c:pt>
                      <c:pt idx="108">
                        <c:v>113824.79109402065</c:v>
                      </c:pt>
                      <c:pt idx="109">
                        <c:v>115820.98079432153</c:v>
                      </c:pt>
                      <c:pt idx="110">
                        <c:v>117729.19034933927</c:v>
                      </c:pt>
                      <c:pt idx="111">
                        <c:v>119551.11121822269</c:v>
                      </c:pt>
                      <c:pt idx="112">
                        <c:v>121288.65877699372</c:v>
                      </c:pt>
                      <c:pt idx="113">
                        <c:v>122943.93675665828</c:v>
                      </c:pt>
                      <c:pt idx="114">
                        <c:v>124519.20436474272</c:v>
                      </c:pt>
                      <c:pt idx="115">
                        <c:v>126016.84608146064</c:v>
                      </c:pt>
                      <c:pt idx="116">
                        <c:v>127439.34408669169</c:v>
                      </c:pt>
                      <c:pt idx="117">
                        <c:v>128789.25324575431</c:v>
                      </c:pt>
                      <c:pt idx="118">
                        <c:v>130069.17855980512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C697-44AA-A96B-8DCC64E76E94}"/>
                  </c:ext>
                </c:extLst>
              </c15:ser>
            </c15:filteredScatterSeries>
            <c15:filteredScatterSeries>
              <c15:ser>
                <c:idx val="11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LNorm'!$AA$7</c15:sqref>
                        </c15:formulaRef>
                      </c:ext>
                    </c:extLst>
                    <c:strCache>
                      <c:ptCount val="1"/>
                      <c:pt idx="0">
                        <c:v>o.r. Lower CI</c:v>
                      </c:pt>
                    </c:strCache>
                  </c:strRef>
                </c:tx>
                <c:spPr>
                  <a:ln w="952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LNorm'!$AA$8:$AA$184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313.6257195210751</c:v>
                      </c:pt>
                      <c:pt idx="67">
                        <c:v>1096.8196825932491</c:v>
                      </c:pt>
                      <c:pt idx="68">
                        <c:v>2025.375632227845</c:v>
                      </c:pt>
                      <c:pt idx="69">
                        <c:v>3109.3742171031181</c:v>
                      </c:pt>
                      <c:pt idx="70">
                        <c:v>4356.9849546865771</c:v>
                      </c:pt>
                      <c:pt idx="71">
                        <c:v>5774.2467033200182</c:v>
                      </c:pt>
                      <c:pt idx="72">
                        <c:v>7364.9262039280193</c:v>
                      </c:pt>
                      <c:pt idx="73">
                        <c:v>9130.4537396311862</c:v>
                      </c:pt>
                      <c:pt idx="74">
                        <c:v>11069.931347461919</c:v>
                      </c:pt>
                      <c:pt idx="75">
                        <c:v>13180.206266782177</c:v>
                      </c:pt>
                      <c:pt idx="76">
                        <c:v>15456.000422948648</c:v>
                      </c:pt>
                      <c:pt idx="77">
                        <c:v>17890.085659451586</c:v>
                      </c:pt>
                      <c:pt idx="78">
                        <c:v>20473.494044309857</c:v>
                      </c:pt>
                      <c:pt idx="79">
                        <c:v>23195.75276277374</c:v>
                      </c:pt>
                      <c:pt idx="80">
                        <c:v>26045.133737762815</c:v>
                      </c:pt>
                      <c:pt idx="81">
                        <c:v>29008.909065838085</c:v>
                      </c:pt>
                      <c:pt idx="82">
                        <c:v>32073.60450556588</c:v>
                      </c:pt>
                      <c:pt idx="83">
                        <c:v>35225.244508651056</c:v>
                      </c:pt>
                      <c:pt idx="84">
                        <c:v>38449.583561880434</c:v>
                      </c:pt>
                      <c:pt idx="85">
                        <c:v>41732.319847408762</c:v>
                      </c:pt>
                      <c:pt idx="86">
                        <c:v>45059.288384757027</c:v>
                      </c:pt>
                      <c:pt idx="87">
                        <c:v>48416.631859532696</c:v>
                      </c:pt>
                      <c:pt idx="88">
                        <c:v>51790.948253443945</c:v>
                      </c:pt>
                      <c:pt idx="89">
                        <c:v>55169.415160054967</c:v>
                      </c:pt>
                      <c:pt idx="90">
                        <c:v>58539.891301293537</c:v>
                      </c:pt>
                      <c:pt idx="91">
                        <c:v>61890.996257220017</c:v>
                      </c:pt>
                      <c:pt idx="92">
                        <c:v>65212.169796315895</c:v>
                      </c:pt>
                      <c:pt idx="93">
                        <c:v>68493.712458388691</c:v>
                      </c:pt>
                      <c:pt idx="94">
                        <c:v>71726.809211269749</c:v>
                      </c:pt>
                      <c:pt idx="95">
                        <c:v>74903.538090306232</c:v>
                      </c:pt>
                      <c:pt idx="96">
                        <c:v>78016.865750354322</c:v>
                      </c:pt>
                      <c:pt idx="97">
                        <c:v>81060.631826885641</c:v>
                      </c:pt>
                      <c:pt idx="98">
                        <c:v>84029.523928027658</c:v>
                      </c:pt>
                      <c:pt idx="99">
                        <c:v>86919.044973671538</c:v>
                      </c:pt>
                      <c:pt idx="100">
                        <c:v>89725.474470520145</c:v>
                      </c:pt>
                      <c:pt idx="101">
                        <c:v>92445.825171081451</c:v>
                      </c:pt>
                      <c:pt idx="102">
                        <c:v>95077.796416659665</c:v>
                      </c:pt>
                      <c:pt idx="103">
                        <c:v>97619.725314733005</c:v>
                      </c:pt>
                      <c:pt idx="104">
                        <c:v>100070.53675385697</c:v>
                      </c:pt>
                      <c:pt idx="105">
                        <c:v>102429.69311762255</c:v>
                      </c:pt>
                      <c:pt idx="106">
                        <c:v>104697.14442552341</c:v>
                      </c:pt>
                      <c:pt idx="107">
                        <c:v>106873.27950444361</c:v>
                      </c:pt>
                      <c:pt idx="108">
                        <c:v>108958.87868084968</c:v>
                      </c:pt>
                      <c:pt idx="109">
                        <c:v>110955.06838115056</c:v>
                      </c:pt>
                      <c:pt idx="110">
                        <c:v>112863.27793616831</c:v>
                      </c:pt>
                      <c:pt idx="111">
                        <c:v>114685.19880505172</c:v>
                      </c:pt>
                      <c:pt idx="112">
                        <c:v>116422.74636382275</c:v>
                      </c:pt>
                      <c:pt idx="113">
                        <c:v>118078.02434348731</c:v>
                      </c:pt>
                      <c:pt idx="114">
                        <c:v>119653.29195157175</c:v>
                      </c:pt>
                      <c:pt idx="115">
                        <c:v>121150.93366828967</c:v>
                      </c:pt>
                      <c:pt idx="116">
                        <c:v>122573.43167352072</c:v>
                      </c:pt>
                      <c:pt idx="117">
                        <c:v>123923.34083258334</c:v>
                      </c:pt>
                      <c:pt idx="118">
                        <c:v>125203.26614663415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C697-44AA-A96B-8DCC64E76E94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'Cumul_cases - LNorm'!$D$7</c:f>
              <c:strCache>
                <c:ptCount val="1"/>
                <c:pt idx="0">
                  <c:v>Italy cumulative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LNorm'!$D$8:$D$184</c:f>
              <c:numCache>
                <c:formatCode>0</c:formatCode>
                <c:ptCount val="177"/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229</c:v>
                </c:pt>
                <c:pt idx="55">
                  <c:v>322</c:v>
                </c:pt>
                <c:pt idx="56">
                  <c:v>400</c:v>
                </c:pt>
                <c:pt idx="57">
                  <c:v>650</c:v>
                </c:pt>
                <c:pt idx="58">
                  <c:v>888</c:v>
                </c:pt>
                <c:pt idx="59">
                  <c:v>1128</c:v>
                </c:pt>
                <c:pt idx="60">
                  <c:v>1694</c:v>
                </c:pt>
                <c:pt idx="61">
                  <c:v>2036</c:v>
                </c:pt>
                <c:pt idx="62">
                  <c:v>2502</c:v>
                </c:pt>
                <c:pt idx="63">
                  <c:v>3089</c:v>
                </c:pt>
                <c:pt idx="64">
                  <c:v>3858</c:v>
                </c:pt>
                <c:pt idx="65">
                  <c:v>4636</c:v>
                </c:pt>
                <c:pt idx="66">
                  <c:v>5883</c:v>
                </c:pt>
                <c:pt idx="67">
                  <c:v>7375</c:v>
                </c:pt>
                <c:pt idx="68">
                  <c:v>9172</c:v>
                </c:pt>
                <c:pt idx="69">
                  <c:v>10149</c:v>
                </c:pt>
                <c:pt idx="70">
                  <c:v>12462</c:v>
                </c:pt>
                <c:pt idx="71">
                  <c:v>15113</c:v>
                </c:pt>
                <c:pt idx="72">
                  <c:v>17660</c:v>
                </c:pt>
                <c:pt idx="73">
                  <c:v>21157</c:v>
                </c:pt>
                <c:pt idx="74">
                  <c:v>24747</c:v>
                </c:pt>
                <c:pt idx="75">
                  <c:v>27980</c:v>
                </c:pt>
                <c:pt idx="76">
                  <c:v>31506</c:v>
                </c:pt>
                <c:pt idx="77">
                  <c:v>35713</c:v>
                </c:pt>
                <c:pt idx="78">
                  <c:v>41035</c:v>
                </c:pt>
                <c:pt idx="79">
                  <c:v>47021</c:v>
                </c:pt>
                <c:pt idx="80">
                  <c:v>53578</c:v>
                </c:pt>
                <c:pt idx="81">
                  <c:v>59138</c:v>
                </c:pt>
                <c:pt idx="82">
                  <c:v>63927</c:v>
                </c:pt>
                <c:pt idx="83">
                  <c:v>69176</c:v>
                </c:pt>
                <c:pt idx="84">
                  <c:v>74386</c:v>
                </c:pt>
                <c:pt idx="85">
                  <c:v>80539</c:v>
                </c:pt>
                <c:pt idx="86">
                  <c:v>86498</c:v>
                </c:pt>
                <c:pt idx="87">
                  <c:v>92472</c:v>
                </c:pt>
                <c:pt idx="88">
                  <c:v>97689</c:v>
                </c:pt>
                <c:pt idx="89">
                  <c:v>101739</c:v>
                </c:pt>
                <c:pt idx="90">
                  <c:v>105792</c:v>
                </c:pt>
                <c:pt idx="91">
                  <c:v>110574</c:v>
                </c:pt>
                <c:pt idx="92">
                  <c:v>115242</c:v>
                </c:pt>
                <c:pt idx="93">
                  <c:v>119827</c:v>
                </c:pt>
                <c:pt idx="94">
                  <c:v>124632</c:v>
                </c:pt>
                <c:pt idx="95">
                  <c:v>128948</c:v>
                </c:pt>
                <c:pt idx="96">
                  <c:v>132547</c:v>
                </c:pt>
                <c:pt idx="97">
                  <c:v>135586</c:v>
                </c:pt>
                <c:pt idx="98">
                  <c:v>139422</c:v>
                </c:pt>
                <c:pt idx="99">
                  <c:v>143626</c:v>
                </c:pt>
                <c:pt idx="100">
                  <c:v>147577</c:v>
                </c:pt>
                <c:pt idx="101">
                  <c:v>152271</c:v>
                </c:pt>
                <c:pt idx="102">
                  <c:v>156363</c:v>
                </c:pt>
                <c:pt idx="103">
                  <c:v>159516</c:v>
                </c:pt>
                <c:pt idx="104">
                  <c:v>162488</c:v>
                </c:pt>
                <c:pt idx="105">
                  <c:v>165155</c:v>
                </c:pt>
                <c:pt idx="106">
                  <c:v>168941</c:v>
                </c:pt>
                <c:pt idx="107">
                  <c:v>172434</c:v>
                </c:pt>
                <c:pt idx="108">
                  <c:v>175925</c:v>
                </c:pt>
                <c:pt idx="109">
                  <c:v>178972</c:v>
                </c:pt>
                <c:pt idx="110">
                  <c:v>181228</c:v>
                </c:pt>
                <c:pt idx="111">
                  <c:v>183957</c:v>
                </c:pt>
                <c:pt idx="112">
                  <c:v>187327</c:v>
                </c:pt>
                <c:pt idx="113">
                  <c:v>189973</c:v>
                </c:pt>
                <c:pt idx="114">
                  <c:v>192994</c:v>
                </c:pt>
                <c:pt idx="115">
                  <c:v>195351</c:v>
                </c:pt>
                <c:pt idx="116">
                  <c:v>197675</c:v>
                </c:pt>
                <c:pt idx="117">
                  <c:v>199414</c:v>
                </c:pt>
                <c:pt idx="118">
                  <c:v>201505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697-44AA-A96B-8DCC64E76E94}"/>
            </c:ext>
          </c:extLst>
        </c:ser>
        <c:ser>
          <c:idx val="4"/>
          <c:order val="5"/>
          <c:tx>
            <c:strRef>
              <c:f>'Cumul_cases - LNorm'!$N$7</c:f>
              <c:strCache>
                <c:ptCount val="1"/>
                <c:pt idx="0">
                  <c:v>Lombardy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noFill/>
                <a:round/>
              </a:ln>
              <a:effectLst/>
            </c:spPr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LNorm'!$N$8:$N$184</c:f>
              <c:numCache>
                <c:formatCode>General</c:formatCode>
                <c:ptCount val="177"/>
                <c:pt idx="54">
                  <c:v>172</c:v>
                </c:pt>
                <c:pt idx="55">
                  <c:v>240</c:v>
                </c:pt>
                <c:pt idx="56">
                  <c:v>258</c:v>
                </c:pt>
                <c:pt idx="57">
                  <c:v>403</c:v>
                </c:pt>
                <c:pt idx="58">
                  <c:v>531</c:v>
                </c:pt>
                <c:pt idx="59">
                  <c:v>615</c:v>
                </c:pt>
                <c:pt idx="60">
                  <c:v>984</c:v>
                </c:pt>
                <c:pt idx="61">
                  <c:v>1254</c:v>
                </c:pt>
                <c:pt idx="62">
                  <c:v>1520</c:v>
                </c:pt>
                <c:pt idx="63">
                  <c:v>1820</c:v>
                </c:pt>
                <c:pt idx="64">
                  <c:v>2251</c:v>
                </c:pt>
                <c:pt idx="65">
                  <c:v>2612</c:v>
                </c:pt>
                <c:pt idx="66">
                  <c:v>3420</c:v>
                </c:pt>
                <c:pt idx="67">
                  <c:v>4189</c:v>
                </c:pt>
                <c:pt idx="68">
                  <c:v>5469</c:v>
                </c:pt>
                <c:pt idx="69">
                  <c:v>5791</c:v>
                </c:pt>
                <c:pt idx="70">
                  <c:v>7280</c:v>
                </c:pt>
                <c:pt idx="71">
                  <c:v>8725</c:v>
                </c:pt>
                <c:pt idx="72">
                  <c:v>9820</c:v>
                </c:pt>
                <c:pt idx="73">
                  <c:v>11685</c:v>
                </c:pt>
                <c:pt idx="74">
                  <c:v>13272</c:v>
                </c:pt>
                <c:pt idx="75">
                  <c:v>14649</c:v>
                </c:pt>
                <c:pt idx="76">
                  <c:v>16220</c:v>
                </c:pt>
                <c:pt idx="77">
                  <c:v>17713</c:v>
                </c:pt>
                <c:pt idx="78">
                  <c:v>19884</c:v>
                </c:pt>
                <c:pt idx="79">
                  <c:v>22264</c:v>
                </c:pt>
                <c:pt idx="80">
                  <c:v>25515</c:v>
                </c:pt>
                <c:pt idx="81">
                  <c:v>27206</c:v>
                </c:pt>
                <c:pt idx="82">
                  <c:v>28761</c:v>
                </c:pt>
                <c:pt idx="83">
                  <c:v>30703</c:v>
                </c:pt>
                <c:pt idx="84">
                  <c:v>32346</c:v>
                </c:pt>
                <c:pt idx="85">
                  <c:v>34889</c:v>
                </c:pt>
                <c:pt idx="86">
                  <c:v>37298</c:v>
                </c:pt>
                <c:pt idx="87">
                  <c:v>39415</c:v>
                </c:pt>
                <c:pt idx="88">
                  <c:v>41007</c:v>
                </c:pt>
                <c:pt idx="89">
                  <c:v>42161</c:v>
                </c:pt>
                <c:pt idx="90">
                  <c:v>43208</c:v>
                </c:pt>
                <c:pt idx="91">
                  <c:v>44773</c:v>
                </c:pt>
                <c:pt idx="92">
                  <c:v>46065</c:v>
                </c:pt>
                <c:pt idx="93">
                  <c:v>47520</c:v>
                </c:pt>
                <c:pt idx="94">
                  <c:v>49118</c:v>
                </c:pt>
                <c:pt idx="95">
                  <c:v>50455</c:v>
                </c:pt>
                <c:pt idx="96">
                  <c:v>51534</c:v>
                </c:pt>
                <c:pt idx="97">
                  <c:v>52325</c:v>
                </c:pt>
                <c:pt idx="98">
                  <c:v>53414</c:v>
                </c:pt>
                <c:pt idx="99">
                  <c:v>54802</c:v>
                </c:pt>
                <c:pt idx="100">
                  <c:v>56048</c:v>
                </c:pt>
                <c:pt idx="101">
                  <c:v>57592</c:v>
                </c:pt>
                <c:pt idx="102">
                  <c:v>59052</c:v>
                </c:pt>
                <c:pt idx="103">
                  <c:v>60314</c:v>
                </c:pt>
                <c:pt idx="104">
                  <c:v>61326</c:v>
                </c:pt>
                <c:pt idx="105">
                  <c:v>62153</c:v>
                </c:pt>
                <c:pt idx="106">
                  <c:v>63094</c:v>
                </c:pt>
                <c:pt idx="107">
                  <c:v>64135</c:v>
                </c:pt>
                <c:pt idx="108">
                  <c:v>65381</c:v>
                </c:pt>
                <c:pt idx="109">
                  <c:v>66236</c:v>
                </c:pt>
                <c:pt idx="110">
                  <c:v>66971</c:v>
                </c:pt>
                <c:pt idx="111">
                  <c:v>67931</c:v>
                </c:pt>
                <c:pt idx="112">
                  <c:v>69092</c:v>
                </c:pt>
                <c:pt idx="113">
                  <c:v>70165</c:v>
                </c:pt>
                <c:pt idx="114">
                  <c:v>71256</c:v>
                </c:pt>
                <c:pt idx="115">
                  <c:v>71969</c:v>
                </c:pt>
                <c:pt idx="116">
                  <c:v>72889</c:v>
                </c:pt>
                <c:pt idx="117">
                  <c:v>73479</c:v>
                </c:pt>
                <c:pt idx="118">
                  <c:v>74348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697-44AA-A96B-8DCC64E76E94}"/>
            </c:ext>
          </c:extLst>
        </c:ser>
        <c:ser>
          <c:idx val="8"/>
          <c:order val="9"/>
          <c:tx>
            <c:strRef>
              <c:f>'Cumul_cases - LNorm'!$U$7</c:f>
              <c:strCache>
                <c:ptCount val="1"/>
                <c:pt idx="0">
                  <c:v>rest of Italy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  <a:round/>
              </a:ln>
              <a:effectLst/>
            </c:spPr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LNorm'!$U$8:$U$184</c:f>
              <c:numCache>
                <c:formatCode>0</c:formatCode>
                <c:ptCount val="177"/>
                <c:pt idx="54">
                  <c:v>57</c:v>
                </c:pt>
                <c:pt idx="55">
                  <c:v>82</c:v>
                </c:pt>
                <c:pt idx="56">
                  <c:v>142</c:v>
                </c:pt>
                <c:pt idx="57">
                  <c:v>247</c:v>
                </c:pt>
                <c:pt idx="58">
                  <c:v>357</c:v>
                </c:pt>
                <c:pt idx="59">
                  <c:v>513</c:v>
                </c:pt>
                <c:pt idx="60">
                  <c:v>710</c:v>
                </c:pt>
                <c:pt idx="61">
                  <c:v>782</c:v>
                </c:pt>
                <c:pt idx="62">
                  <c:v>982</c:v>
                </c:pt>
                <c:pt idx="63">
                  <c:v>1269</c:v>
                </c:pt>
                <c:pt idx="64">
                  <c:v>1607</c:v>
                </c:pt>
                <c:pt idx="65">
                  <c:v>2024</c:v>
                </c:pt>
                <c:pt idx="66">
                  <c:v>2463</c:v>
                </c:pt>
                <c:pt idx="67">
                  <c:v>3186</c:v>
                </c:pt>
                <c:pt idx="68">
                  <c:v>3703</c:v>
                </c:pt>
                <c:pt idx="69">
                  <c:v>4358</c:v>
                </c:pt>
                <c:pt idx="70">
                  <c:v>5182</c:v>
                </c:pt>
                <c:pt idx="71">
                  <c:v>6388</c:v>
                </c:pt>
                <c:pt idx="72">
                  <c:v>7840</c:v>
                </c:pt>
                <c:pt idx="73">
                  <c:v>9472</c:v>
                </c:pt>
                <c:pt idx="74">
                  <c:v>11475</c:v>
                </c:pt>
                <c:pt idx="75">
                  <c:v>13331</c:v>
                </c:pt>
                <c:pt idx="76">
                  <c:v>15286</c:v>
                </c:pt>
                <c:pt idx="77">
                  <c:v>18000</c:v>
                </c:pt>
                <c:pt idx="78">
                  <c:v>21151</c:v>
                </c:pt>
                <c:pt idx="79">
                  <c:v>24757</c:v>
                </c:pt>
                <c:pt idx="80">
                  <c:v>28063</c:v>
                </c:pt>
                <c:pt idx="81">
                  <c:v>31932</c:v>
                </c:pt>
                <c:pt idx="82">
                  <c:v>35166</c:v>
                </c:pt>
                <c:pt idx="83">
                  <c:v>38473</c:v>
                </c:pt>
                <c:pt idx="84">
                  <c:v>42040</c:v>
                </c:pt>
                <c:pt idx="85">
                  <c:v>45650</c:v>
                </c:pt>
                <c:pt idx="86">
                  <c:v>49200</c:v>
                </c:pt>
                <c:pt idx="87">
                  <c:v>53057</c:v>
                </c:pt>
                <c:pt idx="88">
                  <c:v>56682</c:v>
                </c:pt>
                <c:pt idx="89">
                  <c:v>59578</c:v>
                </c:pt>
                <c:pt idx="90">
                  <c:v>62584</c:v>
                </c:pt>
                <c:pt idx="91">
                  <c:v>65801</c:v>
                </c:pt>
                <c:pt idx="92">
                  <c:v>69177</c:v>
                </c:pt>
                <c:pt idx="93">
                  <c:v>72307</c:v>
                </c:pt>
                <c:pt idx="94">
                  <c:v>75514</c:v>
                </c:pt>
                <c:pt idx="95">
                  <c:v>78493</c:v>
                </c:pt>
                <c:pt idx="96">
                  <c:v>81013</c:v>
                </c:pt>
                <c:pt idx="97">
                  <c:v>83261</c:v>
                </c:pt>
                <c:pt idx="98">
                  <c:v>86008</c:v>
                </c:pt>
                <c:pt idx="99">
                  <c:v>88824</c:v>
                </c:pt>
                <c:pt idx="100">
                  <c:v>91529</c:v>
                </c:pt>
                <c:pt idx="101">
                  <c:v>94679</c:v>
                </c:pt>
                <c:pt idx="102">
                  <c:v>97311</c:v>
                </c:pt>
                <c:pt idx="103">
                  <c:v>99202</c:v>
                </c:pt>
                <c:pt idx="104">
                  <c:v>101162</c:v>
                </c:pt>
                <c:pt idx="105">
                  <c:v>103002</c:v>
                </c:pt>
                <c:pt idx="106">
                  <c:v>105847</c:v>
                </c:pt>
                <c:pt idx="107">
                  <c:v>108299</c:v>
                </c:pt>
                <c:pt idx="108">
                  <c:v>110544</c:v>
                </c:pt>
                <c:pt idx="109">
                  <c:v>112736</c:v>
                </c:pt>
                <c:pt idx="110">
                  <c:v>114257</c:v>
                </c:pt>
                <c:pt idx="111">
                  <c:v>116026</c:v>
                </c:pt>
                <c:pt idx="112">
                  <c:v>118235</c:v>
                </c:pt>
                <c:pt idx="113">
                  <c:v>119808</c:v>
                </c:pt>
                <c:pt idx="114">
                  <c:v>121738</c:v>
                </c:pt>
                <c:pt idx="115">
                  <c:v>123382</c:v>
                </c:pt>
                <c:pt idx="116">
                  <c:v>124786</c:v>
                </c:pt>
                <c:pt idx="117">
                  <c:v>125935</c:v>
                </c:pt>
                <c:pt idx="118">
                  <c:v>127157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97-44AA-A96B-8DCC64E7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081744"/>
        <c:axId val="622082064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3"/>
                <c:tx>
                  <c:strRef>
                    <c:extLst>
                      <c:ext uri="{02D57815-91ED-43cb-92C2-25804820EDAC}">
                        <c15:formulaRef>
                          <c15:sqref>'Cumul_cases - LNorm'!$L$7</c15:sqref>
                        </c15:formulaRef>
                      </c:ext>
                    </c:extLst>
                    <c:strCache>
                      <c:ptCount val="1"/>
                      <c:pt idx="0">
                        <c:v>Upper CI</c:v>
                      </c:pt>
                    </c:strCache>
                  </c:strRef>
                </c:tx>
                <c:spPr>
                  <a:ln w="952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'Cumul_cases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'Cumul_cases - LNorm'!$L$8:$L$184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4889.6421789935675</c:v>
                      </c:pt>
                      <c:pt idx="1">
                        <c:v>4889.6421789935675</c:v>
                      </c:pt>
                      <c:pt idx="2">
                        <c:v>4889.6421789935675</c:v>
                      </c:pt>
                      <c:pt idx="3">
                        <c:v>4889.6421789935675</c:v>
                      </c:pt>
                      <c:pt idx="4">
                        <c:v>4889.6421789935675</c:v>
                      </c:pt>
                      <c:pt idx="5">
                        <c:v>4889.6421789935675</c:v>
                      </c:pt>
                      <c:pt idx="6">
                        <c:v>4889.6421789935675</c:v>
                      </c:pt>
                      <c:pt idx="7">
                        <c:v>4889.6421789935675</c:v>
                      </c:pt>
                      <c:pt idx="8">
                        <c:v>4889.6421789935675</c:v>
                      </c:pt>
                      <c:pt idx="9">
                        <c:v>4889.6421789935675</c:v>
                      </c:pt>
                      <c:pt idx="10">
                        <c:v>4889.6421789935675</c:v>
                      </c:pt>
                      <c:pt idx="11">
                        <c:v>4889.6421789935675</c:v>
                      </c:pt>
                      <c:pt idx="12">
                        <c:v>4889.6421789935675</c:v>
                      </c:pt>
                      <c:pt idx="13">
                        <c:v>4889.6421789935675</c:v>
                      </c:pt>
                      <c:pt idx="14">
                        <c:v>4889.6421789935675</c:v>
                      </c:pt>
                      <c:pt idx="15">
                        <c:v>4889.6421789935675</c:v>
                      </c:pt>
                      <c:pt idx="16">
                        <c:v>4889.6421789935675</c:v>
                      </c:pt>
                      <c:pt idx="17">
                        <c:v>4889.6421789935675</c:v>
                      </c:pt>
                      <c:pt idx="18">
                        <c:v>4889.6421789935675</c:v>
                      </c:pt>
                      <c:pt idx="19">
                        <c:v>4889.6421789935675</c:v>
                      </c:pt>
                      <c:pt idx="20">
                        <c:v>4889.6421789935675</c:v>
                      </c:pt>
                      <c:pt idx="21">
                        <c:v>4889.6421789935675</c:v>
                      </c:pt>
                      <c:pt idx="22">
                        <c:v>4889.6421789935675</c:v>
                      </c:pt>
                      <c:pt idx="23">
                        <c:v>4889.6421789935675</c:v>
                      </c:pt>
                      <c:pt idx="24">
                        <c:v>4889.6421789935675</c:v>
                      </c:pt>
                      <c:pt idx="25">
                        <c:v>4889.6421789935675</c:v>
                      </c:pt>
                      <c:pt idx="26">
                        <c:v>4889.6421789935675</c:v>
                      </c:pt>
                      <c:pt idx="27">
                        <c:v>4889.6421789935675</c:v>
                      </c:pt>
                      <c:pt idx="28">
                        <c:v>4889.6421789935675</c:v>
                      </c:pt>
                      <c:pt idx="29">
                        <c:v>4889.6421789935675</c:v>
                      </c:pt>
                      <c:pt idx="30">
                        <c:v>4889.6421789935675</c:v>
                      </c:pt>
                      <c:pt idx="31">
                        <c:v>4889.6421789935675</c:v>
                      </c:pt>
                      <c:pt idx="32">
                        <c:v>4889.6421789935675</c:v>
                      </c:pt>
                      <c:pt idx="33">
                        <c:v>4889.6421789935675</c:v>
                      </c:pt>
                      <c:pt idx="34">
                        <c:v>4889.6421789935785</c:v>
                      </c:pt>
                      <c:pt idx="35">
                        <c:v>4889.6421789962742</c:v>
                      </c:pt>
                      <c:pt idx="36">
                        <c:v>4889.6421791580951</c:v>
                      </c:pt>
                      <c:pt idx="37">
                        <c:v>4889.6421830858553</c:v>
                      </c:pt>
                      <c:pt idx="38">
                        <c:v>4889.6422339742539</c:v>
                      </c:pt>
                      <c:pt idx="39">
                        <c:v>4889.642651678977</c:v>
                      </c:pt>
                      <c:pt idx="40">
                        <c:v>4889.6450827450581</c:v>
                      </c:pt>
                      <c:pt idx="41">
                        <c:v>4889.6559236696303</c:v>
                      </c:pt>
                      <c:pt idx="42">
                        <c:v>4889.6950712947619</c:v>
                      </c:pt>
                      <c:pt idx="43">
                        <c:v>4889.8142975154506</c:v>
                      </c:pt>
                      <c:pt idx="44">
                        <c:v>4890.1300662955218</c:v>
                      </c:pt>
                      <c:pt idx="45">
                        <c:v>4890.8747186481141</c:v>
                      </c:pt>
                      <c:pt idx="46">
                        <c:v>4892.4677250430777</c:v>
                      </c:pt>
                      <c:pt idx="47">
                        <c:v>4895.606090881477</c:v>
                      </c:pt>
                      <c:pt idx="48">
                        <c:v>4901.3714097302282</c:v>
                      </c:pt>
                      <c:pt idx="49">
                        <c:v>4911.3514019645163</c:v>
                      </c:pt>
                      <c:pt idx="50">
                        <c:v>4927.7756230875693</c:v>
                      </c:pt>
                      <c:pt idx="51">
                        <c:v>4953.6666737136502</c:v>
                      </c:pt>
                      <c:pt idx="52">
                        <c:v>4993.0077320171931</c:v>
                      </c:pt>
                      <c:pt idx="53">
                        <c:v>5050.923550868999</c:v>
                      </c:pt>
                      <c:pt idx="54">
                        <c:v>5133.8657573748469</c:v>
                      </c:pt>
                      <c:pt idx="55">
                        <c:v>5249.786186502567</c:v>
                      </c:pt>
                      <c:pt idx="56">
                        <c:v>5408.2763519833534</c:v>
                      </c:pt>
                      <c:pt idx="57">
                        <c:v>5620.6488580230662</c:v>
                      </c:pt>
                      <c:pt idx="58">
                        <c:v>5899.9384483038375</c:v>
                      </c:pt>
                      <c:pt idx="59">
                        <c:v>6260.8062331069796</c:v>
                      </c:pt>
                      <c:pt idx="60">
                        <c:v>6719.3393227037277</c:v>
                      </c:pt>
                      <c:pt idx="61">
                        <c:v>7292.7480639608575</c:v>
                      </c:pt>
                      <c:pt idx="62">
                        <c:v>7998.9727337955555</c:v>
                      </c:pt>
                      <c:pt idx="63">
                        <c:v>8856.2195797769327</c:v>
                      </c:pt>
                      <c:pt idx="64">
                        <c:v>9882.4516653935934</c:v>
                      </c:pt>
                      <c:pt idx="65">
                        <c:v>11094.86272161387</c:v>
                      </c:pt>
                      <c:pt idx="66">
                        <c:v>12509.362208095881</c:v>
                      </c:pt>
                      <c:pt idx="67">
                        <c:v>14140.097446215168</c:v>
                      </c:pt>
                      <c:pt idx="68">
                        <c:v>15999.034588616112</c:v>
                      </c:pt>
                      <c:pt idx="69">
                        <c:v>18095.614989818328</c:v>
                      </c:pt>
                      <c:pt idx="70">
                        <c:v>20436.497865944057</c:v>
                      </c:pt>
                      <c:pt idx="71">
                        <c:v>23025.394515383836</c:v>
                      </c:pt>
                      <c:pt idx="72">
                        <c:v>25862.994229549735</c:v>
                      </c:pt>
                      <c:pt idx="73">
                        <c:v>28946.977634791281</c:v>
                      </c:pt>
                      <c:pt idx="74">
                        <c:v>32272.10972974281</c:v>
                      </c:pt>
                      <c:pt idx="75">
                        <c:v>35830.402367684299</c:v>
                      </c:pt>
                      <c:pt idx="76">
                        <c:v>39611.334349450663</c:v>
                      </c:pt>
                      <c:pt idx="77">
                        <c:v>43602.116549496481</c:v>
                      </c:pt>
                      <c:pt idx="78">
                        <c:v>47787.98947066276</c:v>
                      </c:pt>
                      <c:pt idx="79">
                        <c:v>52152.541169844044</c:v>
                      </c:pt>
                      <c:pt idx="80">
                        <c:v>56678.034472707674</c:v>
                      </c:pt>
                      <c:pt idx="81">
                        <c:v>61345.733664769941</c:v>
                      </c:pt>
                      <c:pt idx="82">
                        <c:v>66136.222287480297</c:v>
                      </c:pt>
                      <c:pt idx="83">
                        <c:v>71029.705179384109</c:v>
                      </c:pt>
                      <c:pt idx="84">
                        <c:v>76006.28940194234</c:v>
                      </c:pt>
                      <c:pt idx="85">
                        <c:v>81046.240114972592</c:v>
                      </c:pt>
                      <c:pt idx="86">
                        <c:v>86130.208773863429</c:v>
                      </c:pt>
                      <c:pt idx="87">
                        <c:v>91239.432181491269</c:v>
                      </c:pt>
                      <c:pt idx="88">
                        <c:v>96355.901927187413</c:v>
                      </c:pt>
                      <c:pt idx="89">
                        <c:v>101462.50457882001</c:v>
                      </c:pt>
                      <c:pt idx="90">
                        <c:v>106543.1336658465</c:v>
                      </c:pt>
                      <c:pt idx="91">
                        <c:v>111582.77501066803</c:v>
                      </c:pt>
                      <c:pt idx="92">
                        <c:v>116567.56734632651</c:v>
                      </c:pt>
                      <c:pt idx="93">
                        <c:v>121484.8404163652</c:v>
                      </c:pt>
                      <c:pt idx="94">
                        <c:v>126323.13290441733</c:v>
                      </c:pt>
                      <c:pt idx="95">
                        <c:v>131072.19260373007</c:v>
                      </c:pt>
                      <c:pt idx="96">
                        <c:v>135722.96122663881</c:v>
                      </c:pt>
                      <c:pt idx="97">
                        <c:v>140267.54618613643</c:v>
                      </c:pt>
                      <c:pt idx="98">
                        <c:v>144699.18156976407</c:v>
                      </c:pt>
                      <c:pt idx="99">
                        <c:v>149012.18038218073</c:v>
                      </c:pt>
                      <c:pt idx="100">
                        <c:v>153201.87996728331</c:v>
                      </c:pt>
                      <c:pt idx="101">
                        <c:v>157264.582342446</c:v>
                      </c:pt>
                      <c:pt idx="102">
                        <c:v>161197.4909934696</c:v>
                      </c:pt>
                      <c:pt idx="103">
                        <c:v>164998.64549501354</c:v>
                      </c:pt>
                      <c:pt idx="104">
                        <c:v>168666.85514207918</c:v>
                      </c:pt>
                      <c:pt idx="105">
                        <c:v>172201.63260695408</c:v>
                      </c:pt>
                      <c:pt idx="106">
                        <c:v>175603.12847531619</c:v>
                      </c:pt>
                      <c:pt idx="107">
                        <c:v>178872.0673665764</c:v>
                      </c:pt>
                      <c:pt idx="108">
                        <c:v>182009.68620794796</c:v>
                      </c:pt>
                      <c:pt idx="109">
                        <c:v>185017.6751096081</c:v>
                      </c:pt>
                      <c:pt idx="110">
                        <c:v>187898.12117963066</c:v>
                      </c:pt>
                      <c:pt idx="111">
                        <c:v>190653.45552180271</c:v>
                      </c:pt>
                      <c:pt idx="112">
                        <c:v>193286.40357639658</c:v>
                      </c:pt>
                      <c:pt idx="113">
                        <c:v>195799.93889271337</c:v>
                      </c:pt>
                      <c:pt idx="114">
                        <c:v>198197.24036187655</c:v>
                      </c:pt>
                      <c:pt idx="115">
                        <c:v>200481.65288800304</c:v>
                      </c:pt>
                      <c:pt idx="116">
                        <c:v>202656.65143457073</c:v>
                      </c:pt>
                      <c:pt idx="117">
                        <c:v>204725.80834957235</c:v>
                      </c:pt>
                      <c:pt idx="118">
                        <c:v>206692.76384697409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7-C697-44AA-A96B-8DCC64E76E94}"/>
                  </c:ext>
                </c:extLst>
              </c15:ser>
            </c15:filteredScatterSeries>
            <c15:filteredScatter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LNorm'!$M$7</c15:sqref>
                        </c15:formulaRef>
                      </c:ext>
                    </c:extLst>
                    <c:strCache>
                      <c:ptCount val="1"/>
                      <c:pt idx="0">
                        <c:v>Lower CI</c:v>
                      </c:pt>
                    </c:strCache>
                  </c:strRef>
                </c:tx>
                <c:spPr>
                  <a:ln w="952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LNorm'!$M$8:$M$184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103.16730740645926</c:v>
                      </c:pt>
                      <c:pt idx="65">
                        <c:v>1315.5783636267352</c:v>
                      </c:pt>
                      <c:pt idx="66">
                        <c:v>2730.077850108747</c:v>
                      </c:pt>
                      <c:pt idx="67">
                        <c:v>4360.813088228032</c:v>
                      </c:pt>
                      <c:pt idx="68">
                        <c:v>6219.750230628978</c:v>
                      </c:pt>
                      <c:pt idx="69">
                        <c:v>8316.3306318311916</c:v>
                      </c:pt>
                      <c:pt idx="70">
                        <c:v>10657.213507956923</c:v>
                      </c:pt>
                      <c:pt idx="71">
                        <c:v>13246.110157396703</c:v>
                      </c:pt>
                      <c:pt idx="72">
                        <c:v>16083.709871562602</c:v>
                      </c:pt>
                      <c:pt idx="73">
                        <c:v>19167.693276804148</c:v>
                      </c:pt>
                      <c:pt idx="74">
                        <c:v>22492.825371755676</c:v>
                      </c:pt>
                      <c:pt idx="75">
                        <c:v>26051.118009697162</c:v>
                      </c:pt>
                      <c:pt idx="76">
                        <c:v>29832.049991463526</c:v>
                      </c:pt>
                      <c:pt idx="77">
                        <c:v>33822.83219150934</c:v>
                      </c:pt>
                      <c:pt idx="78">
                        <c:v>38008.70511267562</c:v>
                      </c:pt>
                      <c:pt idx="79">
                        <c:v>42373.256811856903</c:v>
                      </c:pt>
                      <c:pt idx="80">
                        <c:v>46898.750114720533</c:v>
                      </c:pt>
                      <c:pt idx="81">
                        <c:v>51566.449306782801</c:v>
                      </c:pt>
                      <c:pt idx="82">
                        <c:v>56356.937929493157</c:v>
                      </c:pt>
                      <c:pt idx="83">
                        <c:v>61250.420821396969</c:v>
                      </c:pt>
                      <c:pt idx="84">
                        <c:v>66227.0050439552</c:v>
                      </c:pt>
                      <c:pt idx="85">
                        <c:v>71266.955756985451</c:v>
                      </c:pt>
                      <c:pt idx="86">
                        <c:v>76350.924415876289</c:v>
                      </c:pt>
                      <c:pt idx="87">
                        <c:v>81460.147823504129</c:v>
                      </c:pt>
                      <c:pt idx="88">
                        <c:v>86576.617569200273</c:v>
                      </c:pt>
                      <c:pt idx="89">
                        <c:v>91683.220220832867</c:v>
                      </c:pt>
                      <c:pt idx="90">
                        <c:v>96763.84930785936</c:v>
                      </c:pt>
                      <c:pt idx="91">
                        <c:v>101803.49065268089</c:v>
                      </c:pt>
                      <c:pt idx="92">
                        <c:v>106788.28298833937</c:v>
                      </c:pt>
                      <c:pt idx="93">
                        <c:v>111705.55605837806</c:v>
                      </c:pt>
                      <c:pt idx="94">
                        <c:v>116543.84854643019</c:v>
                      </c:pt>
                      <c:pt idx="95">
                        <c:v>121292.90824574293</c:v>
                      </c:pt>
                      <c:pt idx="96">
                        <c:v>125943.67686865169</c:v>
                      </c:pt>
                      <c:pt idx="97">
                        <c:v>130488.26182814931</c:v>
                      </c:pt>
                      <c:pt idx="98">
                        <c:v>134919.89721177696</c:v>
                      </c:pt>
                      <c:pt idx="99">
                        <c:v>139232.89602419361</c:v>
                      </c:pt>
                      <c:pt idx="100">
                        <c:v>143422.5956092962</c:v>
                      </c:pt>
                      <c:pt idx="101">
                        <c:v>147485.29798445888</c:v>
                      </c:pt>
                      <c:pt idx="102">
                        <c:v>151418.20663548249</c:v>
                      </c:pt>
                      <c:pt idx="103">
                        <c:v>155219.36113702643</c:v>
                      </c:pt>
                      <c:pt idx="104">
                        <c:v>158887.57078409207</c:v>
                      </c:pt>
                      <c:pt idx="105">
                        <c:v>162422.34824896697</c:v>
                      </c:pt>
                      <c:pt idx="106">
                        <c:v>165823.84411732908</c:v>
                      </c:pt>
                      <c:pt idx="107">
                        <c:v>169092.78300858929</c:v>
                      </c:pt>
                      <c:pt idx="108">
                        <c:v>172230.40184996085</c:v>
                      </c:pt>
                      <c:pt idx="109">
                        <c:v>175238.39075162099</c:v>
                      </c:pt>
                      <c:pt idx="110">
                        <c:v>178118.83682164355</c:v>
                      </c:pt>
                      <c:pt idx="111">
                        <c:v>180874.1711638156</c:v>
                      </c:pt>
                      <c:pt idx="112">
                        <c:v>183507.11921840947</c:v>
                      </c:pt>
                      <c:pt idx="113">
                        <c:v>186020.65453472626</c:v>
                      </c:pt>
                      <c:pt idx="114">
                        <c:v>188417.95600388944</c:v>
                      </c:pt>
                      <c:pt idx="115">
                        <c:v>190702.36853001593</c:v>
                      </c:pt>
                      <c:pt idx="116">
                        <c:v>192877.36707658361</c:v>
                      </c:pt>
                      <c:pt idx="117">
                        <c:v>194946.52399158524</c:v>
                      </c:pt>
                      <c:pt idx="118">
                        <c:v>196913.47948898698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C697-44AA-A96B-8DCC64E76E94}"/>
                  </c:ext>
                </c:extLst>
              </c15:ser>
            </c15:filteredScatterSeries>
          </c:ext>
        </c:extLst>
      </c:scatterChart>
      <c:valAx>
        <c:axId val="62208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 from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22082064"/>
        <c:crosses val="autoZero"/>
        <c:crossBetween val="midCat"/>
      </c:valAx>
      <c:valAx>
        <c:axId val="62208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Cumulative</a:t>
                </a:r>
                <a:r>
                  <a:rPr lang="it-IT" baseline="0"/>
                  <a:t> cases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22081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'Cumul_cases - LNorm'!$AC$47</c:f>
              <c:strCache>
                <c:ptCount val="1"/>
                <c:pt idx="0">
                  <c:v>R2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fit</c:v>
              </c:pt>
            </c:strLit>
          </c:cat>
          <c:val>
            <c:numRef>
              <c:f>'Cumul_cases - LNorm'!$AD$47</c:f>
              <c:numCache>
                <c:formatCode>0.0000</c:formatCode>
                <c:ptCount val="1"/>
                <c:pt idx="0">
                  <c:v>0.9996525580013611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DC-4955-90C7-28A2A72B4F8F}"/>
            </c:ext>
          </c:extLst>
        </c:ser>
        <c:ser>
          <c:idx val="1"/>
          <c:order val="1"/>
          <c:tx>
            <c:strRef>
              <c:f>'Cumul_cases - LNorm'!$AC$49</c:f>
              <c:strCache>
                <c:ptCount val="1"/>
                <c:pt idx="0">
                  <c:v>CI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fit</c:v>
              </c:pt>
            </c:strLit>
          </c:cat>
          <c:val>
            <c:numRef>
              <c:f>'Cumul_cases - LNorm'!$AD$49</c:f>
              <c:numCache>
                <c:formatCode>0</c:formatCode>
                <c:ptCount val="1"/>
                <c:pt idx="0">
                  <c:v>5182.706284556828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DC-4955-90C7-28A2A72B4F8F}"/>
            </c:ext>
          </c:extLst>
        </c:ser>
        <c:ser>
          <c:idx val="2"/>
          <c:order val="2"/>
          <c:tx>
            <c:strRef>
              <c:f>'Cumul_cases - LNorm'!$AC$41</c:f>
              <c:strCache>
                <c:ptCount val="1"/>
                <c:pt idx="0">
                  <c:v>K=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fit</c:v>
              </c:pt>
            </c:strLit>
          </c:cat>
          <c:val>
            <c:numRef>
              <c:f>'Cumul_cases - LNorm'!$AD$41</c:f>
              <c:numCache>
                <c:formatCode>0</c:formatCode>
                <c:ptCount val="1"/>
                <c:pt idx="0">
                  <c:v>234999.93587930576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DC-4955-90C7-28A2A72B4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"/>
        <c:overlap val="100"/>
        <c:axId val="1221258896"/>
        <c:axId val="1221258256"/>
      </c:barChart>
      <c:catAx>
        <c:axId val="12212588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21258256"/>
        <c:crosses val="autoZero"/>
        <c:auto val="1"/>
        <c:lblAlgn val="ctr"/>
        <c:lblOffset val="100"/>
        <c:noMultiLvlLbl val="0"/>
      </c:catAx>
      <c:valAx>
        <c:axId val="122125825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221258896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</c:dTable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percentStacked"/>
        <c:varyColors val="0"/>
        <c:ser>
          <c:idx val="1"/>
          <c:order val="0"/>
          <c:tx>
            <c:strRef>
              <c:f>'Cumul_cases - LNorm'!$AC$14</c:f>
              <c:strCache>
                <c:ptCount val="1"/>
                <c:pt idx="0">
                  <c:v>R2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sum</c:v>
              </c:pt>
            </c:strLit>
          </c:cat>
          <c:val>
            <c:numRef>
              <c:f>'Cumul_cases - LNorm'!$AD$14</c:f>
              <c:numCache>
                <c:formatCode>0.0000</c:formatCode>
                <c:ptCount val="1"/>
                <c:pt idx="0">
                  <c:v>0.99967518053494497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D7-44A2-93CB-C7C5AE6406C5}"/>
            </c:ext>
          </c:extLst>
        </c:ser>
        <c:ser>
          <c:idx val="2"/>
          <c:order val="1"/>
          <c:tx>
            <c:strRef>
              <c:f>'Cumul_cases - LNorm'!$AC$16</c:f>
              <c:strCache>
                <c:ptCount val="1"/>
                <c:pt idx="0">
                  <c:v>CI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sum</c:v>
              </c:pt>
            </c:strLit>
          </c:cat>
          <c:val>
            <c:numRef>
              <c:f>'Cumul_cases - LNorm'!$AD$16</c:f>
              <c:numCache>
                <c:formatCode>0</c:formatCode>
                <c:ptCount val="1"/>
                <c:pt idx="0">
                  <c:v>4889.6421789935675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7-44A2-93CB-C7C5AE6406C5}"/>
            </c:ext>
          </c:extLst>
        </c:ser>
        <c:ser>
          <c:idx val="3"/>
          <c:order val="2"/>
          <c:tx>
            <c:strRef>
              <c:f>'Cumul_cases - LNorm'!$AC$17</c:f>
              <c:strCache>
                <c:ptCount val="1"/>
                <c:pt idx="0">
                  <c:v>Saturation value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sum</c:v>
              </c:pt>
            </c:strLit>
          </c:cat>
          <c:val>
            <c:numRef>
              <c:f>'Cumul_cases - LNorm'!$AD$17</c:f>
              <c:numCache>
                <c:formatCode>0</c:formatCode>
                <c:ptCount val="1"/>
                <c:pt idx="0">
                  <c:v>234999.98277109722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7-44A2-93CB-C7C5AE640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"/>
        <c:overlap val="100"/>
        <c:axId val="1221258896"/>
        <c:axId val="1221258256"/>
      </c:barChart>
      <c:catAx>
        <c:axId val="12212588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21258256"/>
        <c:crosses val="autoZero"/>
        <c:auto val="1"/>
        <c:lblAlgn val="ctr"/>
        <c:lblOffset val="100"/>
        <c:noMultiLvlLbl val="0"/>
      </c:catAx>
      <c:valAx>
        <c:axId val="122125825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221258896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</c:dTable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percentStacked"/>
        <c:varyColors val="0"/>
        <c:ser>
          <c:idx val="1"/>
          <c:order val="0"/>
          <c:tx>
            <c:v>region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Lombardy fit</c:v>
              </c:pt>
            </c:str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3EB0-44ED-B123-0E8474071D67}"/>
            </c:ext>
          </c:extLst>
        </c:ser>
        <c:ser>
          <c:idx val="2"/>
          <c:order val="1"/>
          <c:tx>
            <c:strRef>
              <c:f>'Cumul_cases - LNorm'!$AC$25</c:f>
              <c:strCache>
                <c:ptCount val="1"/>
                <c:pt idx="0">
                  <c:v>R2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Lombardy fit</c:v>
              </c:pt>
            </c:strLit>
          </c:cat>
          <c:val>
            <c:numRef>
              <c:f>'Cumul_cases - LNorm'!$AD$25</c:f>
              <c:numCache>
                <c:formatCode>0.0000</c:formatCode>
                <c:ptCount val="1"/>
                <c:pt idx="0">
                  <c:v>0.99923105871915807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B0-44ED-B123-0E8474071D67}"/>
            </c:ext>
          </c:extLst>
        </c:ser>
        <c:ser>
          <c:idx val="3"/>
          <c:order val="2"/>
          <c:tx>
            <c:strRef>
              <c:f>'Cumul_cases - LNorm'!$AC$27</c:f>
              <c:strCache>
                <c:ptCount val="1"/>
                <c:pt idx="0">
                  <c:v>CI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Lombardy fit</c:v>
              </c:pt>
            </c:strLit>
          </c:cat>
          <c:val>
            <c:numRef>
              <c:f>'Cumul_cases - LNorm'!$AD$27</c:f>
              <c:numCache>
                <c:formatCode>0</c:formatCode>
                <c:ptCount val="1"/>
                <c:pt idx="0">
                  <c:v>2975.4614235634544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B0-44ED-B123-0E8474071D67}"/>
            </c:ext>
          </c:extLst>
        </c:ser>
        <c:ser>
          <c:idx val="4"/>
          <c:order val="3"/>
          <c:tx>
            <c:strRef>
              <c:f>'Cumul_cases - LNorm'!$AC$19</c:f>
              <c:strCache>
                <c:ptCount val="1"/>
                <c:pt idx="0">
                  <c:v>K=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Lombardy fit</c:v>
              </c:pt>
            </c:strLit>
          </c:cat>
          <c:val>
            <c:numRef>
              <c:f>'Cumul_cases - LNorm'!$AD$19</c:f>
              <c:numCache>
                <c:formatCode>0</c:formatCode>
                <c:ptCount val="1"/>
                <c:pt idx="0">
                  <c:v>87000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B0-44ED-B123-0E8474071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"/>
        <c:overlap val="100"/>
        <c:axId val="1221258896"/>
        <c:axId val="1221258256"/>
        <c:extLst/>
      </c:barChart>
      <c:catAx>
        <c:axId val="12212588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21258256"/>
        <c:crosses val="autoZero"/>
        <c:auto val="1"/>
        <c:lblAlgn val="ctr"/>
        <c:lblOffset val="100"/>
        <c:noMultiLvlLbl val="0"/>
      </c:catAx>
      <c:valAx>
        <c:axId val="122125825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221258896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</c:dTable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percentStacked"/>
        <c:varyColors val="0"/>
        <c:ser>
          <c:idx val="2"/>
          <c:order val="1"/>
          <c:tx>
            <c:strRef>
              <c:f>'Cumul_cases - LNorm'!$AC$36</c:f>
              <c:strCache>
                <c:ptCount val="1"/>
                <c:pt idx="0">
                  <c:v>R2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rest of Italy</c:v>
              </c:pt>
            </c:strLit>
          </c:cat>
          <c:val>
            <c:numRef>
              <c:f>'Cumul_cases - LNorm'!$AD$36</c:f>
              <c:numCache>
                <c:formatCode>0.0000</c:formatCode>
                <c:ptCount val="1"/>
                <c:pt idx="0">
                  <c:v>0.99979751372445624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7B-4E01-9349-76E014C47FA1}"/>
            </c:ext>
          </c:extLst>
        </c:ser>
        <c:ser>
          <c:idx val="3"/>
          <c:order val="2"/>
          <c:tx>
            <c:strRef>
              <c:f>'Cumul_cases - LNorm'!$AC$38</c:f>
              <c:strCache>
                <c:ptCount val="1"/>
                <c:pt idx="0">
                  <c:v>CI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rest of Italy</c:v>
              </c:pt>
            </c:strLit>
          </c:cat>
          <c:val>
            <c:numRef>
              <c:f>'Cumul_cases - LNorm'!$AD$38</c:f>
              <c:numCache>
                <c:formatCode>0</c:formatCode>
                <c:ptCount val="1"/>
                <c:pt idx="0">
                  <c:v>2432.9562065854871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7B-4E01-9349-76E014C47FA1}"/>
            </c:ext>
          </c:extLst>
        </c:ser>
        <c:ser>
          <c:idx val="4"/>
          <c:order val="3"/>
          <c:tx>
            <c:strRef>
              <c:f>'Cumul_cases - LNorm'!$AC$30</c:f>
              <c:strCache>
                <c:ptCount val="1"/>
                <c:pt idx="0">
                  <c:v>K=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rest of Italy</c:v>
              </c:pt>
            </c:strLit>
          </c:cat>
          <c:val>
            <c:numRef>
              <c:f>'Cumul_cases - LNorm'!$AD$30</c:f>
              <c:numCache>
                <c:formatCode>0</c:formatCode>
                <c:ptCount val="1"/>
                <c:pt idx="0">
                  <c:v>147999.98277109722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7B-4E01-9349-76E014C47F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"/>
        <c:overlap val="100"/>
        <c:axId val="1221258896"/>
        <c:axId val="1221258256"/>
        <c:extLst>
          <c:ext xmlns:c15="http://schemas.microsoft.com/office/drawing/2012/chart" uri="{02D57815-91ED-43cb-92C2-25804820EDAC}">
            <c15:filteredBarSeries>
              <c15:ser>
                <c:idx val="1"/>
                <c:order val="0"/>
                <c:tx>
                  <c:v>outside</c:v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Lit>
                    <c:ptCount val="1"/>
                    <c:pt idx="0">
                      <c:v>rest of Italy</c:v>
                    </c:pt>
                  </c:strLit>
                </c:cat>
                <c:val>
                  <c:numLit>
                    <c:formatCode>General</c:formatCode>
                    <c:ptCount val="1"/>
                    <c:pt idx="0">
                      <c:v>0</c:v>
                    </c:pt>
                  </c:numLit>
                </c:val>
                <c:extLst>
                  <c:ext xmlns:c16="http://schemas.microsoft.com/office/drawing/2014/chart" uri="{C3380CC4-5D6E-409C-BE32-E72D297353CC}">
                    <c16:uniqueId val="{00000003-447B-4E01-9349-76E014C47FA1}"/>
                  </c:ext>
                </c:extLst>
              </c15:ser>
            </c15:filteredBarSeries>
          </c:ext>
        </c:extLst>
      </c:barChart>
      <c:catAx>
        <c:axId val="12212588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21258256"/>
        <c:crosses val="autoZero"/>
        <c:auto val="1"/>
        <c:lblAlgn val="ctr"/>
        <c:lblOffset val="100"/>
        <c:noMultiLvlLbl val="0"/>
      </c:catAx>
      <c:valAx>
        <c:axId val="122125825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221258896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</c:dTable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1" i="0" baseline="0">
                <a:effectLst/>
              </a:rPr>
              <a:t>COVID-19 Italy Confirmed </a:t>
            </a:r>
            <a:r>
              <a:rPr lang="it-IT" sz="18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+mn-lt"/>
                <a:ea typeface="+mn-ea"/>
                <a:cs typeface="+mn-cs"/>
              </a:rPr>
              <a:t>Cases </a:t>
            </a:r>
          </a:p>
          <a:p>
            <a:pPr>
              <a:defRPr/>
            </a:pPr>
            <a:r>
              <a:rPr lang="it-IT" sz="18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+mn-lt"/>
                <a:ea typeface="+mn-ea"/>
                <a:cs typeface="+mn-cs"/>
              </a:rPr>
              <a:t>Cumulative Cases - LogN model displacements normalized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'Cumul_cases - LNorm'!$J$7</c:f>
              <c:strCache>
                <c:ptCount val="1"/>
                <c:pt idx="0">
                  <c:v>Italy fit (Norm:)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LNorm'!$J$8:$J$184</c:f>
              <c:numCache>
                <c:formatCode>0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5.1857568409077082E-55</c:v>
                </c:pt>
                <c:pt idx="32">
                  <c:v>9.7760411606153897E-34</c:v>
                </c:pt>
                <c:pt idx="33">
                  <c:v>1.194435664918176E-25</c:v>
                </c:pt>
                <c:pt idx="34">
                  <c:v>5.8969756396038486E-21</c:v>
                </c:pt>
                <c:pt idx="35">
                  <c:v>8.8610247524320127E-18</c:v>
                </c:pt>
                <c:pt idx="36">
                  <c:v>1.9157262260389041E-15</c:v>
                </c:pt>
                <c:pt idx="37">
                  <c:v>1.2288053924540247E-13</c:v>
                </c:pt>
                <c:pt idx="38">
                  <c:v>3.4592205355728047E-12</c:v>
                </c:pt>
                <c:pt idx="39">
                  <c:v>5.3995443510976529E-11</c:v>
                </c:pt>
                <c:pt idx="40">
                  <c:v>5.4284671338793178E-10</c:v>
                </c:pt>
                <c:pt idx="41">
                  <c:v>3.8894828376575564E-9</c:v>
                </c:pt>
                <c:pt idx="42">
                  <c:v>2.1328092372657737E-8</c:v>
                </c:pt>
                <c:pt idx="43">
                  <c:v>9.4273685702808644E-8</c:v>
                </c:pt>
                <c:pt idx="44">
                  <c:v>3.4919391186519907E-7</c:v>
                </c:pt>
                <c:pt idx="45">
                  <c:v>1.1165733791959868E-6</c:v>
                </c:pt>
                <c:pt idx="46">
                  <c:v>3.1544762652664641E-6</c:v>
                </c:pt>
                <c:pt idx="47">
                  <c:v>8.0201770973570304E-6</c:v>
                </c:pt>
                <c:pt idx="48">
                  <c:v>1.8625100244364058E-5</c:v>
                </c:pt>
                <c:pt idx="49">
                  <c:v>3.9987661737329716E-5</c:v>
                </c:pt>
                <c:pt idx="50">
                  <c:v>8.0168130515259701E-5</c:v>
                </c:pt>
                <c:pt idx="51">
                  <c:v>1.5133500865520413E-4</c:v>
                </c:pt>
                <c:pt idx="52">
                  <c:v>2.7088071428775815E-4</c:v>
                </c:pt>
                <c:pt idx="53">
                  <c:v>4.6248195102481103E-4</c:v>
                </c:pt>
                <c:pt idx="54" formatCode="General">
                  <c:v>7.5699132384186732E-4</c:v>
                </c:pt>
                <c:pt idx="55" formatCode="General">
                  <c:v>1.1930529047249278E-3</c:v>
                </c:pt>
                <c:pt idx="56" formatCode="General">
                  <c:v>1.8173541855050978E-3</c:v>
                </c:pt>
                <c:pt idx="57" formatCode="General">
                  <c:v>2.6844567233914691E-3</c:v>
                </c:pt>
                <c:pt idx="58" formatCode="General">
                  <c:v>3.8561832110300997E-3</c:v>
                </c:pt>
                <c:pt idx="59" formatCode="General">
                  <c:v>5.4005749467812897E-3</c:v>
                </c:pt>
                <c:pt idx="60" formatCode="General">
                  <c:v>7.3904665942868099E-3</c:v>
                </c:pt>
                <c:pt idx="61" formatCode="General">
                  <c:v>9.9017516231587593E-3</c:v>
                </c:pt>
                <c:pt idx="62" formatCode="General">
                  <c:v>1.3011430093894161E-2</c:v>
                </c:pt>
                <c:pt idx="63" formatCode="General">
                  <c:v>1.6795539887758778E-2</c:v>
                </c:pt>
                <c:pt idx="64" formatCode="General">
                  <c:v>2.1327073505814573E-2</c:v>
                </c:pt>
                <c:pt idx="65" formatCode="General">
                  <c:v>2.6673976333741606E-2</c:v>
                </c:pt>
                <c:pt idx="66" formatCode="General">
                  <c:v>3.2897310402425009E-2</c:v>
                </c:pt>
                <c:pt idx="67" formatCode="General">
                  <c:v>4.0049651960344913E-2</c:v>
                </c:pt>
                <c:pt idx="68" formatCode="General">
                  <c:v>4.8173773368636007E-2</c:v>
                </c:pt>
                <c:pt idx="69" formatCode="General">
                  <c:v>5.7301641499784901E-2</c:v>
                </c:pt>
                <c:pt idx="70" formatCode="General">
                  <c:v>6.7453747250562301E-2</c:v>
                </c:pt>
                <c:pt idx="71" formatCode="General">
                  <c:v>7.8638764930707997E-2</c:v>
                </c:pt>
                <c:pt idx="72" formatCode="General">
                  <c:v>9.085352680083017E-2</c:v>
                </c:pt>
                <c:pt idx="73" formatCode="General">
                  <c:v>0.10408328725235981</c:v>
                </c:pt>
                <c:pt idx="74" formatCode="General">
                  <c:v>0.11830224314806025</c:v>
                </c:pt>
                <c:pt idx="75" formatCode="General">
                  <c:v>0.13347427157813607</c:v>
                </c:pt>
                <c:pt idx="76" formatCode="General">
                  <c:v>0.14955384349867648</c:v>
                </c:pt>
                <c:pt idx="77" formatCode="General">
                  <c:v>0.16648707107984942</c:v>
                </c:pt>
                <c:pt idx="78" formatCode="General">
                  <c:v>0.18421284772698815</c:v>
                </c:pt>
                <c:pt idx="79" formatCode="General">
                  <c:v>0.20266404226143536</c:v>
                </c:pt>
                <c:pt idx="80" formatCode="General">
                  <c:v>0.22176871228554546</c:v>
                </c:pt>
                <c:pt idx="81" formatCode="General">
                  <c:v>0.24145130596447512</c:v>
                </c:pt>
                <c:pt idx="82" formatCode="General">
                  <c:v>0.26163382603571794</c:v>
                </c:pt>
                <c:pt idx="83" formatCode="General">
                  <c:v>0.28223693455320864</c:v>
                </c:pt>
                <c:pt idx="84" formatCode="General">
                  <c:v>0.30318098148339601</c:v>
                </c:pt>
                <c:pt idx="85" formatCode="General">
                  <c:v>0.32438694464065881</c:v>
                </c:pt>
                <c:pt idx="86" formatCode="General">
                  <c:v>0.34577727246742157</c:v>
                </c:pt>
                <c:pt idx="87" formatCode="General">
                  <c:v>0.36727662475732464</c:v>
                </c:pt>
                <c:pt idx="88" formatCode="General">
                  <c:v>0.38881250954745222</c:v>
                </c:pt>
                <c:pt idx="89" formatCode="General">
                  <c:v>0.41031581705412329</c:v>
                </c:pt>
                <c:pt idx="90" formatCode="General">
                  <c:v>0.43172125370334197</c:v>
                </c:pt>
                <c:pt idx="91" formatCode="General">
                  <c:v>0.45296768103429502</c:v>
                </c:pt>
                <c:pt idx="92" formatCode="General">
                  <c:v>0.47399836556614849</c:v>
                </c:pt>
                <c:pt idx="93" formatCode="General">
                  <c:v>0.49476114665568849</c:v>
                </c:pt>
                <c:pt idx="94" formatCode="General">
                  <c:v>0.51520852998077848</c:v>
                </c:pt>
                <c:pt idx="95" formatCode="General">
                  <c:v>0.53529771460812592</c:v>
                </c:pt>
                <c:pt idx="96" formatCode="General">
                  <c:v>0.55499056168888972</c:v>
                </c:pt>
                <c:pt idx="97" formatCode="General">
                  <c:v>0.57425351271517755</c:v>
                </c:pt>
                <c:pt idx="98" formatCode="General">
                  <c:v>0.59305746500464995</c:v>
                </c:pt>
                <c:pt idx="99" formatCode="General">
                  <c:v>0.61137761169532323</c:v>
                </c:pt>
                <c:pt idx="100" formatCode="General">
                  <c:v>0.62919325306037499</c:v>
                </c:pt>
                <c:pt idx="101" formatCode="General">
                  <c:v>0.64648758542118367</c:v>
                </c:pt>
                <c:pt idx="102" formatCode="General">
                  <c:v>0.66324747336959122</c:v>
                </c:pt>
                <c:pt idx="103" formatCode="General">
                  <c:v>0.67946321042736924</c:v>
                </c:pt>
                <c:pt idx="104" formatCode="General">
                  <c:v>0.69512827268806543</c:v>
                </c:pt>
                <c:pt idx="105" formatCode="General">
                  <c:v>0.71023906941669468</c:v>
                </c:pt>
                <c:pt idx="106" formatCode="General">
                  <c:v>0.72479469403600139</c:v>
                </c:pt>
                <c:pt idx="107" formatCode="General">
                  <c:v>0.73879667841141961</c:v>
                </c:pt>
                <c:pt idx="108" formatCode="General">
                  <c:v>0.75224875286566539</c:v>
                </c:pt>
                <c:pt idx="109" formatCode="General">
                  <c:v>0.76515661391115408</c:v>
                </c:pt>
                <c:pt idx="110" formatCode="General">
                  <c:v>0.77752770128598692</c:v>
                </c:pt>
                <c:pt idx="111" formatCode="General">
                  <c:v>0.78937098551742602</c:v>
                </c:pt>
                <c:pt idx="112" formatCode="General">
                  <c:v>0.80069676691512703</c:v>
                </c:pt>
                <c:pt idx="113" formatCode="General">
                  <c:v>0.81151648661354492</c:v>
                </c:pt>
                <c:pt idx="114" formatCode="General">
                  <c:v>0.82184255003703743</c:v>
                </c:pt>
                <c:pt idx="115" formatCode="General">
                  <c:v>0.83168816294998538</c:v>
                </c:pt>
                <c:pt idx="116" formatCode="General">
                  <c:v>0.84106718007520487</c:v>
                </c:pt>
                <c:pt idx="117" formatCode="General">
                  <c:v>0.84999396611432187</c:v>
                </c:pt>
                <c:pt idx="118" formatCode="General">
                  <c:v>0.85848326888093773</c:v>
                </c:pt>
                <c:pt idx="119" formatCode="General">
                  <c:v>0.86655010415855438</c:v>
                </c:pt>
                <c:pt idx="120" formatCode="General">
                  <c:v>0.8742096518177318</c:v>
                </c:pt>
                <c:pt idx="121" formatCode="General">
                  <c:v>0.88147716266827392</c:v>
                </c:pt>
                <c:pt idx="122" formatCode="General">
                  <c:v>0.88836787547997431</c:v>
                </c:pt>
                <c:pt idx="123" formatCode="General">
                  <c:v>0.89489694357738692</c:v>
                </c:pt>
                <c:pt idx="124" formatCode="General">
                  <c:v>0.9010793703981389</c:v>
                </c:pt>
                <c:pt idx="125" formatCode="General">
                  <c:v>0.90692995339862359</c:v>
                </c:pt>
                <c:pt idx="126" formatCode="General">
                  <c:v>0.91246323569377052</c:v>
                </c:pt>
                <c:pt idx="127" formatCode="General">
                  <c:v>0.9176934648274806</c:v>
                </c:pt>
                <c:pt idx="128" formatCode="General">
                  <c:v>0.92263455808589878</c:v>
                </c:pt>
                <c:pt idx="129" formatCode="General">
                  <c:v>0.92730007378574109</c:v>
                </c:pt>
                <c:pt idx="130" formatCode="General">
                  <c:v>0.93170318799339791</c:v>
                </c:pt>
                <c:pt idx="131" formatCode="General">
                  <c:v>0.93585667615656976</c:v>
                </c:pt>
                <c:pt idx="132" formatCode="General">
                  <c:v>0.93977289915798623</c:v>
                </c:pt>
                <c:pt idx="133" formatCode="General">
                  <c:v>0.94346379332965269</c:v>
                </c:pt>
                <c:pt idx="134" formatCode="General">
                  <c:v>0.94694086399550648</c:v>
                </c:pt>
                <c:pt idx="135" formatCode="General">
                  <c:v>0.95021518213988909</c:v>
                </c:pt>
                <c:pt idx="136" formatCode="General">
                  <c:v>0.9532973838284422</c:v>
                </c:pt>
                <c:pt idx="137" formatCode="General">
                  <c:v>0.95619767203665429</c:v>
                </c:pt>
                <c:pt idx="138" formatCode="General">
                  <c:v>0.95892582056903264</c:v>
                </c:pt>
                <c:pt idx="139" formatCode="General">
                  <c:v>0.96149117977858778</c:v>
                </c:pt>
                <c:pt idx="140" formatCode="General">
                  <c:v>0.96390268382184952</c:v>
                </c:pt>
                <c:pt idx="141" formatCode="General">
                  <c:v>0.96616885920887996</c:v>
                </c:pt>
                <c:pt idx="142" formatCode="General">
                  <c:v>0.96829783443065287</c:v>
                </c:pt>
                <c:pt idx="143" formatCode="General">
                  <c:v>0.97029735046768173</c:v>
                </c:pt>
                <c:pt idx="144" formatCode="General">
                  <c:v>0.97217477200390501</c:v>
                </c:pt>
                <c:pt idx="145" formatCode="General">
                  <c:v>0.97393709918856686</c:v>
                </c:pt>
                <c:pt idx="146" formatCode="General">
                  <c:v>0.97559097980620479</c:v>
                </c:pt>
                <c:pt idx="147" formatCode="General">
                  <c:v>0.97714272173088912</c:v>
                </c:pt>
                <c:pt idx="148" formatCode="General">
                  <c:v>0.97859830555562244</c:v>
                </c:pt>
                <c:pt idx="149" formatCode="General">
                  <c:v>0.97996339730133319</c:v>
                </c:pt>
                <c:pt idx="150" formatCode="General">
                  <c:v>0.98124336112225374</c:v>
                </c:pt>
                <c:pt idx="151" formatCode="General">
                  <c:v>0.98244327193572634</c:v>
                </c:pt>
                <c:pt idx="152" formatCode="General">
                  <c:v>0.98356792791467917</c:v>
                </c:pt>
                <c:pt idx="153" formatCode="General">
                  <c:v>0.98462186279025199</c:v>
                </c:pt>
                <c:pt idx="154" formatCode="General">
                  <c:v>0.98560935792035076</c:v>
                </c:pt>
                <c:pt idx="155" formatCode="General">
                  <c:v>0.9865344540873846</c:v>
                </c:pt>
                <c:pt idx="156" formatCode="General">
                  <c:v>0.98740096299511126</c:v>
                </c:pt>
                <c:pt idx="157" formatCode="General">
                  <c:v>0.98821247844046878</c:v>
                </c:pt>
                <c:pt idx="158" formatCode="General">
                  <c:v>0.98897238714155256</c:v>
                </c:pt>
                <c:pt idx="159" formatCode="General">
                  <c:v>0.98968387920757073</c:v>
                </c:pt>
                <c:pt idx="160" formatCode="General">
                  <c:v>0.99034995824071881</c:v>
                </c:pt>
                <c:pt idx="161" formatCode="General">
                  <c:v>0.99097345106352019</c:v>
                </c:pt>
                <c:pt idx="162" formatCode="General">
                  <c:v>0.99155701706830968</c:v>
                </c:pt>
                <c:pt idx="163" formatCode="General">
                  <c:v>0.99210315718826647</c:v>
                </c:pt>
                <c:pt idx="164" formatCode="General">
                  <c:v>0.99261422249173203</c:v>
                </c:pt>
                <c:pt idx="165" formatCode="General">
                  <c:v>0.99309242240355455</c:v>
                </c:pt>
                <c:pt idx="166" formatCode="General">
                  <c:v>0.99353983255889278</c:v>
                </c:pt>
                <c:pt idx="167" formatCode="General">
                  <c:v>0.99395840229632526</c:v>
                </c:pt>
                <c:pt idx="168" formatCode="General">
                  <c:v>0.99434996179829738</c:v>
                </c:pt>
                <c:pt idx="169" formatCode="General">
                  <c:v>0.99471622888787914</c:v>
                </c:pt>
                <c:pt idx="170" formatCode="General">
                  <c:v>0.99505881549158848</c:v>
                </c:pt>
                <c:pt idx="171" formatCode="General">
                  <c:v>0.99537923377861537</c:v>
                </c:pt>
                <c:pt idx="172" formatCode="General">
                  <c:v>0.9956789019872373</c:v>
                </c:pt>
                <c:pt idx="173" formatCode="General">
                  <c:v>0.99595914994952484</c:v>
                </c:pt>
                <c:pt idx="174" formatCode="General">
                  <c:v>0.99622122432564175</c:v>
                </c:pt>
                <c:pt idx="175" formatCode="General">
                  <c:v>0.99646629355914185</c:v>
                </c:pt>
                <c:pt idx="176" formatCode="General">
                  <c:v>0.99669545256468428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9FF-4FA3-A0D4-B42B2AAF0996}"/>
            </c:ext>
          </c:extLst>
        </c:ser>
        <c:ser>
          <c:idx val="2"/>
          <c:order val="2"/>
          <c:tx>
            <c:strRef>
              <c:f>'Cumul_cases - LNorm'!$Q$7</c:f>
              <c:strCache>
                <c:ptCount val="1"/>
                <c:pt idx="0">
                  <c:v>Lombardy fit (Norm.)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LNorm'!$Q$8:$Q$184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5.1729510898877396E-38</c:v>
                </c:pt>
                <c:pt idx="32">
                  <c:v>1.1474710704863941E-25</c:v>
                </c:pt>
                <c:pt idx="33">
                  <c:v>4.6686177873608025E-20</c:v>
                </c:pt>
                <c:pt idx="34">
                  <c:v>1.2721300272521045E-16</c:v>
                </c:pt>
                <c:pt idx="35">
                  <c:v>3.1106593121102147E-14</c:v>
                </c:pt>
                <c:pt idx="36">
                  <c:v>1.8911249153795285E-12</c:v>
                </c:pt>
                <c:pt idx="37">
                  <c:v>4.7037786451666155E-11</c:v>
                </c:pt>
                <c:pt idx="38">
                  <c:v>6.3196191525916934E-10</c:v>
                </c:pt>
                <c:pt idx="39">
                  <c:v>5.4331656225899009E-9</c:v>
                </c:pt>
                <c:pt idx="40">
                  <c:v>3.3376453913896467E-8</c:v>
                </c:pt>
                <c:pt idx="41">
                  <c:v>1.5798478170240956E-7</c:v>
                </c:pt>
                <c:pt idx="42">
                  <c:v>6.079573788163007E-7</c:v>
                </c:pt>
                <c:pt idx="43">
                  <c:v>1.978368440754093E-6</c:v>
                </c:pt>
                <c:pt idx="44">
                  <c:v>5.6077785352009989E-6</c:v>
                </c:pt>
                <c:pt idx="45">
                  <c:v>1.4165569669443461E-5</c:v>
                </c:pt>
                <c:pt idx="46">
                  <c:v>3.2464518642524143E-5</c:v>
                </c:pt>
                <c:pt idx="47">
                  <c:v>6.8471569921306846E-5</c:v>
                </c:pt>
                <c:pt idx="48">
                  <c:v>1.3444515315462133E-4</c:v>
                </c:pt>
                <c:pt idx="49">
                  <c:v>2.4809110493359912E-4</c:v>
                </c:pt>
                <c:pt idx="50">
                  <c:v>4.3360941451000542E-4</c:v>
                </c:pt>
                <c:pt idx="51">
                  <c:v>7.2250412340279645E-4</c:v>
                </c:pt>
                <c:pt idx="52">
                  <c:v>1.1540476125236317E-3</c:v>
                </c:pt>
                <c:pt idx="53">
                  <c:v>1.7753235845442768E-3</c:v>
                </c:pt>
                <c:pt idx="54">
                  <c:v>2.640813911732689E-3</c:v>
                </c:pt>
                <c:pt idx="55">
                  <c:v>3.8115366463837958E-3</c:v>
                </c:pt>
                <c:pt idx="56">
                  <c:v>5.3537803948915507E-3</c:v>
                </c:pt>
                <c:pt idx="57">
                  <c:v>7.337510122333633E-3</c:v>
                </c:pt>
                <c:pt idx="58">
                  <c:v>9.8345392918355121E-3</c:v>
                </c:pt>
                <c:pt idx="59">
                  <c:v>1.2916572695127186E-2</c:v>
                </c:pt>
                <c:pt idx="60">
                  <c:v>1.6653224292438172E-2</c:v>
                </c:pt>
                <c:pt idx="61">
                  <c:v>2.1110106554278668E-2</c:v>
                </c:pt>
                <c:pt idx="62">
                  <c:v>2.6347074280811521E-2</c:v>
                </c:pt>
                <c:pt idx="63">
                  <c:v>3.2416688818869381E-2</c:v>
                </c:pt>
                <c:pt idx="64">
                  <c:v>3.9362949971779082E-2</c:v>
                </c:pt>
                <c:pt idx="65">
                  <c:v>4.7220324345221783E-2</c:v>
                </c:pt>
                <c:pt idx="66">
                  <c:v>5.6013081643629344E-2</c:v>
                </c:pt>
                <c:pt idx="67">
                  <c:v>6.5754935379803023E-2</c:v>
                </c:pt>
                <c:pt idx="68">
                  <c:v>7.6448972078266828E-2</c:v>
                </c:pt>
                <c:pt idx="69">
                  <c:v>8.8087843530300636E-2</c:v>
                </c:pt>
                <c:pt idx="70">
                  <c:v>0.10065418995032674</c:v>
                </c:pt>
                <c:pt idx="71">
                  <c:v>0.11412125777568694</c:v>
                </c:pt>
                <c:pt idx="72">
                  <c:v>0.12845367402347885</c:v>
                </c:pt>
                <c:pt idx="73">
                  <c:v>0.14360833919058671</c:v>
                </c:pt>
                <c:pt idx="74">
                  <c:v>0.15953540226094065</c:v>
                </c:pt>
                <c:pt idx="75">
                  <c:v>0.17617928408417319</c:v>
                </c:pt>
                <c:pt idx="76">
                  <c:v>0.1934797188611834</c:v>
                </c:pt>
                <c:pt idx="77">
                  <c:v>0.21137278740765325</c:v>
                </c:pt>
                <c:pt idx="78">
                  <c:v>0.22979192000889478</c:v>
                </c:pt>
                <c:pt idx="79">
                  <c:v>0.24866885082173842</c:v>
                </c:pt>
                <c:pt idx="80">
                  <c:v>0.26793450976282523</c:v>
                </c:pt>
                <c:pt idx="81">
                  <c:v>0.28751984153279075</c:v>
                </c:pt>
                <c:pt idx="82">
                  <c:v>0.30735654478546393</c:v>
                </c:pt>
                <c:pt idx="83">
                  <c:v>0.32737772741556326</c:v>
                </c:pt>
                <c:pt idx="84">
                  <c:v>0.34751847648830858</c:v>
                </c:pt>
                <c:pt idx="85">
                  <c:v>0.36771634347108939</c:v>
                </c:pt>
                <c:pt idx="86">
                  <c:v>0.38791174716698107</c:v>
                </c:pt>
                <c:pt idx="87">
                  <c:v>0.40804829811930488</c:v>
                </c:pt>
                <c:pt idx="88">
                  <c:v>0.42807304928924622</c:v>
                </c:pt>
                <c:pt idx="89">
                  <c:v>0.44793667854236757</c:v>
                </c:pt>
                <c:pt idx="90">
                  <c:v>0.46759360895372309</c:v>
                </c:pt>
                <c:pt idx="91">
                  <c:v>0.4870020731938961</c:v>
                </c:pt>
                <c:pt idx="92">
                  <c:v>0.50612412832679954</c:v>
                </c:pt>
                <c:pt idx="93">
                  <c:v>0.52492562726893632</c:v>
                </c:pt>
                <c:pt idx="94">
                  <c:v>0.54337615296055775</c:v>
                </c:pt>
                <c:pt idx="95">
                  <c:v>0.56144892100971022</c:v>
                </c:pt>
                <c:pt idx="96">
                  <c:v>0.5791206562150053</c:v>
                </c:pt>
                <c:pt idx="97">
                  <c:v>0.59637144797323849</c:v>
                </c:pt>
                <c:pt idx="98">
                  <c:v>0.61318458915123419</c:v>
                </c:pt>
                <c:pt idx="99">
                  <c:v>0.62954640256241567</c:v>
                </c:pt>
                <c:pt idx="100">
                  <c:v>0.64544605874924277</c:v>
                </c:pt>
                <c:pt idx="101">
                  <c:v>0.66087538834236215</c:v>
                </c:pt>
                <c:pt idx="102">
                  <c:v>0.67582869185322869</c:v>
                </c:pt>
                <c:pt idx="103">
                  <c:v>0.69030254936438507</c:v>
                </c:pt>
                <c:pt idx="104">
                  <c:v>0.70429563221428926</c:v>
                </c:pt>
                <c:pt idx="105">
                  <c:v>0.71780851843393678</c:v>
                </c:pt>
                <c:pt idx="106">
                  <c:v>0.73084351338176712</c:v>
                </c:pt>
                <c:pt idx="107">
                  <c:v>0.74340447674199717</c:v>
                </c:pt>
                <c:pt idx="108">
                  <c:v>0.75549665679907174</c:v>
                </c:pt>
                <c:pt idx="109">
                  <c:v>0.76712653267676434</c:v>
                </c:pt>
                <c:pt idx="110">
                  <c:v>0.77830166503314158</c:v>
                </c:pt>
                <c:pt idx="111">
                  <c:v>0.78903055553071222</c:v>
                </c:pt>
                <c:pt idx="112">
                  <c:v>0.79932251525281373</c:v>
                </c:pt>
                <c:pt idx="113">
                  <c:v>0.80918754211088528</c:v>
                </c:pt>
                <c:pt idx="114">
                  <c:v>0.81863620718075603</c:v>
                </c:pt>
                <c:pt idx="115">
                  <c:v>0.82767954981763581</c:v>
                </c:pt>
                <c:pt idx="116">
                  <c:v>0.83632898132725264</c:v>
                </c:pt>
                <c:pt idx="117">
                  <c:v>0.84459619691275811</c:v>
                </c:pt>
                <c:pt idx="118">
                  <c:v>0.8524930955719644</c:v>
                </c:pt>
                <c:pt idx="119">
                  <c:v>0.86003170758556091</c:v>
                </c:pt>
                <c:pt idx="120">
                  <c:v>0.86722412921279135</c:v>
                </c:pt>
                <c:pt idx="121">
                  <c:v>0.87408246419521951</c:v>
                </c:pt>
                <c:pt idx="122">
                  <c:v>0.88061877166051827</c:v>
                </c:pt>
                <c:pt idx="123">
                  <c:v>0.88684502001554188</c:v>
                </c:pt>
                <c:pt idx="124">
                  <c:v>0.89277304642029032</c:v>
                </c:pt>
                <c:pt idx="125">
                  <c:v>0.89841452144086464</c:v>
                </c:pt>
                <c:pt idx="126">
                  <c:v>0.90378091848934361</c:v>
                </c:pt>
                <c:pt idx="127">
                  <c:v>0.90888348767102822</c:v>
                </c:pt>
                <c:pt idx="128">
                  <c:v>0.91373323367404746</c:v>
                </c:pt>
                <c:pt idx="129">
                  <c:v>0.91834089735242452</c:v>
                </c:pt>
                <c:pt idx="130">
                  <c:v>0.92271694067087051</c:v>
                </c:pt>
                <c:pt idx="131">
                  <c:v>0.92687153469747574</c:v>
                </c:pt>
                <c:pt idx="132">
                  <c:v>0.93081455034870142</c:v>
                </c:pt>
                <c:pt idx="133">
                  <c:v>0.93455555160947101</c:v>
                </c:pt>
                <c:pt idx="134">
                  <c:v>0.93810379096939145</c:v>
                </c:pt>
                <c:pt idx="135">
                  <c:v>0.9414682068340875</c:v>
                </c:pt>
                <c:pt idx="136">
                  <c:v>0.94465742268813679</c:v>
                </c:pt>
                <c:pt idx="137">
                  <c:v>0.947679747803022</c:v>
                </c:pt>
                <c:pt idx="138">
                  <c:v>0.95054317929980903</c:v>
                </c:pt>
                <c:pt idx="139">
                  <c:v>0.95325540539181663</c:v>
                </c:pt>
                <c:pt idx="140">
                  <c:v>0.95582380964735325</c:v>
                </c:pt>
                <c:pt idx="141">
                  <c:v>0.95825547612659856</c:v>
                </c:pt>
                <c:pt idx="142">
                  <c:v>0.96055719525992267</c:v>
                </c:pt>
                <c:pt idx="143">
                  <c:v>0.96273547034732121</c:v>
                </c:pt>
                <c:pt idx="144">
                  <c:v>0.96479652457024312</c:v>
                </c:pt>
                <c:pt idx="145">
                  <c:v>0.96674630841789244</c:v>
                </c:pt>
                <c:pt idx="146">
                  <c:v>0.96859050744012232</c:v>
                </c:pt>
                <c:pt idx="147">
                  <c:v>0.97033455024833992</c:v>
                </c:pt>
                <c:pt idx="148">
                  <c:v>0.97198361669442745</c:v>
                </c:pt>
                <c:pt idx="149">
                  <c:v>0.97354264616558306</c:v>
                </c:pt>
                <c:pt idx="150">
                  <c:v>0.97501634594025732</c:v>
                </c:pt>
                <c:pt idx="151">
                  <c:v>0.97640919955699612</c:v>
                </c:pt>
                <c:pt idx="152">
                  <c:v>0.97772547515408181</c:v>
                </c:pt>
                <c:pt idx="153">
                  <c:v>0.97896923374339018</c:v>
                </c:pt>
                <c:pt idx="154">
                  <c:v>0.98014433738690598</c:v>
                </c:pt>
                <c:pt idx="155">
                  <c:v>0.98125445724889315</c:v>
                </c:pt>
                <c:pt idx="156">
                  <c:v>0.98230308150082557</c:v>
                </c:pt>
                <c:pt idx="157">
                  <c:v>0.98329352305989459</c:v>
                </c:pt>
                <c:pt idx="158">
                  <c:v>0.98422892714523302</c:v>
                </c:pt>
                <c:pt idx="159">
                  <c:v>0.98511227863898299</c:v>
                </c:pt>
                <c:pt idx="160">
                  <c:v>0.98594640924199439</c:v>
                </c:pt>
                <c:pt idx="161">
                  <c:v>0.98673400441630843</c:v>
                </c:pt>
                <c:pt idx="162">
                  <c:v>0.98747761010868829</c:v>
                </c:pt>
                <c:pt idx="163">
                  <c:v>0.98817963925130392</c:v>
                </c:pt>
                <c:pt idx="164">
                  <c:v>0.988842378037322</c:v>
                </c:pt>
                <c:pt idx="165">
                  <c:v>0.98946799197057111</c:v>
                </c:pt>
                <c:pt idx="166">
                  <c:v>0.99005853168970093</c:v>
                </c:pt>
                <c:pt idx="167">
                  <c:v>0.99061593856833174</c:v>
                </c:pt>
                <c:pt idx="168">
                  <c:v>0.99114205009361345</c:v>
                </c:pt>
                <c:pt idx="169">
                  <c:v>0.99163860502641099</c:v>
                </c:pt>
                <c:pt idx="170">
                  <c:v>0.99210724834699071</c:v>
                </c:pt>
                <c:pt idx="171">
                  <c:v>0.99254953599065232</c:v>
                </c:pt>
                <c:pt idx="172">
                  <c:v>0.99296693937820713</c:v>
                </c:pt>
                <c:pt idx="173">
                  <c:v>0.99336084974657102</c:v>
                </c:pt>
                <c:pt idx="174">
                  <c:v>0.9937325822850529</c:v>
                </c:pt>
                <c:pt idx="175">
                  <c:v>0.99408338008312669</c:v>
                </c:pt>
                <c:pt idx="176">
                  <c:v>0.99441441789566143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9FF-4FA3-A0D4-B42B2AAF0996}"/>
            </c:ext>
          </c:extLst>
        </c:ser>
        <c:ser>
          <c:idx val="3"/>
          <c:order val="3"/>
          <c:tx>
            <c:strRef>
              <c:f>'Cumul_cases - LNorm'!$X$7</c:f>
              <c:strCache>
                <c:ptCount val="1"/>
                <c:pt idx="0">
                  <c:v>rest of Italy fit (Norm.)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LNorm'!$X$8:$X$184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1.3180628156728576E-61</c:v>
                </c:pt>
                <c:pt idx="38">
                  <c:v>1.6390776448532252E-32</c:v>
                </c:pt>
                <c:pt idx="39">
                  <c:v>6.1223748848828497E-24</c:v>
                </c:pt>
                <c:pt idx="40">
                  <c:v>3.0142820147028492E-19</c:v>
                </c:pt>
                <c:pt idx="41">
                  <c:v>3.6819465010871482E-16</c:v>
                </c:pt>
                <c:pt idx="42">
                  <c:v>6.2415149593381372E-14</c:v>
                </c:pt>
                <c:pt idx="43">
                  <c:v>3.1590390830133224E-12</c:v>
                </c:pt>
                <c:pt idx="44">
                  <c:v>7.1414820134062305E-11</c:v>
                </c:pt>
                <c:pt idx="45">
                  <c:v>9.1279270713420225E-10</c:v>
                </c:pt>
                <c:pt idx="46">
                  <c:v>7.6549171799662131E-9</c:v>
                </c:pt>
                <c:pt idx="47">
                  <c:v>4.6522334844307022E-8</c:v>
                </c:pt>
                <c:pt idx="48">
                  <c:v>2.19610918868169E-7</c:v>
                </c:pt>
                <c:pt idx="49">
                  <c:v>8.4660038048141327E-7</c:v>
                </c:pt>
                <c:pt idx="50">
                  <c:v>2.7663856709008015E-6</c:v>
                </c:pt>
                <c:pt idx="51">
                  <c:v>7.8826764854701008E-6</c:v>
                </c:pt>
                <c:pt idx="52">
                  <c:v>2.0023047831381367E-5</c:v>
                </c:pt>
                <c:pt idx="53">
                  <c:v>4.6136627128129388E-5</c:v>
                </c:pt>
                <c:pt idx="54">
                  <c:v>9.7788984765757959E-5</c:v>
                </c:pt>
                <c:pt idx="55">
                  <c:v>1.9284001754075368E-4</c:v>
                </c:pt>
                <c:pt idx="56">
                  <c:v>3.5713030261611206E-4</c:v>
                </c:pt>
                <c:pt idx="57">
                  <c:v>6.2596830521094242E-4</c:v>
                </c:pt>
                <c:pt idx="58">
                  <c:v>1.0452119522191591E-3</c:v>
                </c:pt>
                <c:pt idx="59">
                  <c:v>1.6717720164874626E-3</c:v>
                </c:pt>
                <c:pt idx="60">
                  <c:v>2.5734234770628532E-3</c:v>
                </c:pt>
                <c:pt idx="61">
                  <c:v>3.827882977670739E-3</c:v>
                </c:pt>
                <c:pt idx="62">
                  <c:v>5.5211836992927251E-3</c:v>
                </c:pt>
                <c:pt idx="63">
                  <c:v>7.7454432904541801E-3</c:v>
                </c:pt>
                <c:pt idx="64">
                  <c:v>1.0596169063619012E-2</c:v>
                </c:pt>
                <c:pt idx="65">
                  <c:v>1.4169274112885499E-2</c:v>
                </c:pt>
                <c:pt idx="66">
                  <c:v>1.8557988147569836E-2</c:v>
                </c:pt>
                <c:pt idx="67">
                  <c:v>2.3849839865441275E-2</c:v>
                </c:pt>
                <c:pt idx="68">
                  <c:v>3.0123867282530494E-2</c:v>
                </c:pt>
                <c:pt idx="69">
                  <c:v>3.7448182897835865E-2</c:v>
                </c:pt>
                <c:pt idx="70">
                  <c:v>4.5877986160131265E-2</c:v>
                </c:pt>
                <c:pt idx="71">
                  <c:v>5.5454080171070688E-2</c:v>
                </c:pt>
                <c:pt idx="72">
                  <c:v>6.6201915885809995E-2</c:v>
                </c:pt>
                <c:pt idx="73">
                  <c:v>7.8131157380613422E-2</c:v>
                </c:pt>
                <c:pt idx="74">
                  <c:v>9.1235737337426057E-2</c:v>
                </c:pt>
                <c:pt idx="75">
                  <c:v>0.10549435331702446</c:v>
                </c:pt>
                <c:pt idx="76">
                  <c:v>0.1208713426487483</c:v>
                </c:pt>
                <c:pt idx="77">
                  <c:v>0.13731786643157598</c:v>
                </c:pt>
                <c:pt idx="78">
                  <c:v>0.15477333052344602</c:v>
                </c:pt>
                <c:pt idx="79">
                  <c:v>0.17316697265429842</c:v>
                </c:pt>
                <c:pt idx="80">
                  <c:v>0.1924195490508514</c:v>
                </c:pt>
                <c:pt idx="81">
                  <c:v>0.21244506035553287</c:v>
                </c:pt>
                <c:pt idx="82">
                  <c:v>0.23315246438589535</c:v>
                </c:pt>
                <c:pt idx="83">
                  <c:v>0.25444733175057355</c:v>
                </c:pt>
                <c:pt idx="84">
                  <c:v>0.27623340897070586</c:v>
                </c:pt>
                <c:pt idx="85">
                  <c:v>0.29841406213068317</c:v>
                </c:pt>
                <c:pt idx="86">
                  <c:v>0.32089358189180295</c:v>
                </c:pt>
                <c:pt idx="87">
                  <c:v>0.34357833774051322</c:v>
                </c:pt>
                <c:pt idx="88">
                  <c:v>0.36637777548862505</c:v>
                </c:pt>
                <c:pt idx="89">
                  <c:v>0.38920525724472965</c:v>
                </c:pt>
                <c:pt idx="90">
                  <c:v>0.41197874733662709</c:v>
                </c:pt>
                <c:pt idx="91">
                  <c:v>0.43462135102604393</c:v>
                </c:pt>
                <c:pt idx="92">
                  <c:v>0.45706171538900836</c:v>
                </c:pt>
                <c:pt idx="93">
                  <c:v>0.47923430352469865</c:v>
                </c:pt>
                <c:pt idx="94">
                  <c:v>0.50107955439801466</c:v>
                </c:pt>
                <c:pt idx="95">
                  <c:v>0.52254394121453029</c:v>
                </c:pt>
                <c:pt idx="96">
                  <c:v>0.54357994136639032</c:v>
                </c:pt>
                <c:pt idx="97">
                  <c:v>0.56414593076409814</c:v>
                </c:pt>
                <c:pt idx="98">
                  <c:v>0.58420601486379575</c:v>
                </c:pt>
                <c:pt idx="99">
                  <c:v>0.60372980798553511</c:v>
                </c:pt>
                <c:pt idx="100">
                  <c:v>0.62269217165816571</c:v>
                </c:pt>
                <c:pt idx="101">
                  <c:v>0.64107292177466202</c:v>
                </c:pt>
                <c:pt idx="102">
                  <c:v>0.65885651334202677</c:v>
                </c:pt>
                <c:pt idx="103">
                  <c:v>0.67603171059866962</c:v>
                </c:pt>
                <c:pt idx="104">
                  <c:v>0.69259124927722804</c:v>
                </c:pt>
                <c:pt idx="105">
                  <c:v>0.70853149683397509</c:v>
                </c:pt>
                <c:pt idx="106">
                  <c:v>0.72385211556274742</c:v>
                </c:pt>
                <c:pt idx="107">
                  <c:v>0.73855573267252705</c:v>
                </c:pt>
                <c:pt idx="108">
                  <c:v>0.75264762064005308</c:v>
                </c:pt>
                <c:pt idx="109">
                  <c:v>0.76613539045546086</c:v>
                </c:pt>
                <c:pt idx="110">
                  <c:v>0.77902869976056432</c:v>
                </c:pt>
                <c:pt idx="111">
                  <c:v>0.79133897733472647</c:v>
                </c:pt>
                <c:pt idx="112">
                  <c:v>0.80307916490933173</c:v>
                </c:pt>
                <c:pt idx="113">
                  <c:v>0.81426347688472356</c:v>
                </c:pt>
                <c:pt idx="114">
                  <c:v>0.82490717817839743</c:v>
                </c:pt>
                <c:pt idx="115">
                  <c:v>0.83502638014502351</c:v>
                </c:pt>
                <c:pt idx="116">
                  <c:v>0.8446378542722276</c:v>
                </c:pt>
                <c:pt idx="117">
                  <c:v>0.85375886316552219</c:v>
                </c:pt>
                <c:pt idx="118">
                  <c:v>0.86240700818612259</c:v>
                </c:pt>
                <c:pt idx="119">
                  <c:v>0.87060009299155927</c:v>
                </c:pt>
                <c:pt idx="120">
                  <c:v>0.87835600214625331</c:v>
                </c:pt>
                <c:pt idx="121">
                  <c:v>0.88569259391310018</c:v>
                </c:pt>
                <c:pt idx="122">
                  <c:v>0.89262760630364535</c:v>
                </c:pt>
                <c:pt idx="123">
                  <c:v>0.89917857544988045</c:v>
                </c:pt>
                <c:pt idx="124">
                  <c:v>0.90536276536180271</c:v>
                </c:pt>
                <c:pt idx="125">
                  <c:v>0.91119710814870625</c:v>
                </c:pt>
                <c:pt idx="126">
                  <c:v>0.91669815380616992</c:v>
                </c:pt>
                <c:pt idx="127">
                  <c:v>0.92188202870258951</c:v>
                </c:pt>
                <c:pt idx="128">
                  <c:v>0.92676440193694198</c:v>
                </c:pt>
                <c:pt idx="129">
                  <c:v>0.93136045878163576</c:v>
                </c:pt>
                <c:pt idx="130">
                  <c:v>0.9356848804693243</c:v>
                </c:pt>
                <c:pt idx="131">
                  <c:v>0.93975182962930925</c:v>
                </c:pt>
                <c:pt idx="132">
                  <c:v>0.94357494072662651</c:v>
                </c:pt>
                <c:pt idx="133">
                  <c:v>0.94716731490430628</c:v>
                </c:pt>
                <c:pt idx="134">
                  <c:v>0.95054151867595937</c:v>
                </c:pt>
                <c:pt idx="135">
                  <c:v>0.95370958596129374</c:v>
                </c:pt>
                <c:pt idx="136">
                  <c:v>0.9566830230009683</c:v>
                </c:pt>
                <c:pt idx="137">
                  <c:v>0.95947281572909648</c:v>
                </c:pt>
                <c:pt idx="138">
                  <c:v>0.96208943922147394</c:v>
                </c:pt>
                <c:pt idx="139">
                  <c:v>0.96454286887511786</c:v>
                </c:pt>
                <c:pt idx="140">
                  <c:v>0.96684259300986797</c:v>
                </c:pt>
                <c:pt idx="141">
                  <c:v>0.96899762661558864</c:v>
                </c:pt>
                <c:pt idx="142">
                  <c:v>0.97101652599894672</c:v>
                </c:pt>
                <c:pt idx="143">
                  <c:v>0.97290740411184418</c:v>
                </c:pt>
                <c:pt idx="144">
                  <c:v>0.97467794636943816</c:v>
                </c:pt>
                <c:pt idx="145">
                  <c:v>0.97633542678935681</c:v>
                </c:pt>
                <c:pt idx="146">
                  <c:v>0.97788672430532642</c:v>
                </c:pt>
                <c:pt idx="147">
                  <c:v>0.97933833912805224</c:v>
                </c:pt>
                <c:pt idx="148">
                  <c:v>0.98069640904398159</c:v>
                </c:pt>
                <c:pt idx="149">
                  <c:v>0.98196672555860842</c:v>
                </c:pt>
                <c:pt idx="150">
                  <c:v>0.98315474980540063</c:v>
                </c:pt>
                <c:pt idx="151">
                  <c:v>0.98426562815434027</c:v>
                </c:pt>
                <c:pt idx="152">
                  <c:v>0.98530420746558134</c:v>
                </c:pt>
                <c:pt idx="153">
                  <c:v>0.98627504994397563</c:v>
                </c:pt>
                <c:pt idx="154">
                  <c:v>0.98718244755926798</c:v>
                </c:pt>
                <c:pt idx="155">
                  <c:v>0.9880304360047607</c:v>
                </c:pt>
                <c:pt idx="156">
                  <c:v>0.9888228081742495</c:v>
                </c:pt>
                <c:pt idx="157">
                  <c:v>0.98956312714315886</c:v>
                </c:pt>
                <c:pt idx="158">
                  <c:v>0.99025473864512303</c:v>
                </c:pt>
                <c:pt idx="159">
                  <c:v>0.99090078303985252</c:v>
                </c:pt>
                <c:pt idx="160">
                  <c:v>0.99150420677207118</c:v>
                </c:pt>
                <c:pt idx="161">
                  <c:v>0.99206777332466545</c:v>
                </c:pt>
                <c:pt idx="162">
                  <c:v>0.9925940736720309</c:v>
                </c:pt>
                <c:pt idx="163">
                  <c:v>0.99308553624196627</c:v>
                </c:pt>
                <c:pt idx="164">
                  <c:v>0.99354443639643919</c:v>
                </c:pt>
                <c:pt idx="165">
                  <c:v>0.9939729054431351</c:v>
                </c:pt>
                <c:pt idx="166">
                  <c:v>0.99437293919098246</c:v>
                </c:pt>
                <c:pt idx="167">
                  <c:v>0.99474640606384201</c:v>
                </c:pt>
                <c:pt idx="168">
                  <c:v>0.99509505478729432</c:v>
                </c:pt>
                <c:pt idx="169">
                  <c:v>0.99542052166399675</c:v>
                </c:pt>
                <c:pt idx="170">
                  <c:v>0.99572433745342881</c:v>
                </c:pt>
                <c:pt idx="171">
                  <c:v>0.9960079338720309</c:v>
                </c:pt>
                <c:pt idx="172">
                  <c:v>0.99627264972979601</c:v>
                </c:pt>
                <c:pt idx="173">
                  <c:v>0.99651973671931438</c:v>
                </c:pt>
                <c:pt idx="174">
                  <c:v>0.99675036487309376</c:v>
                </c:pt>
                <c:pt idx="175">
                  <c:v>0.99696562770475383</c:v>
                </c:pt>
                <c:pt idx="176">
                  <c:v>0.99716654704936336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9FF-4FA3-A0D4-B42B2AAF0996}"/>
            </c:ext>
          </c:extLst>
        </c:ser>
        <c:ser>
          <c:idx val="4"/>
          <c:order val="4"/>
          <c:tx>
            <c:strRef>
              <c:f>'Cumul_cases - LNorm'!$B$6</c:f>
              <c:strCache>
                <c:ptCount val="1"/>
                <c:pt idx="0">
                  <c:v>29/04/2020</c:v>
                </c:pt>
              </c:strCache>
            </c:strRef>
          </c:tx>
          <c:spPr>
            <a:ln w="19050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('Cumul_cases - LNorm'!$C$6,'Cumul_cases - LNorm'!$C$6)</c:f>
              <c:numCache>
                <c:formatCode>General</c:formatCode>
                <c:ptCount val="2"/>
                <c:pt idx="0">
                  <c:v>120</c:v>
                </c:pt>
                <c:pt idx="1">
                  <c:v>120</c:v>
                </c:pt>
              </c:numCache>
            </c:numRef>
          </c:xVal>
          <c:yVal>
            <c:numRef>
              <c:f>('Cumul_cases - LNorm'!$F$6,'Cumul_cases - LNorm'!$G$6)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9FF-4FA3-A0D4-B42B2AAF0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175632"/>
        <c:axId val="9761746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'Cumul_cases - LNorm'!$G$7</c15:sqref>
                        </c15:formulaRef>
                      </c:ext>
                    </c:extLst>
                    <c:strCache>
                      <c:ptCount val="1"/>
                      <c:pt idx="0">
                        <c:v>Italiy sum of regions  (Norm.)</c:v>
                      </c:pt>
                    </c:strCache>
                  </c:strRef>
                </c:tx>
                <c:spPr>
                  <a:ln w="19050" cap="rnd">
                    <a:solidFill>
                      <a:schemeClr val="tx1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'Cumul_cases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'Cumul_cases - LNorm'!$G$8:$G$184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1.9150926715539524E-38</c:v>
                      </c:pt>
                      <c:pt idx="32">
                        <c:v>4.248084700055324E-26</c:v>
                      </c:pt>
                      <c:pt idx="33">
                        <c:v>1.7283820309724075E-20</c:v>
                      </c:pt>
                      <c:pt idx="34">
                        <c:v>4.7095881057462404E-17</c:v>
                      </c:pt>
                      <c:pt idx="35">
                        <c:v>1.151605872316997E-14</c:v>
                      </c:pt>
                      <c:pt idx="36">
                        <c:v>7.0011863702253157E-13</c:v>
                      </c:pt>
                      <c:pt idx="37">
                        <c:v>1.7413990303484687E-11</c:v>
                      </c:pt>
                      <c:pt idx="38">
                        <c:v>2.339603857805467E-10</c:v>
                      </c:pt>
                      <c:pt idx="39">
                        <c:v>2.0114274205106798E-9</c:v>
                      </c:pt>
                      <c:pt idx="40">
                        <c:v>1.2356390227407022E-8</c:v>
                      </c:pt>
                      <c:pt idx="41">
                        <c:v>5.8487987533133131E-8</c:v>
                      </c:pt>
                      <c:pt idx="42">
                        <c:v>2.2507363860523856E-7</c:v>
                      </c:pt>
                      <c:pt idx="43">
                        <c:v>7.3241929575368851E-7</c:v>
                      </c:pt>
                      <c:pt idx="44">
                        <c:v>2.0761163307397567E-6</c:v>
                      </c:pt>
                      <c:pt idx="45">
                        <c:v>5.2448499783383863E-6</c:v>
                      </c:pt>
                      <c:pt idx="46">
                        <c:v>1.2023601092186399E-5</c:v>
                      </c:pt>
                      <c:pt idx="47">
                        <c:v>2.5378350319788318E-5</c:v>
                      </c:pt>
                      <c:pt idx="48">
                        <c:v>4.9911623815248518E-5</c:v>
                      </c:pt>
                      <c:pt idx="49">
                        <c:v>9.2379678989569719E-5</c:v>
                      </c:pt>
                      <c:pt idx="50">
                        <c:v>1.6226998676483332E-4</c:v>
                      </c:pt>
                      <c:pt idx="51">
                        <c:v>2.7244467835747181E-4</c:v>
                      </c:pt>
                      <c:pt idx="52">
                        <c:v>4.398534493694365E-4</c:v>
                      </c:pt>
                      <c:pt idx="53">
                        <c:v>6.8630376042422357E-4</c:v>
                      </c:pt>
                      <c:pt idx="54">
                        <c:v>1.0392493458995964E-3</c:v>
                      </c:pt>
                      <c:pt idx="55">
                        <c:v>1.5325278038841378E-3</c:v>
                      </c:pt>
                      <c:pt idx="56">
                        <c:v>2.2069540894178027E-3</c:v>
                      </c:pt>
                      <c:pt idx="57">
                        <c:v>3.1106669473313911E-3</c:v>
                      </c:pt>
                      <c:pt idx="58">
                        <c:v>4.2991333760834935E-3</c:v>
                      </c:pt>
                      <c:pt idx="59">
                        <c:v>5.8347410835727616E-3</c:v>
                      </c:pt>
                      <c:pt idx="60">
                        <c:v>7.7859458632062329E-3</c:v>
                      </c:pt>
                      <c:pt idx="61">
                        <c:v>1.0225983238935154E-2</c:v>
                      </c:pt>
                      <c:pt idx="62">
                        <c:v>1.3231194820259395E-2</c:v>
                      </c:pt>
                      <c:pt idx="63">
                        <c:v>1.6879054006769981E-2</c:v>
                      </c:pt>
                      <c:pt idx="64">
                        <c:v>2.1245999372107593E-2</c:v>
                      </c:pt>
                      <c:pt idx="65">
                        <c:v>2.6405195734267459E-2</c:v>
                      </c:pt>
                      <c:pt idx="66">
                        <c:v>3.2424342926545391E-2</c:v>
                      </c:pt>
                      <c:pt idx="67">
                        <c:v>3.9363642320910497E-2</c:v>
                      </c:pt>
                      <c:pt idx="68">
                        <c:v>4.7274013719582689E-2</c:v>
                      </c:pt>
                      <c:pt idx="69">
                        <c:v>5.6195633102186636E-2</c:v>
                      </c:pt>
                      <c:pt idx="70">
                        <c:v>6.6156837560681761E-2</c:v>
                      </c:pt>
                      <c:pt idx="71">
                        <c:v>7.7173419855334546E-2</c:v>
                      </c:pt>
                      <c:pt idx="72">
                        <c:v>8.9248313141305019E-2</c:v>
                      </c:pt>
                      <c:pt idx="73">
                        <c:v>0.1023716477427612</c:v>
                      </c:pt>
                      <c:pt idx="74">
                        <c:v>0.11652114705651387</c:v>
                      </c:pt>
                      <c:pt idx="75">
                        <c:v>0.13166281896636867</c:v>
                      </c:pt>
                      <c:pt idx="76">
                        <c:v>0.14775189240876632</c:v>
                      </c:pt>
                      <c:pt idx="77">
                        <c:v>0.16473394556888529</c:v>
                      </c:pt>
                      <c:pt idx="78">
                        <c:v>0.18254617207123167</c:v>
                      </c:pt>
                      <c:pt idx="79">
                        <c:v>0.20111873385491738</c:v>
                      </c:pt>
                      <c:pt idx="80">
                        <c:v>0.22037615357682311</c:v>
                      </c:pt>
                      <c:pt idx="81">
                        <c:v>0.24023870478649217</c:v>
                      </c:pt>
                      <c:pt idx="82">
                        <c:v>0.26062376424999245</c:v>
                      </c:pt>
                      <c:pt idx="83">
                        <c:v>0.28144709723155409</c:v>
                      </c:pt>
                      <c:pt idx="84">
                        <c:v>0.30262405292267724</c:v>
                      </c:pt>
                      <c:pt idx="85">
                        <c:v>0.32407065327387574</c:v>
                      </c:pt>
                      <c:pt idx="86">
                        <c:v>0.34570456404672417</c:v>
                      </c:pt>
                      <c:pt idx="87">
                        <c:v>0.36744594184335366</c:v>
                      </c:pt>
                      <c:pt idx="88">
                        <c:v>0.38921815512338553</c:v>
                      </c:pt>
                      <c:pt idx="89">
                        <c:v>0.41094838076602613</c:v>
                      </c:pt>
                      <c:pt idx="90">
                        <c:v>0.43256808059372909</c:v>
                      </c:pt>
                      <c:pt idx="91">
                        <c:v>0.45401336448436841</c:v>
                      </c:pt>
                      <c:pt idx="92">
                        <c:v>0.47522524831890445</c:v>
                      </c:pt>
                      <c:pt idx="93">
                        <c:v>0.49614981610846204</c:v>
                      </c:pt>
                      <c:pt idx="94">
                        <c:v>0.51673829629045798</c:v>
                      </c:pt>
                      <c:pt idx="95">
                        <c:v>0.5369470624499797</c:v>
                      </c:pt>
                      <c:pt idx="96">
                        <c:v>0.55673756867924551</c:v>
                      </c:pt>
                      <c:pt idx="97">
                        <c:v>0.57607622949916693</c:v>
                      </c:pt>
                      <c:pt idx="98">
                        <c:v>0.59493425379078702</c:v>
                      </c:pt>
                      <c:pt idx="99">
                        <c:v>0.61328744157215698</c:v>
                      </c:pt>
                      <c:pt idx="100">
                        <c:v>0.63111595175202184</c:v>
                      </c:pt>
                      <c:pt idx="101">
                        <c:v>0.64840404823294784</c:v>
                      </c:pt>
                      <c:pt idx="102">
                        <c:v>0.6651398309536406</c:v>
                      </c:pt>
                      <c:pt idx="103">
                        <c:v>0.68131495767799644</c:v>
                      </c:pt>
                      <c:pt idx="104">
                        <c:v>0.69692436157586257</c:v>
                      </c:pt>
                      <c:pt idx="105">
                        <c:v>0.71196596891214037</c:v>
                      </c:pt>
                      <c:pt idx="106">
                        <c:v>0.72644042047699586</c:v>
                      </c:pt>
                      <c:pt idx="107">
                        <c:v>0.74035079975750984</c:v>
                      </c:pt>
                      <c:pt idx="108">
                        <c:v>0.75370237027412457</c:v>
                      </c:pt>
                      <c:pt idx="109">
                        <c:v>0.76650232398556839</c:v>
                      </c:pt>
                      <c:pt idx="110">
                        <c:v>0.7787595422034449</c:v>
                      </c:pt>
                      <c:pt idx="111">
                        <c:v>0.79048437005101069</c:v>
                      </c:pt>
                      <c:pt idx="112">
                        <c:v>0.80168840514729622</c:v>
                      </c:pt>
                      <c:pt idx="113">
                        <c:v>0.81238430089451041</c:v>
                      </c:pt>
                      <c:pt idx="114">
                        <c:v>0.82258558448991514</c:v>
                      </c:pt>
                      <c:pt idx="115">
                        <c:v>0.83230648956909392</c:v>
                      </c:pt>
                      <c:pt idx="116">
                        <c:v>0.84156180321176022</c:v>
                      </c:pt>
                      <c:pt idx="117">
                        <c:v>0.85036672689984882</c:v>
                      </c:pt>
                      <c:pt idx="118">
                        <c:v>0.85873675090669166</c:v>
                      </c:pt>
                      <c:pt idx="119">
                        <c:v>0.86668754151185357</c:v>
                      </c:pt>
                      <c:pt idx="120">
                        <c:v>0.87423484037512866</c:v>
                      </c:pt>
                      <c:pt idx="121">
                        <c:v>0.88139437536199716</c:v>
                      </c:pt>
                      <c:pt idx="122">
                        <c:v>0.88818178208854448</c:v>
                      </c:pt>
                      <c:pt idx="123">
                        <c:v>0.89461253544368757</c:v>
                      </c:pt>
                      <c:pt idx="124">
                        <c:v>0.90070189034812886</c:v>
                      </c:pt>
                      <c:pt idx="125">
                        <c:v>0.90646483102056086</c:v>
                      </c:pt>
                      <c:pt idx="126">
                        <c:v>0.91191602804040528</c:v>
                      </c:pt>
                      <c:pt idx="127">
                        <c:v>0.91706980252107795</c:v>
                      </c:pt>
                      <c:pt idx="128">
                        <c:v>0.9219400967369874</c:v>
                      </c:pt>
                      <c:pt idx="129">
                        <c:v>0.92654045057999812</c:v>
                      </c:pt>
                      <c:pt idx="130">
                        <c:v>0.93088398325579369</c:v>
                      </c:pt>
                      <c:pt idx="131">
                        <c:v>0.93498337966665102</c:v>
                      </c:pt>
                      <c:pt idx="132">
                        <c:v>0.938850880963776</c:v>
                      </c:pt>
                      <c:pt idx="133">
                        <c:v>0.94249827878901682</c:v>
                      </c:pt>
                      <c:pt idx="134">
                        <c:v>0.94593691276190106</c:v>
                      </c:pt>
                      <c:pt idx="135">
                        <c:v>0.94917767080322191</c:v>
                      </c:pt>
                      <c:pt idx="136">
                        <c:v>0.95223099192045779</c:v>
                      </c:pt>
                      <c:pt idx="137">
                        <c:v>0.95510687111297343</c:v>
                      </c:pt>
                      <c:pt idx="138">
                        <c:v>0.95781486608602273</c:v>
                      </c:pt>
                      <c:pt idx="139">
                        <c:v>0.96036410549195739</c:v>
                      </c:pt>
                      <c:pt idx="140">
                        <c:v>0.96276329844467412</c:v>
                      </c:pt>
                      <c:pt idx="141">
                        <c:v>0.96502074507916547</c:v>
                      </c:pt>
                      <c:pt idx="142">
                        <c:v>0.96714434795210213</c:v>
                      </c:pt>
                      <c:pt idx="143">
                        <c:v>0.96914162410165805</c:v>
                      </c:pt>
                      <c:pt idx="144">
                        <c:v>0.97101971760536487</c:v>
                      </c:pt>
                      <c:pt idx="145">
                        <c:v>0.97278541249369621</c:v>
                      </c:pt>
                      <c:pt idx="146">
                        <c:v>0.97444514589440134</c:v>
                      </c:pt>
                      <c:pt idx="147">
                        <c:v>0.9760050212984166</c:v>
                      </c:pt>
                      <c:pt idx="148">
                        <c:v>0.97747082185255796</c:v>
                      </c:pt>
                      <c:pt idx="149">
                        <c:v>0.97884802359722545</c:v>
                      </c:pt>
                      <c:pt idx="150">
                        <c:v>0.98014180857911493</c:v>
                      </c:pt>
                      <c:pt idx="151">
                        <c:v>0.98135707777953141</c:v>
                      </c:pt>
                      <c:pt idx="152">
                        <c:v>0.98249846380838834</c:v>
                      </c:pt>
                      <c:pt idx="153">
                        <c:v>0.98357034332248594</c:v>
                      </c:pt>
                      <c:pt idx="154">
                        <c:v>0.98457684913421661</c:v>
                      </c:pt>
                      <c:pt idx="155">
                        <c:v>0.98552188198356883</c:v>
                      </c:pt>
                      <c:pt idx="156">
                        <c:v>0.98640912195223662</c:v>
                      </c:pt>
                      <c:pt idx="157">
                        <c:v>0.98724203950386613</c:v>
                      </c:pt>
                      <c:pt idx="158">
                        <c:v>0.98802390613905822</c:v>
                      </c:pt>
                      <c:pt idx="159">
                        <c:v>0.98875780465773844</c:v>
                      </c:pt>
                      <c:pt idx="160">
                        <c:v>0.98944663902498042</c:v>
                      </c:pt>
                      <c:pt idx="161">
                        <c:v>0.99009314383935587</c:v>
                      </c:pt>
                      <c:pt idx="162">
                        <c:v>0.99069989340545461</c:v>
                      </c:pt>
                      <c:pt idx="163">
                        <c:v>0.99126931041439514</c:v>
                      </c:pt>
                      <c:pt idx="164">
                        <c:v>0.99180367423799398</c:v>
                      </c:pt>
                      <c:pt idx="165">
                        <c:v>0.99230512884378608</c:v>
                      </c:pt>
                      <c:pt idx="166">
                        <c:v>0.99277569033936408</c:v>
                      </c:pt>
                      <c:pt idx="167">
                        <c:v>0.99321725415552276</c:v>
                      </c:pt>
                      <c:pt idx="168">
                        <c:v>0.99363160187851174</c:v>
                      </c:pt>
                      <c:pt idx="169">
                        <c:v>0.99402040774232692</c:v>
                      </c:pt>
                      <c:pt idx="170">
                        <c:v>0.99438524479244494</c:v>
                      </c:pt>
                      <c:pt idx="171">
                        <c:v>0.99472759073271655</c:v>
                      </c:pt>
                      <c:pt idx="172">
                        <c:v>0.99504883346735673</c:v>
                      </c:pt>
                      <c:pt idx="173">
                        <c:v>0.99535027635004969</c:v>
                      </c:pt>
                      <c:pt idx="174">
                        <c:v>0.99563314315220841</c:v>
                      </c:pt>
                      <c:pt idx="175">
                        <c:v>0.99589858276234711</c:v>
                      </c:pt>
                      <c:pt idx="176">
                        <c:v>0.99614767362840106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F9FF-4FA3-A0D4-B42B2AAF0996}"/>
                  </c:ext>
                </c:extLst>
              </c15:ser>
            </c15:filteredScatterSeries>
          </c:ext>
        </c:extLst>
      </c:scatterChart>
      <c:valAx>
        <c:axId val="976175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Days from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74672"/>
        <c:crosses val="autoZero"/>
        <c:crossBetween val="midCat"/>
      </c:valAx>
      <c:valAx>
        <c:axId val="97617467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Cumulative cases (normalized)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75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70C0"/>
                </a:solidFill>
              </a:rPr>
              <a:t>Italy - </a:t>
            </a:r>
            <a:r>
              <a:rPr lang="it-IT">
                <a:solidFill>
                  <a:srgbClr val="FF0000"/>
                </a:solidFill>
              </a:rPr>
              <a:t>Lombardy</a:t>
            </a:r>
            <a:r>
              <a:rPr lang="it-IT">
                <a:solidFill>
                  <a:srgbClr val="0070C0"/>
                </a:solidFill>
              </a:rPr>
              <a:t> - </a:t>
            </a:r>
            <a:r>
              <a:rPr lang="it-IT">
                <a:solidFill>
                  <a:srgbClr val="00B050"/>
                </a:solidFill>
              </a:rPr>
              <a:t>rest of Italy outside Lombardy - </a:t>
            </a:r>
            <a:r>
              <a:rPr lang="it-IT">
                <a:solidFill>
                  <a:sysClr val="windowText" lastClr="000000"/>
                </a:solidFill>
              </a:rPr>
              <a:t>Accumulative cases (displacement) - Lognormal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'New_cases - LNorm'!$G$7</c:f>
              <c:strCache>
                <c:ptCount val="1"/>
                <c:pt idx="0">
                  <c:v>Italy cumul. Fit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LNorm'!$G$8:$G$184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4.5004674482023335E-33</c:v>
                </c:pt>
                <c:pt idx="32">
                  <c:v>9.982998313231629E-21</c:v>
                </c:pt>
                <c:pt idx="33">
                  <c:v>4.0616974750038979E-15</c:v>
                </c:pt>
                <c:pt idx="34">
                  <c:v>1.1067531237093309E-11</c:v>
                </c:pt>
                <c:pt idx="35">
                  <c:v>2.706273601535887E-9</c:v>
                </c:pt>
                <c:pt idx="36">
                  <c:v>1.6452786763801899E-7</c:v>
                </c:pt>
                <c:pt idx="37">
                  <c:v>4.0922874212949553E-6</c:v>
                </c:pt>
                <c:pt idx="38">
                  <c:v>5.4980686627547732E-5</c:v>
                </c:pt>
                <c:pt idx="39">
                  <c:v>4.7268540916532232E-4</c:v>
                </c:pt>
                <c:pt idx="40">
                  <c:v>2.9037514905536042E-3</c:v>
                </c:pt>
                <c:pt idx="41">
                  <c:v>1.3744676062602434E-2</c:v>
                </c:pt>
                <c:pt idx="42">
                  <c:v>5.2892301194459222E-2</c:v>
                </c:pt>
                <c:pt idx="43">
                  <c:v>0.17211852188333596</c:v>
                </c:pt>
                <c:pt idx="44">
                  <c:v>0.48788730195463637</c:v>
                </c:pt>
                <c:pt idx="45">
                  <c:v>1.2325396545465104</c:v>
                </c:pt>
                <c:pt idx="46">
                  <c:v>2.8255460495103497</c:v>
                </c:pt>
                <c:pt idx="47">
                  <c:v>5.9639118879091244</c:v>
                </c:pt>
                <c:pt idx="48">
                  <c:v>11.729230736660888</c:v>
                </c:pt>
                <c:pt idx="49">
                  <c:v>21.709222970948375</c:v>
                </c:pt>
                <c:pt idx="50">
                  <c:v>38.133444094002002</c:v>
                </c:pt>
                <c:pt idx="51">
                  <c:v>64.024494720082998</c:v>
                </c:pt>
                <c:pt idx="52">
                  <c:v>103.36555302362525</c:v>
                </c:pt>
                <c:pt idx="53">
                  <c:v>161.28137187543177</c:v>
                </c:pt>
                <c:pt idx="54">
                  <c:v>177.89291256402961</c:v>
                </c:pt>
                <c:pt idx="55">
                  <c:v>280.36735611097754</c:v>
                </c:pt>
                <c:pt idx="56">
                  <c:v>427.07811706368591</c:v>
                </c:pt>
                <c:pt idx="57">
                  <c:v>630.84715786776644</c:v>
                </c:pt>
                <c:pt idx="58">
                  <c:v>906.20280733092886</c:v>
                </c:pt>
                <c:pt idx="59">
                  <c:v>1269.1347662049882</c:v>
                </c:pt>
                <c:pt idx="60">
                  <c:v>1736.7591757755515</c:v>
                </c:pt>
                <c:pt idx="61">
                  <c:v>2326.9109965351204</c:v>
                </c:pt>
                <c:pt idx="62">
                  <c:v>3057.6852377631972</c:v>
                </c:pt>
                <c:pt idx="63">
                  <c:v>3946.950796681635</c:v>
                </c:pt>
                <c:pt idx="64">
                  <c:v>5011.860906359665</c:v>
                </c:pt>
                <c:pt idx="65">
                  <c:v>6268.3827280753967</c:v>
                </c:pt>
                <c:pt idx="66">
                  <c:v>7730.8658351714957</c:v>
                </c:pt>
                <c:pt idx="67">
                  <c:v>9411.6656426695663</c:v>
                </c:pt>
                <c:pt idx="68">
                  <c:v>11320.833652693669</c:v>
                </c:pt>
                <c:pt idx="69">
                  <c:v>13465.882078228418</c:v>
                </c:pt>
                <c:pt idx="70">
                  <c:v>15851.626278701038</c:v>
                </c:pt>
                <c:pt idx="71">
                  <c:v>18480.104716344176</c:v>
                </c:pt>
                <c:pt idx="72">
                  <c:v>21350.572972603877</c:v>
                </c:pt>
                <c:pt idx="73">
                  <c:v>24459.565830411917</c:v>
                </c:pt>
                <c:pt idx="74">
                  <c:v>27801.019554172199</c:v>
                </c:pt>
                <c:pt idx="75">
                  <c:v>31366.445262399022</c:v>
                </c:pt>
                <c:pt idx="76">
                  <c:v>35145.1436326927</c:v>
                </c:pt>
                <c:pt idx="77">
                  <c:v>39124.451028498035</c:v>
                </c:pt>
                <c:pt idx="78">
                  <c:v>43290.007403986529</c:v>
                </c:pt>
                <c:pt idx="79">
                  <c:v>47626.036936478224</c:v>
                </c:pt>
                <c:pt idx="80">
                  <c:v>52115.633167139393</c:v>
                </c:pt>
                <c:pt idx="81">
                  <c:v>56741.041419626286</c:v>
                </c:pt>
                <c:pt idx="82">
                  <c:v>61483.932342251152</c:v>
                </c:pt>
                <c:pt idx="83">
                  <c:v>66325.661522775845</c:v>
                </c:pt>
                <c:pt idx="84">
                  <c:v>71247.51120842305</c:v>
                </c:pt>
                <c:pt idx="85">
                  <c:v>76230.911190638726</c:v>
                </c:pt>
                <c:pt idx="86">
                  <c:v>81257.636858365309</c:v>
                </c:pt>
                <c:pt idx="87">
                  <c:v>86309.98326793914</c:v>
                </c:pt>
                <c:pt idx="88">
                  <c:v>91370.914812723233</c:v>
                </c:pt>
                <c:pt idx="89">
                  <c:v>96424.190697983926</c:v>
                </c:pt>
                <c:pt idx="90">
                  <c:v>101454.46693801886</c:v>
                </c:pt>
                <c:pt idx="91">
                  <c:v>106447.37599845715</c:v>
                </c:pt>
                <c:pt idx="92">
                  <c:v>111389.58551494063</c:v>
                </c:pt>
                <c:pt idx="93">
                  <c:v>116268.83773965859</c:v>
                </c:pt>
                <c:pt idx="94">
                  <c:v>121073.97150995432</c:v>
                </c:pt>
                <c:pt idx="95">
                  <c:v>125794.92860924851</c:v>
                </c:pt>
                <c:pt idx="96">
                  <c:v>130422.74641050897</c:v>
                </c:pt>
                <c:pt idx="97">
                  <c:v>134949.53866653281</c:v>
                </c:pt>
                <c:pt idx="98">
                  <c:v>139368.46624883637</c:v>
                </c:pt>
                <c:pt idx="99">
                  <c:v>143673.69954644406</c:v>
                </c:pt>
                <c:pt idx="100">
                  <c:v>147860.37412487992</c:v>
                </c:pt>
                <c:pt idx="101">
                  <c:v>151924.54112074536</c:v>
                </c:pt>
                <c:pt idx="102">
                  <c:v>155863.11371396549</c:v>
                </c:pt>
                <c:pt idx="103">
                  <c:v>159673.81088277901</c:v>
                </c:pt>
                <c:pt idx="104">
                  <c:v>163355.09950958795</c:v>
                </c:pt>
                <c:pt idx="105">
                  <c:v>166906.13577190106</c:v>
                </c:pt>
                <c:pt idx="106">
                  <c:v>170326.70662412138</c:v>
                </c:pt>
                <c:pt idx="107">
                  <c:v>173617.17205452768</c:v>
                </c:pt>
                <c:pt idx="108">
                  <c:v>176778.40868871909</c:v>
                </c:pt>
                <c:pt idx="109">
                  <c:v>179811.75520674791</c:v>
                </c:pt>
                <c:pt idx="110">
                  <c:v>182718.95994659094</c:v>
                </c:pt>
                <c:pt idx="111">
                  <c:v>185502.13098157951</c:v>
                </c:pt>
                <c:pt idx="112">
                  <c:v>188163.68888382229</c:v>
                </c:pt>
                <c:pt idx="113">
                  <c:v>190706.32231918254</c:v>
                </c:pt>
                <c:pt idx="114">
                  <c:v>193132.94656158893</c:v>
                </c:pt>
                <c:pt idx="115">
                  <c:v>195446.66496482416</c:v>
                </c:pt>
                <c:pt idx="116">
                  <c:v>197650.73338786166</c:v>
                </c:pt>
                <c:pt idx="117">
                  <c:v>199748.52753466243</c:v>
                </c:pt>
                <c:pt idx="118">
                  <c:v>201743.51314047718</c:v>
                </c:pt>
                <c:pt idx="119">
                  <c:v>203639.218913466</c:v>
                </c:pt>
                <c:pt idx="120">
                  <c:v>205439.21212223719</c:v>
                </c:pt>
                <c:pt idx="121">
                  <c:v>207147.07670611676</c:v>
                </c:pt>
                <c:pt idx="122">
                  <c:v>208766.39377502905</c:v>
                </c:pt>
                <c:pt idx="123">
                  <c:v>210300.72435927263</c:v>
                </c:pt>
                <c:pt idx="124">
                  <c:v>211753.59426572785</c:v>
                </c:pt>
                <c:pt idx="125">
                  <c:v>213128.4808956983</c:v>
                </c:pt>
                <c:pt idx="126">
                  <c:v>214428.80188025994</c:v>
                </c:pt>
                <c:pt idx="127">
                  <c:v>215657.90539131587</c:v>
                </c:pt>
                <c:pt idx="128">
                  <c:v>216819.06199021783</c:v>
                </c:pt>
                <c:pt idx="129">
                  <c:v>217915.45788052466</c:v>
                </c:pt>
                <c:pt idx="130">
                  <c:v>218950.18943699327</c:v>
                </c:pt>
                <c:pt idx="131">
                  <c:v>219926.25888901411</c:v>
                </c:pt>
                <c:pt idx="132">
                  <c:v>220846.57104323604</c:v>
                </c:pt>
                <c:pt idx="133">
                  <c:v>221713.93093691496</c:v>
                </c:pt>
                <c:pt idx="134">
                  <c:v>222531.04232043843</c:v>
                </c:pt>
                <c:pt idx="135">
                  <c:v>223300.50687441678</c:v>
                </c:pt>
                <c:pt idx="136">
                  <c:v>224024.82407359386</c:v>
                </c:pt>
                <c:pt idx="137">
                  <c:v>224706.39161655519</c:v>
                </c:pt>
                <c:pt idx="138">
                  <c:v>225347.50634673334</c:v>
                </c:pt>
                <c:pt idx="139">
                  <c:v>225950.36559648617</c:v>
                </c:pt>
                <c:pt idx="140">
                  <c:v>226517.06889202536</c:v>
                </c:pt>
                <c:pt idx="141">
                  <c:v>227049.61996266877</c:v>
                </c:pt>
                <c:pt idx="142">
                  <c:v>227549.92900327404</c:v>
                </c:pt>
                <c:pt idx="143">
                  <c:v>228019.81514376547</c:v>
                </c:pt>
                <c:pt idx="144">
                  <c:v>228461.00908439638</c:v>
                </c:pt>
                <c:pt idx="145">
                  <c:v>228875.15585979028</c:v>
                </c:pt>
                <c:pt idx="146">
                  <c:v>229263.8176988872</c:v>
                </c:pt>
                <c:pt idx="147">
                  <c:v>229628.47695168926</c:v>
                </c:pt>
                <c:pt idx="148">
                  <c:v>229970.53905716853</c:v>
                </c:pt>
                <c:pt idx="149">
                  <c:v>230291.33552987993</c:v>
                </c:pt>
                <c:pt idx="150">
                  <c:v>230592.1269457241</c:v>
                </c:pt>
                <c:pt idx="151">
                  <c:v>230874.10590995103</c:v>
                </c:pt>
                <c:pt idx="152">
                  <c:v>231138.39999289124</c:v>
                </c:pt>
                <c:pt idx="153">
                  <c:v>231386.07462107181</c:v>
                </c:pt>
                <c:pt idx="154">
                  <c:v>231618.13591332614</c:v>
                </c:pt>
                <c:pt idx="155">
                  <c:v>231835.53345326131</c:v>
                </c:pt>
                <c:pt idx="156">
                  <c:v>232039.16299101591</c:v>
                </c:pt>
                <c:pt idx="157">
                  <c:v>232229.86906863999</c:v>
                </c:pt>
                <c:pt idx="158">
                  <c:v>232408.44756466881</c:v>
                </c:pt>
                <c:pt idx="159">
                  <c:v>232575.6481545617</c:v>
                </c:pt>
                <c:pt idx="160">
                  <c:v>232732.17668464207</c:v>
                </c:pt>
                <c:pt idx="161">
                  <c:v>232878.6974580216</c:v>
                </c:pt>
                <c:pt idx="162">
                  <c:v>233015.83543172845</c:v>
                </c:pt>
                <c:pt idx="163">
                  <c:v>233144.17832489943</c:v>
                </c:pt>
                <c:pt idx="164">
                  <c:v>233264.27863844397</c:v>
                </c:pt>
                <c:pt idx="165">
                  <c:v>233376.65558705977</c:v>
                </c:pt>
                <c:pt idx="166">
                  <c:v>233481.796944876</c:v>
                </c:pt>
                <c:pt idx="167">
                  <c:v>233580.16080633365</c:v>
                </c:pt>
                <c:pt idx="168">
                  <c:v>233672.17726419002</c:v>
                </c:pt>
                <c:pt idx="169">
                  <c:v>233758.25000675643</c:v>
                </c:pt>
                <c:pt idx="170">
                  <c:v>233838.75783666124</c:v>
                </c:pt>
                <c:pt idx="171">
                  <c:v>233914.05611356712</c:v>
                </c:pt>
                <c:pt idx="172">
                  <c:v>233984.47812337833</c:v>
                </c:pt>
                <c:pt idx="173">
                  <c:v>234050.33637654621</c:v>
                </c:pt>
                <c:pt idx="174">
                  <c:v>234111.9238381293</c:v>
                </c:pt>
                <c:pt idx="175">
                  <c:v>234169.51509228779</c:v>
                </c:pt>
                <c:pt idx="176">
                  <c:v>234223.36744389645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563-405D-9D59-DBE97AB07DBF}"/>
            </c:ext>
          </c:extLst>
        </c:ser>
        <c:ser>
          <c:idx val="2"/>
          <c:order val="1"/>
          <c:tx>
            <c:strRef>
              <c:f>'New_cases - LNorm'!$T$7</c:f>
              <c:strCache>
                <c:ptCount val="1"/>
                <c:pt idx="0">
                  <c:v>Lombardy cumul. Fit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LNorm'!$T$8:$T$184</c:f>
              <c:numCache>
                <c:formatCode>0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4.5004674482023335E-33</c:v>
                </c:pt>
                <c:pt idx="32">
                  <c:v>9.982998313231629E-21</c:v>
                </c:pt>
                <c:pt idx="33">
                  <c:v>4.0616974750038979E-15</c:v>
                </c:pt>
                <c:pt idx="34">
                  <c:v>1.1067531237093309E-11</c:v>
                </c:pt>
                <c:pt idx="35">
                  <c:v>2.706273601535887E-9</c:v>
                </c:pt>
                <c:pt idx="36">
                  <c:v>1.6452786763801899E-7</c:v>
                </c:pt>
                <c:pt idx="37">
                  <c:v>4.0922874212949553E-6</c:v>
                </c:pt>
                <c:pt idx="38">
                  <c:v>5.4980686627547732E-5</c:v>
                </c:pt>
                <c:pt idx="39">
                  <c:v>4.7268540916532139E-4</c:v>
                </c:pt>
                <c:pt idx="40">
                  <c:v>2.9037514905089928E-3</c:v>
                </c:pt>
                <c:pt idx="41">
                  <c:v>1.3744676008109632E-2</c:v>
                </c:pt>
                <c:pt idx="42">
                  <c:v>5.289229195701816E-2</c:v>
                </c:pt>
                <c:pt idx="43">
                  <c:v>0.17211805434560609</c:v>
                </c:pt>
                <c:pt idx="44">
                  <c:v>0.48787673256248693</c:v>
                </c:pt>
                <c:pt idx="45">
                  <c:v>1.232404561241581</c:v>
                </c:pt>
                <c:pt idx="46">
                  <c:v>2.8244131218996005</c:v>
                </c:pt>
                <c:pt idx="47">
                  <c:v>5.9570265831536959</c:v>
                </c:pt>
                <c:pt idx="48">
                  <c:v>11.696728324452055</c:v>
                </c:pt>
                <c:pt idx="49">
                  <c:v>21.583926129223123</c:v>
                </c:pt>
                <c:pt idx="50">
                  <c:v>37.724019062370473</c:v>
                </c:pt>
                <c:pt idx="51">
                  <c:v>62.857858736043291</c:v>
                </c:pt>
                <c:pt idx="52">
                  <c:v>100.40214228955595</c:v>
                </c:pt>
                <c:pt idx="53">
                  <c:v>154.45315185535208</c:v>
                </c:pt>
                <c:pt idx="54" formatCode="General">
                  <c:v>229.75081032074394</c:v>
                </c:pt>
                <c:pt idx="55" formatCode="General">
                  <c:v>331.60368823539022</c:v>
                </c:pt>
                <c:pt idx="56" formatCode="General">
                  <c:v>465.77889435556489</c:v>
                </c:pt>
                <c:pt idx="57" formatCode="General">
                  <c:v>638.36338064302606</c:v>
                </c:pt>
                <c:pt idx="58" formatCode="General">
                  <c:v>855.6049183896896</c:v>
                </c:pt>
                <c:pt idx="59" formatCode="General">
                  <c:v>1123.7418244760652</c:v>
                </c:pt>
                <c:pt idx="60" formatCode="General">
                  <c:v>1448.8305134421209</c:v>
                </c:pt>
                <c:pt idx="61" formatCode="General">
                  <c:v>1836.5792702222441</c:v>
                </c:pt>
                <c:pt idx="62" formatCode="General">
                  <c:v>2292.1954624306022</c:v>
                </c:pt>
                <c:pt idx="63" formatCode="General">
                  <c:v>2820.2519272416362</c:v>
                </c:pt>
                <c:pt idx="64" formatCode="General">
                  <c:v>3424.5766475447799</c:v>
                </c:pt>
                <c:pt idx="65" formatCode="General">
                  <c:v>4108.168218034295</c:v>
                </c:pt>
                <c:pt idx="66" formatCode="General">
                  <c:v>4873.1381029957529</c:v>
                </c:pt>
                <c:pt idx="67" formatCode="General">
                  <c:v>5720.6793780428634</c:v>
                </c:pt>
                <c:pt idx="68" formatCode="General">
                  <c:v>6651.0605708092144</c:v>
                </c:pt>
                <c:pt idx="69" formatCode="General">
                  <c:v>7663.6423871361549</c:v>
                </c:pt>
                <c:pt idx="70" formatCode="General">
                  <c:v>8756.9145256784268</c:v>
                </c:pt>
                <c:pt idx="71" formatCode="General">
                  <c:v>9928.5494264847639</c:v>
                </c:pt>
                <c:pt idx="72" formatCode="General">
                  <c:v>11175.46964004266</c:v>
                </c:pt>
                <c:pt idx="73" formatCode="General">
                  <c:v>12493.925509581044</c:v>
                </c:pt>
                <c:pt idx="74" formatCode="General">
                  <c:v>13879.579996701837</c:v>
                </c:pt>
                <c:pt idx="75" formatCode="General">
                  <c:v>15327.597715323067</c:v>
                </c:pt>
                <c:pt idx="76" formatCode="General">
                  <c:v>16832.735540922957</c:v>
                </c:pt>
                <c:pt idx="77" formatCode="General">
                  <c:v>18389.432504465833</c:v>
                </c:pt>
                <c:pt idx="78" formatCode="General">
                  <c:v>19991.897040773845</c:v>
                </c:pt>
                <c:pt idx="79" formatCode="General">
                  <c:v>21634.190021491242</c:v>
                </c:pt>
                <c:pt idx="80" formatCode="General">
                  <c:v>23310.302349365797</c:v>
                </c:pt>
                <c:pt idx="81" formatCode="General">
                  <c:v>25014.226213352795</c:v>
                </c:pt>
                <c:pt idx="82" formatCode="General">
                  <c:v>26740.019396335363</c:v>
                </c:pt>
                <c:pt idx="83" formatCode="General">
                  <c:v>28481.862285154002</c:v>
                </c:pt>
                <c:pt idx="84" formatCode="General">
                  <c:v>30234.107454482848</c:v>
                </c:pt>
                <c:pt idx="85" formatCode="General">
                  <c:v>31991.321881984775</c:v>
                </c:pt>
                <c:pt idx="86" formatCode="General">
                  <c:v>33748.322003527355</c:v>
                </c:pt>
                <c:pt idx="87" formatCode="General">
                  <c:v>35500.201936379526</c:v>
                </c:pt>
                <c:pt idx="88" formatCode="General">
                  <c:v>37242.355288164421</c:v>
                </c:pt>
                <c:pt idx="89" formatCode="General">
                  <c:v>38970.491033185979</c:v>
                </c:pt>
                <c:pt idx="90" formatCode="General">
                  <c:v>40680.643978973909</c:v>
                </c:pt>
                <c:pt idx="91" formatCode="General">
                  <c:v>42369.180367868961</c:v>
                </c:pt>
                <c:pt idx="92" formatCode="General">
                  <c:v>44032.799164431563</c:v>
                </c:pt>
                <c:pt idx="93" formatCode="General">
                  <c:v>45668.529572397463</c:v>
                </c:pt>
                <c:pt idx="94" formatCode="General">
                  <c:v>47273.725307568522</c:v>
                </c:pt>
                <c:pt idx="95" formatCode="General">
                  <c:v>48846.056127844786</c:v>
                </c:pt>
                <c:pt idx="96" formatCode="General">
                  <c:v>50383.497090705459</c:v>
                </c:pt>
                <c:pt idx="97" formatCode="General">
                  <c:v>51884.31597367175</c:v>
                </c:pt>
                <c:pt idx="98" formatCode="General">
                  <c:v>53347.059256157372</c:v>
                </c:pt>
                <c:pt idx="99" formatCode="General">
                  <c:v>54770.537022930162</c:v>
                </c:pt>
                <c:pt idx="100" formatCode="General">
                  <c:v>56153.80711118412</c:v>
                </c:pt>
                <c:pt idx="101" formatCode="General">
                  <c:v>57496.158785785505</c:v>
                </c:pt>
                <c:pt idx="102" formatCode="General">
                  <c:v>58797.096191230899</c:v>
                </c:pt>
                <c:pt idx="103" formatCode="General">
                  <c:v>60056.3217947015</c:v>
                </c:pt>
                <c:pt idx="104" formatCode="General">
                  <c:v>61273.720002643167</c:v>
                </c:pt>
                <c:pt idx="105" formatCode="General">
                  <c:v>62449.3411037525</c:v>
                </c:pt>
                <c:pt idx="106" formatCode="General">
                  <c:v>63583.38566421374</c:v>
                </c:pt>
                <c:pt idx="107" formatCode="General">
                  <c:v>64676.189476553751</c:v>
                </c:pt>
                <c:pt idx="108" formatCode="General">
                  <c:v>65728.209141519241</c:v>
                </c:pt>
                <c:pt idx="109" formatCode="General">
                  <c:v>66740.0083428785</c:v>
                </c:pt>
                <c:pt idx="110" formatCode="General">
                  <c:v>67712.244857883314</c:v>
                </c:pt>
                <c:pt idx="111" formatCode="General">
                  <c:v>68645.658331171959</c:v>
                </c:pt>
                <c:pt idx="112" formatCode="General">
                  <c:v>69541.058826994791</c:v>
                </c:pt>
                <c:pt idx="113" formatCode="General">
                  <c:v>70399.316163647018</c:v>
                </c:pt>
                <c:pt idx="114" formatCode="General">
                  <c:v>71221.350024725776</c:v>
                </c:pt>
                <c:pt idx="115" formatCode="General">
                  <c:v>72008.120834134315</c:v>
                </c:pt>
                <c:pt idx="116" formatCode="General">
                  <c:v>72760.621375470975</c:v>
                </c:pt>
                <c:pt idx="117" formatCode="General">
                  <c:v>73479.869131409956</c:v>
                </c:pt>
                <c:pt idx="118" formatCode="General">
                  <c:v>74166.8993147609</c:v>
                </c:pt>
                <c:pt idx="119" formatCode="General">
                  <c:v>74822.758559943803</c:v>
                </c:pt>
                <c:pt idx="120" formatCode="General">
                  <c:v>75448.499241512851</c:v>
                </c:pt>
                <c:pt idx="121" formatCode="General">
                  <c:v>76045.1743849841</c:v>
                </c:pt>
                <c:pt idx="122" formatCode="General">
                  <c:v>76613.833134465094</c:v>
                </c:pt>
                <c:pt idx="123" formatCode="General">
                  <c:v>77155.516741352141</c:v>
                </c:pt>
                <c:pt idx="124" formatCode="General">
                  <c:v>77671.255038565258</c:v>
                </c:pt>
                <c:pt idx="125" formatCode="General">
                  <c:v>78162.063365355221</c:v>
                </c:pt>
                <c:pt idx="126" formatCode="General">
                  <c:v>78628.939908572895</c:v>
                </c:pt>
                <c:pt idx="127" formatCode="General">
                  <c:v>79072.86342737946</c:v>
                </c:pt>
                <c:pt idx="128" formatCode="General">
                  <c:v>79494.791329642132</c:v>
                </c:pt>
                <c:pt idx="129" formatCode="General">
                  <c:v>79895.658069660931</c:v>
                </c:pt>
                <c:pt idx="130" formatCode="General">
                  <c:v>80276.373838365733</c:v>
                </c:pt>
                <c:pt idx="131" formatCode="General">
                  <c:v>80637.823518680394</c:v>
                </c:pt>
                <c:pt idx="132" formatCode="General">
                  <c:v>80980.86588033702</c:v>
                </c:pt>
                <c:pt idx="133" formatCode="General">
                  <c:v>81306.332990023977</c:v>
                </c:pt>
                <c:pt idx="134" formatCode="General">
                  <c:v>81615.02981433706</c:v>
                </c:pt>
                <c:pt idx="135" formatCode="General">
                  <c:v>81907.733994565613</c:v>
                </c:pt>
                <c:pt idx="136" formatCode="General">
                  <c:v>82185.195773867905</c:v>
                </c:pt>
                <c:pt idx="137" formatCode="General">
                  <c:v>82448.138058862911</c:v>
                </c:pt>
                <c:pt idx="138" formatCode="General">
                  <c:v>82697.256599083383</c:v>
                </c:pt>
                <c:pt idx="139" formatCode="General">
                  <c:v>82933.220269088051</c:v>
                </c:pt>
                <c:pt idx="140" formatCode="General">
                  <c:v>83156.671439319733</c:v>
                </c:pt>
                <c:pt idx="141" formatCode="General">
                  <c:v>83368.226423014072</c:v>
                </c:pt>
                <c:pt idx="142" formatCode="General">
                  <c:v>83568.475987613274</c:v>
                </c:pt>
                <c:pt idx="143" formatCode="General">
                  <c:v>83757.985920216946</c:v>
                </c:pt>
                <c:pt idx="144" formatCode="General">
                  <c:v>83937.297637611147</c:v>
                </c:pt>
                <c:pt idx="145" formatCode="General">
                  <c:v>84106.928832356643</c:v>
                </c:pt>
                <c:pt idx="146" formatCode="General">
                  <c:v>84267.37414729064</c:v>
                </c:pt>
                <c:pt idx="147" formatCode="General">
                  <c:v>84419.10587160557</c:v>
                </c:pt>
                <c:pt idx="148" formatCode="General">
                  <c:v>84562.574652415191</c:v>
                </c:pt>
                <c:pt idx="149" formatCode="General">
                  <c:v>84698.210216405729</c:v>
                </c:pt>
                <c:pt idx="150" formatCode="General">
                  <c:v>84826.422096802387</c:v>
                </c:pt>
                <c:pt idx="151" formatCode="General">
                  <c:v>84947.600361458666</c:v>
                </c:pt>
                <c:pt idx="152" formatCode="General">
                  <c:v>85062.116338405118</c:v>
                </c:pt>
                <c:pt idx="153" formatCode="General">
                  <c:v>85170.323335674941</c:v>
                </c:pt>
                <c:pt idx="154" formatCode="General">
                  <c:v>85272.55735266082</c:v>
                </c:pt>
                <c:pt idx="155" formatCode="General">
                  <c:v>85369.137780653706</c:v>
                </c:pt>
                <c:pt idx="156" formatCode="General">
                  <c:v>85460.368090571821</c:v>
                </c:pt>
                <c:pt idx="157" formatCode="General">
                  <c:v>85546.536506210832</c:v>
                </c:pt>
                <c:pt idx="158" formatCode="General">
                  <c:v>85627.916661635274</c:v>
                </c:pt>
                <c:pt idx="159" formatCode="General">
                  <c:v>85704.768241591519</c:v>
                </c:pt>
                <c:pt idx="160" formatCode="General">
                  <c:v>85777.337604053508</c:v>
                </c:pt>
                <c:pt idx="161" formatCode="General">
                  <c:v>85845.858384218838</c:v>
                </c:pt>
                <c:pt idx="162" formatCode="General">
                  <c:v>85910.552079455883</c:v>
                </c:pt>
                <c:pt idx="163" formatCode="General">
                  <c:v>85971.628614863439</c:v>
                </c:pt>
                <c:pt idx="164" formatCode="General">
                  <c:v>86029.286889247014</c:v>
                </c:pt>
                <c:pt idx="165" formatCode="General">
                  <c:v>86083.71530143969</c:v>
                </c:pt>
                <c:pt idx="166" formatCode="General">
                  <c:v>86135.092257003984</c:v>
                </c:pt>
                <c:pt idx="167" formatCode="General">
                  <c:v>86183.586655444858</c:v>
                </c:pt>
                <c:pt idx="168" formatCode="General">
                  <c:v>86229.358358144367</c:v>
                </c:pt>
                <c:pt idx="169" formatCode="General">
                  <c:v>86272.558637297756</c:v>
                </c:pt>
                <c:pt idx="170" formatCode="General">
                  <c:v>86313.330606188189</c:v>
                </c:pt>
                <c:pt idx="171" formatCode="General">
                  <c:v>86351.809631186756</c:v>
                </c:pt>
                <c:pt idx="172" formatCode="General">
                  <c:v>86388.123725904021</c:v>
                </c:pt>
                <c:pt idx="173" formatCode="General">
                  <c:v>86422.393927951678</c:v>
                </c:pt>
                <c:pt idx="174" formatCode="General">
                  <c:v>86454.7346587996</c:v>
                </c:pt>
                <c:pt idx="175" formatCode="General">
                  <c:v>86485.254067232017</c:v>
                </c:pt>
                <c:pt idx="176" formatCode="General">
                  <c:v>86514.054356922541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563-405D-9D59-DBE97AB07DBF}"/>
            </c:ext>
          </c:extLst>
        </c:ser>
        <c:ser>
          <c:idx val="3"/>
          <c:order val="2"/>
          <c:tx>
            <c:strRef>
              <c:f>'New_cases - LNorm'!$AD$7</c:f>
              <c:strCache>
                <c:ptCount val="1"/>
                <c:pt idx="0">
                  <c:v>rest of Italy cumul. Fit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LNorm'!$AD$8:$AD$184</c:f>
              <c:numCache>
                <c:formatCode>0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1.9507327401080682E-56</c:v>
                </c:pt>
                <c:pt idx="38">
                  <c:v>2.4258346319876795E-27</c:v>
                </c:pt>
                <c:pt idx="39">
                  <c:v>9.0611137748086005E-19</c:v>
                </c:pt>
                <c:pt idx="40">
                  <c:v>4.4611368624324991E-14</c:v>
                </c:pt>
                <c:pt idx="41">
                  <c:v>5.4492801872499963E-11</c:v>
                </c:pt>
                <c:pt idx="42">
                  <c:v>9.2374410644758984E-9</c:v>
                </c:pt>
                <c:pt idx="43">
                  <c:v>4.6753772985919447E-7</c:v>
                </c:pt>
                <c:pt idx="44">
                  <c:v>1.0569392149442228E-5</c:v>
                </c:pt>
                <c:pt idx="45">
                  <c:v>1.3509330492944511E-4</c:v>
                </c:pt>
                <c:pt idx="46">
                  <c:v>1.1329276107491756E-3</c:v>
                </c:pt>
                <c:pt idx="47">
                  <c:v>6.8853047554286546E-3</c:v>
                </c:pt>
                <c:pt idx="48">
                  <c:v>3.250241220883384E-2</c:v>
                </c:pt>
                <c:pt idx="49">
                  <c:v>0.12529684172525352</c:v>
                </c:pt>
                <c:pt idx="50">
                  <c:v>0.40942503163152882</c:v>
                </c:pt>
                <c:pt idx="51">
                  <c:v>1.166635984039708</c:v>
                </c:pt>
                <c:pt idx="52">
                  <c:v>2.9634107340692979</c:v>
                </c:pt>
                <c:pt idx="53">
                  <c:v>6.8282200200796863</c:v>
                </c:pt>
                <c:pt idx="54" formatCode="General">
                  <c:v>14.472768060535266</c:v>
                </c:pt>
                <c:pt idx="55" formatCode="General">
                  <c:v>28.540319273609629</c:v>
                </c:pt>
                <c:pt idx="56" formatCode="General">
                  <c:v>52.855278634221321</c:v>
                </c:pt>
                <c:pt idx="57" formatCode="General">
                  <c:v>92.643298386472409</c:v>
                </c:pt>
                <c:pt idx="58" formatCode="General">
                  <c:v>154.69135092058042</c:v>
                </c:pt>
                <c:pt idx="59" formatCode="General">
                  <c:v>247.42222963734693</c:v>
                </c:pt>
                <c:pt idx="60" formatCode="General">
                  <c:v>380.86663026803939</c:v>
                </c:pt>
                <c:pt idx="61" formatCode="General">
                  <c:v>566.52661474504566</c:v>
                </c:pt>
                <c:pt idx="62" formatCode="General">
                  <c:v>817.13509237138612</c:v>
                </c:pt>
                <c:pt idx="63" formatCode="General">
                  <c:v>1146.3254735417293</c:v>
                </c:pt>
                <c:pt idx="64" formatCode="General">
                  <c:v>1568.2328388552471</c:v>
                </c:pt>
                <c:pt idx="65" formatCode="General">
                  <c:v>2097.0523245860077</c:v>
                </c:pt>
                <c:pt idx="66" formatCode="General">
                  <c:v>2746.5819261065622</c:v>
                </c:pt>
                <c:pt idx="67" formatCode="General">
                  <c:v>3529.7758891787362</c:v>
                </c:pt>
                <c:pt idx="68" formatCode="General">
                  <c:v>4458.3318388133321</c:v>
                </c:pt>
                <c:pt idx="69" formatCode="General">
                  <c:v>5542.3304236886052</c:v>
                </c:pt>
                <c:pt idx="70" formatCode="General">
                  <c:v>6789.9411612720642</c:v>
                </c:pt>
                <c:pt idx="71" formatCode="General">
                  <c:v>8207.2029099055053</c:v>
                </c:pt>
                <c:pt idx="72" formatCode="General">
                  <c:v>9797.8824105135063</c:v>
                </c:pt>
                <c:pt idx="73" formatCode="General">
                  <c:v>11563.409946216672</c:v>
                </c:pt>
                <c:pt idx="74" formatCode="General">
                  <c:v>13502.887554047407</c:v>
                </c:pt>
                <c:pt idx="75" formatCode="General">
                  <c:v>15613.162473367664</c:v>
                </c:pt>
                <c:pt idx="76" formatCode="General">
                  <c:v>17888.956629534136</c:v>
                </c:pt>
                <c:pt idx="77" formatCode="General">
                  <c:v>20323.041866037074</c:v>
                </c:pt>
                <c:pt idx="78" formatCode="General">
                  <c:v>22906.450250895345</c:v>
                </c:pt>
                <c:pt idx="79" formatCode="General">
                  <c:v>25628.708969359228</c:v>
                </c:pt>
                <c:pt idx="80" formatCode="General">
                  <c:v>28478.089944348303</c:v>
                </c:pt>
                <c:pt idx="81" formatCode="General">
                  <c:v>31441.865272423573</c:v>
                </c:pt>
                <c:pt idx="82" formatCode="General">
                  <c:v>34506.560712151368</c:v>
                </c:pt>
                <c:pt idx="83" formatCode="General">
                  <c:v>37658.20071523654</c:v>
                </c:pt>
                <c:pt idx="84" formatCode="General">
                  <c:v>40882.539768465918</c:v>
                </c:pt>
                <c:pt idx="85" formatCode="General">
                  <c:v>44165.276053994246</c:v>
                </c:pt>
                <c:pt idx="86" formatCode="General">
                  <c:v>47492.244591342511</c:v>
                </c:pt>
                <c:pt idx="87" formatCode="General">
                  <c:v>50849.58806611818</c:v>
                </c:pt>
                <c:pt idx="88" formatCode="General">
                  <c:v>54223.904460029429</c:v>
                </c:pt>
                <c:pt idx="89" formatCode="General">
                  <c:v>57602.371366640451</c:v>
                </c:pt>
                <c:pt idx="90" formatCode="General">
                  <c:v>60972.847507879022</c:v>
                </c:pt>
                <c:pt idx="91" formatCode="General">
                  <c:v>64323.952463805501</c:v>
                </c:pt>
                <c:pt idx="92" formatCode="General">
                  <c:v>67645.126002901379</c:v>
                </c:pt>
                <c:pt idx="93" formatCode="General">
                  <c:v>70926.668664974175</c:v>
                </c:pt>
                <c:pt idx="94" formatCode="General">
                  <c:v>74159.765417855233</c:v>
                </c:pt>
                <c:pt idx="95" formatCode="General">
                  <c:v>77336.494296891717</c:v>
                </c:pt>
                <c:pt idx="96" formatCode="General">
                  <c:v>80449.821956939806</c:v>
                </c:pt>
                <c:pt idx="97" formatCode="General">
                  <c:v>83493.588033471126</c:v>
                </c:pt>
                <c:pt idx="98" formatCode="General">
                  <c:v>86462.480134613143</c:v>
                </c:pt>
                <c:pt idx="99" formatCode="General">
                  <c:v>89352.001180257022</c:v>
                </c:pt>
                <c:pt idx="100" formatCode="General">
                  <c:v>92158.430677105629</c:v>
                </c:pt>
                <c:pt idx="101" formatCode="General">
                  <c:v>94878.781377666935</c:v>
                </c:pt>
                <c:pt idx="102" formatCode="General">
                  <c:v>97510.752623245149</c:v>
                </c:pt>
                <c:pt idx="103" formatCode="General">
                  <c:v>100052.68152131849</c:v>
                </c:pt>
                <c:pt idx="104" formatCode="General">
                  <c:v>102503.49296044245</c:v>
                </c:pt>
                <c:pt idx="105" formatCode="General">
                  <c:v>104862.64932420803</c:v>
                </c:pt>
                <c:pt idx="106" formatCode="General">
                  <c:v>107130.10063210889</c:v>
                </c:pt>
                <c:pt idx="107" formatCode="General">
                  <c:v>109306.23571102909</c:v>
                </c:pt>
                <c:pt idx="108" formatCode="General">
                  <c:v>111391.83488743517</c:v>
                </c:pt>
                <c:pt idx="109" formatCode="General">
                  <c:v>113388.02458773604</c:v>
                </c:pt>
                <c:pt idx="110" formatCode="General">
                  <c:v>115296.23414275379</c:v>
                </c:pt>
                <c:pt idx="111" formatCode="General">
                  <c:v>117118.15501163721</c:v>
                </c:pt>
                <c:pt idx="112" formatCode="General">
                  <c:v>118855.70257040823</c:v>
                </c:pt>
                <c:pt idx="113" formatCode="General">
                  <c:v>120510.9805500728</c:v>
                </c:pt>
                <c:pt idx="114" formatCode="General">
                  <c:v>122086.24815815724</c:v>
                </c:pt>
                <c:pt idx="115" formatCode="General">
                  <c:v>123583.88987487515</c:v>
                </c:pt>
                <c:pt idx="116" formatCode="General">
                  <c:v>125006.38788010621</c:v>
                </c:pt>
                <c:pt idx="117" formatCode="General">
                  <c:v>126356.29703916883</c:v>
                </c:pt>
                <c:pt idx="118" formatCode="General">
                  <c:v>127636.22235321964</c:v>
                </c:pt>
                <c:pt idx="119" formatCode="General">
                  <c:v>128848.7987632664</c:v>
                </c:pt>
                <c:pt idx="120" formatCode="General">
                  <c:v>129996.67318453532</c:v>
                </c:pt>
                <c:pt idx="121" formatCode="General">
                  <c:v>131082.48863962723</c:v>
                </c:pt>
                <c:pt idx="122" formatCode="General">
                  <c:v>132108.87035394527</c:v>
                </c:pt>
                <c:pt idx="123" formatCode="General">
                  <c:v>133078.41367472205</c:v>
                </c:pt>
                <c:pt idx="124" formatCode="General">
                  <c:v>133993.67367513973</c:v>
                </c:pt>
                <c:pt idx="125" formatCode="General">
                  <c:v>134857.15630708213</c:v>
                </c:pt>
                <c:pt idx="126" formatCode="General">
                  <c:v>135671.31096960977</c:v>
                </c:pt>
                <c:pt idx="127" formatCode="General">
                  <c:v>136438.52436496739</c:v>
                </c:pt>
                <c:pt idx="128" formatCode="General">
                  <c:v>137161.11551953363</c:v>
                </c:pt>
                <c:pt idx="129" formatCode="General">
                  <c:v>137841.33185336328</c:v>
                </c:pt>
                <c:pt idx="130" formatCode="General">
                  <c:v>138481.34618863615</c:v>
                </c:pt>
                <c:pt idx="131" formatCode="General">
                  <c:v>139083.25459424485</c:v>
                </c:pt>
                <c:pt idx="132" formatCode="General">
                  <c:v>139649.07497077979</c:v>
                </c:pt>
                <c:pt idx="133" formatCode="General">
                  <c:v>140180.74628718375</c:v>
                </c:pt>
                <c:pt idx="134" formatCode="General">
                  <c:v>140680.12838725458</c:v>
                </c:pt>
                <c:pt idx="135" formatCode="General">
                  <c:v>141149.00229090173</c:v>
                </c:pt>
                <c:pt idx="136" formatCode="General">
                  <c:v>141589.07092154451</c:v>
                </c:pt>
                <c:pt idx="137" formatCode="General">
                  <c:v>142001.96019724241</c:v>
                </c:pt>
                <c:pt idx="138" formatCode="General">
                  <c:v>142389.22042903272</c:v>
                </c:pt>
                <c:pt idx="139" formatCode="General">
                  <c:v>142752.32797550212</c:v>
                </c:pt>
                <c:pt idx="140" formatCode="General">
                  <c:v>143092.68710782341</c:v>
                </c:pt>
                <c:pt idx="141" formatCode="General">
                  <c:v>143411.63204434121</c:v>
                </c:pt>
                <c:pt idx="142" formatCode="General">
                  <c:v>143710.42911829479</c:v>
                </c:pt>
                <c:pt idx="143" formatCode="General">
                  <c:v>143990.27904642586</c:v>
                </c:pt>
                <c:pt idx="144" formatCode="General">
                  <c:v>144252.31927004526</c:v>
                </c:pt>
                <c:pt idx="145" formatCode="General">
                  <c:v>144497.62634363666</c:v>
                </c:pt>
                <c:pt idx="146" formatCode="General">
                  <c:v>144727.218349273</c:v>
                </c:pt>
                <c:pt idx="147" formatCode="General">
                  <c:v>144942.05731802669</c:v>
                </c:pt>
                <c:pt idx="148" formatCode="General">
                  <c:v>145143.05164218618</c:v>
                </c:pt>
                <c:pt idx="149" formatCode="General">
                  <c:v>145331.05846446479</c:v>
                </c:pt>
                <c:pt idx="150" formatCode="General">
                  <c:v>145506.8860325217</c:v>
                </c:pt>
                <c:pt idx="151" formatCode="General">
                  <c:v>145671.29600902554</c:v>
                </c:pt>
                <c:pt idx="152" formatCode="General">
                  <c:v>145825.00572919563</c:v>
                </c:pt>
                <c:pt idx="153" formatCode="General">
                  <c:v>145968.69039927144</c:v>
                </c:pt>
                <c:pt idx="154" formatCode="General">
                  <c:v>146102.98523070125</c:v>
                </c:pt>
                <c:pt idx="155" formatCode="General">
                  <c:v>146228.48750602425</c:v>
                </c:pt>
                <c:pt idx="156" formatCode="General">
                  <c:v>146345.7585734569</c:v>
                </c:pt>
                <c:pt idx="157" formatCode="General">
                  <c:v>146455.32576810059</c:v>
                </c:pt>
                <c:pt idx="158" formatCode="General">
                  <c:v>146557.68425847558</c:v>
                </c:pt>
                <c:pt idx="159" formatCode="General">
                  <c:v>146653.29881776491</c:v>
                </c:pt>
                <c:pt idx="160" formatCode="General">
                  <c:v>146742.60551973694</c:v>
                </c:pt>
                <c:pt idx="161" formatCode="General">
                  <c:v>146826.01335981127</c:v>
                </c:pt>
                <c:pt idx="162" formatCode="General">
                  <c:v>146903.90580215378</c:v>
                </c:pt>
                <c:pt idx="163" formatCode="General">
                  <c:v>146976.64225403685</c:v>
                </c:pt>
                <c:pt idx="164" formatCode="General">
                  <c:v>147044.55946899249</c:v>
                </c:pt>
                <c:pt idx="165" formatCode="General">
                  <c:v>147107.97288052144</c:v>
                </c:pt>
                <c:pt idx="166" formatCode="General">
                  <c:v>147167.17786831071</c:v>
                </c:pt>
                <c:pt idx="167" formatCode="General">
                  <c:v>147222.4509590595</c:v>
                </c:pt>
                <c:pt idx="168" formatCode="General">
                  <c:v>147274.0509641236</c:v>
                </c:pt>
                <c:pt idx="169" formatCode="General">
                  <c:v>147322.22005626812</c:v>
                </c:pt>
                <c:pt idx="170" formatCode="General">
                  <c:v>147367.18478786966</c:v>
                </c:pt>
                <c:pt idx="171" formatCode="General">
                  <c:v>147409.1570529367</c:v>
                </c:pt>
                <c:pt idx="172" formatCode="General">
                  <c:v>147448.33499532519</c:v>
                </c:pt>
                <c:pt idx="173" formatCode="General">
                  <c:v>147484.90386551686</c:v>
                </c:pt>
                <c:pt idx="174" formatCode="General">
                  <c:v>147519.03682830275</c:v>
                </c:pt>
                <c:pt idx="175" formatCode="General">
                  <c:v>147550.89572367969</c:v>
                </c:pt>
                <c:pt idx="176" formatCode="General">
                  <c:v>147580.63178322028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563-405D-9D59-DBE97AB07DBF}"/>
            </c:ext>
          </c:extLst>
        </c:ser>
        <c:ser>
          <c:idx val="0"/>
          <c:order val="3"/>
          <c:tx>
            <c:strRef>
              <c:f>'Cumul_cases - LNorm'!$F$7</c:f>
              <c:strCache>
                <c:ptCount val="1"/>
                <c:pt idx="0">
                  <c:v>Italy sum of regions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'Cumul_cases - LNorm'!$C$44:$C$184</c:f>
              <c:numCache>
                <c:formatCode>General</c:formatCode>
                <c:ptCount val="141"/>
                <c:pt idx="0">
                  <c:v>37</c:v>
                </c:pt>
                <c:pt idx="1">
                  <c:v>38</c:v>
                </c:pt>
                <c:pt idx="2">
                  <c:v>39</c:v>
                </c:pt>
                <c:pt idx="3">
                  <c:v>40</c:v>
                </c:pt>
                <c:pt idx="4">
                  <c:v>41</c:v>
                </c:pt>
                <c:pt idx="5">
                  <c:v>42</c:v>
                </c:pt>
                <c:pt idx="6">
                  <c:v>43</c:v>
                </c:pt>
                <c:pt idx="7">
                  <c:v>44</c:v>
                </c:pt>
                <c:pt idx="8">
                  <c:v>45</c:v>
                </c:pt>
                <c:pt idx="9">
                  <c:v>46</c:v>
                </c:pt>
                <c:pt idx="10">
                  <c:v>47</c:v>
                </c:pt>
                <c:pt idx="11">
                  <c:v>48</c:v>
                </c:pt>
                <c:pt idx="12">
                  <c:v>49</c:v>
                </c:pt>
                <c:pt idx="13">
                  <c:v>50</c:v>
                </c:pt>
                <c:pt idx="14">
                  <c:v>51</c:v>
                </c:pt>
                <c:pt idx="15">
                  <c:v>52</c:v>
                </c:pt>
                <c:pt idx="16">
                  <c:v>53</c:v>
                </c:pt>
                <c:pt idx="17">
                  <c:v>54</c:v>
                </c:pt>
                <c:pt idx="18">
                  <c:v>55</c:v>
                </c:pt>
                <c:pt idx="19">
                  <c:v>56</c:v>
                </c:pt>
                <c:pt idx="20">
                  <c:v>57</c:v>
                </c:pt>
                <c:pt idx="21">
                  <c:v>58</c:v>
                </c:pt>
                <c:pt idx="22">
                  <c:v>59</c:v>
                </c:pt>
                <c:pt idx="23">
                  <c:v>60</c:v>
                </c:pt>
                <c:pt idx="24">
                  <c:v>61</c:v>
                </c:pt>
                <c:pt idx="25">
                  <c:v>62</c:v>
                </c:pt>
                <c:pt idx="26">
                  <c:v>63</c:v>
                </c:pt>
                <c:pt idx="27">
                  <c:v>64</c:v>
                </c:pt>
                <c:pt idx="28">
                  <c:v>65</c:v>
                </c:pt>
                <c:pt idx="29">
                  <c:v>66</c:v>
                </c:pt>
                <c:pt idx="30">
                  <c:v>67</c:v>
                </c:pt>
                <c:pt idx="31">
                  <c:v>68</c:v>
                </c:pt>
                <c:pt idx="32">
                  <c:v>69</c:v>
                </c:pt>
                <c:pt idx="33">
                  <c:v>70</c:v>
                </c:pt>
                <c:pt idx="34">
                  <c:v>71</c:v>
                </c:pt>
                <c:pt idx="35">
                  <c:v>72</c:v>
                </c:pt>
                <c:pt idx="36">
                  <c:v>73</c:v>
                </c:pt>
                <c:pt idx="37">
                  <c:v>74</c:v>
                </c:pt>
                <c:pt idx="38">
                  <c:v>75</c:v>
                </c:pt>
                <c:pt idx="39">
                  <c:v>76</c:v>
                </c:pt>
                <c:pt idx="40">
                  <c:v>77</c:v>
                </c:pt>
                <c:pt idx="41">
                  <c:v>78</c:v>
                </c:pt>
                <c:pt idx="42">
                  <c:v>79</c:v>
                </c:pt>
                <c:pt idx="43">
                  <c:v>80</c:v>
                </c:pt>
                <c:pt idx="44">
                  <c:v>81</c:v>
                </c:pt>
                <c:pt idx="45">
                  <c:v>82</c:v>
                </c:pt>
                <c:pt idx="46">
                  <c:v>83</c:v>
                </c:pt>
                <c:pt idx="47">
                  <c:v>84</c:v>
                </c:pt>
                <c:pt idx="48">
                  <c:v>85</c:v>
                </c:pt>
                <c:pt idx="49">
                  <c:v>86</c:v>
                </c:pt>
                <c:pt idx="50">
                  <c:v>87</c:v>
                </c:pt>
                <c:pt idx="51">
                  <c:v>88</c:v>
                </c:pt>
                <c:pt idx="52">
                  <c:v>89</c:v>
                </c:pt>
                <c:pt idx="53">
                  <c:v>90</c:v>
                </c:pt>
                <c:pt idx="54">
                  <c:v>91</c:v>
                </c:pt>
                <c:pt idx="55">
                  <c:v>92</c:v>
                </c:pt>
                <c:pt idx="56">
                  <c:v>93</c:v>
                </c:pt>
                <c:pt idx="57">
                  <c:v>94</c:v>
                </c:pt>
                <c:pt idx="58">
                  <c:v>95</c:v>
                </c:pt>
                <c:pt idx="59">
                  <c:v>96</c:v>
                </c:pt>
                <c:pt idx="60">
                  <c:v>97</c:v>
                </c:pt>
                <c:pt idx="61">
                  <c:v>98</c:v>
                </c:pt>
                <c:pt idx="62">
                  <c:v>99</c:v>
                </c:pt>
                <c:pt idx="63">
                  <c:v>100</c:v>
                </c:pt>
                <c:pt idx="64">
                  <c:v>101</c:v>
                </c:pt>
                <c:pt idx="65">
                  <c:v>102</c:v>
                </c:pt>
                <c:pt idx="66">
                  <c:v>103</c:v>
                </c:pt>
                <c:pt idx="67">
                  <c:v>104</c:v>
                </c:pt>
                <c:pt idx="68">
                  <c:v>105</c:v>
                </c:pt>
                <c:pt idx="69">
                  <c:v>106</c:v>
                </c:pt>
                <c:pt idx="70">
                  <c:v>107</c:v>
                </c:pt>
                <c:pt idx="71">
                  <c:v>108</c:v>
                </c:pt>
                <c:pt idx="72">
                  <c:v>109</c:v>
                </c:pt>
                <c:pt idx="73">
                  <c:v>110</c:v>
                </c:pt>
                <c:pt idx="74">
                  <c:v>111</c:v>
                </c:pt>
                <c:pt idx="75">
                  <c:v>112</c:v>
                </c:pt>
                <c:pt idx="76">
                  <c:v>113</c:v>
                </c:pt>
                <c:pt idx="77">
                  <c:v>114</c:v>
                </c:pt>
                <c:pt idx="78">
                  <c:v>115</c:v>
                </c:pt>
                <c:pt idx="79">
                  <c:v>116</c:v>
                </c:pt>
                <c:pt idx="80">
                  <c:v>117</c:v>
                </c:pt>
                <c:pt idx="81">
                  <c:v>118</c:v>
                </c:pt>
                <c:pt idx="82">
                  <c:v>119</c:v>
                </c:pt>
                <c:pt idx="83">
                  <c:v>120</c:v>
                </c:pt>
                <c:pt idx="84">
                  <c:v>121</c:v>
                </c:pt>
                <c:pt idx="85">
                  <c:v>122</c:v>
                </c:pt>
                <c:pt idx="86">
                  <c:v>123</c:v>
                </c:pt>
                <c:pt idx="87">
                  <c:v>124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130</c:v>
                </c:pt>
                <c:pt idx="94">
                  <c:v>131</c:v>
                </c:pt>
                <c:pt idx="95">
                  <c:v>132</c:v>
                </c:pt>
                <c:pt idx="96">
                  <c:v>133</c:v>
                </c:pt>
                <c:pt idx="97">
                  <c:v>134</c:v>
                </c:pt>
                <c:pt idx="98">
                  <c:v>135</c:v>
                </c:pt>
                <c:pt idx="99">
                  <c:v>136</c:v>
                </c:pt>
                <c:pt idx="100">
                  <c:v>137</c:v>
                </c:pt>
                <c:pt idx="101">
                  <c:v>138</c:v>
                </c:pt>
                <c:pt idx="102">
                  <c:v>139</c:v>
                </c:pt>
                <c:pt idx="103">
                  <c:v>140</c:v>
                </c:pt>
                <c:pt idx="104">
                  <c:v>141</c:v>
                </c:pt>
                <c:pt idx="105">
                  <c:v>142</c:v>
                </c:pt>
                <c:pt idx="106">
                  <c:v>143</c:v>
                </c:pt>
                <c:pt idx="107">
                  <c:v>144</c:v>
                </c:pt>
                <c:pt idx="108">
                  <c:v>145</c:v>
                </c:pt>
                <c:pt idx="109">
                  <c:v>146</c:v>
                </c:pt>
                <c:pt idx="110">
                  <c:v>147</c:v>
                </c:pt>
                <c:pt idx="111">
                  <c:v>148</c:v>
                </c:pt>
                <c:pt idx="112">
                  <c:v>149</c:v>
                </c:pt>
                <c:pt idx="113">
                  <c:v>150</c:v>
                </c:pt>
                <c:pt idx="114">
                  <c:v>151</c:v>
                </c:pt>
                <c:pt idx="115">
                  <c:v>152</c:v>
                </c:pt>
                <c:pt idx="116">
                  <c:v>153</c:v>
                </c:pt>
                <c:pt idx="117">
                  <c:v>154</c:v>
                </c:pt>
                <c:pt idx="118">
                  <c:v>155</c:v>
                </c:pt>
                <c:pt idx="119">
                  <c:v>156</c:v>
                </c:pt>
                <c:pt idx="120">
                  <c:v>157</c:v>
                </c:pt>
                <c:pt idx="121">
                  <c:v>158</c:v>
                </c:pt>
                <c:pt idx="122">
                  <c:v>159</c:v>
                </c:pt>
                <c:pt idx="123">
                  <c:v>160</c:v>
                </c:pt>
                <c:pt idx="124">
                  <c:v>161</c:v>
                </c:pt>
                <c:pt idx="125">
                  <c:v>162</c:v>
                </c:pt>
                <c:pt idx="126">
                  <c:v>163</c:v>
                </c:pt>
                <c:pt idx="127">
                  <c:v>164</c:v>
                </c:pt>
                <c:pt idx="128">
                  <c:v>165</c:v>
                </c:pt>
                <c:pt idx="129">
                  <c:v>166</c:v>
                </c:pt>
                <c:pt idx="130">
                  <c:v>167</c:v>
                </c:pt>
                <c:pt idx="131">
                  <c:v>168</c:v>
                </c:pt>
                <c:pt idx="132">
                  <c:v>169</c:v>
                </c:pt>
                <c:pt idx="133">
                  <c:v>170</c:v>
                </c:pt>
                <c:pt idx="134">
                  <c:v>171</c:v>
                </c:pt>
                <c:pt idx="135">
                  <c:v>172</c:v>
                </c:pt>
                <c:pt idx="136">
                  <c:v>173</c:v>
                </c:pt>
                <c:pt idx="137">
                  <c:v>174</c:v>
                </c:pt>
                <c:pt idx="138">
                  <c:v>175</c:v>
                </c:pt>
                <c:pt idx="139">
                  <c:v>176</c:v>
                </c:pt>
                <c:pt idx="140">
                  <c:v>177</c:v>
                </c:pt>
              </c:numCache>
            </c:numRef>
          </c:xVal>
          <c:yVal>
            <c:numRef>
              <c:f>'Cumul_cases - LNorm'!$F$44:$F$184</c:f>
              <c:numCache>
                <c:formatCode>0</c:formatCode>
                <c:ptCount val="141"/>
                <c:pt idx="0">
                  <c:v>1.6452786763801899E-7</c:v>
                </c:pt>
                <c:pt idx="1">
                  <c:v>4.0922874212949553E-6</c:v>
                </c:pt>
                <c:pt idx="2">
                  <c:v>5.4980686627547732E-5</c:v>
                </c:pt>
                <c:pt idx="3">
                  <c:v>4.7268540916532232E-4</c:v>
                </c:pt>
                <c:pt idx="4">
                  <c:v>2.9037514905536042E-3</c:v>
                </c:pt>
                <c:pt idx="5">
                  <c:v>1.3744676062602434E-2</c:v>
                </c:pt>
                <c:pt idx="6">
                  <c:v>5.2892301194459222E-2</c:v>
                </c:pt>
                <c:pt idx="7">
                  <c:v>0.17211852188333596</c:v>
                </c:pt>
                <c:pt idx="8">
                  <c:v>0.48788730195463637</c:v>
                </c:pt>
                <c:pt idx="9">
                  <c:v>1.2325396545465104</c:v>
                </c:pt>
                <c:pt idx="10">
                  <c:v>2.8255460495103497</c:v>
                </c:pt>
                <c:pt idx="11">
                  <c:v>5.9639118879091244</c:v>
                </c:pt>
                <c:pt idx="12">
                  <c:v>11.729230736660888</c:v>
                </c:pt>
                <c:pt idx="13">
                  <c:v>21.709222970948375</c:v>
                </c:pt>
                <c:pt idx="14">
                  <c:v>38.133444094002002</c:v>
                </c:pt>
                <c:pt idx="15">
                  <c:v>64.024494720082998</c:v>
                </c:pt>
                <c:pt idx="16">
                  <c:v>103.36555302362525</c:v>
                </c:pt>
                <c:pt idx="17">
                  <c:v>161.28137187543177</c:v>
                </c:pt>
                <c:pt idx="18">
                  <c:v>244.2235783812792</c:v>
                </c:pt>
                <c:pt idx="19">
                  <c:v>360.14400750899983</c:v>
                </c:pt>
                <c:pt idx="20">
                  <c:v>518.63417298978618</c:v>
                </c:pt>
                <c:pt idx="21">
                  <c:v>731.00667902949851</c:v>
                </c:pt>
                <c:pt idx="22">
                  <c:v>1010.29626931027</c:v>
                </c:pt>
                <c:pt idx="23">
                  <c:v>1371.164054113412</c:v>
                </c:pt>
                <c:pt idx="24">
                  <c:v>1829.6971437101604</c:v>
                </c:pt>
                <c:pt idx="25">
                  <c:v>2403.10588496729</c:v>
                </c:pt>
                <c:pt idx="26">
                  <c:v>3109.3305548019885</c:v>
                </c:pt>
                <c:pt idx="27">
                  <c:v>3966.5774007833652</c:v>
                </c:pt>
                <c:pt idx="28">
                  <c:v>4992.8094864000268</c:v>
                </c:pt>
                <c:pt idx="29">
                  <c:v>6205.2205426203027</c:v>
                </c:pt>
                <c:pt idx="30">
                  <c:v>7619.7200291023146</c:v>
                </c:pt>
                <c:pt idx="31">
                  <c:v>9250.4552672215996</c:v>
                </c:pt>
                <c:pt idx="32">
                  <c:v>11109.392409622546</c:v>
                </c:pt>
                <c:pt idx="33">
                  <c:v>13205.97281082476</c:v>
                </c:pt>
                <c:pt idx="34">
                  <c:v>15546.85568695049</c:v>
                </c:pt>
                <c:pt idx="35">
                  <c:v>18135.752336390269</c:v>
                </c:pt>
                <c:pt idx="36">
                  <c:v>20973.352050556168</c:v>
                </c:pt>
                <c:pt idx="37">
                  <c:v>24057.335455797715</c:v>
                </c:pt>
                <c:pt idx="38">
                  <c:v>27382.467550749243</c:v>
                </c:pt>
                <c:pt idx="39">
                  <c:v>30940.760188690729</c:v>
                </c:pt>
                <c:pt idx="40">
                  <c:v>34721.692170457092</c:v>
                </c:pt>
                <c:pt idx="41">
                  <c:v>38712.47437050291</c:v>
                </c:pt>
                <c:pt idx="42">
                  <c:v>42898.34729166919</c:v>
                </c:pt>
                <c:pt idx="43">
                  <c:v>47262.898990850474</c:v>
                </c:pt>
                <c:pt idx="44">
                  <c:v>51788.392293714103</c:v>
                </c:pt>
                <c:pt idx="45">
                  <c:v>56456.091485776371</c:v>
                </c:pt>
                <c:pt idx="46">
                  <c:v>61246.580108486727</c:v>
                </c:pt>
                <c:pt idx="47">
                  <c:v>66140.063000390539</c:v>
                </c:pt>
                <c:pt idx="48">
                  <c:v>71116.64722294877</c:v>
                </c:pt>
                <c:pt idx="49">
                  <c:v>76156.597935979022</c:v>
                </c:pt>
                <c:pt idx="50">
                  <c:v>81240.566594869859</c:v>
                </c:pt>
                <c:pt idx="51">
                  <c:v>86349.790002497699</c:v>
                </c:pt>
                <c:pt idx="52">
                  <c:v>91466.259748193843</c:v>
                </c:pt>
                <c:pt idx="53">
                  <c:v>96572.862399826437</c:v>
                </c:pt>
                <c:pt idx="54">
                  <c:v>101653.49148685293</c:v>
                </c:pt>
                <c:pt idx="55">
                  <c:v>106693.13283167446</c:v>
                </c:pt>
                <c:pt idx="56">
                  <c:v>111677.92516733294</c:v>
                </c:pt>
                <c:pt idx="57">
                  <c:v>116595.19823737163</c:v>
                </c:pt>
                <c:pt idx="58">
                  <c:v>121433.49072542376</c:v>
                </c:pt>
                <c:pt idx="59">
                  <c:v>126182.5504247365</c:v>
                </c:pt>
                <c:pt idx="60">
                  <c:v>130833.31904764526</c:v>
                </c:pt>
                <c:pt idx="61">
                  <c:v>135377.90400714288</c:v>
                </c:pt>
                <c:pt idx="62">
                  <c:v>139809.53939077051</c:v>
                </c:pt>
                <c:pt idx="63">
                  <c:v>144122.53820318717</c:v>
                </c:pt>
                <c:pt idx="64">
                  <c:v>148312.23778828976</c:v>
                </c:pt>
                <c:pt idx="65">
                  <c:v>152374.94016345244</c:v>
                </c:pt>
                <c:pt idx="66">
                  <c:v>156307.84881447605</c:v>
                </c:pt>
                <c:pt idx="67">
                  <c:v>160109.00331601998</c:v>
                </c:pt>
                <c:pt idx="68">
                  <c:v>163777.21296308562</c:v>
                </c:pt>
                <c:pt idx="69">
                  <c:v>167311.99042796053</c:v>
                </c:pt>
                <c:pt idx="70">
                  <c:v>170713.48629632263</c:v>
                </c:pt>
                <c:pt idx="71">
                  <c:v>173982.42518758285</c:v>
                </c:pt>
                <c:pt idx="72">
                  <c:v>177120.04402895441</c:v>
                </c:pt>
                <c:pt idx="73">
                  <c:v>180128.03293061454</c:v>
                </c:pt>
                <c:pt idx="74">
                  <c:v>183008.4790006371</c:v>
                </c:pt>
                <c:pt idx="75">
                  <c:v>185763.81334280915</c:v>
                </c:pt>
                <c:pt idx="76">
                  <c:v>188396.76139740302</c:v>
                </c:pt>
                <c:pt idx="77">
                  <c:v>190910.29671371981</c:v>
                </c:pt>
                <c:pt idx="78">
                  <c:v>193307.598182883</c:v>
                </c:pt>
                <c:pt idx="79">
                  <c:v>195592.01070900948</c:v>
                </c:pt>
                <c:pt idx="80">
                  <c:v>197767.00925557717</c:v>
                </c:pt>
                <c:pt idx="81">
                  <c:v>199836.1661705788</c:v>
                </c:pt>
                <c:pt idx="82">
                  <c:v>201803.12166798054</c:v>
                </c:pt>
                <c:pt idx="83">
                  <c:v>203671.5573232102</c:v>
                </c:pt>
                <c:pt idx="84">
                  <c:v>205445.17242604817</c:v>
                </c:pt>
                <c:pt idx="85">
                  <c:v>207127.66302461133</c:v>
                </c:pt>
                <c:pt idx="86">
                  <c:v>208722.70348841036</c:v>
                </c:pt>
                <c:pt idx="87">
                  <c:v>210233.93041607417</c:v>
                </c:pt>
                <c:pt idx="88">
                  <c:v>211664.92871370498</c:v>
                </c:pt>
                <c:pt idx="89">
                  <c:v>213019.21967243735</c:v>
                </c:pt>
                <c:pt idx="90">
                  <c:v>214300.25087818265</c:v>
                </c:pt>
                <c:pt idx="91">
                  <c:v>215511.38779234685</c:v>
                </c:pt>
                <c:pt idx="92">
                  <c:v>216655.90684917575</c:v>
                </c:pt>
                <c:pt idx="93">
                  <c:v>217736.9899230242</c:v>
                </c:pt>
                <c:pt idx="94">
                  <c:v>218757.72002700187</c:v>
                </c:pt>
                <c:pt idx="95">
                  <c:v>219721.07811292523</c:v>
                </c:pt>
                <c:pt idx="96">
                  <c:v>220629.94085111681</c:v>
                </c:pt>
                <c:pt idx="97">
                  <c:v>221487.07927720773</c:v>
                </c:pt>
                <c:pt idx="98">
                  <c:v>222295.15820159164</c:v>
                </c:pt>
                <c:pt idx="99">
                  <c:v>223056.73628546734</c:v>
                </c:pt>
                <c:pt idx="100">
                  <c:v>223774.2666954124</c:v>
                </c:pt>
                <c:pt idx="101">
                  <c:v>224450.09825610532</c:v>
                </c:pt>
                <c:pt idx="102">
                  <c:v>225086.47702811612</c:v>
                </c:pt>
                <c:pt idx="103">
                  <c:v>225685.54824459017</c:v>
                </c:pt>
                <c:pt idx="104">
                  <c:v>226249.35854714314</c:v>
                </c:pt>
                <c:pt idx="105">
                  <c:v>226779.85846735528</c:v>
                </c:pt>
                <c:pt idx="106">
                  <c:v>227278.90510590805</c:v>
                </c:pt>
                <c:pt idx="107">
                  <c:v>227748.2649666428</c:v>
                </c:pt>
                <c:pt idx="108">
                  <c:v>228189.61690765643</c:v>
                </c:pt>
                <c:pt idx="109">
                  <c:v>228604.5551759933</c:v>
                </c:pt>
                <c:pt idx="110">
                  <c:v>228994.59249656362</c:v>
                </c:pt>
                <c:pt idx="111">
                  <c:v>229361.16318963227</c:v>
                </c:pt>
                <c:pt idx="112">
                  <c:v>229705.62629460136</c:v>
                </c:pt>
                <c:pt idx="113">
                  <c:v>230029.26868087053</c:v>
                </c:pt>
                <c:pt idx="114">
                  <c:v>230333.30812932408</c:v>
                </c:pt>
                <c:pt idx="115">
                  <c:v>230618.8963704842</c:v>
                </c:pt>
                <c:pt idx="116">
                  <c:v>230887.12206760075</c:v>
                </c:pt>
                <c:pt idx="117">
                  <c:v>231139.01373494638</c:v>
                </c:pt>
                <c:pt idx="118">
                  <c:v>231375.54258336208</c:v>
                </c:pt>
                <c:pt idx="119">
                  <c:v>231597.62528667797</c:v>
                </c:pt>
                <c:pt idx="120">
                  <c:v>231806.12666402874</c:v>
                </c:pt>
                <c:pt idx="121">
                  <c:v>232001.86227431142</c:v>
                </c:pt>
                <c:pt idx="122">
                  <c:v>232185.60092011085</c:v>
                </c:pt>
                <c:pt idx="123">
                  <c:v>232358.06705935643</c:v>
                </c:pt>
                <c:pt idx="124">
                  <c:v>232519.94312379044</c:v>
                </c:pt>
                <c:pt idx="125">
                  <c:v>232671.8717440301</c:v>
                </c:pt>
                <c:pt idx="126">
                  <c:v>232814.45788160968</c:v>
                </c:pt>
                <c:pt idx="127">
                  <c:v>232948.27086890029</c:v>
                </c:pt>
                <c:pt idx="128">
                  <c:v>233073.84635823951</c:v>
                </c:pt>
                <c:pt idx="129">
                  <c:v>233191.68818196113</c:v>
                </c:pt>
                <c:pt idx="130">
                  <c:v>233302.27012531471</c:v>
                </c:pt>
                <c:pt idx="131">
                  <c:v>233406.03761450434</c:v>
                </c:pt>
                <c:pt idx="132">
                  <c:v>233503.40932226798</c:v>
                </c:pt>
                <c:pt idx="133">
                  <c:v>233594.77869356587</c:v>
                </c:pt>
                <c:pt idx="134">
                  <c:v>233680.51539405785</c:v>
                </c:pt>
                <c:pt idx="135">
                  <c:v>233760.96668412344</c:v>
                </c:pt>
                <c:pt idx="136">
                  <c:v>233836.45872122922</c:v>
                </c:pt>
                <c:pt idx="137">
                  <c:v>233907.29779346852</c:v>
                </c:pt>
                <c:pt idx="138">
                  <c:v>233973.77148710235</c:v>
                </c:pt>
                <c:pt idx="139">
                  <c:v>234036.1497909117</c:v>
                </c:pt>
                <c:pt idx="140">
                  <c:v>234094.68614014282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2-410A-840D-E91A2B46B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  <a:r>
                  <a:rPr lang="en-US" baseline="0"/>
                  <a:t> from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 number of cases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Italy</a:t>
            </a:r>
            <a:r>
              <a:rPr lang="en-US" baseline="0"/>
              <a:t> - </a:t>
            </a:r>
            <a:r>
              <a:rPr lang="en-US"/>
              <a:t>New</a:t>
            </a:r>
            <a:r>
              <a:rPr lang="en-US" baseline="0"/>
              <a:t> vs Accumulative cases - Phase space trajectories - Lognormal normalized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9"/>
          <c:order val="0"/>
          <c:tx>
            <c:strRef>
              <c:f>'New_cases - LNorm'!$L$7</c:f>
              <c:strCache>
                <c:ptCount val="1"/>
                <c:pt idx="0">
                  <c:v>Italy fit (Norm.)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LNorm'!$H$8:$H$184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1.9150930536907637E-38</c:v>
                </c:pt>
                <c:pt idx="32">
                  <c:v>4.2480855477164147E-26</c:v>
                </c:pt>
                <c:pt idx="33">
                  <c:v>1.7283823758530539E-20</c:v>
                </c:pt>
                <c:pt idx="34">
                  <c:v>4.7095890454955323E-17</c:v>
                </c:pt>
                <c:pt idx="35">
                  <c:v>1.1516061021079637E-14</c:v>
                </c:pt>
                <c:pt idx="36">
                  <c:v>7.0011877672391917E-13</c:v>
                </c:pt>
                <c:pt idx="37">
                  <c:v>1.7413993778265215E-11</c:v>
                </c:pt>
                <c:pt idx="38">
                  <c:v>2.3396043246490676E-10</c:v>
                </c:pt>
                <c:pt idx="39">
                  <c:v>2.011427821870088E-9</c:v>
                </c:pt>
                <c:pt idx="40">
                  <c:v>1.2356392692996094E-8</c:v>
                </c:pt>
                <c:pt idx="41">
                  <c:v>5.8487999203802331E-8</c:v>
                </c:pt>
                <c:pt idx="42">
                  <c:v>2.2507368351634071E-7</c:v>
                </c:pt>
                <c:pt idx="43">
                  <c:v>7.3241944190033639E-7</c:v>
                </c:pt>
                <c:pt idx="44">
                  <c:v>2.0761167450071633E-6</c:v>
                </c:pt>
                <c:pt idx="45">
                  <c:v>5.2448510248936136E-6</c:v>
                </c:pt>
                <c:pt idx="46">
                  <c:v>1.2023603491370863E-5</c:v>
                </c:pt>
                <c:pt idx="47">
                  <c:v>2.5378355383774001E-5</c:v>
                </c:pt>
                <c:pt idx="48">
                  <c:v>4.9911633774593601E-5</c:v>
                </c:pt>
                <c:pt idx="49">
                  <c:v>9.2379697422973218E-5</c:v>
                </c:pt>
                <c:pt idx="50">
                  <c:v>1.6227001914412035E-4</c:v>
                </c:pt>
                <c:pt idx="51">
                  <c:v>2.7244473272097195E-4</c:v>
                </c:pt>
                <c:pt idx="52">
                  <c:v>4.3985353713761453E-4</c:v>
                </c:pt>
                <c:pt idx="53">
                  <c:v>6.8630389736899625E-4</c:v>
                </c:pt>
                <c:pt idx="54">
                  <c:v>7.5699132384186732E-4</c:v>
                </c:pt>
                <c:pt idx="55">
                  <c:v>1.1930529047249278E-3</c:v>
                </c:pt>
                <c:pt idx="56">
                  <c:v>1.8173541855050978E-3</c:v>
                </c:pt>
                <c:pt idx="57">
                  <c:v>2.6844567233914691E-3</c:v>
                </c:pt>
                <c:pt idx="58">
                  <c:v>3.8561832110300997E-3</c:v>
                </c:pt>
                <c:pt idx="59">
                  <c:v>5.4005749467812897E-3</c:v>
                </c:pt>
                <c:pt idx="60">
                  <c:v>7.3904665942868099E-3</c:v>
                </c:pt>
                <c:pt idx="61">
                  <c:v>9.9017516231587593E-3</c:v>
                </c:pt>
                <c:pt idx="62">
                  <c:v>1.3011430093894161E-2</c:v>
                </c:pt>
                <c:pt idx="63">
                  <c:v>1.6795539887758778E-2</c:v>
                </c:pt>
                <c:pt idx="64">
                  <c:v>2.1327073505814573E-2</c:v>
                </c:pt>
                <c:pt idx="65">
                  <c:v>2.6673976333741606E-2</c:v>
                </c:pt>
                <c:pt idx="66">
                  <c:v>3.2897310402425009E-2</c:v>
                </c:pt>
                <c:pt idx="67">
                  <c:v>4.0049651960344913E-2</c:v>
                </c:pt>
                <c:pt idx="68">
                  <c:v>4.8173773368636007E-2</c:v>
                </c:pt>
                <c:pt idx="69">
                  <c:v>5.7301641499784901E-2</c:v>
                </c:pt>
                <c:pt idx="70">
                  <c:v>6.7453747250562301E-2</c:v>
                </c:pt>
                <c:pt idx="71">
                  <c:v>7.8638764930707997E-2</c:v>
                </c:pt>
                <c:pt idx="72">
                  <c:v>9.085352680083017E-2</c:v>
                </c:pt>
                <c:pt idx="73">
                  <c:v>0.10408328725235981</c:v>
                </c:pt>
                <c:pt idx="74">
                  <c:v>0.11830224314806025</c:v>
                </c:pt>
                <c:pt idx="75">
                  <c:v>0.13347427157813607</c:v>
                </c:pt>
                <c:pt idx="76">
                  <c:v>0.14955384349867648</c:v>
                </c:pt>
                <c:pt idx="77">
                  <c:v>0.16648707107984942</c:v>
                </c:pt>
                <c:pt idx="78">
                  <c:v>0.18421284772698815</c:v>
                </c:pt>
                <c:pt idx="79">
                  <c:v>0.20266404226143536</c:v>
                </c:pt>
                <c:pt idx="80">
                  <c:v>0.22176871228554546</c:v>
                </c:pt>
                <c:pt idx="81">
                  <c:v>0.24145130596447512</c:v>
                </c:pt>
                <c:pt idx="82">
                  <c:v>0.26163382603571794</c:v>
                </c:pt>
                <c:pt idx="83">
                  <c:v>0.28223693455320864</c:v>
                </c:pt>
                <c:pt idx="84">
                  <c:v>0.30318098148339601</c:v>
                </c:pt>
                <c:pt idx="85">
                  <c:v>0.32438694464065881</c:v>
                </c:pt>
                <c:pt idx="86">
                  <c:v>0.34577727246742157</c:v>
                </c:pt>
                <c:pt idx="87">
                  <c:v>0.36727662475732464</c:v>
                </c:pt>
                <c:pt idx="88">
                  <c:v>0.38881250954745222</c:v>
                </c:pt>
                <c:pt idx="89">
                  <c:v>0.41031581705412329</c:v>
                </c:pt>
                <c:pt idx="90">
                  <c:v>0.43172125370334197</c:v>
                </c:pt>
                <c:pt idx="91">
                  <c:v>0.45296768103429502</c:v>
                </c:pt>
                <c:pt idx="92">
                  <c:v>0.47399836556614849</c:v>
                </c:pt>
                <c:pt idx="93">
                  <c:v>0.49476114665568849</c:v>
                </c:pt>
                <c:pt idx="94">
                  <c:v>0.51520852998077848</c:v>
                </c:pt>
                <c:pt idx="95">
                  <c:v>0.53529771460812592</c:v>
                </c:pt>
                <c:pt idx="96">
                  <c:v>0.55499056168888972</c:v>
                </c:pt>
                <c:pt idx="97">
                  <c:v>0.57425351271517755</c:v>
                </c:pt>
                <c:pt idx="98">
                  <c:v>0.59305746500464995</c:v>
                </c:pt>
                <c:pt idx="99">
                  <c:v>0.61137761169532323</c:v>
                </c:pt>
                <c:pt idx="100">
                  <c:v>0.62919325306037499</c:v>
                </c:pt>
                <c:pt idx="101">
                  <c:v>0.64648758542118367</c:v>
                </c:pt>
                <c:pt idx="102">
                  <c:v>0.66324747336959122</c:v>
                </c:pt>
                <c:pt idx="103">
                  <c:v>0.67946321042736924</c:v>
                </c:pt>
                <c:pt idx="104">
                  <c:v>0.69512827268806543</c:v>
                </c:pt>
                <c:pt idx="105">
                  <c:v>0.71023906941669468</c:v>
                </c:pt>
                <c:pt idx="106">
                  <c:v>0.72479469403600139</c:v>
                </c:pt>
                <c:pt idx="107">
                  <c:v>0.73879667841141961</c:v>
                </c:pt>
                <c:pt idx="108">
                  <c:v>0.75224875286566539</c:v>
                </c:pt>
                <c:pt idx="109">
                  <c:v>0.76515661391115408</c:v>
                </c:pt>
                <c:pt idx="110">
                  <c:v>0.77752770128598692</c:v>
                </c:pt>
                <c:pt idx="111">
                  <c:v>0.78937098551742602</c:v>
                </c:pt>
                <c:pt idx="112">
                  <c:v>0.80069676691512703</c:v>
                </c:pt>
                <c:pt idx="113">
                  <c:v>0.81151648661354492</c:v>
                </c:pt>
                <c:pt idx="114">
                  <c:v>0.82184255003703743</c:v>
                </c:pt>
                <c:pt idx="115">
                  <c:v>0.83168816294998538</c:v>
                </c:pt>
                <c:pt idx="116">
                  <c:v>0.84106718007520487</c:v>
                </c:pt>
                <c:pt idx="117">
                  <c:v>0.84999396611432187</c:v>
                </c:pt>
                <c:pt idx="118">
                  <c:v>0.85848326888093773</c:v>
                </c:pt>
                <c:pt idx="119">
                  <c:v>0.86655010415855438</c:v>
                </c:pt>
                <c:pt idx="120">
                  <c:v>0.8742096518177318</c:v>
                </c:pt>
                <c:pt idx="121">
                  <c:v>0.88147716266827392</c:v>
                </c:pt>
                <c:pt idx="122">
                  <c:v>0.88836787547997431</c:v>
                </c:pt>
                <c:pt idx="123">
                  <c:v>0.89489694357738692</c:v>
                </c:pt>
                <c:pt idx="124">
                  <c:v>0.9010793703981389</c:v>
                </c:pt>
                <c:pt idx="125">
                  <c:v>0.90692995339862359</c:v>
                </c:pt>
                <c:pt idx="126">
                  <c:v>0.91246323569377052</c:v>
                </c:pt>
                <c:pt idx="127">
                  <c:v>0.9176934648274806</c:v>
                </c:pt>
                <c:pt idx="128">
                  <c:v>0.92263455808589878</c:v>
                </c:pt>
                <c:pt idx="129">
                  <c:v>0.92730007378574109</c:v>
                </c:pt>
                <c:pt idx="130">
                  <c:v>0.93170318799339791</c:v>
                </c:pt>
                <c:pt idx="131">
                  <c:v>0.93585667615656976</c:v>
                </c:pt>
                <c:pt idx="132">
                  <c:v>0.93977289915798623</c:v>
                </c:pt>
                <c:pt idx="133">
                  <c:v>0.94346379332965269</c:v>
                </c:pt>
                <c:pt idx="134">
                  <c:v>0.94694086399550648</c:v>
                </c:pt>
                <c:pt idx="135">
                  <c:v>0.95021518213988909</c:v>
                </c:pt>
                <c:pt idx="136">
                  <c:v>0.9532973838284422</c:v>
                </c:pt>
                <c:pt idx="137">
                  <c:v>0.95619767203665429</c:v>
                </c:pt>
                <c:pt idx="138">
                  <c:v>0.95892582056903264</c:v>
                </c:pt>
                <c:pt idx="139">
                  <c:v>0.96149117977858778</c:v>
                </c:pt>
                <c:pt idx="140">
                  <c:v>0.96390268382184952</c:v>
                </c:pt>
                <c:pt idx="141">
                  <c:v>0.96616885920887996</c:v>
                </c:pt>
                <c:pt idx="142">
                  <c:v>0.96829783443065287</c:v>
                </c:pt>
                <c:pt idx="143">
                  <c:v>0.97029735046768173</c:v>
                </c:pt>
                <c:pt idx="144">
                  <c:v>0.97217477200390501</c:v>
                </c:pt>
                <c:pt idx="145">
                  <c:v>0.97393709918856686</c:v>
                </c:pt>
                <c:pt idx="146">
                  <c:v>0.97559097980620479</c:v>
                </c:pt>
                <c:pt idx="147">
                  <c:v>0.97714272173088912</c:v>
                </c:pt>
                <c:pt idx="148">
                  <c:v>0.97859830555562244</c:v>
                </c:pt>
                <c:pt idx="149">
                  <c:v>0.97996339730133319</c:v>
                </c:pt>
                <c:pt idx="150">
                  <c:v>0.98124336112225374</c:v>
                </c:pt>
                <c:pt idx="151">
                  <c:v>0.98244327193572634</c:v>
                </c:pt>
                <c:pt idx="152">
                  <c:v>0.98356792791467917</c:v>
                </c:pt>
                <c:pt idx="153">
                  <c:v>0.98462186279025199</c:v>
                </c:pt>
                <c:pt idx="154">
                  <c:v>0.98560935792035076</c:v>
                </c:pt>
                <c:pt idx="155">
                  <c:v>0.9865344540873846</c:v>
                </c:pt>
                <c:pt idx="156">
                  <c:v>0.98740096299511126</c:v>
                </c:pt>
                <c:pt idx="157">
                  <c:v>0.98821247844046878</c:v>
                </c:pt>
                <c:pt idx="158">
                  <c:v>0.98897238714155256</c:v>
                </c:pt>
                <c:pt idx="159">
                  <c:v>0.98968387920757073</c:v>
                </c:pt>
                <c:pt idx="160">
                  <c:v>0.99034995824071881</c:v>
                </c:pt>
                <c:pt idx="161">
                  <c:v>0.99097345106352019</c:v>
                </c:pt>
                <c:pt idx="162">
                  <c:v>0.99155701706830968</c:v>
                </c:pt>
                <c:pt idx="163">
                  <c:v>0.99210315718826647</c:v>
                </c:pt>
                <c:pt idx="164">
                  <c:v>0.99261422249173203</c:v>
                </c:pt>
                <c:pt idx="165">
                  <c:v>0.99309242240355455</c:v>
                </c:pt>
                <c:pt idx="166">
                  <c:v>0.99353983255889278</c:v>
                </c:pt>
                <c:pt idx="167">
                  <c:v>0.99395840229632526</c:v>
                </c:pt>
                <c:pt idx="168">
                  <c:v>0.99434996179829738</c:v>
                </c:pt>
                <c:pt idx="169">
                  <c:v>0.99471622888787914</c:v>
                </c:pt>
                <c:pt idx="170">
                  <c:v>0.99505881549158848</c:v>
                </c:pt>
                <c:pt idx="171">
                  <c:v>0.99537923377861537</c:v>
                </c:pt>
                <c:pt idx="172">
                  <c:v>0.9956789019872373</c:v>
                </c:pt>
                <c:pt idx="173">
                  <c:v>0.99595914994952484</c:v>
                </c:pt>
                <c:pt idx="174">
                  <c:v>0.99622122432564175</c:v>
                </c:pt>
                <c:pt idx="175">
                  <c:v>0.99646629355914185</c:v>
                </c:pt>
                <c:pt idx="176">
                  <c:v>0.99669545256468428</c:v>
                </c:pt>
              </c:numCache>
            </c:numRef>
          </c:xVal>
          <c:yVal>
            <c:numRef>
              <c:f>'New_cases - LNorm'!$L$8:$L$184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2.4097591480564153E-51</c:v>
                </c:pt>
                <c:pt idx="32">
                  <c:v>1.1818486570223986E-30</c:v>
                </c:pt>
                <c:pt idx="33">
                  <c:v>7.5068798551141883E-23</c:v>
                </c:pt>
                <c:pt idx="34">
                  <c:v>2.3776096592285176E-18</c:v>
                </c:pt>
                <c:pt idx="35">
                  <c:v>2.5432666771419725E-15</c:v>
                </c:pt>
                <c:pt idx="36">
                  <c:v>4.166345504001861E-13</c:v>
                </c:pt>
                <c:pt idx="37">
                  <c:v>2.1112704737773894E-11</c:v>
                </c:pt>
                <c:pt idx="38">
                  <c:v>4.8379562673151864E-10</c:v>
                </c:pt>
                <c:pt idx="39">
                  <c:v>6.2867591201796547E-9</c:v>
                </c:pt>
                <c:pt idx="40">
                  <c:v>5.3547833603487371E-8</c:v>
                </c:pt>
                <c:pt idx="41">
                  <c:v>3.2964558450788425E-7</c:v>
                </c:pt>
                <c:pt idx="42">
                  <c:v>1.5710472523884177E-6</c:v>
                </c:pt>
                <c:pt idx="43">
                  <c:v>6.0935320275013177E-6</c:v>
                </c:pt>
                <c:pt idx="44">
                  <c:v>1.9966598965689721E-5</c:v>
                </c:pt>
                <c:pt idx="45">
                  <c:v>5.6871479308627529E-5</c:v>
                </c:pt>
                <c:pt idx="46">
                  <c:v>1.4398214286123344E-4</c:v>
                </c:pt>
                <c:pt idx="47">
                  <c:v>3.2977063888515817E-4</c:v>
                </c:pt>
                <c:pt idx="48">
                  <c:v>6.9306117177133926E-4</c:v>
                </c:pt>
                <c:pt idx="49">
                  <c:v>1.3521119628988863E-3</c:v>
                </c:pt>
                <c:pt idx="50">
                  <c:v>2.4721613926443477E-3</c:v>
                </c:pt>
                <c:pt idx="51">
                  <c:v>4.269843601194789E-3</c:v>
                </c:pt>
                <c:pt idx="52">
                  <c:v>7.013174222350059E-3</c:v>
                </c:pt>
                <c:pt idx="53">
                  <c:v>1.1016359132870782E-2</c:v>
                </c:pt>
                <c:pt idx="54">
                  <c:v>1.6629364645284649E-2</c:v>
                </c:pt>
                <c:pt idx="55">
                  <c:v>2.4222869943311704E-2</c:v>
                </c:pt>
                <c:pt idx="56">
                  <c:v>3.4169785862833583E-2</c:v>
                </c:pt>
                <c:pt idx="57">
                  <c:v>4.6824893173782384E-2</c:v>
                </c:pt>
                <c:pt idx="58">
                  <c:v>6.2504299467343441E-2</c:v>
                </c:pt>
                <c:pt idx="59">
                  <c:v>8.1466348531737454E-2</c:v>
                </c:pt>
                <c:pt idx="60">
                  <c:v>0.10389538055512997</c:v>
                </c:pt>
                <c:pt idx="61">
                  <c:v>0.12988939170188094</c:v>
                </c:pt>
                <c:pt idx="62">
                  <c:v>0.15945223661104263</c:v>
                </c:pt>
                <c:pt idx="63">
                  <c:v>0.19249061007505416</c:v>
                </c:pt>
                <c:pt idx="64">
                  <c:v>0.22881567590678209</c:v>
                </c:pt>
                <c:pt idx="65">
                  <c:v>0.26814890940775316</c:v>
                </c:pt>
                <c:pt idx="66">
                  <c:v>0.31013149916874039</c:v>
                </c:pt>
                <c:pt idx="67">
                  <c:v>0.35433651704858959</c:v>
                </c:pt>
                <c:pt idx="68">
                  <c:v>0.40028300636483127</c:v>
                </c:pt>
                <c:pt idx="69">
                  <c:v>0.44745114619267795</c:v>
                </c:pt>
                <c:pt idx="70">
                  <c:v>0.49529770980565169</c:v>
                </c:pt>
                <c:pt idx="71">
                  <c:v>0.54327113247282866</c:v>
                </c:pt>
                <c:pt idx="72">
                  <c:v>0.59082562359754798</c:v>
                </c:pt>
                <c:pt idx="73">
                  <c:v>0.63743388789273459</c:v>
                </c:pt>
                <c:pt idx="74">
                  <c:v>0.6825981496537834</c:v>
                </c:pt>
                <c:pt idx="75">
                  <c:v>0.72585929546221573</c:v>
                </c:pt>
                <c:pt idx="76">
                  <c:v>0.76680405852004641</c:v>
                </c:pt>
                <c:pt idx="77">
                  <c:v>0.80507025912933872</c:v>
                </c:pt>
                <c:pt idx="78">
                  <c:v>0.84035018924660931</c:v>
                </c:pt>
                <c:pt idx="79">
                  <c:v>0.87239228461527007</c:v>
                </c:pt>
                <c:pt idx="80">
                  <c:v>0.90100126678944603</c:v>
                </c:pt>
                <c:pt idx="81">
                  <c:v>0.92603696116476464</c:v>
                </c:pt>
                <c:pt idx="82">
                  <c:v>0.9474120080681695</c:v>
                </c:pt>
                <c:pt idx="83">
                  <c:v>0.96508868432686445</c:v>
                </c:pt>
                <c:pt idx="84">
                  <c:v>0.97907504481450403</c:v>
                </c:pt>
                <c:pt idx="85">
                  <c:v>0.98942057939727057</c:v>
                </c:pt>
                <c:pt idx="86">
                  <c:v>0.99621156238973008</c:v>
                </c:pt>
                <c:pt idx="87">
                  <c:v>0.9995662507331915</c:v>
                </c:pt>
                <c:pt idx="88">
                  <c:v>0.99963006500144802</c:v>
                </c:pt>
                <c:pt idx="89">
                  <c:v>0.99657086511980042</c:v>
                </c:pt>
                <c:pt idx="90">
                  <c:v>0.9905744111961351</c:v>
                </c:pt>
                <c:pt idx="91">
                  <c:v>0.98184007972123055</c:v>
                </c:pt>
                <c:pt idx="92">
                  <c:v>0.97057688701426448</c:v>
                </c:pt>
                <c:pt idx="93">
                  <c:v>0.95699985541760424</c:v>
                </c:pt>
                <c:pt idx="94">
                  <c:v>0.94132674349658763</c:v>
                </c:pt>
                <c:pt idx="95">
                  <c:v>0.92377514938419714</c:v>
                </c:pt>
                <c:pt idx="96">
                  <c:v>0.90455998635712975</c:v>
                </c:pt>
                <c:pt idx="97">
                  <c:v>0.88389132161234252</c:v>
                </c:pt>
                <c:pt idx="98">
                  <c:v>0.86197256286781532</c:v>
                </c:pt>
                <c:pt idx="99">
                  <c:v>0.83899897265224488</c:v>
                </c:pt>
                <c:pt idx="100">
                  <c:v>0.81515648678050368</c:v>
                </c:pt>
                <c:pt idx="101">
                  <c:v>0.79062081133952533</c:v>
                </c:pt>
                <c:pt idx="102">
                  <c:v>0.76555677134433064</c:v>
                </c:pt>
                <c:pt idx="103">
                  <c:v>0.74011788388939859</c:v>
                </c:pt>
                <c:pt idx="104">
                  <c:v>0.71444612895456772</c:v>
                </c:pt>
                <c:pt idx="105">
                  <c:v>0.68867189188182321</c:v>
                </c:pt>
                <c:pt idx="106">
                  <c:v>0.66291405279168691</c:v>
                </c:pt>
                <c:pt idx="107">
                  <c:v>0.63728019974491334</c:v>
                </c:pt>
                <c:pt idx="108">
                  <c:v>0.61186694418249121</c:v>
                </c:pt>
                <c:pt idx="109">
                  <c:v>0.5867603190161782</c:v>
                </c:pt>
                <c:pt idx="110">
                  <c:v>0.5620362416284449</c:v>
                </c:pt>
                <c:pt idx="111">
                  <c:v>0.53776102592323605</c:v>
                </c:pt>
                <c:pt idx="112">
                  <c:v>0.51399192940690086</c:v>
                </c:pt>
                <c:pt idx="113">
                  <c:v>0.49077772304158507</c:v>
                </c:pt>
                <c:pt idx="114">
                  <c:v>0.46815927327887386</c:v>
                </c:pt>
                <c:pt idx="115">
                  <c:v>0.44617012723458299</c:v>
                </c:pt>
                <c:pt idx="116">
                  <c:v>0.42483709339668579</c:v>
                </c:pt>
                <c:pt idx="117">
                  <c:v>0.4041808115631339</c:v>
                </c:pt>
                <c:pt idx="118">
                  <c:v>0.38421630688366981</c:v>
                </c:pt>
                <c:pt idx="119">
                  <c:v>0.36495352393204256</c:v>
                </c:pt>
                <c:pt idx="120">
                  <c:v>0.34639783766651983</c:v>
                </c:pt>
                <c:pt idx="121">
                  <c:v>0.32855053895342501</c:v>
                </c:pt>
                <c:pt idx="122">
                  <c:v>0.31140929303763631</c:v>
                </c:pt>
                <c:pt idx="123">
                  <c:v>0.29496856995360821</c:v>
                </c:pt>
                <c:pt idx="124">
                  <c:v>0.27922004638864012</c:v>
                </c:pt>
                <c:pt idx="125">
                  <c:v>0.26415297894528361</c:v>
                </c:pt>
                <c:pt idx="126">
                  <c:v>0.24975454911020062</c:v>
                </c:pt>
                <c:pt idx="127">
                  <c:v>0.23601018053053846</c:v>
                </c:pt>
                <c:pt idx="128">
                  <c:v>0.22290382943353168</c:v>
                </c:pt>
                <c:pt idx="129">
                  <c:v>0.21041824920794153</c:v>
                </c:pt>
                <c:pt idx="130">
                  <c:v>0.19853523030367262</c:v>
                </c:pt>
                <c:pt idx="131">
                  <c:v>0.1872358167047268</c:v>
                </c:pt>
                <c:pt idx="132">
                  <c:v>0.17650050029620229</c:v>
                </c:pt>
                <c:pt idx="133">
                  <c:v>0.16630939448339002</c:v>
                </c:pt>
                <c:pt idx="134">
                  <c:v>0.15664238843479297</c:v>
                </c:pt>
                <c:pt idx="135">
                  <c:v>0.14747928331510216</c:v>
                </c:pt>
                <c:pt idx="136">
                  <c:v>0.13879991185255447</c:v>
                </c:pt>
                <c:pt idx="137">
                  <c:v>0.13058424255064746</c:v>
                </c:pt>
                <c:pt idx="138">
                  <c:v>0.12281246980985927</c:v>
                </c:pt>
                <c:pt idx="139">
                  <c:v>0.11546509117303051</c:v>
                </c:pt>
                <c:pt idx="140">
                  <c:v>0.10852297285061141</c:v>
                </c:pt>
                <c:pt idx="141">
                  <c:v>0.10196740462066779</c:v>
                </c:pt>
                <c:pt idx="142">
                  <c:v>9.5780145134958777E-2</c:v>
                </c:pt>
                <c:pt idx="143">
                  <c:v>8.994345859771101E-2</c:v>
                </c:pt>
                <c:pt idx="144">
                  <c:v>8.4440143718929453E-2</c:v>
                </c:pt>
                <c:pt idx="145">
                  <c:v>7.9253555780095894E-2</c:v>
                </c:pt>
                <c:pt idx="146">
                  <c:v>7.4367622587461726E-2</c:v>
                </c:pt>
                <c:pt idx="147">
                  <c:v>6.9766855027489957E-2</c:v>
                </c:pt>
                <c:pt idx="148">
                  <c:v>6.5436352880624341E-2</c:v>
                </c:pt>
                <c:pt idx="149">
                  <c:v>6.136180649382332E-2</c:v>
                </c:pt>
                <c:pt idx="150">
                  <c:v>5.7529494859383849E-2</c:v>
                </c:pt>
                <c:pt idx="151">
                  <c:v>5.3926280597591442E-2</c:v>
                </c:pt>
                <c:pt idx="152">
                  <c:v>5.0539602293792313E-2</c:v>
                </c:pt>
                <c:pt idx="153">
                  <c:v>4.7357464596541887E-2</c:v>
                </c:pt>
                <c:pt idx="154">
                  <c:v>4.4368426442583472E-2</c:v>
                </c:pt>
                <c:pt idx="155">
                  <c:v>4.1561587736434459E-2</c:v>
                </c:pt>
                <c:pt idx="156">
                  <c:v>3.8926574777265514E-2</c:v>
                </c:pt>
                <c:pt idx="157">
                  <c:v>3.645352469340702E-2</c:v>
                </c:pt>
                <c:pt idx="158">
                  <c:v>3.4133069115141239E-2</c:v>
                </c:pt>
                <c:pt idx="159">
                  <c:v>3.1956317289239651E-2</c:v>
                </c:pt>
                <c:pt idx="160">
                  <c:v>2.9914838813912107E-2</c:v>
                </c:pt>
                <c:pt idx="161">
                  <c:v>2.8000646150268302E-2</c:v>
                </c:pt>
                <c:pt idx="162">
                  <c:v>2.6206177045923831E-2</c:v>
                </c:pt>
                <c:pt idx="163">
                  <c:v>2.4524276987874218E-2</c:v>
                </c:pt>
                <c:pt idx="164">
                  <c:v>2.2948181785074059E-2</c:v>
                </c:pt>
                <c:pt idx="165">
                  <c:v>2.1471500366152956E-2</c:v>
                </c:pt>
                <c:pt idx="166">
                  <c:v>2.0088197864253969E-2</c:v>
                </c:pt>
                <c:pt idx="167">
                  <c:v>1.8792579048972486E-2</c:v>
                </c:pt>
                <c:pt idx="168">
                  <c:v>1.7579272154669721E-2</c:v>
                </c:pt>
                <c:pt idx="169">
                  <c:v>1.6443213144948954E-2</c:v>
                </c:pt>
                <c:pt idx="170">
                  <c:v>1.5379630444680742E-2</c:v>
                </c:pt>
                <c:pt idx="171">
                  <c:v>1.4384030163574273E-2</c:v>
                </c:pt>
                <c:pt idx="172">
                  <c:v>1.345218182880159E-2</c:v>
                </c:pt>
                <c:pt idx="173">
                  <c:v>1.2580104638514339E-2</c:v>
                </c:pt>
                <c:pt idx="174">
                  <c:v>1.176405424317163E-2</c:v>
                </c:pt>
                <c:pt idx="175">
                  <c:v>1.100051005733842E-2</c:v>
                </c:pt>
                <c:pt idx="176">
                  <c:v>1.0286163100961289E-2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65CF-4F43-9B34-9E22C4FEB052}"/>
            </c:ext>
          </c:extLst>
        </c:ser>
        <c:ser>
          <c:idx val="0"/>
          <c:order val="1"/>
          <c:tx>
            <c:strRef>
              <c:f>'New_cases - LNorm'!$J$7</c:f>
              <c:strCache>
                <c:ptCount val="1"/>
                <c:pt idx="0">
                  <c:v>Italy sum of regions (Norm.)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'New_cases - LNorm'!$H$8:$H$184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1.9150930536907637E-38</c:v>
                </c:pt>
                <c:pt idx="32">
                  <c:v>4.2480855477164147E-26</c:v>
                </c:pt>
                <c:pt idx="33">
                  <c:v>1.7283823758530539E-20</c:v>
                </c:pt>
                <c:pt idx="34">
                  <c:v>4.7095890454955323E-17</c:v>
                </c:pt>
                <c:pt idx="35">
                  <c:v>1.1516061021079637E-14</c:v>
                </c:pt>
                <c:pt idx="36">
                  <c:v>7.0011877672391917E-13</c:v>
                </c:pt>
                <c:pt idx="37">
                  <c:v>1.7413993778265215E-11</c:v>
                </c:pt>
                <c:pt idx="38">
                  <c:v>2.3396043246490676E-10</c:v>
                </c:pt>
                <c:pt idx="39">
                  <c:v>2.011427821870088E-9</c:v>
                </c:pt>
                <c:pt idx="40">
                  <c:v>1.2356392692996094E-8</c:v>
                </c:pt>
                <c:pt idx="41">
                  <c:v>5.8487999203802331E-8</c:v>
                </c:pt>
                <c:pt idx="42">
                  <c:v>2.2507368351634071E-7</c:v>
                </c:pt>
                <c:pt idx="43">
                  <c:v>7.3241944190033639E-7</c:v>
                </c:pt>
                <c:pt idx="44">
                  <c:v>2.0761167450071633E-6</c:v>
                </c:pt>
                <c:pt idx="45">
                  <c:v>5.2448510248936136E-6</c:v>
                </c:pt>
                <c:pt idx="46">
                  <c:v>1.2023603491370863E-5</c:v>
                </c:pt>
                <c:pt idx="47">
                  <c:v>2.5378355383774001E-5</c:v>
                </c:pt>
                <c:pt idx="48">
                  <c:v>4.9911633774593601E-5</c:v>
                </c:pt>
                <c:pt idx="49">
                  <c:v>9.2379697422973218E-5</c:v>
                </c:pt>
                <c:pt idx="50">
                  <c:v>1.6227001914412035E-4</c:v>
                </c:pt>
                <c:pt idx="51">
                  <c:v>2.7244473272097195E-4</c:v>
                </c:pt>
                <c:pt idx="52">
                  <c:v>4.3985353713761453E-4</c:v>
                </c:pt>
                <c:pt idx="53">
                  <c:v>6.8630389736899625E-4</c:v>
                </c:pt>
                <c:pt idx="54">
                  <c:v>7.5699132384186732E-4</c:v>
                </c:pt>
                <c:pt idx="55">
                  <c:v>1.1930529047249278E-3</c:v>
                </c:pt>
                <c:pt idx="56">
                  <c:v>1.8173541855050978E-3</c:v>
                </c:pt>
                <c:pt idx="57">
                  <c:v>2.6844567233914691E-3</c:v>
                </c:pt>
                <c:pt idx="58">
                  <c:v>3.8561832110300997E-3</c:v>
                </c:pt>
                <c:pt idx="59">
                  <c:v>5.4005749467812897E-3</c:v>
                </c:pt>
                <c:pt idx="60">
                  <c:v>7.3904665942868099E-3</c:v>
                </c:pt>
                <c:pt idx="61">
                  <c:v>9.9017516231587593E-3</c:v>
                </c:pt>
                <c:pt idx="62">
                  <c:v>1.3011430093894161E-2</c:v>
                </c:pt>
                <c:pt idx="63">
                  <c:v>1.6795539887758778E-2</c:v>
                </c:pt>
                <c:pt idx="64">
                  <c:v>2.1327073505814573E-2</c:v>
                </c:pt>
                <c:pt idx="65">
                  <c:v>2.6673976333741606E-2</c:v>
                </c:pt>
                <c:pt idx="66">
                  <c:v>3.2897310402425009E-2</c:v>
                </c:pt>
                <c:pt idx="67">
                  <c:v>4.0049651960344913E-2</c:v>
                </c:pt>
                <c:pt idx="68">
                  <c:v>4.8173773368636007E-2</c:v>
                </c:pt>
                <c:pt idx="69">
                  <c:v>5.7301641499784901E-2</c:v>
                </c:pt>
                <c:pt idx="70">
                  <c:v>6.7453747250562301E-2</c:v>
                </c:pt>
                <c:pt idx="71">
                  <c:v>7.8638764930707997E-2</c:v>
                </c:pt>
                <c:pt idx="72">
                  <c:v>9.085352680083017E-2</c:v>
                </c:pt>
                <c:pt idx="73">
                  <c:v>0.10408328725235981</c:v>
                </c:pt>
                <c:pt idx="74">
                  <c:v>0.11830224314806025</c:v>
                </c:pt>
                <c:pt idx="75">
                  <c:v>0.13347427157813607</c:v>
                </c:pt>
                <c:pt idx="76">
                  <c:v>0.14955384349867648</c:v>
                </c:pt>
                <c:pt idx="77">
                  <c:v>0.16648707107984942</c:v>
                </c:pt>
                <c:pt idx="78">
                  <c:v>0.18421284772698815</c:v>
                </c:pt>
                <c:pt idx="79">
                  <c:v>0.20266404226143536</c:v>
                </c:pt>
                <c:pt idx="80">
                  <c:v>0.22176871228554546</c:v>
                </c:pt>
                <c:pt idx="81">
                  <c:v>0.24145130596447512</c:v>
                </c:pt>
                <c:pt idx="82">
                  <c:v>0.26163382603571794</c:v>
                </c:pt>
                <c:pt idx="83">
                  <c:v>0.28223693455320864</c:v>
                </c:pt>
                <c:pt idx="84">
                  <c:v>0.30318098148339601</c:v>
                </c:pt>
                <c:pt idx="85">
                  <c:v>0.32438694464065881</c:v>
                </c:pt>
                <c:pt idx="86">
                  <c:v>0.34577727246742157</c:v>
                </c:pt>
                <c:pt idx="87">
                  <c:v>0.36727662475732464</c:v>
                </c:pt>
                <c:pt idx="88">
                  <c:v>0.38881250954745222</c:v>
                </c:pt>
                <c:pt idx="89">
                  <c:v>0.41031581705412329</c:v>
                </c:pt>
                <c:pt idx="90">
                  <c:v>0.43172125370334197</c:v>
                </c:pt>
                <c:pt idx="91">
                  <c:v>0.45296768103429502</c:v>
                </c:pt>
                <c:pt idx="92">
                  <c:v>0.47399836556614849</c:v>
                </c:pt>
                <c:pt idx="93">
                  <c:v>0.49476114665568849</c:v>
                </c:pt>
                <c:pt idx="94">
                  <c:v>0.51520852998077848</c:v>
                </c:pt>
                <c:pt idx="95">
                  <c:v>0.53529771460812592</c:v>
                </c:pt>
                <c:pt idx="96">
                  <c:v>0.55499056168888972</c:v>
                </c:pt>
                <c:pt idx="97">
                  <c:v>0.57425351271517755</c:v>
                </c:pt>
                <c:pt idx="98">
                  <c:v>0.59305746500464995</c:v>
                </c:pt>
                <c:pt idx="99">
                  <c:v>0.61137761169532323</c:v>
                </c:pt>
                <c:pt idx="100">
                  <c:v>0.62919325306037499</c:v>
                </c:pt>
                <c:pt idx="101">
                  <c:v>0.64648758542118367</c:v>
                </c:pt>
                <c:pt idx="102">
                  <c:v>0.66324747336959122</c:v>
                </c:pt>
                <c:pt idx="103">
                  <c:v>0.67946321042736924</c:v>
                </c:pt>
                <c:pt idx="104">
                  <c:v>0.69512827268806543</c:v>
                </c:pt>
                <c:pt idx="105">
                  <c:v>0.71023906941669468</c:v>
                </c:pt>
                <c:pt idx="106">
                  <c:v>0.72479469403600139</c:v>
                </c:pt>
                <c:pt idx="107">
                  <c:v>0.73879667841141961</c:v>
                </c:pt>
                <c:pt idx="108">
                  <c:v>0.75224875286566539</c:v>
                </c:pt>
                <c:pt idx="109">
                  <c:v>0.76515661391115408</c:v>
                </c:pt>
                <c:pt idx="110">
                  <c:v>0.77752770128598692</c:v>
                </c:pt>
                <c:pt idx="111">
                  <c:v>0.78937098551742602</c:v>
                </c:pt>
                <c:pt idx="112">
                  <c:v>0.80069676691512703</c:v>
                </c:pt>
                <c:pt idx="113">
                  <c:v>0.81151648661354492</c:v>
                </c:pt>
                <c:pt idx="114">
                  <c:v>0.82184255003703743</c:v>
                </c:pt>
                <c:pt idx="115">
                  <c:v>0.83168816294998538</c:v>
                </c:pt>
                <c:pt idx="116">
                  <c:v>0.84106718007520487</c:v>
                </c:pt>
                <c:pt idx="117">
                  <c:v>0.84999396611432187</c:v>
                </c:pt>
                <c:pt idx="118">
                  <c:v>0.85848326888093773</c:v>
                </c:pt>
                <c:pt idx="119">
                  <c:v>0.86655010415855438</c:v>
                </c:pt>
                <c:pt idx="120">
                  <c:v>0.8742096518177318</c:v>
                </c:pt>
                <c:pt idx="121">
                  <c:v>0.88147716266827392</c:v>
                </c:pt>
                <c:pt idx="122">
                  <c:v>0.88836787547997431</c:v>
                </c:pt>
                <c:pt idx="123">
                  <c:v>0.89489694357738692</c:v>
                </c:pt>
                <c:pt idx="124">
                  <c:v>0.9010793703981389</c:v>
                </c:pt>
                <c:pt idx="125">
                  <c:v>0.90692995339862359</c:v>
                </c:pt>
                <c:pt idx="126">
                  <c:v>0.91246323569377052</c:v>
                </c:pt>
                <c:pt idx="127">
                  <c:v>0.9176934648274806</c:v>
                </c:pt>
                <c:pt idx="128">
                  <c:v>0.92263455808589878</c:v>
                </c:pt>
                <c:pt idx="129">
                  <c:v>0.92730007378574109</c:v>
                </c:pt>
                <c:pt idx="130">
                  <c:v>0.93170318799339791</c:v>
                </c:pt>
                <c:pt idx="131">
                  <c:v>0.93585667615656976</c:v>
                </c:pt>
                <c:pt idx="132">
                  <c:v>0.93977289915798623</c:v>
                </c:pt>
                <c:pt idx="133">
                  <c:v>0.94346379332965269</c:v>
                </c:pt>
                <c:pt idx="134">
                  <c:v>0.94694086399550648</c:v>
                </c:pt>
                <c:pt idx="135">
                  <c:v>0.95021518213988909</c:v>
                </c:pt>
                <c:pt idx="136">
                  <c:v>0.9532973838284422</c:v>
                </c:pt>
                <c:pt idx="137">
                  <c:v>0.95619767203665429</c:v>
                </c:pt>
                <c:pt idx="138">
                  <c:v>0.95892582056903264</c:v>
                </c:pt>
                <c:pt idx="139">
                  <c:v>0.96149117977858778</c:v>
                </c:pt>
                <c:pt idx="140">
                  <c:v>0.96390268382184952</c:v>
                </c:pt>
                <c:pt idx="141">
                  <c:v>0.96616885920887996</c:v>
                </c:pt>
                <c:pt idx="142">
                  <c:v>0.96829783443065287</c:v>
                </c:pt>
                <c:pt idx="143">
                  <c:v>0.97029735046768173</c:v>
                </c:pt>
                <c:pt idx="144">
                  <c:v>0.97217477200390501</c:v>
                </c:pt>
                <c:pt idx="145">
                  <c:v>0.97393709918856686</c:v>
                </c:pt>
                <c:pt idx="146">
                  <c:v>0.97559097980620479</c:v>
                </c:pt>
                <c:pt idx="147">
                  <c:v>0.97714272173088912</c:v>
                </c:pt>
                <c:pt idx="148">
                  <c:v>0.97859830555562244</c:v>
                </c:pt>
                <c:pt idx="149">
                  <c:v>0.97996339730133319</c:v>
                </c:pt>
                <c:pt idx="150">
                  <c:v>0.98124336112225374</c:v>
                </c:pt>
                <c:pt idx="151">
                  <c:v>0.98244327193572634</c:v>
                </c:pt>
                <c:pt idx="152">
                  <c:v>0.98356792791467917</c:v>
                </c:pt>
                <c:pt idx="153">
                  <c:v>0.98462186279025199</c:v>
                </c:pt>
                <c:pt idx="154">
                  <c:v>0.98560935792035076</c:v>
                </c:pt>
                <c:pt idx="155">
                  <c:v>0.9865344540873846</c:v>
                </c:pt>
                <c:pt idx="156">
                  <c:v>0.98740096299511126</c:v>
                </c:pt>
                <c:pt idx="157">
                  <c:v>0.98821247844046878</c:v>
                </c:pt>
                <c:pt idx="158">
                  <c:v>0.98897238714155256</c:v>
                </c:pt>
                <c:pt idx="159">
                  <c:v>0.98968387920757073</c:v>
                </c:pt>
                <c:pt idx="160">
                  <c:v>0.99034995824071881</c:v>
                </c:pt>
                <c:pt idx="161">
                  <c:v>0.99097345106352019</c:v>
                </c:pt>
                <c:pt idx="162">
                  <c:v>0.99155701706830968</c:v>
                </c:pt>
                <c:pt idx="163">
                  <c:v>0.99210315718826647</c:v>
                </c:pt>
                <c:pt idx="164">
                  <c:v>0.99261422249173203</c:v>
                </c:pt>
                <c:pt idx="165">
                  <c:v>0.99309242240355455</c:v>
                </c:pt>
                <c:pt idx="166">
                  <c:v>0.99353983255889278</c:v>
                </c:pt>
                <c:pt idx="167">
                  <c:v>0.99395840229632526</c:v>
                </c:pt>
                <c:pt idx="168">
                  <c:v>0.99434996179829738</c:v>
                </c:pt>
                <c:pt idx="169">
                  <c:v>0.99471622888787914</c:v>
                </c:pt>
                <c:pt idx="170">
                  <c:v>0.99505881549158848</c:v>
                </c:pt>
                <c:pt idx="171">
                  <c:v>0.99537923377861537</c:v>
                </c:pt>
                <c:pt idx="172">
                  <c:v>0.9956789019872373</c:v>
                </c:pt>
                <c:pt idx="173">
                  <c:v>0.99595914994952484</c:v>
                </c:pt>
                <c:pt idx="174">
                  <c:v>0.99622122432564175</c:v>
                </c:pt>
                <c:pt idx="175">
                  <c:v>0.99646629355914185</c:v>
                </c:pt>
                <c:pt idx="176">
                  <c:v>0.99669545256468428</c:v>
                </c:pt>
              </c:numCache>
            </c:numRef>
          </c:xVal>
          <c:yVal>
            <c:numRef>
              <c:f>'New_cases - LNorm'!$J$8:$J$184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4.2724067353303571E-35</c:v>
                </c:pt>
                <c:pt idx="32">
                  <c:v>3.3721035896380963E-23</c:v>
                </c:pt>
                <c:pt idx="33">
                  <c:v>7.6954645796871125E-18</c:v>
                </c:pt>
                <c:pt idx="34">
                  <c:v>1.3924121871821786E-14</c:v>
                </c:pt>
                <c:pt idx="35">
                  <c:v>2.4720374606296273E-12</c:v>
                </c:pt>
                <c:pt idx="36">
                  <c:v>1.1534323636862278E-10</c:v>
                </c:pt>
                <c:pt idx="37">
                  <c:v>2.2869384857833935E-9</c:v>
                </c:pt>
                <c:pt idx="38">
                  <c:v>2.5177258040968642E-8</c:v>
                </c:pt>
                <c:pt idx="39">
                  <c:v>1.8112723282730243E-7</c:v>
                </c:pt>
                <c:pt idx="40">
                  <c:v>9.4654044508894484E-7</c:v>
                </c:pt>
                <c:pt idx="41">
                  <c:v>3.8623617464643075E-6</c:v>
                </c:pt>
                <c:pt idx="42">
                  <c:v>1.2953903609856141E-5</c:v>
                </c:pt>
                <c:pt idx="43">
                  <c:v>3.7077064041270406E-5</c:v>
                </c:pt>
                <c:pt idx="44">
                  <c:v>9.3165764769823404E-5</c:v>
                </c:pt>
                <c:pt idx="45">
                  <c:v>2.1006013352383162E-4</c:v>
                </c:pt>
                <c:pt idx="46">
                  <c:v>4.3240117412794384E-4</c:v>
                </c:pt>
                <c:pt idx="47">
                  <c:v>8.2413781384918223E-4</c:v>
                </c:pt>
                <c:pt idx="48">
                  <c:v>1.4715137880442028E-3</c:v>
                </c:pt>
                <c:pt idx="49">
                  <c:v>2.4857862561098445E-3</c:v>
                </c:pt>
                <c:pt idx="50">
                  <c:v>4.0060842364265884E-3</c:v>
                </c:pt>
                <c:pt idx="51">
                  <c:v>6.2025723313359447E-3</c:v>
                </c:pt>
                <c:pt idx="52">
                  <c:v>9.2795204801146853E-3</c:v>
                </c:pt>
                <c:pt idx="53">
                  <c:v>1.3477265449071787E-2</c:v>
                </c:pt>
                <c:pt idx="54">
                  <c:v>1.9071685992224707E-2</c:v>
                </c:pt>
                <c:pt idx="55">
                  <c:v>2.6369880185288335E-2</c:v>
                </c:pt>
                <c:pt idx="56">
                  <c:v>3.5701227047534145E-2</c:v>
                </c:pt>
                <c:pt idx="57">
                  <c:v>4.7403783380065928E-2</c:v>
                </c:pt>
                <c:pt idx="58">
                  <c:v>6.1806793174562683E-2</c:v>
                </c:pt>
                <c:pt idx="59">
                  <c:v>7.9210770198681377E-2</c:v>
                </c:pt>
                <c:pt idx="60">
                  <c:v>9.9867023259219229E-2</c:v>
                </c:pt>
                <c:pt idx="61">
                  <c:v>0.12395858298846225</c:v>
                </c:pt>
                <c:pt idx="62">
                  <c:v>0.15158428790497655</c:v>
                </c:pt>
                <c:pt idx="63">
                  <c:v>0.18274737320662646</c:v>
                </c:pt>
                <c:pt idx="64">
                  <c:v>0.21734937503963245</c:v>
                </c:pt>
                <c:pt idx="65">
                  <c:v>0.25518960886094866</c:v>
                </c:pt>
                <c:pt idx="66">
                  <c:v>0.29596997734956026</c:v>
                </c:pt>
                <c:pt idx="67">
                  <c:v>0.33930446035882744</c:v>
                </c:pt>
                <c:pt idx="68">
                  <c:v>0.38473236068689121</c:v>
                </c:pt>
                <c:pt idx="69">
                  <c:v>0.43173422785907328</c:v>
                </c:pt>
                <c:pt idx="70">
                  <c:v>0.47974934525281876</c:v>
                </c:pt>
                <c:pt idx="71">
                  <c:v>0.52819372212962545</c:v>
                </c:pt>
                <c:pt idx="72">
                  <c:v>0.57647765593084288</c:v>
                </c:pt>
                <c:pt idx="73">
                  <c:v>0.62402209611653314</c:v>
                </c:pt>
                <c:pt idx="74">
                  <c:v>0.6702732262341039</c:v>
                </c:pt>
                <c:pt idx="75">
                  <c:v>0.71471486739947421</c:v>
                </c:pt>
                <c:pt idx="76">
                  <c:v>0.75687848032257032</c:v>
                </c:pt>
                <c:pt idx="77">
                  <c:v>0.79635069538010084</c:v>
                </c:pt>
                <c:pt idx="78">
                  <c:v>0.83277842603800578</c:v>
                </c:pt>
                <c:pt idx="79">
                  <c:v>0.86587171842662369</c:v>
                </c:pt>
                <c:pt idx="80">
                  <c:v>0.89540455979108136</c:v>
                </c:pt>
                <c:pt idx="81">
                  <c:v>0.92121391326801438</c:v>
                </c:pt>
                <c:pt idx="82">
                  <c:v>0.94319726937315995</c:v>
                </c:pt>
                <c:pt idx="83">
                  <c:v>0.96130900958820031</c:v>
                </c:pt>
                <c:pt idx="84">
                  <c:v>0.97555586844138054</c:v>
                </c:pt>
                <c:pt idx="85">
                  <c:v>0.98599176120248921</c:v>
                </c:pt>
                <c:pt idx="86">
                  <c:v>0.99271221808480903</c:v>
                </c:pt>
                <c:pt idx="87">
                  <c:v>0.99584863550418756</c:v>
                </c:pt>
                <c:pt idx="88">
                  <c:v>0.99556252281016111</c:v>
                </c:pt>
                <c:pt idx="89">
                  <c:v>0.99203989079098454</c:v>
                </c:pt>
                <c:pt idx="90">
                  <c:v>0.98548589751272864</c:v>
                </c:pt>
                <c:pt idx="91">
                  <c:v>0.97611983862242535</c:v>
                </c:pt>
                <c:pt idx="92">
                  <c:v>0.96417054372188971</c:v>
                </c:pt>
                <c:pt idx="93">
                  <c:v>0.94987221811771338</c:v>
                </c:pt>
                <c:pt idx="94">
                  <c:v>0.93346075027082187</c:v>
                </c:pt>
                <c:pt idx="95">
                  <c:v>0.91517048953912572</c:v>
                </c:pt>
                <c:pt idx="96">
                  <c:v>0.89523148614643344</c:v>
                </c:pt>
                <c:pt idx="97">
                  <c:v>0.87386717546075954</c:v>
                </c:pt>
                <c:pt idx="98">
                  <c:v>0.85129248132199098</c:v>
                </c:pt>
                <c:pt idx="99">
                  <c:v>0.82771230799927487</c:v>
                </c:pt>
                <c:pt idx="100">
                  <c:v>0.80332038705880038</c:v>
                </c:pt>
                <c:pt idx="101">
                  <c:v>0.77829844367110401</c:v>
                </c:pt>
                <c:pt idx="102">
                  <c:v>0.7528156463942528</c:v>
                </c:pt>
                <c:pt idx="103">
                  <c:v>0.72702830497220083</c:v>
                </c:pt>
                <c:pt idx="104">
                  <c:v>0.70107978195409415</c:v>
                </c:pt>
                <c:pt idx="105">
                  <c:v>0.67510058576813625</c:v>
                </c:pt>
                <c:pt idx="106">
                  <c:v>0.64920861510152628</c:v>
                </c:pt>
                <c:pt idx="107">
                  <c:v>0.62350952690254202</c:v>
                </c:pt>
                <c:pt idx="108">
                  <c:v>0.59809720291530111</c:v>
                </c:pt>
                <c:pt idx="109">
                  <c:v>0.57305429228838356</c:v>
                </c:pt>
                <c:pt idx="110">
                  <c:v>0.54845281039263027</c:v>
                </c:pt>
                <c:pt idx="111">
                  <c:v>0.52435477648594087</c:v>
                </c:pt>
                <c:pt idx="112">
                  <c:v>0.50081287523387485</c:v>
                </c:pt>
                <c:pt idx="113">
                  <c:v>0.47787112930708975</c:v>
                </c:pt>
                <c:pt idx="114">
                  <c:v>0.45556557231312778</c:v>
                </c:pt>
                <c:pt idx="115">
                  <c:v>0.43392491317227438</c:v>
                </c:pt>
                <c:pt idx="116">
                  <c:v>0.41297118471300487</c:v>
                </c:pt>
                <c:pt idx="117">
                  <c:v>0.39272037074499433</c:v>
                </c:pt>
                <c:pt idx="118">
                  <c:v>0.37318300717346309</c:v>
                </c:pt>
                <c:pt idx="119">
                  <c:v>0.35436475385719579</c:v>
                </c:pt>
                <c:pt idx="120">
                  <c:v>0.33626693489509996</c:v>
                </c:pt>
                <c:pt idx="121">
                  <c:v>0.31888704586496214</c:v>
                </c:pt>
                <c:pt idx="122">
                  <c:v>0.30221922724591965</c:v>
                </c:pt>
                <c:pt idx="123">
                  <c:v>0.28625470384591456</c:v>
                </c:pt>
                <c:pt idx="124">
                  <c:v>0.27098219053977801</c:v>
                </c:pt>
                <c:pt idx="125">
                  <c:v>0.25638826501462009</c:v>
                </c:pt>
                <c:pt idx="126">
                  <c:v>0.24245770852841705</c:v>
                </c:pt>
                <c:pt idx="127">
                  <c:v>0.22917381592571864</c:v>
                </c:pt>
                <c:pt idx="128">
                  <c:v>0.21651867633116748</c:v>
                </c:pt>
                <c:pt idx="129">
                  <c:v>0.20447342606586688</c:v>
                </c:pt>
                <c:pt idx="130">
                  <c:v>0.19301847541177791</c:v>
                </c:pt>
                <c:pt idx="131">
                  <c:v>0.18213371089244126</c:v>
                </c:pt>
                <c:pt idx="132">
                  <c:v>0.17179867475081237</c:v>
                </c:pt>
                <c:pt idx="133">
                  <c:v>0.16199272329260564</c:v>
                </c:pt>
                <c:pt idx="134">
                  <c:v>0.15269516573112449</c:v>
                </c:pt>
                <c:pt idx="135">
                  <c:v>0.14388538512144947</c:v>
                </c:pt>
                <c:pt idx="136">
                  <c:v>0.13554294291171606</c:v>
                </c:pt>
                <c:pt idx="137">
                  <c:v>0.12764766857023346</c:v>
                </c:pt>
                <c:pt idx="138">
                  <c:v>0.12017973567195581</c:v>
                </c:pt>
                <c:pt idx="139">
                  <c:v>0.1131197257486399</c:v>
                </c:pt>
                <c:pt idx="140">
                  <c:v>0.10644868112569772</c:v>
                </c:pt>
                <c:pt idx="141">
                  <c:v>0.10014814788681134</c:v>
                </c:pt>
                <c:pt idx="142">
                  <c:v>9.4200210026055123E-2</c:v>
                </c:pt>
                <c:pt idx="143">
                  <c:v>8.8587515767558231E-2</c:v>
                </c:pt>
                <c:pt idx="144">
                  <c:v>8.3293296955350232E-2</c:v>
                </c:pt>
                <c:pt idx="145">
                  <c:v>7.8301382341614476E-2</c:v>
                </c:pt>
                <c:pt idx="146">
                  <c:v>7.3596205530481587E-2</c:v>
                </c:pt>
                <c:pt idx="147">
                  <c:v>6.9162808267081738E-2</c:v>
                </c:pt>
                <c:pt idx="148">
                  <c:v>6.4986839697965884E-2</c:v>
                </c:pt>
                <c:pt idx="149">
                  <c:v>6.1054552169367338E-2</c:v>
                </c:pt>
                <c:pt idx="150">
                  <c:v>5.7352794074050591E-2</c:v>
                </c:pt>
                <c:pt idx="151">
                  <c:v>5.3869000205711746E-2</c:v>
                </c:pt>
                <c:pt idx="152">
                  <c:v>5.059118003195074E-2</c:v>
                </c:pt>
                <c:pt idx="153">
                  <c:v>4.7507904252592201E-2</c:v>
                </c:pt>
                <c:pt idx="154">
                  <c:v>4.4608289969480595E-2</c:v>
                </c:pt>
                <c:pt idx="155">
                  <c:v>4.1881984756626023E-2</c:v>
                </c:pt>
                <c:pt idx="156">
                  <c:v>3.9319149885566056E-2</c:v>
                </c:pt>
                <c:pt idx="157">
                  <c:v>3.6910442929847465E-2</c:v>
                </c:pt>
                <c:pt idx="158">
                  <c:v>3.464699994442591E-2</c:v>
                </c:pt>
                <c:pt idx="159">
                  <c:v>3.252041739035675E-2</c:v>
                </c:pt>
                <c:pt idx="160">
                  <c:v>3.052273395219764E-2</c:v>
                </c:pt>
                <c:pt idx="161">
                  <c:v>2.8646412374905256E-2</c:v>
                </c:pt>
                <c:pt idx="162">
                  <c:v>2.688432142848414E-2</c:v>
                </c:pt>
                <c:pt idx="163">
                  <c:v>2.5229718092082628E-2</c:v>
                </c:pt>
                <c:pt idx="164">
                  <c:v>2.3676230034457332E-2</c:v>
                </c:pt>
                <c:pt idx="165">
                  <c:v>2.2217838454596187E-2</c:v>
                </c:pt>
                <c:pt idx="166">
                  <c:v>2.0848861334653405E-2</c:v>
                </c:pt>
                <c:pt idx="167">
                  <c:v>1.9563937147070991E-2</c:v>
                </c:pt>
                <c:pt idx="168">
                  <c:v>1.8358009048719738E-2</c:v>
                </c:pt>
                <c:pt idx="169">
                  <c:v>1.7226309586962731E-2</c:v>
                </c:pt>
                <c:pt idx="170">
                  <c:v>1.6164345935626143E-2</c:v>
                </c:pt>
                <c:pt idx="171">
                  <c:v>1.5167885672846841E-2</c:v>
                </c:pt>
                <c:pt idx="172">
                  <c:v>1.4232943107566846E-2</c:v>
                </c:pt>
                <c:pt idx="173">
                  <c:v>1.3355766156973967E-2</c:v>
                </c:pt>
                <c:pt idx="174">
                  <c:v>1.2532823773367846E-2</c:v>
                </c:pt>
                <c:pt idx="175">
                  <c:v>1.1760793915692647E-2</c:v>
                </c:pt>
                <c:pt idx="176">
                  <c:v>1.1036552058253348E-2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65CF-4F43-9B34-9E22C4FEB052}"/>
            </c:ext>
          </c:extLst>
        </c:ser>
        <c:ser>
          <c:idx val="1"/>
          <c:order val="2"/>
          <c:tx>
            <c:strRef>
              <c:f>'New_cases - LNorm'!$B$6</c:f>
              <c:strCache>
                <c:ptCount val="1"/>
                <c:pt idx="0">
                  <c:v>29/04/2020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xVal>
            <c:numRef>
              <c:f>'New_cases - LNorm'!$H$6</c:f>
              <c:numCache>
                <c:formatCode>General</c:formatCode>
                <c:ptCount val="1"/>
                <c:pt idx="0">
                  <c:v>0.86655010415855438</c:v>
                </c:pt>
              </c:numCache>
            </c:numRef>
          </c:xVal>
          <c:yVal>
            <c:numRef>
              <c:f>'New_cases - LNorm'!$I$6</c:f>
              <c:numCache>
                <c:formatCode>General</c:formatCode>
                <c:ptCount val="1"/>
                <c:pt idx="0">
                  <c:v>0.36495352393204256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65CF-4F43-9B34-9E22C4FEB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191312"/>
        <c:axId val="976191632"/>
      </c:scatterChart>
      <c:valAx>
        <c:axId val="976191312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</a:t>
                </a:r>
                <a:r>
                  <a:rPr lang="it-IT" baseline="0"/>
                  <a:t> number of cases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632"/>
        <c:crosses val="autoZero"/>
        <c:crossBetween val="midCat"/>
      </c:valAx>
      <c:valAx>
        <c:axId val="97619163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New cases per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Lombardy</a:t>
            </a:r>
            <a:r>
              <a:rPr lang="en-US" baseline="0"/>
              <a:t> - </a:t>
            </a:r>
            <a:r>
              <a:rPr lang="en-US"/>
              <a:t>New</a:t>
            </a:r>
            <a:r>
              <a:rPr lang="en-US" baseline="0"/>
              <a:t> vs Accumulative cases - Phase space trajectory - Lognormal normalized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9"/>
          <c:order val="0"/>
          <c:tx>
            <c:strRef>
              <c:f>'New_cases - LNorm'!$W$7</c:f>
              <c:strCache>
                <c:ptCount val="1"/>
                <c:pt idx="0">
                  <c:v>Lombardy fit (Norm.)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LNorm'!$U$8:$U$184</c:f>
              <c:numCache>
                <c:formatCode>0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5.1729510898877396E-38</c:v>
                </c:pt>
                <c:pt idx="32">
                  <c:v>1.1474710704863941E-25</c:v>
                </c:pt>
                <c:pt idx="33">
                  <c:v>4.6686177873608025E-20</c:v>
                </c:pt>
                <c:pt idx="34">
                  <c:v>1.2721300272521045E-16</c:v>
                </c:pt>
                <c:pt idx="35">
                  <c:v>3.1106593121102147E-14</c:v>
                </c:pt>
                <c:pt idx="36">
                  <c:v>1.8911249153795285E-12</c:v>
                </c:pt>
                <c:pt idx="37">
                  <c:v>4.7037786451666155E-11</c:v>
                </c:pt>
                <c:pt idx="38">
                  <c:v>6.3196191525916934E-10</c:v>
                </c:pt>
                <c:pt idx="39">
                  <c:v>5.4331656225899009E-9</c:v>
                </c:pt>
                <c:pt idx="40">
                  <c:v>3.3376453913896467E-8</c:v>
                </c:pt>
                <c:pt idx="41">
                  <c:v>1.5798478170240956E-7</c:v>
                </c:pt>
                <c:pt idx="42">
                  <c:v>6.079573788163007E-7</c:v>
                </c:pt>
                <c:pt idx="43">
                  <c:v>1.978368440754093E-6</c:v>
                </c:pt>
                <c:pt idx="44">
                  <c:v>5.6077785352009989E-6</c:v>
                </c:pt>
                <c:pt idx="45">
                  <c:v>1.4165569669443461E-5</c:v>
                </c:pt>
                <c:pt idx="46">
                  <c:v>3.2464518642524143E-5</c:v>
                </c:pt>
                <c:pt idx="47">
                  <c:v>6.8471569921306846E-5</c:v>
                </c:pt>
                <c:pt idx="48">
                  <c:v>1.3444515315462133E-4</c:v>
                </c:pt>
                <c:pt idx="49">
                  <c:v>2.4809110493359912E-4</c:v>
                </c:pt>
                <c:pt idx="50">
                  <c:v>4.3360941451000542E-4</c:v>
                </c:pt>
                <c:pt idx="51">
                  <c:v>7.2250412340279645E-4</c:v>
                </c:pt>
                <c:pt idx="52">
                  <c:v>1.1540476125236317E-3</c:v>
                </c:pt>
                <c:pt idx="53">
                  <c:v>1.7753235845442768E-3</c:v>
                </c:pt>
                <c:pt idx="54" formatCode="General">
                  <c:v>2.640813911732689E-3</c:v>
                </c:pt>
                <c:pt idx="55" formatCode="General">
                  <c:v>3.8115366463837958E-3</c:v>
                </c:pt>
                <c:pt idx="56" formatCode="General">
                  <c:v>5.3537803948915507E-3</c:v>
                </c:pt>
                <c:pt idx="57" formatCode="General">
                  <c:v>7.337510122333633E-3</c:v>
                </c:pt>
                <c:pt idx="58" formatCode="General">
                  <c:v>9.8345392918355121E-3</c:v>
                </c:pt>
                <c:pt idx="59" formatCode="General">
                  <c:v>1.2916572695127186E-2</c:v>
                </c:pt>
                <c:pt idx="60" formatCode="General">
                  <c:v>1.6653224292438172E-2</c:v>
                </c:pt>
                <c:pt idx="61" formatCode="General">
                  <c:v>2.1110106554278668E-2</c:v>
                </c:pt>
                <c:pt idx="62" formatCode="General">
                  <c:v>2.6347074280811521E-2</c:v>
                </c:pt>
                <c:pt idx="63" formatCode="General">
                  <c:v>3.2416688818869381E-2</c:v>
                </c:pt>
                <c:pt idx="64" formatCode="General">
                  <c:v>3.9362949971779082E-2</c:v>
                </c:pt>
                <c:pt idx="65" formatCode="General">
                  <c:v>4.7220324345221783E-2</c:v>
                </c:pt>
                <c:pt idx="66" formatCode="General">
                  <c:v>5.6013081643629344E-2</c:v>
                </c:pt>
                <c:pt idx="67" formatCode="General">
                  <c:v>6.5754935379803023E-2</c:v>
                </c:pt>
                <c:pt idx="68" formatCode="General">
                  <c:v>7.6448972078266828E-2</c:v>
                </c:pt>
                <c:pt idx="69" formatCode="General">
                  <c:v>8.8087843530300636E-2</c:v>
                </c:pt>
                <c:pt idx="70" formatCode="General">
                  <c:v>0.10065418995032674</c:v>
                </c:pt>
                <c:pt idx="71" formatCode="General">
                  <c:v>0.11412125777568694</c:v>
                </c:pt>
                <c:pt idx="72" formatCode="General">
                  <c:v>0.12845367402347885</c:v>
                </c:pt>
                <c:pt idx="73" formatCode="General">
                  <c:v>0.14360833919058671</c:v>
                </c:pt>
                <c:pt idx="74" formatCode="General">
                  <c:v>0.15953540226094065</c:v>
                </c:pt>
                <c:pt idx="75" formatCode="General">
                  <c:v>0.17617928408417319</c:v>
                </c:pt>
                <c:pt idx="76" formatCode="General">
                  <c:v>0.1934797188611834</c:v>
                </c:pt>
                <c:pt idx="77" formatCode="General">
                  <c:v>0.21137278740765325</c:v>
                </c:pt>
                <c:pt idx="78" formatCode="General">
                  <c:v>0.22979192000889478</c:v>
                </c:pt>
                <c:pt idx="79" formatCode="General">
                  <c:v>0.24866885082173842</c:v>
                </c:pt>
                <c:pt idx="80" formatCode="General">
                  <c:v>0.26793450976282523</c:v>
                </c:pt>
                <c:pt idx="81" formatCode="General">
                  <c:v>0.28751984153279075</c:v>
                </c:pt>
                <c:pt idx="82" formatCode="General">
                  <c:v>0.30735654478546393</c:v>
                </c:pt>
                <c:pt idx="83" formatCode="General">
                  <c:v>0.32737772741556326</c:v>
                </c:pt>
                <c:pt idx="84" formatCode="General">
                  <c:v>0.34751847648830858</c:v>
                </c:pt>
                <c:pt idx="85" formatCode="General">
                  <c:v>0.36771634347108939</c:v>
                </c:pt>
                <c:pt idx="86" formatCode="General">
                  <c:v>0.38791174716698107</c:v>
                </c:pt>
                <c:pt idx="87" formatCode="General">
                  <c:v>0.40804829811930488</c:v>
                </c:pt>
                <c:pt idx="88" formatCode="General">
                  <c:v>0.42807304928924622</c:v>
                </c:pt>
                <c:pt idx="89" formatCode="General">
                  <c:v>0.44793667854236757</c:v>
                </c:pt>
                <c:pt idx="90" formatCode="General">
                  <c:v>0.46759360895372309</c:v>
                </c:pt>
                <c:pt idx="91" formatCode="General">
                  <c:v>0.4870020731938961</c:v>
                </c:pt>
                <c:pt idx="92" formatCode="General">
                  <c:v>0.50612412832679954</c:v>
                </c:pt>
                <c:pt idx="93" formatCode="General">
                  <c:v>0.52492562726893632</c:v>
                </c:pt>
                <c:pt idx="94" formatCode="General">
                  <c:v>0.54337615296055775</c:v>
                </c:pt>
                <c:pt idx="95" formatCode="General">
                  <c:v>0.56144892100971022</c:v>
                </c:pt>
                <c:pt idx="96" formatCode="General">
                  <c:v>0.5791206562150053</c:v>
                </c:pt>
                <c:pt idx="97" formatCode="General">
                  <c:v>0.59637144797323849</c:v>
                </c:pt>
                <c:pt idx="98" formatCode="General">
                  <c:v>0.61318458915123419</c:v>
                </c:pt>
                <c:pt idx="99" formatCode="General">
                  <c:v>0.62954640256241567</c:v>
                </c:pt>
                <c:pt idx="100" formatCode="General">
                  <c:v>0.64544605874924277</c:v>
                </c:pt>
                <c:pt idx="101" formatCode="General">
                  <c:v>0.66087538834236215</c:v>
                </c:pt>
                <c:pt idx="102" formatCode="General">
                  <c:v>0.67582869185322869</c:v>
                </c:pt>
                <c:pt idx="103" formatCode="General">
                  <c:v>0.69030254936438507</c:v>
                </c:pt>
                <c:pt idx="104" formatCode="General">
                  <c:v>0.70429563221428926</c:v>
                </c:pt>
                <c:pt idx="105" formatCode="General">
                  <c:v>0.71780851843393678</c:v>
                </c:pt>
                <c:pt idx="106" formatCode="General">
                  <c:v>0.73084351338176712</c:v>
                </c:pt>
                <c:pt idx="107" formatCode="General">
                  <c:v>0.74340447674199717</c:v>
                </c:pt>
                <c:pt idx="108" formatCode="General">
                  <c:v>0.75549665679907174</c:v>
                </c:pt>
                <c:pt idx="109" formatCode="General">
                  <c:v>0.76712653267676434</c:v>
                </c:pt>
                <c:pt idx="110" formatCode="General">
                  <c:v>0.77830166503314158</c:v>
                </c:pt>
                <c:pt idx="111" formatCode="General">
                  <c:v>0.78903055553071222</c:v>
                </c:pt>
                <c:pt idx="112" formatCode="General">
                  <c:v>0.79932251525281373</c:v>
                </c:pt>
                <c:pt idx="113" formatCode="General">
                  <c:v>0.80918754211088528</c:v>
                </c:pt>
                <c:pt idx="114" formatCode="General">
                  <c:v>0.81863620718075603</c:v>
                </c:pt>
                <c:pt idx="115" formatCode="General">
                  <c:v>0.82767954981763581</c:v>
                </c:pt>
                <c:pt idx="116" formatCode="General">
                  <c:v>0.83632898132725264</c:v>
                </c:pt>
                <c:pt idx="117" formatCode="General">
                  <c:v>0.84459619691275811</c:v>
                </c:pt>
                <c:pt idx="118" formatCode="General">
                  <c:v>0.8524930955719644</c:v>
                </c:pt>
                <c:pt idx="119" formatCode="General">
                  <c:v>0.86003170758556091</c:v>
                </c:pt>
                <c:pt idx="120" formatCode="General">
                  <c:v>0.86722412921279135</c:v>
                </c:pt>
                <c:pt idx="121" formatCode="General">
                  <c:v>0.87408246419521951</c:v>
                </c:pt>
                <c:pt idx="122" formatCode="General">
                  <c:v>0.88061877166051827</c:v>
                </c:pt>
                <c:pt idx="123" formatCode="General">
                  <c:v>0.88684502001554188</c:v>
                </c:pt>
                <c:pt idx="124" formatCode="General">
                  <c:v>0.89277304642029032</c:v>
                </c:pt>
                <c:pt idx="125" formatCode="General">
                  <c:v>0.89841452144086464</c:v>
                </c:pt>
                <c:pt idx="126" formatCode="General">
                  <c:v>0.90378091848934361</c:v>
                </c:pt>
                <c:pt idx="127" formatCode="General">
                  <c:v>0.90888348767102822</c:v>
                </c:pt>
                <c:pt idx="128" formatCode="General">
                  <c:v>0.91373323367404746</c:v>
                </c:pt>
                <c:pt idx="129" formatCode="General">
                  <c:v>0.91834089735242452</c:v>
                </c:pt>
                <c:pt idx="130" formatCode="General">
                  <c:v>0.92271694067087051</c:v>
                </c:pt>
                <c:pt idx="131" formatCode="General">
                  <c:v>0.92687153469747574</c:v>
                </c:pt>
                <c:pt idx="132" formatCode="General">
                  <c:v>0.93081455034870142</c:v>
                </c:pt>
                <c:pt idx="133" formatCode="General">
                  <c:v>0.93455555160947101</c:v>
                </c:pt>
                <c:pt idx="134" formatCode="General">
                  <c:v>0.93810379096939145</c:v>
                </c:pt>
                <c:pt idx="135" formatCode="General">
                  <c:v>0.9414682068340875</c:v>
                </c:pt>
                <c:pt idx="136" formatCode="General">
                  <c:v>0.94465742268813679</c:v>
                </c:pt>
                <c:pt idx="137" formatCode="General">
                  <c:v>0.947679747803022</c:v>
                </c:pt>
                <c:pt idx="138" formatCode="General">
                  <c:v>0.95054317929980903</c:v>
                </c:pt>
                <c:pt idx="139" formatCode="General">
                  <c:v>0.95325540539181663</c:v>
                </c:pt>
                <c:pt idx="140" formatCode="General">
                  <c:v>0.95582380964735325</c:v>
                </c:pt>
                <c:pt idx="141" formatCode="General">
                  <c:v>0.95825547612659856</c:v>
                </c:pt>
                <c:pt idx="142" formatCode="General">
                  <c:v>0.96055719525992267</c:v>
                </c:pt>
                <c:pt idx="143" formatCode="General">
                  <c:v>0.96273547034732121</c:v>
                </c:pt>
                <c:pt idx="144" formatCode="General">
                  <c:v>0.96479652457024312</c:v>
                </c:pt>
                <c:pt idx="145" formatCode="General">
                  <c:v>0.96674630841789244</c:v>
                </c:pt>
                <c:pt idx="146" formatCode="General">
                  <c:v>0.96859050744012232</c:v>
                </c:pt>
                <c:pt idx="147" formatCode="General">
                  <c:v>0.97033455024833992</c:v>
                </c:pt>
                <c:pt idx="148" formatCode="General">
                  <c:v>0.97198361669442745</c:v>
                </c:pt>
                <c:pt idx="149" formatCode="General">
                  <c:v>0.97354264616558306</c:v>
                </c:pt>
                <c:pt idx="150" formatCode="General">
                  <c:v>0.97501634594025732</c:v>
                </c:pt>
                <c:pt idx="151" formatCode="General">
                  <c:v>0.97640919955699612</c:v>
                </c:pt>
                <c:pt idx="152" formatCode="General">
                  <c:v>0.97772547515408181</c:v>
                </c:pt>
                <c:pt idx="153" formatCode="General">
                  <c:v>0.97896923374339018</c:v>
                </c:pt>
                <c:pt idx="154" formatCode="General">
                  <c:v>0.98014433738690598</c:v>
                </c:pt>
                <c:pt idx="155" formatCode="General">
                  <c:v>0.98125445724889315</c:v>
                </c:pt>
                <c:pt idx="156" formatCode="General">
                  <c:v>0.98230308150082557</c:v>
                </c:pt>
                <c:pt idx="157" formatCode="General">
                  <c:v>0.98329352305989459</c:v>
                </c:pt>
                <c:pt idx="158" formatCode="General">
                  <c:v>0.98422892714523302</c:v>
                </c:pt>
                <c:pt idx="159" formatCode="General">
                  <c:v>0.98511227863898299</c:v>
                </c:pt>
                <c:pt idx="160" formatCode="General">
                  <c:v>0.98594640924199439</c:v>
                </c:pt>
                <c:pt idx="161" formatCode="General">
                  <c:v>0.98673400441630843</c:v>
                </c:pt>
                <c:pt idx="162" formatCode="General">
                  <c:v>0.98747761010868829</c:v>
                </c:pt>
                <c:pt idx="163" formatCode="General">
                  <c:v>0.98817963925130392</c:v>
                </c:pt>
                <c:pt idx="164" formatCode="General">
                  <c:v>0.988842378037322</c:v>
                </c:pt>
                <c:pt idx="165" formatCode="General">
                  <c:v>0.98946799197057111</c:v>
                </c:pt>
                <c:pt idx="166" formatCode="General">
                  <c:v>0.99005853168970093</c:v>
                </c:pt>
                <c:pt idx="167" formatCode="General">
                  <c:v>0.99061593856833174</c:v>
                </c:pt>
                <c:pt idx="168" formatCode="General">
                  <c:v>0.99114205009361345</c:v>
                </c:pt>
                <c:pt idx="169" formatCode="General">
                  <c:v>0.99163860502641099</c:v>
                </c:pt>
                <c:pt idx="170" formatCode="General">
                  <c:v>0.99210724834699071</c:v>
                </c:pt>
                <c:pt idx="171" formatCode="General">
                  <c:v>0.99254953599065232</c:v>
                </c:pt>
                <c:pt idx="172" formatCode="General">
                  <c:v>0.99296693937820713</c:v>
                </c:pt>
                <c:pt idx="173" formatCode="General">
                  <c:v>0.99336084974657102</c:v>
                </c:pt>
                <c:pt idx="174" formatCode="General">
                  <c:v>0.9937325822850529</c:v>
                </c:pt>
                <c:pt idx="175" formatCode="General">
                  <c:v>0.99408338008312669</c:v>
                </c:pt>
                <c:pt idx="176" formatCode="General">
                  <c:v>0.99441441789566143</c:v>
                </c:pt>
              </c:numCache>
            </c:numRef>
          </c:xVal>
          <c:yVal>
            <c:numRef>
              <c:f>'New_cases - LNorm'!$W$8:$W$184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1.2484848886770623E-34</c:v>
                </c:pt>
                <c:pt idx="32">
                  <c:v>9.8539784143264793E-23</c:v>
                </c:pt>
                <c:pt idx="33">
                  <c:v>2.2487726085718856E-17</c:v>
                </c:pt>
                <c:pt idx="34">
                  <c:v>4.0689140388510025E-14</c:v>
                </c:pt>
                <c:pt idx="35">
                  <c:v>7.2238005532520164E-12</c:v>
                </c:pt>
                <c:pt idx="36">
                  <c:v>3.3705659722539776E-10</c:v>
                </c:pt>
                <c:pt idx="37">
                  <c:v>6.6829033790805378E-9</c:v>
                </c:pt>
                <c:pt idx="38">
                  <c:v>7.3573112649916895E-8</c:v>
                </c:pt>
                <c:pt idx="39">
                  <c:v>5.2929092926188933E-7</c:v>
                </c:pt>
                <c:pt idx="40">
                  <c:v>2.7659853458014782E-6</c:v>
                </c:pt>
                <c:pt idx="41">
                  <c:v>1.1286613131793827E-5</c:v>
                </c:pt>
                <c:pt idx="42">
                  <c:v>3.7853940268851547E-5</c:v>
                </c:pt>
                <c:pt idx="43">
                  <c:v>1.0834586346691974E-4</c:v>
                </c:pt>
                <c:pt idx="44">
                  <c:v>2.722326247426205E-4</c:v>
                </c:pt>
                <c:pt idx="45">
                  <c:v>6.1366071030839481E-4</c:v>
                </c:pt>
                <c:pt idx="46">
                  <c:v>1.2623069554703235E-3</c:v>
                </c:pt>
                <c:pt idx="47">
                  <c:v>2.401764543382074E-3</c:v>
                </c:pt>
                <c:pt idx="48">
                  <c:v>4.2733760253569715E-3</c:v>
                </c:pt>
                <c:pt idx="49">
                  <c:v>7.1740751960957675E-3</c:v>
                </c:pt>
                <c:pt idx="50">
                  <c:v>1.1447741138204837E-2</c:v>
                </c:pt>
                <c:pt idx="51">
                  <c:v>1.7470561412565856E-2</c:v>
                </c:pt>
                <c:pt idx="52">
                  <c:v>2.5631738867097312E-2</c:v>
                </c:pt>
                <c:pt idx="53">
                  <c:v>3.6311427207125213E-2</c:v>
                </c:pt>
                <c:pt idx="54">
                  <c:v>4.9857999906161077E-2</c:v>
                </c:pt>
                <c:pt idx="55">
                  <c:v>6.65666717663395E-2</c:v>
                </c:pt>
                <c:pt idx="56">
                  <c:v>8.6661173922984766E-2</c:v>
                </c:pt>
                <c:pt idx="57">
                  <c:v>0.11027972133834184</c:v>
                </c:pt>
                <c:pt idx="58">
                  <c:v>0.13746599460582204</c:v>
                </c:pt>
                <c:pt idx="59">
                  <c:v>0.16816535756138568</c:v>
                </c:pt>
                <c:pt idx="60">
                  <c:v>0.20222609981347636</c:v>
                </c:pt>
                <c:pt idx="61">
                  <c:v>0.23940515808144194</c:v>
                </c:pt>
                <c:pt idx="62">
                  <c:v>0.27937754252393154</c:v>
                </c:pt>
                <c:pt idx="63">
                  <c:v>0.32174857009286417</c:v>
                </c:pt>
                <c:pt idx="64">
                  <c:v>0.36606797300629362</c:v>
                </c:pt>
                <c:pt idx="65">
                  <c:v>0.41184498831487776</c:v>
                </c:pt>
                <c:pt idx="66">
                  <c:v>0.45856362432066533</c:v>
                </c:pt>
                <c:pt idx="67">
                  <c:v>0.50569742229547543</c:v>
                </c:pt>
                <c:pt idx="68">
                  <c:v>0.55272317099048163</c:v>
                </c:pt>
                <c:pt idx="69">
                  <c:v>0.599133173484931</c:v>
                </c:pt>
                <c:pt idx="70">
                  <c:v>0.64444580103709381</c:v>
                </c:pt>
                <c:pt idx="71">
                  <c:v>0.68821419001391582</c:v>
                </c:pt>
                <c:pt idx="72">
                  <c:v>0.73003304169839311</c:v>
                </c:pt>
                <c:pt idx="73">
                  <c:v>0.76954356906360222</c:v>
                </c:pt>
                <c:pt idx="74">
                  <c:v>0.80643669942533025</c:v>
                </c:pt>
                <c:pt idx="75">
                  <c:v>0.84045468841233317</c:v>
                </c:pt>
                <c:pt idx="76">
                  <c:v>0.8713913308673531</c:v>
                </c:pt>
                <c:pt idx="77">
                  <c:v>0.89909097047587938</c:v>
                </c:pt>
                <c:pt idx="78">
                  <c:v>0.92344651462497263</c:v>
                </c:pt>
                <c:pt idx="79">
                  <c:v>0.94439665668674477</c:v>
                </c:pt>
                <c:pt idx="80">
                  <c:v>0.96192249688720433</c:v>
                </c:pt>
                <c:pt idx="81">
                  <c:v>0.97604373719145676</c:v>
                </c:pt>
                <c:pt idx="82">
                  <c:v>0.98681460694436962</c:v>
                </c:pt>
                <c:pt idx="83">
                  <c:v>0.99431965578069259</c:v>
                </c:pt>
                <c:pt idx="84">
                  <c:v>0.99866952969540956</c:v>
                </c:pt>
                <c:pt idx="85">
                  <c:v>0.99999682600981332</c:v>
                </c:pt>
                <c:pt idx="86">
                  <c:v>0.99845210391077921</c:v>
                </c:pt>
                <c:pt idx="87">
                  <c:v>0.99420010970712158</c:v>
                </c:pt>
                <c:pt idx="88">
                  <c:v>0.98741626019876394</c:v>
                </c:pt>
                <c:pt idx="89">
                  <c:v>0.97828341371910621</c:v>
                </c:pt>
                <c:pt idx="90">
                  <c:v>0.96698894651300582</c:v>
                </c:pt>
                <c:pt idx="91">
                  <c:v>0.95372214209986883</c:v>
                </c:pt>
                <c:pt idx="92">
                  <c:v>0.9386718930368142</c:v>
                </c:pt>
                <c:pt idx="93">
                  <c:v>0.92202470789824931</c:v>
                </c:pt>
                <c:pt idx="94">
                  <c:v>0.90396301116179345</c:v>
                </c:pt>
                <c:pt idx="95">
                  <c:v>0.88466371986332581</c:v>
                </c:pt>
                <c:pt idx="96">
                  <c:v>0.86429707818221002</c:v>
                </c:pt>
                <c:pt idx="97">
                  <c:v>0.843025729373299</c:v>
                </c:pt>
                <c:pt idx="98">
                  <c:v>0.82100400351732106</c:v>
                </c:pt>
                <c:pt idx="99">
                  <c:v>0.79837739927031059</c:v>
                </c:pt>
                <c:pt idx="100">
                  <c:v>0.7752822380255473</c:v>
                </c:pt>
                <c:pt idx="101">
                  <c:v>0.75184546954230158</c:v>
                </c:pt>
                <c:pt idx="102">
                  <c:v>0.72818460904410265</c:v>
                </c:pt>
                <c:pt idx="103">
                  <c:v>0.70440778695933515</c:v>
                </c:pt>
                <c:pt idx="104">
                  <c:v>0.68061389379604398</c:v>
                </c:pt>
                <c:pt idx="105">
                  <c:v>0.65689280405087114</c:v>
                </c:pt>
                <c:pt idx="106">
                  <c:v>0.63332566450003491</c:v>
                </c:pt>
                <c:pt idx="107">
                  <c:v>0.60998523366895918</c:v>
                </c:pt>
                <c:pt idx="108">
                  <c:v>0.58693626069623295</c:v>
                </c:pt>
                <c:pt idx="109">
                  <c:v>0.56423589317357126</c:v>
                </c:pt>
                <c:pt idx="110">
                  <c:v>0.54193410483970605</c:v>
                </c:pt>
                <c:pt idx="111">
                  <c:v>0.5200741352208772</c:v>
                </c:pt>
                <c:pt idx="112">
                  <c:v>0.49869293443655227</c:v>
                </c:pt>
                <c:pt idx="113">
                  <c:v>0.47782160742223873</c:v>
                </c:pt>
                <c:pt idx="114">
                  <c:v>0.4574858527609082</c:v>
                </c:pt>
                <c:pt idx="115">
                  <c:v>0.43770639216159918</c:v>
                </c:pt>
                <c:pt idx="116">
                  <c:v>0.41849938738116504</c:v>
                </c:pt>
                <c:pt idx="117">
                  <c:v>0.39987684205681695</c:v>
                </c:pt>
                <c:pt idx="118">
                  <c:v>0.38184698650803595</c:v>
                </c:pt>
                <c:pt idx="119">
                  <c:v>0.36441464408204455</c:v>
                </c:pt>
                <c:pt idx="120">
                  <c:v>0.34758157806303758</c:v>
                </c:pt>
                <c:pt idx="121">
                  <c:v>0.33134681854776321</c:v>
                </c:pt>
                <c:pt idx="122">
                  <c:v>0.31570696901464751</c:v>
                </c:pt>
                <c:pt idx="123">
                  <c:v>0.30065649258610833</c:v>
                </c:pt>
                <c:pt idx="124">
                  <c:v>0.28618797820965974</c:v>
                </c:pt>
                <c:pt idx="125">
                  <c:v>0.27229238716793436</c:v>
                </c:pt>
                <c:pt idx="126">
                  <c:v>0.25895928047581485</c:v>
                </c:pt>
                <c:pt idx="127">
                  <c:v>0.24617702783892856</c:v>
                </c:pt>
                <c:pt idx="128">
                  <c:v>0.23393299893605896</c:v>
                </c:pt>
                <c:pt idx="129">
                  <c:v>0.22221373785228632</c:v>
                </c:pt>
                <c:pt idx="130">
                  <c:v>0.21100512153342132</c:v>
                </c:pt>
                <c:pt idx="131">
                  <c:v>0.20029250315852462</c:v>
                </c:pt>
                <c:pt idx="132">
                  <c:v>0.19006084133892312</c:v>
                </c:pt>
                <c:pt idx="133">
                  <c:v>0.18029481605145983</c:v>
                </c:pt>
                <c:pt idx="134">
                  <c:v>0.17097893220305138</c:v>
                </c:pt>
                <c:pt idx="135">
                  <c:v>0.1620976117047947</c:v>
                </c:pt>
                <c:pt idx="136">
                  <c:v>0.15363527490856374</c:v>
                </c:pt>
                <c:pt idx="137">
                  <c:v>0.14557641222875201</c:v>
                </c:pt>
                <c:pt idx="138">
                  <c:v>0.13790564673769362</c:v>
                </c:pt>
                <c:pt idx="139">
                  <c:v>0.13060778848651294</c:v>
                </c:pt>
                <c:pt idx="140">
                  <c:v>0.12366788126454929</c:v>
                </c:pt>
                <c:pt idx="141">
                  <c:v>0.11707124247084573</c:v>
                </c:pt>
                <c:pt idx="142">
                  <c:v>0.11080349673113099</c:v>
                </c:pt>
                <c:pt idx="143">
                  <c:v>0.10485060385379406</c:v>
                </c:pt>
                <c:pt idx="144">
                  <c:v>9.9198881678948622E-2</c:v>
                </c:pt>
                <c:pt idx="145">
                  <c:v>9.3835024336181933E-2</c:v>
                </c:pt>
                <c:pt idx="146">
                  <c:v>8.874611638923971E-2</c:v>
                </c:pt>
                <c:pt idx="147">
                  <c:v>8.3919643309913028E-2</c:v>
                </c:pt>
                <c:pt idx="148">
                  <c:v>7.9343498688933534E-2</c:v>
                </c:pt>
                <c:pt idx="149">
                  <c:v>7.5005988558867906E-2</c:v>
                </c:pt>
                <c:pt idx="150">
                  <c:v>7.0895833172845507E-2</c:v>
                </c:pt>
                <c:pt idx="151">
                  <c:v>6.7002166553577658E-2</c:v>
                </c:pt>
                <c:pt idx="152">
                  <c:v>6.3314534099466552E-2</c:v>
                </c:pt>
                <c:pt idx="153">
                  <c:v>5.982288850869262E-2</c:v>
                </c:pt>
                <c:pt idx="154">
                  <c:v>5.6517584257958338E-2</c:v>
                </c:pt>
                <c:pt idx="155">
                  <c:v>5.3389370850029857E-2</c:v>
                </c:pt>
                <c:pt idx="156">
                  <c:v>5.0429385023286817E-2</c:v>
                </c:pt>
                <c:pt idx="157">
                  <c:v>4.7629142097109049E-2</c:v>
                </c:pt>
                <c:pt idx="158">
                  <c:v>4.4980526609038791E-2</c:v>
                </c:pt>
                <c:pt idx="159">
                  <c:v>4.2475782383165288E-2</c:v>
                </c:pt>
                <c:pt idx="160">
                  <c:v>4.0107502154031319E-2</c:v>
                </c:pt>
                <c:pt idx="161">
                  <c:v>3.7868616856482719E-2</c:v>
                </c:pt>
                <c:pt idx="162">
                  <c:v>3.5752384679168782E-2</c:v>
                </c:pt>
                <c:pt idx="163">
                  <c:v>3.3752379967823667E-2</c:v>
                </c:pt>
                <c:pt idx="164">
                  <c:v>3.1862482053900763E-2</c:v>
                </c:pt>
                <c:pt idx="165">
                  <c:v>3.0076864074552848E-2</c:v>
                </c:pt>
                <c:pt idx="166">
                  <c:v>2.8389981841264227E-2</c:v>
                </c:pt>
                <c:pt idx="167">
                  <c:v>2.6796562806585707E-2</c:v>
                </c:pt>
                <c:pt idx="168">
                  <c:v>2.5291595171345573E-2</c:v>
                </c:pt>
                <c:pt idx="169">
                  <c:v>2.3870317168324141E-2</c:v>
                </c:pt>
                <c:pt idx="170">
                  <c:v>2.2528206552671504E-2</c:v>
                </c:pt>
                <c:pt idx="171">
                  <c:v>2.1260970324211936E-2</c:v>
                </c:pt>
                <c:pt idx="172">
                  <c:v>2.0064534702214056E-2</c:v>
                </c:pt>
                <c:pt idx="173">
                  <c:v>1.8935035369128977E-2</c:v>
                </c:pt>
                <c:pt idx="174">
                  <c:v>1.7868807996185187E-2</c:v>
                </c:pt>
                <c:pt idx="175">
                  <c:v>1.6862379060534335E-2</c:v>
                </c:pt>
                <c:pt idx="176">
                  <c:v>1.591245696082081E-2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6D-4D17-8F76-9434177CC5C1}"/>
            </c:ext>
          </c:extLst>
        </c:ser>
        <c:ser>
          <c:idx val="0"/>
          <c:order val="1"/>
          <c:tx>
            <c:strRef>
              <c:f>'New_cases - LNorm'!$B$6</c:f>
              <c:strCache>
                <c:ptCount val="1"/>
                <c:pt idx="0">
                  <c:v>29/04/2020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'New_cases - LNorm'!$U$6</c:f>
              <c:numCache>
                <c:formatCode>General</c:formatCode>
                <c:ptCount val="1"/>
                <c:pt idx="0">
                  <c:v>0.86003170758556091</c:v>
                </c:pt>
              </c:numCache>
            </c:numRef>
          </c:xVal>
          <c:yVal>
            <c:numRef>
              <c:f>'New_cases - LNorm'!$V$6</c:f>
              <c:numCache>
                <c:formatCode>General</c:formatCode>
                <c:ptCount val="1"/>
                <c:pt idx="0">
                  <c:v>0.36441464408204455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6D-4D17-8F76-9434177CC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191312"/>
        <c:axId val="976191632"/>
      </c:scatterChart>
      <c:valAx>
        <c:axId val="976191312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</a:t>
                </a:r>
                <a:r>
                  <a:rPr lang="it-IT" baseline="0"/>
                  <a:t> number of deaths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632"/>
        <c:crosses val="autoZero"/>
        <c:crossBetween val="midCat"/>
      </c:valAx>
      <c:valAx>
        <c:axId val="97619163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New cases per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 of Italy regions outside Lombardy</a:t>
            </a:r>
            <a:r>
              <a:rPr lang="en-US" baseline="0"/>
              <a:t> - </a:t>
            </a:r>
            <a:r>
              <a:rPr lang="en-US"/>
              <a:t>New</a:t>
            </a:r>
            <a:r>
              <a:rPr lang="en-US" baseline="0"/>
              <a:t> vs Accumulative cases - Phase space trajectory - Lognormal normalized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9"/>
          <c:order val="0"/>
          <c:tx>
            <c:strRef>
              <c:f>'New_cases - LNorm'!$AG$7</c:f>
              <c:strCache>
                <c:ptCount val="1"/>
                <c:pt idx="0">
                  <c:v>rest of Italy fit (Norm.)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LNorm'!$AE$8:$AE$184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1.3180628156728576E-61</c:v>
                </c:pt>
                <c:pt idx="38">
                  <c:v>1.6390776448532252E-32</c:v>
                </c:pt>
                <c:pt idx="39">
                  <c:v>6.1223748848828497E-24</c:v>
                </c:pt>
                <c:pt idx="40">
                  <c:v>3.0142820147028492E-19</c:v>
                </c:pt>
                <c:pt idx="41">
                  <c:v>3.6819465010871482E-16</c:v>
                </c:pt>
                <c:pt idx="42">
                  <c:v>6.2415149593381372E-14</c:v>
                </c:pt>
                <c:pt idx="43">
                  <c:v>3.1590390830133224E-12</c:v>
                </c:pt>
                <c:pt idx="44">
                  <c:v>7.1414820134062305E-11</c:v>
                </c:pt>
                <c:pt idx="45">
                  <c:v>9.1279270713420225E-10</c:v>
                </c:pt>
                <c:pt idx="46">
                  <c:v>7.6549171799662131E-9</c:v>
                </c:pt>
                <c:pt idx="47">
                  <c:v>4.6522334844307022E-8</c:v>
                </c:pt>
                <c:pt idx="48">
                  <c:v>2.19610918868169E-7</c:v>
                </c:pt>
                <c:pt idx="49">
                  <c:v>8.4660038048141327E-7</c:v>
                </c:pt>
                <c:pt idx="50">
                  <c:v>2.7663856709008015E-6</c:v>
                </c:pt>
                <c:pt idx="51">
                  <c:v>7.8826764854701008E-6</c:v>
                </c:pt>
                <c:pt idx="52">
                  <c:v>2.0023047831381367E-5</c:v>
                </c:pt>
                <c:pt idx="53">
                  <c:v>4.6136627128129388E-5</c:v>
                </c:pt>
                <c:pt idx="54">
                  <c:v>9.7788984765757959E-5</c:v>
                </c:pt>
                <c:pt idx="55">
                  <c:v>1.9284001754075368E-4</c:v>
                </c:pt>
                <c:pt idx="56">
                  <c:v>3.5713030261611206E-4</c:v>
                </c:pt>
                <c:pt idx="57">
                  <c:v>6.2596830521094242E-4</c:v>
                </c:pt>
                <c:pt idx="58">
                  <c:v>1.0452119522191591E-3</c:v>
                </c:pt>
                <c:pt idx="59">
                  <c:v>1.6717720164874626E-3</c:v>
                </c:pt>
                <c:pt idx="60">
                  <c:v>2.5734234770628532E-3</c:v>
                </c:pt>
                <c:pt idx="61">
                  <c:v>3.827882977670739E-3</c:v>
                </c:pt>
                <c:pt idx="62">
                  <c:v>5.5211836992927251E-3</c:v>
                </c:pt>
                <c:pt idx="63">
                  <c:v>7.7454432904541801E-3</c:v>
                </c:pt>
                <c:pt idx="64">
                  <c:v>1.0596169063619012E-2</c:v>
                </c:pt>
                <c:pt idx="65">
                  <c:v>1.4169274112885499E-2</c:v>
                </c:pt>
                <c:pt idx="66">
                  <c:v>1.8557988147569836E-2</c:v>
                </c:pt>
                <c:pt idx="67">
                  <c:v>2.3849839865441275E-2</c:v>
                </c:pt>
                <c:pt idx="68">
                  <c:v>3.0123867282530494E-2</c:v>
                </c:pt>
                <c:pt idx="69">
                  <c:v>3.7448182897835865E-2</c:v>
                </c:pt>
                <c:pt idx="70">
                  <c:v>4.5877986160131265E-2</c:v>
                </c:pt>
                <c:pt idx="71">
                  <c:v>5.5454080171070688E-2</c:v>
                </c:pt>
                <c:pt idx="72">
                  <c:v>6.6201915885809995E-2</c:v>
                </c:pt>
                <c:pt idx="73">
                  <c:v>7.8131157380613422E-2</c:v>
                </c:pt>
                <c:pt idx="74">
                  <c:v>9.1235737337426057E-2</c:v>
                </c:pt>
                <c:pt idx="75">
                  <c:v>0.10549435331702446</c:v>
                </c:pt>
                <c:pt idx="76">
                  <c:v>0.1208713426487483</c:v>
                </c:pt>
                <c:pt idx="77">
                  <c:v>0.13731786643157598</c:v>
                </c:pt>
                <c:pt idx="78">
                  <c:v>0.15477333052344602</c:v>
                </c:pt>
                <c:pt idx="79">
                  <c:v>0.17316697265429842</c:v>
                </c:pt>
                <c:pt idx="80">
                  <c:v>0.1924195490508514</c:v>
                </c:pt>
                <c:pt idx="81">
                  <c:v>0.21244506035553287</c:v>
                </c:pt>
                <c:pt idx="82">
                  <c:v>0.23315246438589535</c:v>
                </c:pt>
                <c:pt idx="83">
                  <c:v>0.25444733175057355</c:v>
                </c:pt>
                <c:pt idx="84">
                  <c:v>0.27623340897070586</c:v>
                </c:pt>
                <c:pt idx="85">
                  <c:v>0.29841406213068317</c:v>
                </c:pt>
                <c:pt idx="86">
                  <c:v>0.32089358189180295</c:v>
                </c:pt>
                <c:pt idx="87">
                  <c:v>0.34357833774051322</c:v>
                </c:pt>
                <c:pt idx="88">
                  <c:v>0.36637777548862505</c:v>
                </c:pt>
                <c:pt idx="89">
                  <c:v>0.38920525724472965</c:v>
                </c:pt>
                <c:pt idx="90">
                  <c:v>0.41197874733662709</c:v>
                </c:pt>
                <c:pt idx="91">
                  <c:v>0.43462135102604393</c:v>
                </c:pt>
                <c:pt idx="92">
                  <c:v>0.45706171538900836</c:v>
                </c:pt>
                <c:pt idx="93">
                  <c:v>0.47923430352469865</c:v>
                </c:pt>
                <c:pt idx="94">
                  <c:v>0.50107955439801466</c:v>
                </c:pt>
                <c:pt idx="95">
                  <c:v>0.52254394121453029</c:v>
                </c:pt>
                <c:pt idx="96">
                  <c:v>0.54357994136639032</c:v>
                </c:pt>
                <c:pt idx="97">
                  <c:v>0.56414593076409814</c:v>
                </c:pt>
                <c:pt idx="98">
                  <c:v>0.58420601486379575</c:v>
                </c:pt>
                <c:pt idx="99">
                  <c:v>0.60372980798553511</c:v>
                </c:pt>
                <c:pt idx="100">
                  <c:v>0.62269217165816571</c:v>
                </c:pt>
                <c:pt idx="101">
                  <c:v>0.64107292177466202</c:v>
                </c:pt>
                <c:pt idx="102">
                  <c:v>0.65885651334202677</c:v>
                </c:pt>
                <c:pt idx="103">
                  <c:v>0.67603171059866962</c:v>
                </c:pt>
                <c:pt idx="104">
                  <c:v>0.69259124927722804</c:v>
                </c:pt>
                <c:pt idx="105">
                  <c:v>0.70853149683397509</c:v>
                </c:pt>
                <c:pt idx="106">
                  <c:v>0.72385211556274742</c:v>
                </c:pt>
                <c:pt idx="107">
                  <c:v>0.73855573267252705</c:v>
                </c:pt>
                <c:pt idx="108">
                  <c:v>0.75264762064005308</c:v>
                </c:pt>
                <c:pt idx="109">
                  <c:v>0.76613539045546086</c:v>
                </c:pt>
                <c:pt idx="110">
                  <c:v>0.77902869976056432</c:v>
                </c:pt>
                <c:pt idx="111">
                  <c:v>0.79133897733472647</c:v>
                </c:pt>
                <c:pt idx="112">
                  <c:v>0.80307916490933173</c:v>
                </c:pt>
                <c:pt idx="113">
                  <c:v>0.81426347688472356</c:v>
                </c:pt>
                <c:pt idx="114">
                  <c:v>0.82490717817839743</c:v>
                </c:pt>
                <c:pt idx="115">
                  <c:v>0.83502638014502351</c:v>
                </c:pt>
                <c:pt idx="116">
                  <c:v>0.8446378542722276</c:v>
                </c:pt>
                <c:pt idx="117">
                  <c:v>0.85375886316552219</c:v>
                </c:pt>
                <c:pt idx="118">
                  <c:v>0.86240700818612259</c:v>
                </c:pt>
                <c:pt idx="119">
                  <c:v>0.87060009299155927</c:v>
                </c:pt>
                <c:pt idx="120">
                  <c:v>0.87835600214625331</c:v>
                </c:pt>
                <c:pt idx="121">
                  <c:v>0.88569259391310018</c:v>
                </c:pt>
                <c:pt idx="122">
                  <c:v>0.89262760630364535</c:v>
                </c:pt>
                <c:pt idx="123">
                  <c:v>0.89917857544988045</c:v>
                </c:pt>
                <c:pt idx="124">
                  <c:v>0.90536276536180271</c:v>
                </c:pt>
                <c:pt idx="125">
                  <c:v>0.91119710814870625</c:v>
                </c:pt>
                <c:pt idx="126">
                  <c:v>0.91669815380616992</c:v>
                </c:pt>
                <c:pt idx="127">
                  <c:v>0.92188202870258951</c:v>
                </c:pt>
                <c:pt idx="128">
                  <c:v>0.92676440193694198</c:v>
                </c:pt>
                <c:pt idx="129">
                  <c:v>0.93136045878163576</c:v>
                </c:pt>
                <c:pt idx="130">
                  <c:v>0.9356848804693243</c:v>
                </c:pt>
                <c:pt idx="131">
                  <c:v>0.93975182962930925</c:v>
                </c:pt>
                <c:pt idx="132">
                  <c:v>0.94357494072662651</c:v>
                </c:pt>
                <c:pt idx="133">
                  <c:v>0.94716731490430628</c:v>
                </c:pt>
                <c:pt idx="134">
                  <c:v>0.95054151867595937</c:v>
                </c:pt>
                <c:pt idx="135">
                  <c:v>0.95370958596129374</c:v>
                </c:pt>
                <c:pt idx="136">
                  <c:v>0.9566830230009683</c:v>
                </c:pt>
                <c:pt idx="137">
                  <c:v>0.95947281572909648</c:v>
                </c:pt>
                <c:pt idx="138">
                  <c:v>0.96208943922147394</c:v>
                </c:pt>
                <c:pt idx="139">
                  <c:v>0.96454286887511786</c:v>
                </c:pt>
                <c:pt idx="140">
                  <c:v>0.96684259300986797</c:v>
                </c:pt>
                <c:pt idx="141">
                  <c:v>0.96899762661558864</c:v>
                </c:pt>
                <c:pt idx="142">
                  <c:v>0.97101652599894672</c:v>
                </c:pt>
                <c:pt idx="143">
                  <c:v>0.97290740411184418</c:v>
                </c:pt>
                <c:pt idx="144">
                  <c:v>0.97467794636943816</c:v>
                </c:pt>
                <c:pt idx="145">
                  <c:v>0.97633542678935681</c:v>
                </c:pt>
                <c:pt idx="146">
                  <c:v>0.97788672430532642</c:v>
                </c:pt>
                <c:pt idx="147">
                  <c:v>0.97933833912805224</c:v>
                </c:pt>
                <c:pt idx="148">
                  <c:v>0.98069640904398159</c:v>
                </c:pt>
                <c:pt idx="149">
                  <c:v>0.98196672555860842</c:v>
                </c:pt>
                <c:pt idx="150">
                  <c:v>0.98315474980540063</c:v>
                </c:pt>
                <c:pt idx="151">
                  <c:v>0.98426562815434027</c:v>
                </c:pt>
                <c:pt idx="152">
                  <c:v>0.98530420746558134</c:v>
                </c:pt>
                <c:pt idx="153">
                  <c:v>0.98627504994397563</c:v>
                </c:pt>
                <c:pt idx="154">
                  <c:v>0.98718244755926798</c:v>
                </c:pt>
                <c:pt idx="155">
                  <c:v>0.9880304360047607</c:v>
                </c:pt>
                <c:pt idx="156">
                  <c:v>0.9888228081742495</c:v>
                </c:pt>
                <c:pt idx="157">
                  <c:v>0.98956312714315886</c:v>
                </c:pt>
                <c:pt idx="158">
                  <c:v>0.99025473864512303</c:v>
                </c:pt>
                <c:pt idx="159">
                  <c:v>0.99090078303985252</c:v>
                </c:pt>
                <c:pt idx="160">
                  <c:v>0.99150420677207118</c:v>
                </c:pt>
                <c:pt idx="161">
                  <c:v>0.99206777332466545</c:v>
                </c:pt>
                <c:pt idx="162">
                  <c:v>0.9925940736720309</c:v>
                </c:pt>
                <c:pt idx="163">
                  <c:v>0.99308553624196627</c:v>
                </c:pt>
                <c:pt idx="164">
                  <c:v>0.99354443639643919</c:v>
                </c:pt>
                <c:pt idx="165">
                  <c:v>0.9939729054431351</c:v>
                </c:pt>
                <c:pt idx="166">
                  <c:v>0.99437293919098246</c:v>
                </c:pt>
                <c:pt idx="167">
                  <c:v>0.99474640606384201</c:v>
                </c:pt>
                <c:pt idx="168">
                  <c:v>0.99509505478729432</c:v>
                </c:pt>
                <c:pt idx="169">
                  <c:v>0.99542052166399675</c:v>
                </c:pt>
                <c:pt idx="170">
                  <c:v>0.99572433745342881</c:v>
                </c:pt>
                <c:pt idx="171">
                  <c:v>0.9960079338720309</c:v>
                </c:pt>
                <c:pt idx="172">
                  <c:v>0.99627264972979601</c:v>
                </c:pt>
                <c:pt idx="173">
                  <c:v>0.99651973671931438</c:v>
                </c:pt>
                <c:pt idx="174">
                  <c:v>0.99675036487309376</c:v>
                </c:pt>
                <c:pt idx="175">
                  <c:v>0.99696562770475383</c:v>
                </c:pt>
                <c:pt idx="176">
                  <c:v>0.99716654704936336</c:v>
                </c:pt>
              </c:numCache>
            </c:numRef>
          </c:xVal>
          <c:yVal>
            <c:numRef>
              <c:f>'New_cases - LNorm'!$AG$8:$AG$184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1.0536116348636391E-57</c:v>
                </c:pt>
                <c:pt idx="38">
                  <c:v>2.0715138207012283E-29</c:v>
                </c:pt>
                <c:pt idx="39">
                  <c:v>3.6978321649612088E-21</c:v>
                </c:pt>
                <c:pt idx="40">
                  <c:v>1.1260714030799286E-16</c:v>
                </c:pt>
                <c:pt idx="41">
                  <c:v>9.5867503933198887E-14</c:v>
                </c:pt>
                <c:pt idx="42">
                  <c:v>1.2140044353822251E-11</c:v>
                </c:pt>
                <c:pt idx="43">
                  <c:v>4.8035639751327864E-10</c:v>
                </c:pt>
                <c:pt idx="44">
                  <c:v>8.7665816455491957E-9</c:v>
                </c:pt>
                <c:pt idx="45">
                  <c:v>9.2648719670589272E-8</c:v>
                </c:pt>
                <c:pt idx="46">
                  <c:v>6.5444343408368224E-7</c:v>
                </c:pt>
                <c:pt idx="47">
                  <c:v>3.3998481136853737E-6</c:v>
                </c:pt>
                <c:pt idx="48">
                  <c:v>1.3884635421984643E-5</c:v>
                </c:pt>
                <c:pt idx="49">
                  <c:v>4.6770324550697645E-5</c:v>
                </c:pt>
                <c:pt idx="50">
                  <c:v>1.3466761237168861E-4</c:v>
                </c:pt>
                <c:pt idx="51">
                  <c:v>3.4056057447592918E-4</c:v>
                </c:pt>
                <c:pt idx="52">
                  <c:v>7.7251042319938083E-4</c:v>
                </c:pt>
                <c:pt idx="53">
                  <c:v>1.5981161422336009E-3</c:v>
                </c:pt>
                <c:pt idx="54">
                  <c:v>3.0555421343554639E-3</c:v>
                </c:pt>
                <c:pt idx="55">
                  <c:v>5.4580685800845073E-3</c:v>
                </c:pt>
                <c:pt idx="56">
                  <c:v>9.1900363142673851E-3</c:v>
                </c:pt>
                <c:pt idx="57">
                  <c:v>1.4693467024773227E-2</c:v>
                </c:pt>
                <c:pt idx="58">
                  <c:v>2.2446165017451222E-2</c:v>
                </c:pt>
                <c:pt idx="59">
                  <c:v>3.2933405782750738E-2</c:v>
                </c:pt>
                <c:pt idx="60">
                  <c:v>4.6616163158377188E-2</c:v>
                </c:pt>
                <c:pt idx="61">
                  <c:v>6.3899137101033149E-2</c:v>
                </c:pt>
                <c:pt idx="62">
                  <c:v>8.5101656831823955E-2</c:v>
                </c:pt>
                <c:pt idx="63">
                  <c:v>0.11043396888126476</c:v>
                </c:pt>
                <c:pt idx="64">
                  <c:v>0.13998063040741374</c:v>
                </c:pt>
                <c:pt idx="65">
                  <c:v>0.17369186605038633</c:v>
                </c:pt>
                <c:pt idx="66">
                  <c:v>0.21138293495323146</c:v>
                </c:pt>
                <c:pt idx="67">
                  <c:v>0.25274087815264679</c:v>
                </c:pt>
                <c:pt idx="68">
                  <c:v>0.29733752049446532</c:v>
                </c:pt>
                <c:pt idx="69">
                  <c:v>0.3446472968840178</c:v>
                </c:pt>
                <c:pt idx="70">
                  <c:v>0.39406834634868981</c:v>
                </c:pt>
                <c:pt idx="71">
                  <c:v>0.44494533971518646</c:v>
                </c:pt>
                <c:pt idx="72">
                  <c:v>0.49659264093752842</c:v>
                </c:pt>
                <c:pt idx="73">
                  <c:v>0.54831661050221836</c:v>
                </c:pt>
                <c:pt idx="74">
                  <c:v>0.59943610747690868</c:v>
                </c:pt>
                <c:pt idx="75">
                  <c:v>0.6493005060818291</c:v>
                </c:pt>
                <c:pt idx="76">
                  <c:v>0.69730479140914425</c:v>
                </c:pt>
                <c:pt idx="77">
                  <c:v>0.74290152213607175</c:v>
                </c:pt>
                <c:pt idx="78">
                  <c:v>0.78560963687453489</c:v>
                </c:pt>
                <c:pt idx="79">
                  <c:v>0.82502023126514579</c:v>
                </c:pt>
                <c:pt idx="80">
                  <c:v>0.8607995449575927</c:v>
                </c:pt>
                <c:pt idx="81">
                  <c:v>0.8926894738007104</c:v>
                </c:pt>
                <c:pt idx="82">
                  <c:v>0.92050596715391286</c:v>
                </c:pt>
                <c:pt idx="83">
                  <c:v>0.94413568836052175</c:v>
                </c:pt>
                <c:pt idx="84">
                  <c:v>0.96353131347967036</c:v>
                </c:pt>
                <c:pt idx="85">
                  <c:v>0.978705824558046</c:v>
                </c:pt>
                <c:pt idx="86">
                  <c:v>0.98972612376466806</c:v>
                </c:pt>
                <c:pt idx="87">
                  <c:v>0.99670625770582633</c:v>
                </c:pt>
                <c:pt idx="88">
                  <c:v>0.99980050057693282</c:v>
                </c:pt>
                <c:pt idx="89">
                  <c:v>0.99919650318623932</c:v>
                </c:pt>
                <c:pt idx="90">
                  <c:v>0.99510867434049977</c:v>
                </c:pt>
                <c:pt idx="91">
                  <c:v>0.98777192307115103</c:v>
                </c:pt>
                <c:pt idx="92">
                  <c:v>0.977435855661974</c:v>
                </c:pt>
                <c:pt idx="93">
                  <c:v>0.96435949096906048</c:v>
                </c:pt>
                <c:pt idx="94">
                  <c:v>0.9488065313335633</c:v>
                </c:pt>
                <c:pt idx="95">
                  <c:v>0.93104120446564742</c:v>
                </c:pt>
                <c:pt idx="96">
                  <c:v>0.91132467383684856</c:v>
                </c:pt>
                <c:pt idx="97">
                  <c:v>0.88991200105119439</c:v>
                </c:pt>
                <c:pt idx="98">
                  <c:v>0.86704963299372373</c:v>
                </c:pt>
                <c:pt idx="99">
                  <c:v>0.8429733788625805</c:v>
                </c:pt>
                <c:pt idx="100">
                  <c:v>0.81790683705344136</c:v>
                </c:pt>
                <c:pt idx="101">
                  <c:v>0.79206022886889615</c:v>
                </c:pt>
                <c:pt idx="102">
                  <c:v>0.76562959478285719</c:v>
                </c:pt>
                <c:pt idx="103">
                  <c:v>0.73879630914595074</c:v>
                </c:pt>
                <c:pt idx="104">
                  <c:v>0.71172687045695016</c:v>
                </c:pt>
                <c:pt idx="105">
                  <c:v>0.68457292637154921</c:v>
                </c:pt>
                <c:pt idx="106">
                  <c:v>0.6574714952382017</c:v>
                </c:pt>
                <c:pt idx="107">
                  <c:v>0.63054534894380987</c:v>
                </c:pt>
                <c:pt idx="108">
                  <c:v>0.60390352505798028</c:v>
                </c:pt>
                <c:pt idx="109">
                  <c:v>0.57764193955313148</c:v>
                </c:pt>
                <c:pt idx="110">
                  <c:v>0.55184407464708396</c:v>
                </c:pt>
                <c:pt idx="111">
                  <c:v>0.52658171948719934</c:v>
                </c:pt>
                <c:pt idx="112">
                  <c:v>0.50191574441382936</c:v>
                </c:pt>
                <c:pt idx="113">
                  <c:v>0.47789689236641886</c:v>
                </c:pt>
                <c:pt idx="114">
                  <c:v>0.45456657360269159</c:v>
                </c:pt>
                <c:pt idx="115">
                  <c:v>0.43195765227648003</c:v>
                </c:pt>
                <c:pt idx="116">
                  <c:v>0.41009521555813216</c:v>
                </c:pt>
                <c:pt idx="117">
                  <c:v>0.38899731788568531</c:v>
                </c:pt>
                <c:pt idx="118">
                  <c:v>0.36867569461269206</c:v>
                </c:pt>
                <c:pt idx="119">
                  <c:v>0.34913644078123157</c:v>
                </c:pt>
                <c:pt idx="120">
                  <c:v>0.33038065201028494</c:v>
                </c:pt>
                <c:pt idx="121">
                  <c:v>0.31240502556587862</c:v>
                </c:pt>
                <c:pt idx="122">
                  <c:v>0.29520242058664792</c:v>
                </c:pt>
                <c:pt idx="123">
                  <c:v>0.27876237719328567</c:v>
                </c:pt>
                <c:pt idx="124">
                  <c:v>0.26307159482916925</c:v>
                </c:pt>
                <c:pt idx="125">
                  <c:v>0.24811437067791298</c:v>
                </c:pt>
                <c:pt idx="126">
                  <c:v>0.23387299939664719</c:v>
                </c:pt>
                <c:pt idx="127">
                  <c:v>0.22032813570530974</c:v>
                </c:pt>
                <c:pt idx="128">
                  <c:v>0.20745912159502775</c:v>
                </c:pt>
                <c:pt idx="129">
                  <c:v>0.19524428007427327</c:v>
                </c:pt>
                <c:pt idx="130">
                  <c:v>0.18366117747055147</c:v>
                </c:pt>
                <c:pt idx="131">
                  <c:v>0.17268685635728045</c:v>
                </c:pt>
                <c:pt idx="132">
                  <c:v>0.16229804118846988</c:v>
                </c:pt>
                <c:pt idx="133">
                  <c:v>0.15247131870531652</c:v>
                </c:pt>
                <c:pt idx="134">
                  <c:v>0.1431832951350962</c:v>
                </c:pt>
                <c:pt idx="135">
                  <c:v>0.13441073213940066</c:v>
                </c:pt>
                <c:pt idx="136">
                  <c:v>0.12613066339050091</c:v>
                </c:pt>
                <c:pt idx="137">
                  <c:v>0.11832049356550814</c:v>
                </c:pt>
                <c:pt idx="138">
                  <c:v>0.11095808145137252</c:v>
                </c:pt>
                <c:pt idx="139">
                  <c:v>0.10402180875252867</c:v>
                </c:pt>
                <c:pt idx="140">
                  <c:v>9.749063608944393E-2</c:v>
                </c:pt>
                <c:pt idx="141">
                  <c:v>9.1344147572388304E-2</c:v>
                </c:pt>
                <c:pt idx="142">
                  <c:v>8.5562585231955757E-2</c:v>
                </c:pt>
                <c:pt idx="143">
                  <c:v>8.0126874487458685E-2</c:v>
                </c:pt>
                <c:pt idx="144">
                  <c:v>7.5018641737163785E-2</c:v>
                </c:pt>
                <c:pt idx="145">
                  <c:v>7.022022506123575E-2</c:v>
                </c:pt>
                <c:pt idx="146">
                  <c:v>6.5714678939604934E-2</c:v>
                </c:pt>
                <c:pt idx="147">
                  <c:v>6.148577380321104E-2</c:v>
                </c:pt>
                <c:pt idx="148">
                  <c:v>5.7517991158302903E-2</c:v>
                </c:pt>
                <c:pt idx="149">
                  <c:v>5.3796514949880581E-2</c:v>
                </c:pt>
                <c:pt idx="150">
                  <c:v>5.0307219761860617E-2</c:v>
                </c:pt>
                <c:pt idx="151">
                  <c:v>4.7036656388106168E-2</c:v>
                </c:pt>
                <c:pt idx="152">
                  <c:v>4.3972035249967206E-2</c:v>
                </c:pt>
                <c:pt idx="153">
                  <c:v>4.1101208082193794E-2</c:v>
                </c:pt>
                <c:pt idx="154">
                  <c:v>3.8412648259882637E-2</c:v>
                </c:pt>
                <c:pt idx="155">
                  <c:v>3.5895430094212567E-2</c:v>
                </c:pt>
                <c:pt idx="156">
                  <c:v>3.3539207383909878E-2</c:v>
                </c:pt>
                <c:pt idx="157">
                  <c:v>3.1334191472397986E-2</c:v>
                </c:pt>
                <c:pt idx="158">
                  <c:v>2.9271129027165901E-2</c:v>
                </c:pt>
                <c:pt idx="159">
                  <c:v>2.7341279727817722E-2</c:v>
                </c:pt>
                <c:pt idx="160">
                  <c:v>2.5536394022252103E-2</c:v>
                </c:pt>
                <c:pt idx="161">
                  <c:v>2.3848691086265746E-2</c:v>
                </c:pt>
                <c:pt idx="162">
                  <c:v>2.2270837100327741E-2</c:v>
                </c:pt>
                <c:pt idx="163">
                  <c:v>2.0795923938114254E-2</c:v>
                </c:pt>
                <c:pt idx="164">
                  <c:v>1.9417448344427636E-2</c:v>
                </c:pt>
                <c:pt idx="165">
                  <c:v>1.8129291665143536E-2</c:v>
                </c:pt>
                <c:pt idx="166">
                  <c:v>1.6925700178658954E-2</c:v>
                </c:pt>
                <c:pt idx="167">
                  <c:v>1.5801266066774292E-2</c:v>
                </c:pt>
                <c:pt idx="168">
                  <c:v>1.4750909052879339E-2</c:v>
                </c:pt>
                <c:pt idx="169">
                  <c:v>1.3769858726579348E-2</c:v>
                </c:pt>
                <c:pt idx="170">
                  <c:v>1.2853637566350152E-2</c:v>
                </c:pt>
                <c:pt idx="171">
                  <c:v>1.1998044665337907E-2</c:v>
                </c:pt>
                <c:pt idx="172">
                  <c:v>1.1199140159889806E-2</c:v>
                </c:pt>
                <c:pt idx="173">
                  <c:v>1.0453230355726109E-2</c:v>
                </c:pt>
                <c:pt idx="174">
                  <c:v>9.7568535427363656E-3</c:v>
                </c:pt>
                <c:pt idx="175">
                  <c:v>9.106766486122209E-3</c:v>
                </c:pt>
                <c:pt idx="176">
                  <c:v>8.4999315789351295E-3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68-4D96-9AD9-471CC8070874}"/>
            </c:ext>
          </c:extLst>
        </c:ser>
        <c:ser>
          <c:idx val="0"/>
          <c:order val="1"/>
          <c:tx>
            <c:strRef>
              <c:f>'New_cases - LNorm'!$B$6</c:f>
              <c:strCache>
                <c:ptCount val="1"/>
                <c:pt idx="0">
                  <c:v>29/04/2020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'New_cases - LNorm'!$AE$6</c:f>
              <c:numCache>
                <c:formatCode>General</c:formatCode>
                <c:ptCount val="1"/>
                <c:pt idx="0">
                  <c:v>0.87060009299155927</c:v>
                </c:pt>
              </c:numCache>
            </c:numRef>
          </c:xVal>
          <c:yVal>
            <c:numRef>
              <c:f>'New_cases - LNorm'!$AF$6</c:f>
              <c:numCache>
                <c:formatCode>General</c:formatCode>
                <c:ptCount val="1"/>
                <c:pt idx="0">
                  <c:v>0.34913644078123157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68-4D96-9AD9-471CC8070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191312"/>
        <c:axId val="976191632"/>
      </c:scatterChart>
      <c:valAx>
        <c:axId val="976191312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</a:t>
                </a:r>
                <a:r>
                  <a:rPr lang="it-IT" baseline="0"/>
                  <a:t> number of deaths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632"/>
        <c:crosses val="autoZero"/>
        <c:crossBetween val="midCat"/>
      </c:valAx>
      <c:valAx>
        <c:axId val="97619163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New cases per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70C0"/>
                </a:solidFill>
              </a:rPr>
              <a:t>Italy - </a:t>
            </a:r>
            <a:r>
              <a:rPr lang="it-IT" sz="1400" b="0" i="0" u="none" strike="noStrike" baseline="0">
                <a:solidFill>
                  <a:srgbClr val="0070C0"/>
                </a:solidFill>
                <a:effectLst/>
              </a:rPr>
              <a:t>Accumulative cases (displacement) - Lognormal </a:t>
            </a:r>
            <a:endParaRPr lang="it-IT">
              <a:solidFill>
                <a:srgbClr val="0070C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'New_cases - LNorm'!$D$7</c:f>
              <c:strCache>
                <c:ptCount val="1"/>
                <c:pt idx="0">
                  <c:v>Italy cumul.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LNorm'!$D$8:$D$184</c:f>
              <c:numCache>
                <c:formatCode>0</c:formatCode>
                <c:ptCount val="177"/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 formatCode="General">
                  <c:v>229</c:v>
                </c:pt>
                <c:pt idx="55" formatCode="General">
                  <c:v>322</c:v>
                </c:pt>
                <c:pt idx="56" formatCode="General">
                  <c:v>400</c:v>
                </c:pt>
                <c:pt idx="57" formatCode="General">
                  <c:v>650</c:v>
                </c:pt>
                <c:pt idx="58" formatCode="General">
                  <c:v>888</c:v>
                </c:pt>
                <c:pt idx="59" formatCode="General">
                  <c:v>1128</c:v>
                </c:pt>
                <c:pt idx="60" formatCode="General">
                  <c:v>1694</c:v>
                </c:pt>
                <c:pt idx="61" formatCode="General">
                  <c:v>2036</c:v>
                </c:pt>
                <c:pt idx="62" formatCode="General">
                  <c:v>2502</c:v>
                </c:pt>
                <c:pt idx="63" formatCode="General">
                  <c:v>3089</c:v>
                </c:pt>
                <c:pt idx="64" formatCode="General">
                  <c:v>3858</c:v>
                </c:pt>
                <c:pt idx="65" formatCode="General">
                  <c:v>4636</c:v>
                </c:pt>
                <c:pt idx="66" formatCode="General">
                  <c:v>5883</c:v>
                </c:pt>
                <c:pt idx="67" formatCode="General">
                  <c:v>7375</c:v>
                </c:pt>
                <c:pt idx="68" formatCode="General">
                  <c:v>9172</c:v>
                </c:pt>
                <c:pt idx="69" formatCode="General">
                  <c:v>10149</c:v>
                </c:pt>
                <c:pt idx="70" formatCode="General">
                  <c:v>12462</c:v>
                </c:pt>
                <c:pt idx="71" formatCode="General">
                  <c:v>15113</c:v>
                </c:pt>
                <c:pt idx="72" formatCode="General">
                  <c:v>17660</c:v>
                </c:pt>
                <c:pt idx="73" formatCode="General">
                  <c:v>21157</c:v>
                </c:pt>
                <c:pt idx="74" formatCode="General">
                  <c:v>24747</c:v>
                </c:pt>
                <c:pt idx="75" formatCode="General">
                  <c:v>27980</c:v>
                </c:pt>
                <c:pt idx="76" formatCode="General">
                  <c:v>31506</c:v>
                </c:pt>
                <c:pt idx="77" formatCode="General">
                  <c:v>35713</c:v>
                </c:pt>
                <c:pt idx="78" formatCode="General">
                  <c:v>41035</c:v>
                </c:pt>
                <c:pt idx="79" formatCode="General">
                  <c:v>47021</c:v>
                </c:pt>
                <c:pt idx="80" formatCode="General">
                  <c:v>53578</c:v>
                </c:pt>
                <c:pt idx="81" formatCode="General">
                  <c:v>59138</c:v>
                </c:pt>
                <c:pt idx="82" formatCode="General">
                  <c:v>63927</c:v>
                </c:pt>
                <c:pt idx="83" formatCode="General">
                  <c:v>69176</c:v>
                </c:pt>
                <c:pt idx="84" formatCode="General">
                  <c:v>74386</c:v>
                </c:pt>
                <c:pt idx="85" formatCode="General">
                  <c:v>80539</c:v>
                </c:pt>
                <c:pt idx="86" formatCode="General">
                  <c:v>86498</c:v>
                </c:pt>
                <c:pt idx="87" formatCode="General">
                  <c:v>92472</c:v>
                </c:pt>
                <c:pt idx="88" formatCode="General">
                  <c:v>97689</c:v>
                </c:pt>
                <c:pt idx="89" formatCode="General">
                  <c:v>101739</c:v>
                </c:pt>
                <c:pt idx="90" formatCode="General">
                  <c:v>105792</c:v>
                </c:pt>
                <c:pt idx="91" formatCode="General">
                  <c:v>110574</c:v>
                </c:pt>
                <c:pt idx="92" formatCode="General">
                  <c:v>115242</c:v>
                </c:pt>
                <c:pt idx="93" formatCode="General">
                  <c:v>119827</c:v>
                </c:pt>
                <c:pt idx="94" formatCode="General">
                  <c:v>124632</c:v>
                </c:pt>
                <c:pt idx="95" formatCode="General">
                  <c:v>128948</c:v>
                </c:pt>
                <c:pt idx="96" formatCode="General">
                  <c:v>132547</c:v>
                </c:pt>
                <c:pt idx="97" formatCode="General">
                  <c:v>135586</c:v>
                </c:pt>
                <c:pt idx="98" formatCode="General">
                  <c:v>139422</c:v>
                </c:pt>
                <c:pt idx="99" formatCode="General">
                  <c:v>143626</c:v>
                </c:pt>
                <c:pt idx="100" formatCode="General">
                  <c:v>147577</c:v>
                </c:pt>
                <c:pt idx="101" formatCode="General">
                  <c:v>152271</c:v>
                </c:pt>
                <c:pt idx="102" formatCode="General">
                  <c:v>156363</c:v>
                </c:pt>
                <c:pt idx="103" formatCode="General">
                  <c:v>159516</c:v>
                </c:pt>
                <c:pt idx="104" formatCode="General">
                  <c:v>162488</c:v>
                </c:pt>
                <c:pt idx="105" formatCode="General">
                  <c:v>165155</c:v>
                </c:pt>
                <c:pt idx="106" formatCode="General">
                  <c:v>168941</c:v>
                </c:pt>
                <c:pt idx="107" formatCode="General">
                  <c:v>172434</c:v>
                </c:pt>
                <c:pt idx="108" formatCode="General">
                  <c:v>175925</c:v>
                </c:pt>
                <c:pt idx="109" formatCode="General">
                  <c:v>178972</c:v>
                </c:pt>
                <c:pt idx="110" formatCode="General">
                  <c:v>181228</c:v>
                </c:pt>
                <c:pt idx="111" formatCode="General">
                  <c:v>183957</c:v>
                </c:pt>
                <c:pt idx="112" formatCode="General">
                  <c:v>187327</c:v>
                </c:pt>
                <c:pt idx="113" formatCode="General">
                  <c:v>189973</c:v>
                </c:pt>
                <c:pt idx="114" formatCode="General">
                  <c:v>192994</c:v>
                </c:pt>
                <c:pt idx="115" formatCode="General">
                  <c:v>195351</c:v>
                </c:pt>
                <c:pt idx="116" formatCode="General">
                  <c:v>197675</c:v>
                </c:pt>
                <c:pt idx="117" formatCode="General">
                  <c:v>199414</c:v>
                </c:pt>
                <c:pt idx="118" formatCode="General">
                  <c:v>201505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29-4763-8D31-F39940B2B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'New_cases - LNorm'!$G$7</c:f>
              <c:strCache>
                <c:ptCount val="1"/>
                <c:pt idx="0">
                  <c:v>Italy cumul. Fit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LNorm'!$G$8:$G$184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4.5004674482023335E-33</c:v>
                </c:pt>
                <c:pt idx="32">
                  <c:v>9.982998313231629E-21</c:v>
                </c:pt>
                <c:pt idx="33">
                  <c:v>4.0616974750038979E-15</c:v>
                </c:pt>
                <c:pt idx="34">
                  <c:v>1.1067531237093309E-11</c:v>
                </c:pt>
                <c:pt idx="35">
                  <c:v>2.706273601535887E-9</c:v>
                </c:pt>
                <c:pt idx="36">
                  <c:v>1.6452786763801899E-7</c:v>
                </c:pt>
                <c:pt idx="37">
                  <c:v>4.0922874212949553E-6</c:v>
                </c:pt>
                <c:pt idx="38">
                  <c:v>5.4980686627547732E-5</c:v>
                </c:pt>
                <c:pt idx="39">
                  <c:v>4.7268540916532232E-4</c:v>
                </c:pt>
                <c:pt idx="40">
                  <c:v>2.9037514905536042E-3</c:v>
                </c:pt>
                <c:pt idx="41">
                  <c:v>1.3744676062602434E-2</c:v>
                </c:pt>
                <c:pt idx="42">
                  <c:v>5.2892301194459222E-2</c:v>
                </c:pt>
                <c:pt idx="43">
                  <c:v>0.17211852188333596</c:v>
                </c:pt>
                <c:pt idx="44">
                  <c:v>0.48788730195463637</c:v>
                </c:pt>
                <c:pt idx="45">
                  <c:v>1.2325396545465104</c:v>
                </c:pt>
                <c:pt idx="46">
                  <c:v>2.8255460495103497</c:v>
                </c:pt>
                <c:pt idx="47">
                  <c:v>5.9639118879091244</c:v>
                </c:pt>
                <c:pt idx="48">
                  <c:v>11.729230736660888</c:v>
                </c:pt>
                <c:pt idx="49">
                  <c:v>21.709222970948375</c:v>
                </c:pt>
                <c:pt idx="50">
                  <c:v>38.133444094002002</c:v>
                </c:pt>
                <c:pt idx="51">
                  <c:v>64.024494720082998</c:v>
                </c:pt>
                <c:pt idx="52">
                  <c:v>103.36555302362525</c:v>
                </c:pt>
                <c:pt idx="53">
                  <c:v>161.28137187543177</c:v>
                </c:pt>
                <c:pt idx="54">
                  <c:v>177.89291256402961</c:v>
                </c:pt>
                <c:pt idx="55">
                  <c:v>280.36735611097754</c:v>
                </c:pt>
                <c:pt idx="56">
                  <c:v>427.07811706368591</c:v>
                </c:pt>
                <c:pt idx="57">
                  <c:v>630.84715786776644</c:v>
                </c:pt>
                <c:pt idx="58">
                  <c:v>906.20280733092886</c:v>
                </c:pt>
                <c:pt idx="59">
                  <c:v>1269.1347662049882</c:v>
                </c:pt>
                <c:pt idx="60">
                  <c:v>1736.7591757755515</c:v>
                </c:pt>
                <c:pt idx="61">
                  <c:v>2326.9109965351204</c:v>
                </c:pt>
                <c:pt idx="62">
                  <c:v>3057.6852377631972</c:v>
                </c:pt>
                <c:pt idx="63">
                  <c:v>3946.950796681635</c:v>
                </c:pt>
                <c:pt idx="64">
                  <c:v>5011.860906359665</c:v>
                </c:pt>
                <c:pt idx="65">
                  <c:v>6268.3827280753967</c:v>
                </c:pt>
                <c:pt idx="66">
                  <c:v>7730.8658351714957</c:v>
                </c:pt>
                <c:pt idx="67">
                  <c:v>9411.6656426695663</c:v>
                </c:pt>
                <c:pt idx="68">
                  <c:v>11320.833652693669</c:v>
                </c:pt>
                <c:pt idx="69">
                  <c:v>13465.882078228418</c:v>
                </c:pt>
                <c:pt idx="70">
                  <c:v>15851.626278701038</c:v>
                </c:pt>
                <c:pt idx="71">
                  <c:v>18480.104716344176</c:v>
                </c:pt>
                <c:pt idx="72">
                  <c:v>21350.572972603877</c:v>
                </c:pt>
                <c:pt idx="73">
                  <c:v>24459.565830411917</c:v>
                </c:pt>
                <c:pt idx="74">
                  <c:v>27801.019554172199</c:v>
                </c:pt>
                <c:pt idx="75">
                  <c:v>31366.445262399022</c:v>
                </c:pt>
                <c:pt idx="76">
                  <c:v>35145.1436326927</c:v>
                </c:pt>
                <c:pt idx="77">
                  <c:v>39124.451028498035</c:v>
                </c:pt>
                <c:pt idx="78">
                  <c:v>43290.007403986529</c:v>
                </c:pt>
                <c:pt idx="79">
                  <c:v>47626.036936478224</c:v>
                </c:pt>
                <c:pt idx="80">
                  <c:v>52115.633167139393</c:v>
                </c:pt>
                <c:pt idx="81">
                  <c:v>56741.041419626286</c:v>
                </c:pt>
                <c:pt idx="82">
                  <c:v>61483.932342251152</c:v>
                </c:pt>
                <c:pt idx="83">
                  <c:v>66325.661522775845</c:v>
                </c:pt>
                <c:pt idx="84">
                  <c:v>71247.51120842305</c:v>
                </c:pt>
                <c:pt idx="85">
                  <c:v>76230.911190638726</c:v>
                </c:pt>
                <c:pt idx="86">
                  <c:v>81257.636858365309</c:v>
                </c:pt>
                <c:pt idx="87">
                  <c:v>86309.98326793914</c:v>
                </c:pt>
                <c:pt idx="88">
                  <c:v>91370.914812723233</c:v>
                </c:pt>
                <c:pt idx="89">
                  <c:v>96424.190697983926</c:v>
                </c:pt>
                <c:pt idx="90">
                  <c:v>101454.46693801886</c:v>
                </c:pt>
                <c:pt idx="91">
                  <c:v>106447.37599845715</c:v>
                </c:pt>
                <c:pt idx="92">
                  <c:v>111389.58551494063</c:v>
                </c:pt>
                <c:pt idx="93">
                  <c:v>116268.83773965859</c:v>
                </c:pt>
                <c:pt idx="94">
                  <c:v>121073.97150995432</c:v>
                </c:pt>
                <c:pt idx="95">
                  <c:v>125794.92860924851</c:v>
                </c:pt>
                <c:pt idx="96">
                  <c:v>130422.74641050897</c:v>
                </c:pt>
                <c:pt idx="97">
                  <c:v>134949.53866653281</c:v>
                </c:pt>
                <c:pt idx="98">
                  <c:v>139368.46624883637</c:v>
                </c:pt>
                <c:pt idx="99">
                  <c:v>143673.69954644406</c:v>
                </c:pt>
                <c:pt idx="100">
                  <c:v>147860.37412487992</c:v>
                </c:pt>
                <c:pt idx="101">
                  <c:v>151924.54112074536</c:v>
                </c:pt>
                <c:pt idx="102">
                  <c:v>155863.11371396549</c:v>
                </c:pt>
                <c:pt idx="103">
                  <c:v>159673.81088277901</c:v>
                </c:pt>
                <c:pt idx="104">
                  <c:v>163355.09950958795</c:v>
                </c:pt>
                <c:pt idx="105">
                  <c:v>166906.13577190106</c:v>
                </c:pt>
                <c:pt idx="106">
                  <c:v>170326.70662412138</c:v>
                </c:pt>
                <c:pt idx="107">
                  <c:v>173617.17205452768</c:v>
                </c:pt>
                <c:pt idx="108">
                  <c:v>176778.40868871909</c:v>
                </c:pt>
                <c:pt idx="109">
                  <c:v>179811.75520674791</c:v>
                </c:pt>
                <c:pt idx="110">
                  <c:v>182718.95994659094</c:v>
                </c:pt>
                <c:pt idx="111">
                  <c:v>185502.13098157951</c:v>
                </c:pt>
                <c:pt idx="112">
                  <c:v>188163.68888382229</c:v>
                </c:pt>
                <c:pt idx="113">
                  <c:v>190706.32231918254</c:v>
                </c:pt>
                <c:pt idx="114">
                  <c:v>193132.94656158893</c:v>
                </c:pt>
                <c:pt idx="115">
                  <c:v>195446.66496482416</c:v>
                </c:pt>
                <c:pt idx="116">
                  <c:v>197650.73338786166</c:v>
                </c:pt>
                <c:pt idx="117">
                  <c:v>199748.52753466243</c:v>
                </c:pt>
                <c:pt idx="118">
                  <c:v>201743.51314047718</c:v>
                </c:pt>
                <c:pt idx="119">
                  <c:v>203639.218913466</c:v>
                </c:pt>
                <c:pt idx="120">
                  <c:v>205439.21212223719</c:v>
                </c:pt>
                <c:pt idx="121">
                  <c:v>207147.07670611676</c:v>
                </c:pt>
                <c:pt idx="122">
                  <c:v>208766.39377502905</c:v>
                </c:pt>
                <c:pt idx="123">
                  <c:v>210300.72435927263</c:v>
                </c:pt>
                <c:pt idx="124">
                  <c:v>211753.59426572785</c:v>
                </c:pt>
                <c:pt idx="125">
                  <c:v>213128.4808956983</c:v>
                </c:pt>
                <c:pt idx="126">
                  <c:v>214428.80188025994</c:v>
                </c:pt>
                <c:pt idx="127">
                  <c:v>215657.90539131587</c:v>
                </c:pt>
                <c:pt idx="128">
                  <c:v>216819.06199021783</c:v>
                </c:pt>
                <c:pt idx="129">
                  <c:v>217915.45788052466</c:v>
                </c:pt>
                <c:pt idx="130">
                  <c:v>218950.18943699327</c:v>
                </c:pt>
                <c:pt idx="131">
                  <c:v>219926.25888901411</c:v>
                </c:pt>
                <c:pt idx="132">
                  <c:v>220846.57104323604</c:v>
                </c:pt>
                <c:pt idx="133">
                  <c:v>221713.93093691496</c:v>
                </c:pt>
                <c:pt idx="134">
                  <c:v>222531.04232043843</c:v>
                </c:pt>
                <c:pt idx="135">
                  <c:v>223300.50687441678</c:v>
                </c:pt>
                <c:pt idx="136">
                  <c:v>224024.82407359386</c:v>
                </c:pt>
                <c:pt idx="137">
                  <c:v>224706.39161655519</c:v>
                </c:pt>
                <c:pt idx="138">
                  <c:v>225347.50634673334</c:v>
                </c:pt>
                <c:pt idx="139">
                  <c:v>225950.36559648617</c:v>
                </c:pt>
                <c:pt idx="140">
                  <c:v>226517.06889202536</c:v>
                </c:pt>
                <c:pt idx="141">
                  <c:v>227049.61996266877</c:v>
                </c:pt>
                <c:pt idx="142">
                  <c:v>227549.92900327404</c:v>
                </c:pt>
                <c:pt idx="143">
                  <c:v>228019.81514376547</c:v>
                </c:pt>
                <c:pt idx="144">
                  <c:v>228461.00908439638</c:v>
                </c:pt>
                <c:pt idx="145">
                  <c:v>228875.15585979028</c:v>
                </c:pt>
                <c:pt idx="146">
                  <c:v>229263.8176988872</c:v>
                </c:pt>
                <c:pt idx="147">
                  <c:v>229628.47695168926</c:v>
                </c:pt>
                <c:pt idx="148">
                  <c:v>229970.53905716853</c:v>
                </c:pt>
                <c:pt idx="149">
                  <c:v>230291.33552987993</c:v>
                </c:pt>
                <c:pt idx="150">
                  <c:v>230592.1269457241</c:v>
                </c:pt>
                <c:pt idx="151">
                  <c:v>230874.10590995103</c:v>
                </c:pt>
                <c:pt idx="152">
                  <c:v>231138.39999289124</c:v>
                </c:pt>
                <c:pt idx="153">
                  <c:v>231386.07462107181</c:v>
                </c:pt>
                <c:pt idx="154">
                  <c:v>231618.13591332614</c:v>
                </c:pt>
                <c:pt idx="155">
                  <c:v>231835.53345326131</c:v>
                </c:pt>
                <c:pt idx="156">
                  <c:v>232039.16299101591</c:v>
                </c:pt>
                <c:pt idx="157">
                  <c:v>232229.86906863999</c:v>
                </c:pt>
                <c:pt idx="158">
                  <c:v>232408.44756466881</c:v>
                </c:pt>
                <c:pt idx="159">
                  <c:v>232575.6481545617</c:v>
                </c:pt>
                <c:pt idx="160">
                  <c:v>232732.17668464207</c:v>
                </c:pt>
                <c:pt idx="161">
                  <c:v>232878.6974580216</c:v>
                </c:pt>
                <c:pt idx="162">
                  <c:v>233015.83543172845</c:v>
                </c:pt>
                <c:pt idx="163">
                  <c:v>233144.17832489943</c:v>
                </c:pt>
                <c:pt idx="164">
                  <c:v>233264.27863844397</c:v>
                </c:pt>
                <c:pt idx="165">
                  <c:v>233376.65558705977</c:v>
                </c:pt>
                <c:pt idx="166">
                  <c:v>233481.796944876</c:v>
                </c:pt>
                <c:pt idx="167">
                  <c:v>233580.16080633365</c:v>
                </c:pt>
                <c:pt idx="168">
                  <c:v>233672.17726419002</c:v>
                </c:pt>
                <c:pt idx="169">
                  <c:v>233758.25000675643</c:v>
                </c:pt>
                <c:pt idx="170">
                  <c:v>233838.75783666124</c:v>
                </c:pt>
                <c:pt idx="171">
                  <c:v>233914.05611356712</c:v>
                </c:pt>
                <c:pt idx="172">
                  <c:v>233984.47812337833</c:v>
                </c:pt>
                <c:pt idx="173">
                  <c:v>234050.33637654621</c:v>
                </c:pt>
                <c:pt idx="174">
                  <c:v>234111.9238381293</c:v>
                </c:pt>
                <c:pt idx="175">
                  <c:v>234169.51509228779</c:v>
                </c:pt>
                <c:pt idx="176">
                  <c:v>234223.36744389645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C29-4763-8D31-F39940B2BA58}"/>
            </c:ext>
          </c:extLst>
        </c:ser>
        <c:ser>
          <c:idx val="2"/>
          <c:order val="2"/>
          <c:tx>
            <c:strRef>
              <c:f>'Cumul_cases - LNorm'!$F$7</c:f>
              <c:strCache>
                <c:ptCount val="1"/>
                <c:pt idx="0">
                  <c:v>Italy sum of regions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'Cumul_cases - LNorm'!$C$44:$C$184</c:f>
              <c:numCache>
                <c:formatCode>General</c:formatCode>
                <c:ptCount val="141"/>
                <c:pt idx="0">
                  <c:v>37</c:v>
                </c:pt>
                <c:pt idx="1">
                  <c:v>38</c:v>
                </c:pt>
                <c:pt idx="2">
                  <c:v>39</c:v>
                </c:pt>
                <c:pt idx="3">
                  <c:v>40</c:v>
                </c:pt>
                <c:pt idx="4">
                  <c:v>41</c:v>
                </c:pt>
                <c:pt idx="5">
                  <c:v>42</c:v>
                </c:pt>
                <c:pt idx="6">
                  <c:v>43</c:v>
                </c:pt>
                <c:pt idx="7">
                  <c:v>44</c:v>
                </c:pt>
                <c:pt idx="8">
                  <c:v>45</c:v>
                </c:pt>
                <c:pt idx="9">
                  <c:v>46</c:v>
                </c:pt>
                <c:pt idx="10">
                  <c:v>47</c:v>
                </c:pt>
                <c:pt idx="11">
                  <c:v>48</c:v>
                </c:pt>
                <c:pt idx="12">
                  <c:v>49</c:v>
                </c:pt>
                <c:pt idx="13">
                  <c:v>50</c:v>
                </c:pt>
                <c:pt idx="14">
                  <c:v>51</c:v>
                </c:pt>
                <c:pt idx="15">
                  <c:v>52</c:v>
                </c:pt>
                <c:pt idx="16">
                  <c:v>53</c:v>
                </c:pt>
                <c:pt idx="17">
                  <c:v>54</c:v>
                </c:pt>
                <c:pt idx="18">
                  <c:v>55</c:v>
                </c:pt>
                <c:pt idx="19">
                  <c:v>56</c:v>
                </c:pt>
                <c:pt idx="20">
                  <c:v>57</c:v>
                </c:pt>
                <c:pt idx="21">
                  <c:v>58</c:v>
                </c:pt>
                <c:pt idx="22">
                  <c:v>59</c:v>
                </c:pt>
                <c:pt idx="23">
                  <c:v>60</c:v>
                </c:pt>
                <c:pt idx="24">
                  <c:v>61</c:v>
                </c:pt>
                <c:pt idx="25">
                  <c:v>62</c:v>
                </c:pt>
                <c:pt idx="26">
                  <c:v>63</c:v>
                </c:pt>
                <c:pt idx="27">
                  <c:v>64</c:v>
                </c:pt>
                <c:pt idx="28">
                  <c:v>65</c:v>
                </c:pt>
                <c:pt idx="29">
                  <c:v>66</c:v>
                </c:pt>
                <c:pt idx="30">
                  <c:v>67</c:v>
                </c:pt>
                <c:pt idx="31">
                  <c:v>68</c:v>
                </c:pt>
                <c:pt idx="32">
                  <c:v>69</c:v>
                </c:pt>
                <c:pt idx="33">
                  <c:v>70</c:v>
                </c:pt>
                <c:pt idx="34">
                  <c:v>71</c:v>
                </c:pt>
                <c:pt idx="35">
                  <c:v>72</c:v>
                </c:pt>
                <c:pt idx="36">
                  <c:v>73</c:v>
                </c:pt>
                <c:pt idx="37">
                  <c:v>74</c:v>
                </c:pt>
                <c:pt idx="38">
                  <c:v>75</c:v>
                </c:pt>
                <c:pt idx="39">
                  <c:v>76</c:v>
                </c:pt>
                <c:pt idx="40">
                  <c:v>77</c:v>
                </c:pt>
                <c:pt idx="41">
                  <c:v>78</c:v>
                </c:pt>
                <c:pt idx="42">
                  <c:v>79</c:v>
                </c:pt>
                <c:pt idx="43">
                  <c:v>80</c:v>
                </c:pt>
                <c:pt idx="44">
                  <c:v>81</c:v>
                </c:pt>
                <c:pt idx="45">
                  <c:v>82</c:v>
                </c:pt>
                <c:pt idx="46">
                  <c:v>83</c:v>
                </c:pt>
                <c:pt idx="47">
                  <c:v>84</c:v>
                </c:pt>
                <c:pt idx="48">
                  <c:v>85</c:v>
                </c:pt>
                <c:pt idx="49">
                  <c:v>86</c:v>
                </c:pt>
                <c:pt idx="50">
                  <c:v>87</c:v>
                </c:pt>
                <c:pt idx="51">
                  <c:v>88</c:v>
                </c:pt>
                <c:pt idx="52">
                  <c:v>89</c:v>
                </c:pt>
                <c:pt idx="53">
                  <c:v>90</c:v>
                </c:pt>
                <c:pt idx="54">
                  <c:v>91</c:v>
                </c:pt>
                <c:pt idx="55">
                  <c:v>92</c:v>
                </c:pt>
                <c:pt idx="56">
                  <c:v>93</c:v>
                </c:pt>
                <c:pt idx="57">
                  <c:v>94</c:v>
                </c:pt>
                <c:pt idx="58">
                  <c:v>95</c:v>
                </c:pt>
                <c:pt idx="59">
                  <c:v>96</c:v>
                </c:pt>
                <c:pt idx="60">
                  <c:v>97</c:v>
                </c:pt>
                <c:pt idx="61">
                  <c:v>98</c:v>
                </c:pt>
                <c:pt idx="62">
                  <c:v>99</c:v>
                </c:pt>
                <c:pt idx="63">
                  <c:v>100</c:v>
                </c:pt>
                <c:pt idx="64">
                  <c:v>101</c:v>
                </c:pt>
                <c:pt idx="65">
                  <c:v>102</c:v>
                </c:pt>
                <c:pt idx="66">
                  <c:v>103</c:v>
                </c:pt>
                <c:pt idx="67">
                  <c:v>104</c:v>
                </c:pt>
                <c:pt idx="68">
                  <c:v>105</c:v>
                </c:pt>
                <c:pt idx="69">
                  <c:v>106</c:v>
                </c:pt>
                <c:pt idx="70">
                  <c:v>107</c:v>
                </c:pt>
                <c:pt idx="71">
                  <c:v>108</c:v>
                </c:pt>
                <c:pt idx="72">
                  <c:v>109</c:v>
                </c:pt>
                <c:pt idx="73">
                  <c:v>110</c:v>
                </c:pt>
                <c:pt idx="74">
                  <c:v>111</c:v>
                </c:pt>
                <c:pt idx="75">
                  <c:v>112</c:v>
                </c:pt>
                <c:pt idx="76">
                  <c:v>113</c:v>
                </c:pt>
                <c:pt idx="77">
                  <c:v>114</c:v>
                </c:pt>
                <c:pt idx="78">
                  <c:v>115</c:v>
                </c:pt>
                <c:pt idx="79">
                  <c:v>116</c:v>
                </c:pt>
                <c:pt idx="80">
                  <c:v>117</c:v>
                </c:pt>
                <c:pt idx="81">
                  <c:v>118</c:v>
                </c:pt>
                <c:pt idx="82">
                  <c:v>119</c:v>
                </c:pt>
                <c:pt idx="83">
                  <c:v>120</c:v>
                </c:pt>
                <c:pt idx="84">
                  <c:v>121</c:v>
                </c:pt>
                <c:pt idx="85">
                  <c:v>122</c:v>
                </c:pt>
                <c:pt idx="86">
                  <c:v>123</c:v>
                </c:pt>
                <c:pt idx="87">
                  <c:v>124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130</c:v>
                </c:pt>
                <c:pt idx="94">
                  <c:v>131</c:v>
                </c:pt>
                <c:pt idx="95">
                  <c:v>132</c:v>
                </c:pt>
                <c:pt idx="96">
                  <c:v>133</c:v>
                </c:pt>
                <c:pt idx="97">
                  <c:v>134</c:v>
                </c:pt>
                <c:pt idx="98">
                  <c:v>135</c:v>
                </c:pt>
                <c:pt idx="99">
                  <c:v>136</c:v>
                </c:pt>
                <c:pt idx="100">
                  <c:v>137</c:v>
                </c:pt>
                <c:pt idx="101">
                  <c:v>138</c:v>
                </c:pt>
                <c:pt idx="102">
                  <c:v>139</c:v>
                </c:pt>
                <c:pt idx="103">
                  <c:v>140</c:v>
                </c:pt>
                <c:pt idx="104">
                  <c:v>141</c:v>
                </c:pt>
                <c:pt idx="105">
                  <c:v>142</c:v>
                </c:pt>
                <c:pt idx="106">
                  <c:v>143</c:v>
                </c:pt>
                <c:pt idx="107">
                  <c:v>144</c:v>
                </c:pt>
                <c:pt idx="108">
                  <c:v>145</c:v>
                </c:pt>
                <c:pt idx="109">
                  <c:v>146</c:v>
                </c:pt>
                <c:pt idx="110">
                  <c:v>147</c:v>
                </c:pt>
                <c:pt idx="111">
                  <c:v>148</c:v>
                </c:pt>
                <c:pt idx="112">
                  <c:v>149</c:v>
                </c:pt>
                <c:pt idx="113">
                  <c:v>150</c:v>
                </c:pt>
                <c:pt idx="114">
                  <c:v>151</c:v>
                </c:pt>
                <c:pt idx="115">
                  <c:v>152</c:v>
                </c:pt>
                <c:pt idx="116">
                  <c:v>153</c:v>
                </c:pt>
                <c:pt idx="117">
                  <c:v>154</c:v>
                </c:pt>
                <c:pt idx="118">
                  <c:v>155</c:v>
                </c:pt>
                <c:pt idx="119">
                  <c:v>156</c:v>
                </c:pt>
                <c:pt idx="120">
                  <c:v>157</c:v>
                </c:pt>
                <c:pt idx="121">
                  <c:v>158</c:v>
                </c:pt>
                <c:pt idx="122">
                  <c:v>159</c:v>
                </c:pt>
                <c:pt idx="123">
                  <c:v>160</c:v>
                </c:pt>
                <c:pt idx="124">
                  <c:v>161</c:v>
                </c:pt>
                <c:pt idx="125">
                  <c:v>162</c:v>
                </c:pt>
                <c:pt idx="126">
                  <c:v>163</c:v>
                </c:pt>
                <c:pt idx="127">
                  <c:v>164</c:v>
                </c:pt>
                <c:pt idx="128">
                  <c:v>165</c:v>
                </c:pt>
                <c:pt idx="129">
                  <c:v>166</c:v>
                </c:pt>
                <c:pt idx="130">
                  <c:v>167</c:v>
                </c:pt>
                <c:pt idx="131">
                  <c:v>168</c:v>
                </c:pt>
                <c:pt idx="132">
                  <c:v>169</c:v>
                </c:pt>
                <c:pt idx="133">
                  <c:v>170</c:v>
                </c:pt>
                <c:pt idx="134">
                  <c:v>171</c:v>
                </c:pt>
                <c:pt idx="135">
                  <c:v>172</c:v>
                </c:pt>
                <c:pt idx="136">
                  <c:v>173</c:v>
                </c:pt>
                <c:pt idx="137">
                  <c:v>174</c:v>
                </c:pt>
                <c:pt idx="138">
                  <c:v>175</c:v>
                </c:pt>
                <c:pt idx="139">
                  <c:v>176</c:v>
                </c:pt>
                <c:pt idx="140">
                  <c:v>177</c:v>
                </c:pt>
              </c:numCache>
            </c:numRef>
          </c:xVal>
          <c:yVal>
            <c:numRef>
              <c:f>'Cumul_cases - LNorm'!$F$44:$F$184</c:f>
              <c:numCache>
                <c:formatCode>0</c:formatCode>
                <c:ptCount val="141"/>
                <c:pt idx="0">
                  <c:v>1.6452786763801899E-7</c:v>
                </c:pt>
                <c:pt idx="1">
                  <c:v>4.0922874212949553E-6</c:v>
                </c:pt>
                <c:pt idx="2">
                  <c:v>5.4980686627547732E-5</c:v>
                </c:pt>
                <c:pt idx="3">
                  <c:v>4.7268540916532232E-4</c:v>
                </c:pt>
                <c:pt idx="4">
                  <c:v>2.9037514905536042E-3</c:v>
                </c:pt>
                <c:pt idx="5">
                  <c:v>1.3744676062602434E-2</c:v>
                </c:pt>
                <c:pt idx="6">
                  <c:v>5.2892301194459222E-2</c:v>
                </c:pt>
                <c:pt idx="7">
                  <c:v>0.17211852188333596</c:v>
                </c:pt>
                <c:pt idx="8">
                  <c:v>0.48788730195463637</c:v>
                </c:pt>
                <c:pt idx="9">
                  <c:v>1.2325396545465104</c:v>
                </c:pt>
                <c:pt idx="10">
                  <c:v>2.8255460495103497</c:v>
                </c:pt>
                <c:pt idx="11">
                  <c:v>5.9639118879091244</c:v>
                </c:pt>
                <c:pt idx="12">
                  <c:v>11.729230736660888</c:v>
                </c:pt>
                <c:pt idx="13">
                  <c:v>21.709222970948375</c:v>
                </c:pt>
                <c:pt idx="14">
                  <c:v>38.133444094002002</c:v>
                </c:pt>
                <c:pt idx="15">
                  <c:v>64.024494720082998</c:v>
                </c:pt>
                <c:pt idx="16">
                  <c:v>103.36555302362525</c:v>
                </c:pt>
                <c:pt idx="17">
                  <c:v>161.28137187543177</c:v>
                </c:pt>
                <c:pt idx="18">
                  <c:v>244.2235783812792</c:v>
                </c:pt>
                <c:pt idx="19">
                  <c:v>360.14400750899983</c:v>
                </c:pt>
                <c:pt idx="20">
                  <c:v>518.63417298978618</c:v>
                </c:pt>
                <c:pt idx="21">
                  <c:v>731.00667902949851</c:v>
                </c:pt>
                <c:pt idx="22">
                  <c:v>1010.29626931027</c:v>
                </c:pt>
                <c:pt idx="23">
                  <c:v>1371.164054113412</c:v>
                </c:pt>
                <c:pt idx="24">
                  <c:v>1829.6971437101604</c:v>
                </c:pt>
                <c:pt idx="25">
                  <c:v>2403.10588496729</c:v>
                </c:pt>
                <c:pt idx="26">
                  <c:v>3109.3305548019885</c:v>
                </c:pt>
                <c:pt idx="27">
                  <c:v>3966.5774007833652</c:v>
                </c:pt>
                <c:pt idx="28">
                  <c:v>4992.8094864000268</c:v>
                </c:pt>
                <c:pt idx="29">
                  <c:v>6205.2205426203027</c:v>
                </c:pt>
                <c:pt idx="30">
                  <c:v>7619.7200291023146</c:v>
                </c:pt>
                <c:pt idx="31">
                  <c:v>9250.4552672215996</c:v>
                </c:pt>
                <c:pt idx="32">
                  <c:v>11109.392409622546</c:v>
                </c:pt>
                <c:pt idx="33">
                  <c:v>13205.97281082476</c:v>
                </c:pt>
                <c:pt idx="34">
                  <c:v>15546.85568695049</c:v>
                </c:pt>
                <c:pt idx="35">
                  <c:v>18135.752336390269</c:v>
                </c:pt>
                <c:pt idx="36">
                  <c:v>20973.352050556168</c:v>
                </c:pt>
                <c:pt idx="37">
                  <c:v>24057.335455797715</c:v>
                </c:pt>
                <c:pt idx="38">
                  <c:v>27382.467550749243</c:v>
                </c:pt>
                <c:pt idx="39">
                  <c:v>30940.760188690729</c:v>
                </c:pt>
                <c:pt idx="40">
                  <c:v>34721.692170457092</c:v>
                </c:pt>
                <c:pt idx="41">
                  <c:v>38712.47437050291</c:v>
                </c:pt>
                <c:pt idx="42">
                  <c:v>42898.34729166919</c:v>
                </c:pt>
                <c:pt idx="43">
                  <c:v>47262.898990850474</c:v>
                </c:pt>
                <c:pt idx="44">
                  <c:v>51788.392293714103</c:v>
                </c:pt>
                <c:pt idx="45">
                  <c:v>56456.091485776371</c:v>
                </c:pt>
                <c:pt idx="46">
                  <c:v>61246.580108486727</c:v>
                </c:pt>
                <c:pt idx="47">
                  <c:v>66140.063000390539</c:v>
                </c:pt>
                <c:pt idx="48">
                  <c:v>71116.64722294877</c:v>
                </c:pt>
                <c:pt idx="49">
                  <c:v>76156.597935979022</c:v>
                </c:pt>
                <c:pt idx="50">
                  <c:v>81240.566594869859</c:v>
                </c:pt>
                <c:pt idx="51">
                  <c:v>86349.790002497699</c:v>
                </c:pt>
                <c:pt idx="52">
                  <c:v>91466.259748193843</c:v>
                </c:pt>
                <c:pt idx="53">
                  <c:v>96572.862399826437</c:v>
                </c:pt>
                <c:pt idx="54">
                  <c:v>101653.49148685293</c:v>
                </c:pt>
                <c:pt idx="55">
                  <c:v>106693.13283167446</c:v>
                </c:pt>
                <c:pt idx="56">
                  <c:v>111677.92516733294</c:v>
                </c:pt>
                <c:pt idx="57">
                  <c:v>116595.19823737163</c:v>
                </c:pt>
                <c:pt idx="58">
                  <c:v>121433.49072542376</c:v>
                </c:pt>
                <c:pt idx="59">
                  <c:v>126182.5504247365</c:v>
                </c:pt>
                <c:pt idx="60">
                  <c:v>130833.31904764526</c:v>
                </c:pt>
                <c:pt idx="61">
                  <c:v>135377.90400714288</c:v>
                </c:pt>
                <c:pt idx="62">
                  <c:v>139809.53939077051</c:v>
                </c:pt>
                <c:pt idx="63">
                  <c:v>144122.53820318717</c:v>
                </c:pt>
                <c:pt idx="64">
                  <c:v>148312.23778828976</c:v>
                </c:pt>
                <c:pt idx="65">
                  <c:v>152374.94016345244</c:v>
                </c:pt>
                <c:pt idx="66">
                  <c:v>156307.84881447605</c:v>
                </c:pt>
                <c:pt idx="67">
                  <c:v>160109.00331601998</c:v>
                </c:pt>
                <c:pt idx="68">
                  <c:v>163777.21296308562</c:v>
                </c:pt>
                <c:pt idx="69">
                  <c:v>167311.99042796053</c:v>
                </c:pt>
                <c:pt idx="70">
                  <c:v>170713.48629632263</c:v>
                </c:pt>
                <c:pt idx="71">
                  <c:v>173982.42518758285</c:v>
                </c:pt>
                <c:pt idx="72">
                  <c:v>177120.04402895441</c:v>
                </c:pt>
                <c:pt idx="73">
                  <c:v>180128.03293061454</c:v>
                </c:pt>
                <c:pt idx="74">
                  <c:v>183008.4790006371</c:v>
                </c:pt>
                <c:pt idx="75">
                  <c:v>185763.81334280915</c:v>
                </c:pt>
                <c:pt idx="76">
                  <c:v>188396.76139740302</c:v>
                </c:pt>
                <c:pt idx="77">
                  <c:v>190910.29671371981</c:v>
                </c:pt>
                <c:pt idx="78">
                  <c:v>193307.598182883</c:v>
                </c:pt>
                <c:pt idx="79">
                  <c:v>195592.01070900948</c:v>
                </c:pt>
                <c:pt idx="80">
                  <c:v>197767.00925557717</c:v>
                </c:pt>
                <c:pt idx="81">
                  <c:v>199836.1661705788</c:v>
                </c:pt>
                <c:pt idx="82">
                  <c:v>201803.12166798054</c:v>
                </c:pt>
                <c:pt idx="83">
                  <c:v>203671.5573232102</c:v>
                </c:pt>
                <c:pt idx="84">
                  <c:v>205445.17242604817</c:v>
                </c:pt>
                <c:pt idx="85">
                  <c:v>207127.66302461133</c:v>
                </c:pt>
                <c:pt idx="86">
                  <c:v>208722.70348841036</c:v>
                </c:pt>
                <c:pt idx="87">
                  <c:v>210233.93041607417</c:v>
                </c:pt>
                <c:pt idx="88">
                  <c:v>211664.92871370498</c:v>
                </c:pt>
                <c:pt idx="89">
                  <c:v>213019.21967243735</c:v>
                </c:pt>
                <c:pt idx="90">
                  <c:v>214300.25087818265</c:v>
                </c:pt>
                <c:pt idx="91">
                  <c:v>215511.38779234685</c:v>
                </c:pt>
                <c:pt idx="92">
                  <c:v>216655.90684917575</c:v>
                </c:pt>
                <c:pt idx="93">
                  <c:v>217736.9899230242</c:v>
                </c:pt>
                <c:pt idx="94">
                  <c:v>218757.72002700187</c:v>
                </c:pt>
                <c:pt idx="95">
                  <c:v>219721.07811292523</c:v>
                </c:pt>
                <c:pt idx="96">
                  <c:v>220629.94085111681</c:v>
                </c:pt>
                <c:pt idx="97">
                  <c:v>221487.07927720773</c:v>
                </c:pt>
                <c:pt idx="98">
                  <c:v>222295.15820159164</c:v>
                </c:pt>
                <c:pt idx="99">
                  <c:v>223056.73628546734</c:v>
                </c:pt>
                <c:pt idx="100">
                  <c:v>223774.2666954124</c:v>
                </c:pt>
                <c:pt idx="101">
                  <c:v>224450.09825610532</c:v>
                </c:pt>
                <c:pt idx="102">
                  <c:v>225086.47702811612</c:v>
                </c:pt>
                <c:pt idx="103">
                  <c:v>225685.54824459017</c:v>
                </c:pt>
                <c:pt idx="104">
                  <c:v>226249.35854714314</c:v>
                </c:pt>
                <c:pt idx="105">
                  <c:v>226779.85846735528</c:v>
                </c:pt>
                <c:pt idx="106">
                  <c:v>227278.90510590805</c:v>
                </c:pt>
                <c:pt idx="107">
                  <c:v>227748.2649666428</c:v>
                </c:pt>
                <c:pt idx="108">
                  <c:v>228189.61690765643</c:v>
                </c:pt>
                <c:pt idx="109">
                  <c:v>228604.5551759933</c:v>
                </c:pt>
                <c:pt idx="110">
                  <c:v>228994.59249656362</c:v>
                </c:pt>
                <c:pt idx="111">
                  <c:v>229361.16318963227</c:v>
                </c:pt>
                <c:pt idx="112">
                  <c:v>229705.62629460136</c:v>
                </c:pt>
                <c:pt idx="113">
                  <c:v>230029.26868087053</c:v>
                </c:pt>
                <c:pt idx="114">
                  <c:v>230333.30812932408</c:v>
                </c:pt>
                <c:pt idx="115">
                  <c:v>230618.8963704842</c:v>
                </c:pt>
                <c:pt idx="116">
                  <c:v>230887.12206760075</c:v>
                </c:pt>
                <c:pt idx="117">
                  <c:v>231139.01373494638</c:v>
                </c:pt>
                <c:pt idx="118">
                  <c:v>231375.54258336208</c:v>
                </c:pt>
                <c:pt idx="119">
                  <c:v>231597.62528667797</c:v>
                </c:pt>
                <c:pt idx="120">
                  <c:v>231806.12666402874</c:v>
                </c:pt>
                <c:pt idx="121">
                  <c:v>232001.86227431142</c:v>
                </c:pt>
                <c:pt idx="122">
                  <c:v>232185.60092011085</c:v>
                </c:pt>
                <c:pt idx="123">
                  <c:v>232358.06705935643</c:v>
                </c:pt>
                <c:pt idx="124">
                  <c:v>232519.94312379044</c:v>
                </c:pt>
                <c:pt idx="125">
                  <c:v>232671.8717440301</c:v>
                </c:pt>
                <c:pt idx="126">
                  <c:v>232814.45788160968</c:v>
                </c:pt>
                <c:pt idx="127">
                  <c:v>232948.27086890029</c:v>
                </c:pt>
                <c:pt idx="128">
                  <c:v>233073.84635823951</c:v>
                </c:pt>
                <c:pt idx="129">
                  <c:v>233191.68818196113</c:v>
                </c:pt>
                <c:pt idx="130">
                  <c:v>233302.27012531471</c:v>
                </c:pt>
                <c:pt idx="131">
                  <c:v>233406.03761450434</c:v>
                </c:pt>
                <c:pt idx="132">
                  <c:v>233503.40932226798</c:v>
                </c:pt>
                <c:pt idx="133">
                  <c:v>233594.77869356587</c:v>
                </c:pt>
                <c:pt idx="134">
                  <c:v>233680.51539405785</c:v>
                </c:pt>
                <c:pt idx="135">
                  <c:v>233760.96668412344</c:v>
                </c:pt>
                <c:pt idx="136">
                  <c:v>233836.45872122922</c:v>
                </c:pt>
                <c:pt idx="137">
                  <c:v>233907.29779346852</c:v>
                </c:pt>
                <c:pt idx="138">
                  <c:v>233973.77148710235</c:v>
                </c:pt>
                <c:pt idx="139">
                  <c:v>234036.1497909117</c:v>
                </c:pt>
                <c:pt idx="140">
                  <c:v>234094.68614014282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89-485B-94E8-12F79C292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  <a:r>
                  <a:rPr lang="en-US" baseline="0"/>
                  <a:t> from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 number of cases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70C0"/>
                </a:solidFill>
              </a:rPr>
              <a:t>Italy - Daily new cases (velocity) - Lognormal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'New_cases - LNorm'!$E$7</c:f>
              <c:strCache>
                <c:ptCount val="1"/>
                <c:pt idx="0">
                  <c:v>Italy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LNorm'!$E$8:$E$281</c:f>
              <c:numCache>
                <c:formatCode>General</c:formatCode>
                <c:ptCount val="274"/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17</c:v>
                </c:pt>
                <c:pt idx="52">
                  <c:v>42</c:v>
                </c:pt>
                <c:pt idx="53">
                  <c:v>93</c:v>
                </c:pt>
                <c:pt idx="54">
                  <c:v>74</c:v>
                </c:pt>
                <c:pt idx="55">
                  <c:v>93</c:v>
                </c:pt>
                <c:pt idx="56">
                  <c:v>78</c:v>
                </c:pt>
                <c:pt idx="57">
                  <c:v>250</c:v>
                </c:pt>
                <c:pt idx="58">
                  <c:v>238</c:v>
                </c:pt>
                <c:pt idx="59">
                  <c:v>240</c:v>
                </c:pt>
                <c:pt idx="60">
                  <c:v>566</c:v>
                </c:pt>
                <c:pt idx="61">
                  <c:v>342</c:v>
                </c:pt>
                <c:pt idx="62">
                  <c:v>466</c:v>
                </c:pt>
                <c:pt idx="63">
                  <c:v>587</c:v>
                </c:pt>
                <c:pt idx="64">
                  <c:v>769</c:v>
                </c:pt>
                <c:pt idx="65">
                  <c:v>778</c:v>
                </c:pt>
                <c:pt idx="66">
                  <c:v>1247</c:v>
                </c:pt>
                <c:pt idx="67">
                  <c:v>1492</c:v>
                </c:pt>
                <c:pt idx="68">
                  <c:v>1797</c:v>
                </c:pt>
                <c:pt idx="69">
                  <c:v>977</c:v>
                </c:pt>
                <c:pt idx="70">
                  <c:v>2313</c:v>
                </c:pt>
                <c:pt idx="71">
                  <c:v>2651</c:v>
                </c:pt>
                <c:pt idx="72">
                  <c:v>2547</c:v>
                </c:pt>
                <c:pt idx="73">
                  <c:v>3497</c:v>
                </c:pt>
                <c:pt idx="74">
                  <c:v>3590</c:v>
                </c:pt>
                <c:pt idx="75">
                  <c:v>3233</c:v>
                </c:pt>
                <c:pt idx="76">
                  <c:v>3526</c:v>
                </c:pt>
                <c:pt idx="77">
                  <c:v>4207</c:v>
                </c:pt>
                <c:pt idx="78">
                  <c:v>5322</c:v>
                </c:pt>
                <c:pt idx="79">
                  <c:v>5986</c:v>
                </c:pt>
                <c:pt idx="80">
                  <c:v>6557</c:v>
                </c:pt>
                <c:pt idx="81">
                  <c:v>5560</c:v>
                </c:pt>
                <c:pt idx="82">
                  <c:v>4789</c:v>
                </c:pt>
                <c:pt idx="83">
                  <c:v>5249</c:v>
                </c:pt>
                <c:pt idx="84">
                  <c:v>5210</c:v>
                </c:pt>
                <c:pt idx="85">
                  <c:v>6153</c:v>
                </c:pt>
                <c:pt idx="86">
                  <c:v>5959</c:v>
                </c:pt>
                <c:pt idx="87">
                  <c:v>5974</c:v>
                </c:pt>
                <c:pt idx="88">
                  <c:v>5217</c:v>
                </c:pt>
                <c:pt idx="89">
                  <c:v>4050</c:v>
                </c:pt>
                <c:pt idx="90">
                  <c:v>4053</c:v>
                </c:pt>
                <c:pt idx="91">
                  <c:v>4782</c:v>
                </c:pt>
                <c:pt idx="92">
                  <c:v>4668</c:v>
                </c:pt>
                <c:pt idx="93">
                  <c:v>4585</c:v>
                </c:pt>
                <c:pt idx="94">
                  <c:v>4805</c:v>
                </c:pt>
                <c:pt idx="95">
                  <c:v>4316</c:v>
                </c:pt>
                <c:pt idx="96">
                  <c:v>3599</c:v>
                </c:pt>
                <c:pt idx="97">
                  <c:v>3039</c:v>
                </c:pt>
                <c:pt idx="98">
                  <c:v>3836</c:v>
                </c:pt>
                <c:pt idx="99">
                  <c:v>4204</c:v>
                </c:pt>
                <c:pt idx="100">
                  <c:v>3951</c:v>
                </c:pt>
                <c:pt idx="101">
                  <c:v>4694</c:v>
                </c:pt>
                <c:pt idx="102">
                  <c:v>4092</c:v>
                </c:pt>
                <c:pt idx="103">
                  <c:v>3153</c:v>
                </c:pt>
                <c:pt idx="104">
                  <c:v>2972</c:v>
                </c:pt>
                <c:pt idx="105">
                  <c:v>2667</c:v>
                </c:pt>
                <c:pt idx="106">
                  <c:v>3786</c:v>
                </c:pt>
                <c:pt idx="107">
                  <c:v>3493</c:v>
                </c:pt>
                <c:pt idx="108">
                  <c:v>3491</c:v>
                </c:pt>
                <c:pt idx="109">
                  <c:v>3047</c:v>
                </c:pt>
                <c:pt idx="110">
                  <c:v>2256</c:v>
                </c:pt>
                <c:pt idx="111">
                  <c:v>2729</c:v>
                </c:pt>
                <c:pt idx="112">
                  <c:v>3370</c:v>
                </c:pt>
                <c:pt idx="113">
                  <c:v>2646</c:v>
                </c:pt>
                <c:pt idx="114">
                  <c:v>3021</c:v>
                </c:pt>
                <c:pt idx="115">
                  <c:v>2357</c:v>
                </c:pt>
                <c:pt idx="116">
                  <c:v>2324</c:v>
                </c:pt>
                <c:pt idx="117">
                  <c:v>1739</c:v>
                </c:pt>
                <c:pt idx="118">
                  <c:v>2091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51-49D9-8412-5154FB7D0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'New_cases - LNorm'!$K$7</c:f>
              <c:strCache>
                <c:ptCount val="1"/>
                <c:pt idx="0">
                  <c:v>Italy fit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LNorm'!$K$8:$K$281</c:f>
              <c:numCache>
                <c:formatCode>General</c:formatCode>
                <c:ptCount val="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1.2197264050386761E-47</c:v>
                </c:pt>
                <c:pt idx="32">
                  <c:v>5.9820584762273079E-27</c:v>
                </c:pt>
                <c:pt idx="33">
                  <c:v>3.7996907641664968E-19</c:v>
                </c:pt>
                <c:pt idx="34">
                  <c:v>1.2034535835562843E-14</c:v>
                </c:pt>
                <c:pt idx="35">
                  <c:v>1.2873027263604413E-11</c:v>
                </c:pt>
                <c:pt idx="36">
                  <c:v>2.1088421338057601E-9</c:v>
                </c:pt>
                <c:pt idx="37">
                  <c:v>1.0686430414100911E-7</c:v>
                </c:pt>
                <c:pt idx="38">
                  <c:v>2.4487853943520069E-6</c:v>
                </c:pt>
                <c:pt idx="39">
                  <c:v>3.1821130784732354E-5</c:v>
                </c:pt>
                <c:pt idx="40">
                  <c:v>2.7103831779814785E-4</c:v>
                </c:pt>
                <c:pt idx="41">
                  <c:v>1.6685378040912065E-3</c:v>
                </c:pt>
                <c:pt idx="42">
                  <c:v>7.9520304709587222E-3</c:v>
                </c:pt>
                <c:pt idx="43">
                  <c:v>3.0843090355676554E-2</c:v>
                </c:pt>
                <c:pt idx="44">
                  <c:v>0.10106316225383834</c:v>
                </c:pt>
                <c:pt idx="45">
                  <c:v>0.28786132034104733</c:v>
                </c:pt>
                <c:pt idx="46">
                  <c:v>0.72878163630395276</c:v>
                </c:pt>
                <c:pt idx="47">
                  <c:v>1.6691707807359872</c:v>
                </c:pt>
                <c:pt idx="48">
                  <c:v>3.5080062345581662</c:v>
                </c:pt>
                <c:pt idx="49">
                  <c:v>6.8438651433136366</c:v>
                </c:pt>
                <c:pt idx="50">
                  <c:v>12.513119954571096</c:v>
                </c:pt>
                <c:pt idx="51">
                  <c:v>21.612288472743202</c:v>
                </c:pt>
                <c:pt idx="52">
                  <c:v>35.49796164913942</c:v>
                </c:pt>
                <c:pt idx="53">
                  <c:v>55.760527489184952</c:v>
                </c:pt>
                <c:pt idx="54">
                  <c:v>84.171379422834548</c:v>
                </c:pt>
                <c:pt idx="55">
                  <c:v>122.60675138220617</c:v>
                </c:pt>
                <c:pt idx="56">
                  <c:v>172.95417305513911</c:v>
                </c:pt>
                <c:pt idx="57">
                  <c:v>237.00940678342241</c:v>
                </c:pt>
                <c:pt idx="58">
                  <c:v>316.37246631163669</c:v>
                </c:pt>
                <c:pt idx="59">
                  <c:v>412.35098746855203</c:v>
                </c:pt>
                <c:pt idx="60">
                  <c:v>525.87802862722901</c:v>
                </c:pt>
                <c:pt idx="61">
                  <c:v>657.44960827714499</c:v>
                </c:pt>
                <c:pt idx="62">
                  <c:v>807.08523710275051</c:v>
                </c:pt>
                <c:pt idx="63">
                  <c:v>974.31264041434724</c:v>
                </c:pt>
                <c:pt idx="64">
                  <c:v>1158.1760028398501</c:v>
                </c:pt>
                <c:pt idx="65">
                  <c:v>1357.2655406278111</c:v>
                </c:pt>
                <c:pt idx="66">
                  <c:v>1569.7650899071803</c:v>
                </c:pt>
                <c:pt idx="67">
                  <c:v>1793.5137063892312</c:v>
                </c:pt>
                <c:pt idx="68">
                  <c:v>2026.0769743118701</c:v>
                </c:pt>
                <c:pt idx="69">
                  <c:v>2264.82376222627</c:v>
                </c:pt>
                <c:pt idx="70">
                  <c:v>2507.0044676140956</c:v>
                </c:pt>
                <c:pt idx="71">
                  <c:v>2749.8272842197771</c:v>
                </c:pt>
                <c:pt idx="72">
                  <c:v>2990.5296322107793</c:v>
                </c:pt>
                <c:pt idx="73">
                  <c:v>3226.4425478219187</c:v>
                </c:pt>
                <c:pt idx="74">
                  <c:v>3455.0464839391898</c:v>
                </c:pt>
                <c:pt idx="75">
                  <c:v>3674.0175869115842</c:v>
                </c:pt>
                <c:pt idx="76">
                  <c:v>3881.2640608588599</c:v>
                </c:pt>
                <c:pt idx="77">
                  <c:v>4074.9526929418871</c:v>
                </c:pt>
                <c:pt idx="78">
                  <c:v>4253.5259846613581</c:v>
                </c:pt>
                <c:pt idx="79">
                  <c:v>4415.710615542187</c:v>
                </c:pt>
                <c:pt idx="80">
                  <c:v>4560.5181620028688</c:v>
                </c:pt>
                <c:pt idx="81">
                  <c:v>4687.2391146868067</c:v>
                </c:pt>
                <c:pt idx="82">
                  <c:v>4795.4312928887284</c:v>
                </c:pt>
                <c:pt idx="83">
                  <c:v>4884.9037565722474</c:v>
                </c:pt>
                <c:pt idx="84">
                  <c:v>4955.6972763765934</c:v>
                </c:pt>
                <c:pt idx="85">
                  <c:v>5008.062350765952</c:v>
                </c:pt>
                <c:pt idx="86">
                  <c:v>5042.4356667828333</c:v>
                </c:pt>
                <c:pt idx="87">
                  <c:v>5059.4157950935632</c:v>
                </c:pt>
                <c:pt idx="88">
                  <c:v>5059.7387981126558</c:v>
                </c:pt>
                <c:pt idx="89">
                  <c:v>5044.2543175289993</c:v>
                </c:pt>
                <c:pt idx="90">
                  <c:v>5013.90259879731</c:v>
                </c:pt>
                <c:pt idx="91">
                  <c:v>4969.6928082093418</c:v>
                </c:pt>
                <c:pt idx="92">
                  <c:v>4912.6829051208697</c:v>
                </c:pt>
                <c:pt idx="93">
                  <c:v>4843.9612490423042</c:v>
                </c:pt>
                <c:pt idx="94">
                  <c:v>4764.6300491810689</c:v>
                </c:pt>
                <c:pt idx="95">
                  <c:v>4675.7907026983685</c:v>
                </c:pt>
                <c:pt idx="96">
                  <c:v>4578.531017056589</c:v>
                </c:pt>
                <c:pt idx="97">
                  <c:v>4473.9142707463106</c:v>
                </c:pt>
                <c:pt idx="98">
                  <c:v>4362.9700345643041</c:v>
                </c:pt>
                <c:pt idx="99">
                  <c:v>4246.6866515255051</c:v>
                </c:pt>
                <c:pt idx="100">
                  <c:v>4126.0052564450889</c:v>
                </c:pt>
                <c:pt idx="101">
                  <c:v>4001.8152052320552</c:v>
                </c:pt>
                <c:pt idx="102">
                  <c:v>3874.9507780392314</c:v>
                </c:pt>
                <c:pt idx="103">
                  <c:v>3746.1890187214435</c:v>
                </c:pt>
                <c:pt idx="104">
                  <c:v>3616.2485747440851</c:v>
                </c:pt>
                <c:pt idx="105">
                  <c:v>3485.7894060229742</c:v>
                </c:pt>
                <c:pt idx="106">
                  <c:v>3355.4132375153608</c:v>
                </c:pt>
                <c:pt idx="107">
                  <c:v>3225.6646381615683</c:v>
                </c:pt>
                <c:pt idx="108">
                  <c:v>3097.0326175196587</c:v>
                </c:pt>
                <c:pt idx="109">
                  <c:v>2969.9526407449694</c:v>
                </c:pt>
                <c:pt idx="110">
                  <c:v>2844.8089721158422</c:v>
                </c:pt>
                <c:pt idx="111">
                  <c:v>2721.9372668355281</c:v>
                </c:pt>
                <c:pt idx="112">
                  <c:v>2601.6273401431858</c:v>
                </c:pt>
                <c:pt idx="113">
                  <c:v>2484.1260516902303</c:v>
                </c:pt>
                <c:pt idx="114">
                  <c:v>2369.6402515683762</c:v>
                </c:pt>
                <c:pt idx="115">
                  <c:v>2258.339742236954</c:v>
                </c:pt>
                <c:pt idx="116">
                  <c:v>2150.3602178406941</c:v>
                </c:pt>
                <c:pt idx="117">
                  <c:v>2045.8061490134219</c:v>
                </c:pt>
                <c:pt idx="118">
                  <c:v>1944.7535872223357</c:v>
                </c:pt>
                <c:pt idx="119">
                  <c:v>1847.2528680339526</c:v>
                </c:pt>
                <c:pt idx="120">
                  <c:v>1753.3311973975901</c:v>
                </c:pt>
                <c:pt idx="121">
                  <c:v>1662.9951091767732</c:v>
                </c:pt>
                <c:pt idx="122">
                  <c:v>1576.2327857486753</c:v>
                </c:pt>
                <c:pt idx="123">
                  <c:v>1493.0162365773947</c:v>
                </c:pt>
                <c:pt idx="124">
                  <c:v>1413.3033322896019</c:v>
                </c:pt>
                <c:pt idx="125">
                  <c:v>1337.0396939837447</c:v>
                </c:pt>
                <c:pt idx="126">
                  <c:v>1264.1604393283071</c:v>
                </c:pt>
                <c:pt idx="127">
                  <c:v>1194.5917884914834</c:v>
                </c:pt>
                <c:pt idx="128">
                  <c:v>1128.2525341323064</c:v>
                </c:pt>
                <c:pt idx="129">
                  <c:v>1065.0553806090427</c:v>
                </c:pt>
                <c:pt idx="130">
                  <c:v>1004.9081582577937</c:v>
                </c:pt>
                <c:pt idx="131">
                  <c:v>947.71491909443876</c:v>
                </c:pt>
                <c:pt idx="132">
                  <c:v>893.37692062482665</c:v>
                </c:pt>
                <c:pt idx="133">
                  <c:v>841.79350463715036</c:v>
                </c:pt>
                <c:pt idx="134">
                  <c:v>792.86287792015048</c:v>
                </c:pt>
                <c:pt idx="135">
                  <c:v>746.48280182148176</c:v>
                </c:pt>
                <c:pt idx="136">
                  <c:v>702.55119745119828</c:v>
                </c:pt>
                <c:pt idx="137">
                  <c:v>660.96667316094317</c:v>
                </c:pt>
                <c:pt idx="138">
                  <c:v>621.62898070506117</c:v>
                </c:pt>
                <c:pt idx="139">
                  <c:v>584.43940622669379</c:v>
                </c:pt>
                <c:pt idx="140">
                  <c:v>549.30110192110874</c:v>
                </c:pt>
                <c:pt idx="141">
                  <c:v>516.11936391818824</c:v>
                </c:pt>
                <c:pt idx="142">
                  <c:v>484.80186160418259</c:v>
                </c:pt>
                <c:pt idx="143">
                  <c:v>455.25882327540688</c:v>
                </c:pt>
                <c:pt idx="144">
                  <c:v>427.40318268864502</c:v>
                </c:pt>
                <c:pt idx="145">
                  <c:v>401.15069074913811</c:v>
                </c:pt>
                <c:pt idx="146">
                  <c:v>376.41999625995055</c:v>
                </c:pt>
                <c:pt idx="147">
                  <c:v>353.13269934951444</c:v>
                </c:pt>
                <c:pt idx="148">
                  <c:v>331.21338089866896</c:v>
                </c:pt>
                <c:pt idx="149">
                  <c:v>310.58961100637686</c:v>
                </c:pt>
                <c:pt idx="150">
                  <c:v>291.19193926547757</c:v>
                </c:pt>
                <c:pt idx="151">
                  <c:v>272.95386936681211</c:v>
                </c:pt>
                <c:pt idx="152">
                  <c:v>255.81182031246118</c:v>
                </c:pt>
                <c:pt idx="153">
                  <c:v>239.70507629642211</c:v>
                </c:pt>
                <c:pt idx="154">
                  <c:v>224.57572710402809</c:v>
                </c:pt>
                <c:pt idx="155">
                  <c:v>210.36860068919191</c:v>
                </c:pt>
                <c:pt idx="156">
                  <c:v>197.03118941093325</c:v>
                </c:pt>
                <c:pt idx="157">
                  <c:v>184.51357124690128</c:v>
                </c:pt>
                <c:pt idx="158">
                  <c:v>172.76832715139551</c:v>
                </c:pt>
                <c:pt idx="159">
                  <c:v>161.75045558771774</c:v>
                </c:pt>
                <c:pt idx="160">
                  <c:v>151.41728513919617</c:v>
                </c:pt>
                <c:pt idx="161">
                  <c:v>141.72838598900191</c:v>
                </c:pt>
                <c:pt idx="162">
                  <c:v>132.64548095527522</c:v>
                </c:pt>
                <c:pt idx="163">
                  <c:v>124.13235667439514</c:v>
                </c:pt>
                <c:pt idx="164">
                  <c:v>116.15477544076585</c:v>
                </c:pt>
                <c:pt idx="165">
                  <c:v>108.68038813554175</c:v>
                </c:pt>
                <c:pt idx="166">
                  <c:v>101.67864860865541</c:v>
                </c:pt>
                <c:pt idx="167">
                  <c:v>95.120729817732496</c:v>
                </c:pt>
                <c:pt idx="168">
                  <c:v>88.979441973301391</c:v>
                </c:pt>
                <c:pt idx="169">
                  <c:v>83.229152891688713</c:v>
                </c:pt>
                <c:pt idx="170">
                  <c:v>77.845710714466179</c:v>
                </c:pt>
                <c:pt idx="171">
                  <c:v>72.806369115912943</c:v>
                </c:pt>
                <c:pt idx="172">
                  <c:v>68.089715087105617</c:v>
                </c:pt>
                <c:pt idx="173">
                  <c:v>63.675599356563751</c:v>
                </c:pt>
                <c:pt idx="174">
                  <c:v>59.545069482470083</c:v>
                </c:pt>
                <c:pt idx="175">
                  <c:v>55.680305629926259</c:v>
                </c:pt>
                <c:pt idx="176">
                  <c:v>52.064559028217332</c:v>
                </c:pt>
                <c:pt idx="177">
                  <c:v>48.682093087257719</c:v>
                </c:pt>
                <c:pt idx="178">
                  <c:v>45.518127139059011</c:v>
                </c:pt>
                <c:pt idx="179">
                  <c:v>42.558782758854761</c:v>
                </c:pt>
                <c:pt idx="180">
                  <c:v>39.791032611285154</c:v>
                </c:pt>
                <c:pt idx="181">
                  <c:v>37.202651759459627</c:v>
                </c:pt>
                <c:pt idx="182">
                  <c:v>34.782171368683258</c:v>
                </c:pt>
                <c:pt idx="183">
                  <c:v>32.518834731900611</c:v>
                </c:pt>
                <c:pt idx="184">
                  <c:v>30.402555540335204</c:v>
                </c:pt>
                <c:pt idx="185">
                  <c:v>28.423878320256421</c:v>
                </c:pt>
                <c:pt idx="186">
                  <c:v>26.573940955118839</c:v>
                </c:pt>
                <c:pt idx="187">
                  <c:v>24.844439211402531</c:v>
                </c:pt>
                <c:pt idx="188">
                  <c:v>23.22759318622542</c:v>
                </c:pt>
                <c:pt idx="189">
                  <c:v>21.716115595079749</c:v>
                </c:pt>
                <c:pt idx="190">
                  <c:v>20.303181818820516</c:v>
                </c:pt>
                <c:pt idx="191">
                  <c:v>18.982401630191838</c:v>
                </c:pt>
                <c:pt idx="192">
                  <c:v>17.747792521671528</c:v>
                </c:pt>
                <c:pt idx="193">
                  <c:v>16.593754558181988</c:v>
                </c:pt>
                <c:pt idx="194">
                  <c:v>15.515046680195594</c:v>
                </c:pt>
                <c:pt idx="195">
                  <c:v>14.506764384925853</c:v>
                </c:pt>
                <c:pt idx="196">
                  <c:v>13.564318715581889</c:v>
                </c:pt>
                <c:pt idx="197">
                  <c:v>12.683416491057125</c:v>
                </c:pt>
                <c:pt idx="198">
                  <c:v>11.860041710882255</c:v>
                </c:pt>
                <c:pt idx="199">
                  <c:v>11.090438072767746</c:v>
                </c:pt>
                <c:pt idx="200">
                  <c:v>10.371092542587286</c:v>
                </c:pt>
                <c:pt idx="201">
                  <c:v>9.6987199191701965</c:v>
                </c:pt>
                <c:pt idx="202">
                  <c:v>9.0702483387741601</c:v>
                </c:pt>
                <c:pt idx="203">
                  <c:v>8.4828056665878275</c:v>
                </c:pt>
                <c:pt idx="204">
                  <c:v>7.9337067250416515</c:v>
                </c:pt>
                <c:pt idx="205">
                  <c:v>7.420441311089756</c:v>
                </c:pt>
                <c:pt idx="206">
                  <c:v>6.9406629569506126</c:v>
                </c:pt>
                <c:pt idx="207">
                  <c:v>6.492178391051671</c:v>
                </c:pt>
                <c:pt idx="208">
                  <c:v>6.0729376581136458</c:v>
                </c:pt>
                <c:pt idx="209">
                  <c:v>5.6810248594298596</c:v>
                </c:pt>
                <c:pt idx="210">
                  <c:v>5.3146494764345897</c:v>
                </c:pt>
                <c:pt idx="211">
                  <c:v>4.972138242621968</c:v>
                </c:pt>
                <c:pt idx="212">
                  <c:v>4.6519275307624479</c:v>
                </c:pt>
                <c:pt idx="213">
                  <c:v>4.3525562241737807</c:v>
                </c:pt>
                <c:pt idx="214">
                  <c:v>4.0726590425325124</c:v>
                </c:pt>
                <c:pt idx="215">
                  <c:v>3.810960294367876</c:v>
                </c:pt>
                <c:pt idx="216">
                  <c:v>3.5662680299556788</c:v>
                </c:pt>
                <c:pt idx="217">
                  <c:v>3.3374685698344209</c:v>
                </c:pt>
                <c:pt idx="218">
                  <c:v>3.1235213855955011</c:v>
                </c:pt>
                <c:pt idx="219">
                  <c:v>2.9234543109588409</c:v>
                </c:pt>
                <c:pt idx="220">
                  <c:v>2.7363590624370957</c:v>
                </c:pt>
                <c:pt idx="221">
                  <c:v>2.5613870501150058</c:v>
                </c:pt>
                <c:pt idx="222">
                  <c:v>2.3977454602309245</c:v>
                </c:pt>
                <c:pt idx="223">
                  <c:v>2.2446935923470637</c:v>
                </c:pt>
                <c:pt idx="224">
                  <c:v>2.1015394349327088</c:v>
                </c:pt>
                <c:pt idx="225">
                  <c:v>1.9676364641682262</c:v>
                </c:pt>
                <c:pt idx="226">
                  <c:v>1.8423806517049084</c:v>
                </c:pt>
                <c:pt idx="227">
                  <c:v>1.7252076679921002</c:v>
                </c:pt>
                <c:pt idx="228">
                  <c:v>1.6155902686085455</c:v>
                </c:pt>
                <c:pt idx="229">
                  <c:v>1.5130358518147091</c:v>
                </c:pt>
                <c:pt idx="230">
                  <c:v>1.4170841762761091</c:v>
                </c:pt>
                <c:pt idx="231">
                  <c:v>1.3273052285988629</c:v>
                </c:pt>
                <c:pt idx="232">
                  <c:v>1.2432972309695713</c:v>
                </c:pt>
                <c:pt idx="233">
                  <c:v>1.1646847798030495</c:v>
                </c:pt>
                <c:pt idx="234">
                  <c:v>1.0911171068771255</c:v>
                </c:pt>
                <c:pt idx="235">
                  <c:v>1.022266454974617</c:v>
                </c:pt>
                <c:pt idx="236">
                  <c:v>0.95782656056050697</c:v>
                </c:pt>
                <c:pt idx="237">
                  <c:v>0.89751123649975406</c:v>
                </c:pt>
                <c:pt idx="238">
                  <c:v>0.84105304826897653</c:v>
                </c:pt>
                <c:pt idx="239">
                  <c:v>0.78820207753595362</c:v>
                </c:pt>
                <c:pt idx="240">
                  <c:v>0.73872476737503612</c:v>
                </c:pt>
                <c:pt idx="241">
                  <c:v>0.69240284375678396</c:v>
                </c:pt>
                <c:pt idx="242">
                  <c:v>0.64903230829671821</c:v>
                </c:pt>
                <c:pt idx="243">
                  <c:v>0.60842249757342626</c:v>
                </c:pt>
                <c:pt idx="244">
                  <c:v>0.57039520463072435</c:v>
                </c:pt>
                <c:pt idx="245">
                  <c:v>0.53478385856407396</c:v>
                </c:pt>
                <c:pt idx="246">
                  <c:v>0.50143275835880718</c:v>
                </c:pt>
                <c:pt idx="247">
                  <c:v>0.47019635739778404</c:v>
                </c:pt>
                <c:pt idx="248">
                  <c:v>0.4409385952907578</c:v>
                </c:pt>
                <c:pt idx="249">
                  <c:v>0.41353227389681613</c:v>
                </c:pt>
                <c:pt idx="250">
                  <c:v>0.38785847461655842</c:v>
                </c:pt>
                <c:pt idx="251">
                  <c:v>0.36380601422276243</c:v>
                </c:pt>
                <c:pt idx="252">
                  <c:v>0.34127093667792957</c:v>
                </c:pt>
                <c:pt idx="253">
                  <c:v>0.32015603855500413</c:v>
                </c:pt>
                <c:pt idx="254">
                  <c:v>0.30037042583483214</c:v>
                </c:pt>
                <c:pt idx="255">
                  <c:v>0.28182910000078298</c:v>
                </c:pt>
                <c:pt idx="256">
                  <c:v>0.26445257148823254</c:v>
                </c:pt>
                <c:pt idx="257">
                  <c:v>0.24816649867512486</c:v>
                </c:pt>
                <c:pt idx="258">
                  <c:v>0.2329013507197373</c:v>
                </c:pt>
                <c:pt idx="259">
                  <c:v>0.21859209266390442</c:v>
                </c:pt>
                <c:pt idx="260">
                  <c:v>0.20517789132482117</c:v>
                </c:pt>
                <c:pt idx="261">
                  <c:v>0.19260184059637908</c:v>
                </c:pt>
                <c:pt idx="262">
                  <c:v>0.18081070487245496</c:v>
                </c:pt>
                <c:pt idx="263">
                  <c:v>0.16975467939009214</c:v>
                </c:pt>
                <c:pt idx="264">
                  <c:v>0.15938716637021433</c:v>
                </c:pt>
                <c:pt idx="265">
                  <c:v>0.14966456590812116</c:v>
                </c:pt>
                <c:pt idx="266">
                  <c:v>0.14054608063564339</c:v>
                </c:pt>
                <c:pt idx="267">
                  <c:v>0.13199353324176377</c:v>
                </c:pt>
                <c:pt idx="268">
                  <c:v>0.1239711959992973</c:v>
                </c:pt>
                <c:pt idx="269">
                  <c:v>0.11644563150187311</c:v>
                </c:pt>
                <c:pt idx="270">
                  <c:v>0.10938554386836652</c:v>
                </c:pt>
                <c:pt idx="271">
                  <c:v>0.10276163972137276</c:v>
                </c:pt>
                <c:pt idx="272">
                  <c:v>9.6546498292411825E-2</c:v>
                </c:pt>
                <c:pt idx="273">
                  <c:v>9.0714450049629761E-2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351-49D9-8412-5154FB7D0D89}"/>
            </c:ext>
          </c:extLst>
        </c:ser>
        <c:ser>
          <c:idx val="4"/>
          <c:order val="2"/>
          <c:tx>
            <c:strRef>
              <c:f>'New_cases - LNorm'!$I$7</c:f>
              <c:strCache>
                <c:ptCount val="1"/>
                <c:pt idx="0">
                  <c:v>Italy (fitted Lombardy + fitted sum of the other regions)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LNorm'!$I$8:$I$281</c:f>
              <c:numCache>
                <c:formatCode>General</c:formatCode>
                <c:ptCount val="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2.194779593411024E-31</c:v>
                </c:pt>
                <c:pt idx="32">
                  <c:v>1.7322845421536119E-19</c:v>
                </c:pt>
                <c:pt idx="33">
                  <c:v>3.9532398639963845E-14</c:v>
                </c:pt>
                <c:pt idx="34">
                  <c:v>7.1529656312274142E-11</c:v>
                </c:pt>
                <c:pt idx="35">
                  <c:v>1.2699112488216759E-8</c:v>
                </c:pt>
                <c:pt idx="36">
                  <c:v>5.9253015244641235E-7</c:v>
                </c:pt>
                <c:pt idx="37">
                  <c:v>1.1748239881930595E-5</c:v>
                </c:pt>
                <c:pt idx="38">
                  <c:v>1.2933818240994045E-4</c:v>
                </c:pt>
                <c:pt idx="39">
                  <c:v>9.3046935614296555E-4</c:v>
                </c:pt>
                <c:pt idx="40">
                  <c:v>4.8624763088216802E-3</c:v>
                </c:pt>
                <c:pt idx="41">
                  <c:v>1.9841352353957824E-2</c:v>
                </c:pt>
                <c:pt idx="42">
                  <c:v>6.654554460561507E-2</c:v>
                </c:pt>
                <c:pt idx="43">
                  <c:v>0.19046871841213331</c:v>
                </c:pt>
                <c:pt idx="44">
                  <c:v>0.47860218370695257</c:v>
                </c:pt>
                <c:pt idx="45">
                  <c:v>1.079100663882957</c:v>
                </c:pt>
                <c:pt idx="46">
                  <c:v>2.2212896194903036</c:v>
                </c:pt>
                <c:pt idx="47">
                  <c:v>4.2336813137120375</c:v>
                </c:pt>
                <c:pt idx="48">
                  <c:v>7.5593187481777608</c:v>
                </c:pt>
                <c:pt idx="49">
                  <c:v>12.769741474695101</c:v>
                </c:pt>
                <c:pt idx="50">
                  <c:v>20.579669671630167</c:v>
                </c:pt>
                <c:pt idx="51">
                  <c:v>31.863256526814144</c:v>
                </c:pt>
                <c:pt idx="52">
                  <c:v>47.669857876536113</c:v>
                </c:pt>
                <c:pt idx="53">
                  <c:v>69.234108583341651</c:v>
                </c:pt>
                <c:pt idx="54">
                  <c:v>97.973226382064126</c:v>
                </c:pt>
                <c:pt idx="55">
                  <c:v>135.46480589678541</c:v>
                </c:pt>
                <c:pt idx="56">
                  <c:v>183.40090126649156</c:v>
                </c:pt>
                <c:pt idx="57">
                  <c:v>243.51814529428356</c:v>
                </c:pt>
                <c:pt idx="58">
                  <c:v>317.50789846841872</c:v>
                </c:pt>
                <c:pt idx="59">
                  <c:v>406.91393114048464</c:v>
                </c:pt>
                <c:pt idx="60">
                  <c:v>513.02724268149586</c:v>
                </c:pt>
                <c:pt idx="61">
                  <c:v>636.78808040776835</c:v>
                </c:pt>
                <c:pt idx="62">
                  <c:v>778.70418802684287</c:v>
                </c:pt>
                <c:pt idx="63">
                  <c:v>938.79218508524934</c:v>
                </c:pt>
                <c:pt idx="64">
                  <c:v>1116.5462525672635</c:v>
                </c:pt>
                <c:pt idx="65">
                  <c:v>1310.9354531884087</c:v>
                </c:pt>
                <c:pt idx="66">
                  <c:v>1520.428430133793</c:v>
                </c:pt>
                <c:pt idx="67">
                  <c:v>1743.0421579262668</c:v>
                </c:pt>
                <c:pt idx="68">
                  <c:v>1976.4099873209905</c:v>
                </c:pt>
                <c:pt idx="69">
                  <c:v>2217.8634474250039</c:v>
                </c:pt>
                <c:pt idx="70">
                  <c:v>2464.5220788693687</c:v>
                </c:pt>
                <c:pt idx="71">
                  <c:v>2713.3858607407988</c:v>
                </c:pt>
                <c:pt idx="72">
                  <c:v>2961.4254299142767</c:v>
                </c:pt>
                <c:pt idx="73">
                  <c:v>3205.6661437882458</c:v>
                </c:pt>
                <c:pt idx="74">
                  <c:v>3443.2629898815831</c:v>
                </c:pt>
                <c:pt idx="75">
                  <c:v>3671.5643038010967</c:v>
                </c:pt>
                <c:pt idx="76">
                  <c:v>3888.163150682507</c:v>
                </c:pt>
                <c:pt idx="77">
                  <c:v>4090.9360079542544</c:v>
                </c:pt>
                <c:pt idx="78">
                  <c:v>4278.0690335182653</c:v>
                </c:pt>
                <c:pt idx="79">
                  <c:v>4448.0727043127472</c:v>
                </c:pt>
                <c:pt idx="80">
                  <c:v>4599.7859694055769</c:v>
                </c:pt>
                <c:pt idx="81">
                  <c:v>4732.3712915423384</c:v>
                </c:pt>
                <c:pt idx="82">
                  <c:v>4845.302068884469</c:v>
                </c:pt>
                <c:pt idx="83">
                  <c:v>4938.3439543782169</c:v>
                </c:pt>
                <c:pt idx="84">
                  <c:v>5011.5315439927372</c:v>
                </c:pt>
                <c:pt idx="85">
                  <c:v>5065.1418060534634</c:v>
                </c:pt>
                <c:pt idx="86">
                  <c:v>5099.6654891610215</c:v>
                </c:pt>
                <c:pt idx="87">
                  <c:v>5115.7775903136253</c:v>
                </c:pt>
                <c:pt idx="88">
                  <c:v>5114.307799768937</c:v>
                </c:pt>
                <c:pt idx="89">
                  <c:v>5096.2116742131684</c:v>
                </c:pt>
                <c:pt idx="90">
                  <c:v>5062.543131881941</c:v>
                </c:pt>
                <c:pt idx="91">
                  <c:v>5014.4287172286413</c:v>
                </c:pt>
                <c:pt idx="92">
                  <c:v>4953.0439516199003</c:v>
                </c:pt>
                <c:pt idx="93">
                  <c:v>4879.5919719746007</c:v>
                </c:pt>
                <c:pt idx="94">
                  <c:v>4795.2845617497796</c:v>
                </c:pt>
                <c:pt idx="95">
                  <c:v>4701.3255978708648</c:v>
                </c:pt>
                <c:pt idx="96">
                  <c:v>4598.8968721661004</c:v>
                </c:pt>
                <c:pt idx="97">
                  <c:v>4489.1461952643504</c:v>
                </c:pt>
                <c:pt idx="98">
                  <c:v>4373.1776531928672</c:v>
                </c:pt>
                <c:pt idx="99">
                  <c:v>4252.0438604061874</c:v>
                </c:pt>
                <c:pt idx="100">
                  <c:v>4126.7400360264865</c:v>
                </c:pt>
                <c:pt idx="101">
                  <c:v>3998.1997210778554</c:v>
                </c:pt>
                <c:pt idx="102">
                  <c:v>3867.2919519655156</c:v>
                </c:pt>
                <c:pt idx="103">
                  <c:v>3734.8197080346808</c:v>
                </c:pt>
                <c:pt idx="104">
                  <c:v>3601.5194575497671</c:v>
                </c:pt>
                <c:pt idx="105">
                  <c:v>3468.0616358244838</c:v>
                </c:pt>
                <c:pt idx="106">
                  <c:v>3335.0519006268864</c:v>
                </c:pt>
                <c:pt idx="107">
                  <c:v>3203.0330226441947</c:v>
                </c:pt>
                <c:pt idx="108">
                  <c:v>3072.4872821201875</c:v>
                </c:pt>
                <c:pt idx="109">
                  <c:v>2943.8392562918957</c:v>
                </c:pt>
                <c:pt idx="110">
                  <c:v>2817.4588955786617</c:v>
                </c:pt>
                <c:pt idx="111">
                  <c:v>2693.6647993322536</c:v>
                </c:pt>
                <c:pt idx="112">
                  <c:v>2572.7276141367142</c:v>
                </c:pt>
                <c:pt idx="113">
                  <c:v>2454.8734890110663</c:v>
                </c:pt>
                <c:pt idx="114">
                  <c:v>2340.2875323296062</c:v>
                </c:pt>
                <c:pt idx="115">
                  <c:v>2229.117224789502</c:v>
                </c:pt>
                <c:pt idx="116">
                  <c:v>2121.4757513127861</c:v>
                </c:pt>
                <c:pt idx="117">
                  <c:v>2017.4452223853577</c:v>
                </c:pt>
                <c:pt idx="118">
                  <c:v>1917.0797620436399</c:v>
                </c:pt>
                <c:pt idx="119">
                  <c:v>1820.408445568456</c:v>
                </c:pt>
                <c:pt idx="120">
                  <c:v>1727.438074993044</c:v>
                </c:pt>
                <c:pt idx="121">
                  <c:v>1638.1557848410855</c:v>
                </c:pt>
                <c:pt idx="122">
                  <c:v>1552.531474146982</c:v>
                </c:pt>
                <c:pt idx="123">
                  <c:v>1470.5200638401993</c:v>
                </c:pt>
                <c:pt idx="124">
                  <c:v>1392.0635810638353</c:v>
                </c:pt>
                <c:pt idx="125">
                  <c:v>1317.0930740062945</c:v>
                </c:pt>
                <c:pt idx="126">
                  <c:v>1245.5303624134483</c:v>
                </c:pt>
                <c:pt idx="127">
                  <c:v>1177.2896301714331</c:v>
                </c:pt>
                <c:pt idx="128">
                  <c:v>1112.2788672583345</c:v>
                </c:pt>
                <c:pt idx="129">
                  <c:v>1050.4011690017655</c:v>
                </c:pt>
                <c:pt idx="130">
                  <c:v>991.55590099106257</c:v>
                </c:pt>
                <c:pt idx="131">
                  <c:v>935.63973821430579</c:v>
                </c:pt>
                <c:pt idx="132">
                  <c:v>882.54758705454833</c:v>
                </c:pt>
                <c:pt idx="133">
                  <c:v>832.17339871597699</c:v>
                </c:pt>
                <c:pt idx="134">
                  <c:v>784.41088248418544</c:v>
                </c:pt>
                <c:pt idx="135">
                  <c:v>739.15412697762486</c:v>
                </c:pt>
                <c:pt idx="136">
                  <c:v>696.29813723834764</c:v>
                </c:pt>
                <c:pt idx="137">
                  <c:v>655.73929515580005</c:v>
                </c:pt>
                <c:pt idx="138">
                  <c:v>617.37575033090582</c:v>
                </c:pt>
                <c:pt idx="139">
                  <c:v>581.10774808093993</c:v>
                </c:pt>
                <c:pt idx="140">
                  <c:v>546.83790086791305</c:v>
                </c:pt>
                <c:pt idx="141">
                  <c:v>514.47140901224839</c:v>
                </c:pt>
                <c:pt idx="142">
                  <c:v>483.91623613577093</c:v>
                </c:pt>
                <c:pt idx="143">
                  <c:v>455.08324436854002</c:v>
                </c:pt>
                <c:pt idx="144">
                  <c:v>427.88629395649457</c:v>
                </c:pt>
                <c:pt idx="145">
                  <c:v>402.24231152458702</c:v>
                </c:pt>
                <c:pt idx="146">
                  <c:v>378.07133088487342</c:v>
                </c:pt>
                <c:pt idx="147">
                  <c:v>355.29650993271548</c:v>
                </c:pt>
                <c:pt idx="148">
                  <c:v>333.84412684748793</c:v>
                </c:pt>
                <c:pt idx="149">
                  <c:v>313.64355850781317</c:v>
                </c:pt>
                <c:pt idx="150">
                  <c:v>294.62724374508252</c:v>
                </c:pt>
                <c:pt idx="151">
                  <c:v>276.7306337930122</c:v>
                </c:pt>
                <c:pt idx="152">
                  <c:v>259.89213204468706</c:v>
                </c:pt>
                <c:pt idx="153">
                  <c:v>244.05302500126243</c:v>
                </c:pt>
                <c:pt idx="154">
                  <c:v>229.15740608766572</c:v>
                </c:pt>
                <c:pt idx="155">
                  <c:v>215.15209381928534</c:v>
                </c:pt>
                <c:pt idx="156">
                  <c:v>201.98654562891704</c:v>
                </c:pt>
                <c:pt idx="157">
                  <c:v>189.61276850418463</c:v>
                </c:pt>
                <c:pt idx="158">
                  <c:v>177.9852274412703</c:v>
                </c:pt>
                <c:pt idx="159">
                  <c:v>167.06075259017913</c:v>
                </c:pt>
                <c:pt idx="160">
                  <c:v>156.79844584885302</c:v>
                </c:pt>
                <c:pt idx="161">
                  <c:v>147.15958755742753</c:v>
                </c:pt>
                <c:pt idx="162">
                  <c:v>138.10754384876518</c:v>
                </c:pt>
                <c:pt idx="163">
                  <c:v>129.60767512631071</c:v>
                </c:pt>
                <c:pt idx="164">
                  <c:v>121.62724606442249</c:v>
                </c:pt>
                <c:pt idx="165">
                  <c:v>114.13533745887582</c:v>
                </c:pt>
                <c:pt idx="166">
                  <c:v>107.10276019545503</c:v>
                </c:pt>
                <c:pt idx="167">
                  <c:v>100.50197155174914</c:v>
                </c:pt>
                <c:pt idx="168">
                  <c:v>94.306994000816985</c:v>
                </c:pt>
                <c:pt idx="169">
                  <c:v>88.493336644651279</c:v>
                </c:pt>
                <c:pt idx="170">
                  <c:v>83.0379193698314</c:v>
                </c:pt>
                <c:pt idx="171">
                  <c:v>77.918999786853334</c:v>
                </c:pt>
                <c:pt idx="172">
                  <c:v>73.11610298791544</c:v>
                </c:pt>
                <c:pt idx="173">
                  <c:v>68.609954134971787</c:v>
                </c:pt>
                <c:pt idx="174">
                  <c:v>64.382413870240697</c:v>
                </c:pt>
                <c:pt idx="175">
                  <c:v>60.416416524722223</c:v>
                </c:pt>
                <c:pt idx="176">
                  <c:v>56.69591108628353</c:v>
                </c:pt>
                <c:pt idx="177">
                  <c:v>53.205804877229347</c:v>
                </c:pt>
                <c:pt idx="178">
                  <c:v>49.931909881712599</c:v>
                </c:pt>
                <c:pt idx="179">
                  <c:v>46.860891655587153</c:v>
                </c:pt>
                <c:pt idx="180">
                  <c:v>43.980220745180759</c:v>
                </c:pt>
                <c:pt idx="181">
                  <c:v>41.2781265367271</c:v>
                </c:pt>
                <c:pt idx="182">
                  <c:v>38.743553454683884</c:v>
                </c:pt>
                <c:pt idx="183">
                  <c:v>36.366119424718804</c:v>
                </c:pt>
                <c:pt idx="184">
                  <c:v>34.136076515608167</c:v>
                </c:pt>
                <c:pt idx="185">
                  <c:v>32.044273673553704</c:v>
                </c:pt>
                <c:pt idx="186">
                  <c:v>30.082121462345757</c:v>
                </c:pt>
                <c:pt idx="187">
                  <c:v>28.241558723300749</c:v>
                </c:pt>
                <c:pt idx="188">
                  <c:v>26.515021069880781</c:v>
                </c:pt>
                <c:pt idx="189">
                  <c:v>24.895411133282451</c:v>
                </c:pt>
                <c:pt idx="190">
                  <c:v>23.376070476988559</c:v>
                </c:pt>
                <c:pt idx="191">
                  <c:v>21.950753100253554</c:v>
                </c:pt>
                <c:pt idx="192">
                  <c:v>20.613600452687471</c:v>
                </c:pt>
                <c:pt idx="193">
                  <c:v>19.359117884457476</c:v>
                </c:pt>
                <c:pt idx="194">
                  <c:v>18.182152459107058</c:v>
                </c:pt>
                <c:pt idx="195">
                  <c:v>17.077872058570012</c:v>
                </c:pt>
                <c:pt idx="196">
                  <c:v>16.041745712581783</c:v>
                </c:pt>
                <c:pt idx="197">
                  <c:v>15.069525087356851</c:v>
                </c:pt>
                <c:pt idx="198">
                  <c:v>14.157227071073915</c:v>
                </c:pt>
                <c:pt idx="199">
                  <c:v>13.301117396371353</c:v>
                </c:pt>
                <c:pt idx="200">
                  <c:v>12.49769524269718</c:v>
                </c:pt>
                <c:pt idx="201">
                  <c:v>11.743678763954296</c:v>
                </c:pt>
                <c:pt idx="202">
                  <c:v>11.035991489432472</c:v>
                </c:pt>
                <c:pt idx="203">
                  <c:v>10.371749548507097</c:v>
                </c:pt>
                <c:pt idx="204">
                  <c:v>9.7482496720112195</c:v>
                </c:pt>
                <c:pt idx="205">
                  <c:v>9.1629579255365226</c:v>
                </c:pt>
                <c:pt idx="206">
                  <c:v>8.6134991321976937</c:v>
                </c:pt>
                <c:pt idx="207">
                  <c:v>8.0976469445890125</c:v>
                </c:pt>
                <c:pt idx="208">
                  <c:v>7.6133145277789662</c:v>
                </c:pt>
                <c:pt idx="209">
                  <c:v>7.1585458172196716</c:v>
                </c:pt>
                <c:pt idx="210">
                  <c:v>6.7315073174005198</c:v>
                </c:pt>
                <c:pt idx="211">
                  <c:v>6.3304804089381737</c:v>
                </c:pt>
                <c:pt idx="212">
                  <c:v>5.9538541335838993</c:v>
                </c:pt>
                <c:pt idx="213">
                  <c:v>5.6001184283293721</c:v>
                </c:pt>
                <c:pt idx="214">
                  <c:v>5.2678577814181295</c:v>
                </c:pt>
                <c:pt idx="215">
                  <c:v>4.9557452846154622</c:v>
                </c:pt>
                <c:pt idx="216">
                  <c:v>4.6625370575592822</c:v>
                </c:pt>
                <c:pt idx="217">
                  <c:v>4.3870670214126983</c:v>
                </c:pt>
                <c:pt idx="218">
                  <c:v>4.1282420003636702</c:v>
                </c:pt>
                <c:pt idx="219">
                  <c:v>3.8850371307746219</c:v>
                </c:pt>
                <c:pt idx="220">
                  <c:v>3.6564915589759179</c:v>
                </c:pt>
                <c:pt idx="221">
                  <c:v>3.4417044098239624</c:v>
                </c:pt>
                <c:pt idx="222">
                  <c:v>3.2398310092111737</c:v>
                </c:pt>
                <c:pt idx="223">
                  <c:v>3.0500793447229428</c:v>
                </c:pt>
                <c:pt idx="224">
                  <c:v>2.8717067495887125</c:v>
                </c:pt>
                <c:pt idx="225">
                  <c:v>2.704016795973049</c:v>
                </c:pt>
                <c:pt idx="226">
                  <c:v>2.546356384500406</c:v>
                </c:pt>
                <c:pt idx="227">
                  <c:v>2.3981130177070868</c:v>
                </c:pt>
                <c:pt idx="228">
                  <c:v>2.2587122458670308</c:v>
                </c:pt>
                <c:pt idx="229">
                  <c:v>2.1276152743486554</c:v>
                </c:pt>
                <c:pt idx="230">
                  <c:v>2.004316722327832</c:v>
                </c:pt>
                <c:pt idx="231">
                  <c:v>1.8883425233112821</c:v>
                </c:pt>
                <c:pt idx="232">
                  <c:v>1.7792479585171133</c:v>
                </c:pt>
                <c:pt idx="233">
                  <c:v>1.6766158147151393</c:v>
                </c:pt>
                <c:pt idx="234">
                  <c:v>1.5800546586538069</c:v>
                </c:pt>
                <c:pt idx="235">
                  <c:v>1.489197220691759</c:v>
                </c:pt>
                <c:pt idx="236">
                  <c:v>1.4036988807147233</c:v>
                </c:pt>
                <c:pt idx="237">
                  <c:v>1.3232362498521684</c:v>
                </c:pt>
                <c:pt idx="238">
                  <c:v>1.2475058419161535</c:v>
                </c:pt>
                <c:pt idx="239">
                  <c:v>1.176222828867036</c:v>
                </c:pt>
                <c:pt idx="240">
                  <c:v>1.1091198749702205</c:v>
                </c:pt>
                <c:pt idx="241">
                  <c:v>1.0459460446448936</c:v>
                </c:pt>
                <c:pt idx="242">
                  <c:v>0.98646577932201884</c:v>
                </c:pt>
                <c:pt idx="243">
                  <c:v>0.93045793892517303</c:v>
                </c:pt>
                <c:pt idx="244">
                  <c:v>0.87771490386616469</c:v>
                </c:pt>
                <c:pt idx="245">
                  <c:v>0.82804173370777234</c:v>
                </c:pt>
                <c:pt idx="246">
                  <c:v>0.78125537889062191</c:v>
                </c:pt>
                <c:pt idx="247">
                  <c:v>0.73718394215009286</c:v>
                </c:pt>
                <c:pt idx="248">
                  <c:v>0.69566598646400668</c:v>
                </c:pt>
                <c:pt idx="249">
                  <c:v>0.65654988657283408</c:v>
                </c:pt>
                <c:pt idx="250">
                  <c:v>0.61969322130277338</c:v>
                </c:pt>
                <c:pt idx="251">
                  <c:v>0.58496220409853017</c:v>
                </c:pt>
                <c:pt idx="252">
                  <c:v>0.55223114933800554</c:v>
                </c:pt>
                <c:pt idx="253">
                  <c:v>0.52138197215610349</c:v>
                </c:pt>
                <c:pt idx="254">
                  <c:v>0.49230371964969821</c:v>
                </c:pt>
                <c:pt idx="255">
                  <c:v>0.46489213147197472</c:v>
                </c:pt>
                <c:pt idx="256">
                  <c:v>0.43904922795118195</c:v>
                </c:pt>
                <c:pt idx="257">
                  <c:v>0.41468292398825102</c:v>
                </c:pt>
                <c:pt idx="258">
                  <c:v>0.39170666709898594</c:v>
                </c:pt>
                <c:pt idx="259">
                  <c:v>0.370039098071065</c:v>
                </c:pt>
                <c:pt idx="260">
                  <c:v>0.34960373280371099</c:v>
                </c:pt>
                <c:pt idx="261">
                  <c:v>0.33032866398940813</c:v>
                </c:pt>
                <c:pt idx="262">
                  <c:v>0.31214628138260297</c:v>
                </c:pt>
                <c:pt idx="263">
                  <c:v>0.29499300948050117</c:v>
                </c:pt>
                <c:pt idx="264">
                  <c:v>0.27880906151605978</c:v>
                </c:pt>
                <c:pt idx="265">
                  <c:v>0.26353820873343858</c:v>
                </c:pt>
                <c:pt idx="266">
                  <c:v>0.24912756398193603</c:v>
                </c:pt>
                <c:pt idx="267">
                  <c:v>0.23552737872584503</c:v>
                </c:pt>
                <c:pt idx="268">
                  <c:v>0.22269085262524568</c:v>
                </c:pt>
                <c:pt idx="269">
                  <c:v>0.21057395489662628</c:v>
                </c:pt>
                <c:pt idx="270">
                  <c:v>0.1991352567125482</c:v>
                </c:pt>
                <c:pt idx="271">
                  <c:v>0.18833577394682141</c:v>
                </c:pt>
                <c:pt idx="272">
                  <c:v>0.17813881961571956</c:v>
                </c:pt>
                <c:pt idx="273">
                  <c:v>0.1685098654071274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16-4C85-88A1-3BDD4ABBDFBF}"/>
            </c:ext>
          </c:extLst>
        </c:ser>
        <c:ser>
          <c:idx val="3"/>
          <c:order val="3"/>
          <c:tx>
            <c:strRef>
              <c:f>'New_cases - LNorm'!$O$7</c:f>
              <c:strCache>
                <c:ptCount val="1"/>
                <c:pt idx="0">
                  <c:v>Upper CI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'New_cases - LNorm'!$C$55:$C$281</c:f>
              <c:numCache>
                <c:formatCode>General</c:formatCode>
                <c:ptCount val="227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  <c:pt idx="55">
                  <c:v>103</c:v>
                </c:pt>
                <c:pt idx="56">
                  <c:v>104</c:v>
                </c:pt>
                <c:pt idx="57">
                  <c:v>105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111</c:v>
                </c:pt>
                <c:pt idx="64">
                  <c:v>112</c:v>
                </c:pt>
                <c:pt idx="65">
                  <c:v>113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  <c:pt idx="82">
                  <c:v>130</c:v>
                </c:pt>
                <c:pt idx="83">
                  <c:v>131</c:v>
                </c:pt>
                <c:pt idx="84">
                  <c:v>132</c:v>
                </c:pt>
                <c:pt idx="85">
                  <c:v>133</c:v>
                </c:pt>
                <c:pt idx="86">
                  <c:v>134</c:v>
                </c:pt>
                <c:pt idx="87">
                  <c:v>135</c:v>
                </c:pt>
                <c:pt idx="88">
                  <c:v>136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  <c:pt idx="92">
                  <c:v>140</c:v>
                </c:pt>
                <c:pt idx="93">
                  <c:v>141</c:v>
                </c:pt>
                <c:pt idx="94">
                  <c:v>142</c:v>
                </c:pt>
                <c:pt idx="95">
                  <c:v>143</c:v>
                </c:pt>
                <c:pt idx="96">
                  <c:v>144</c:v>
                </c:pt>
                <c:pt idx="97">
                  <c:v>145</c:v>
                </c:pt>
                <c:pt idx="98">
                  <c:v>146</c:v>
                </c:pt>
                <c:pt idx="99">
                  <c:v>147</c:v>
                </c:pt>
                <c:pt idx="100">
                  <c:v>148</c:v>
                </c:pt>
                <c:pt idx="101">
                  <c:v>149</c:v>
                </c:pt>
                <c:pt idx="102">
                  <c:v>150</c:v>
                </c:pt>
                <c:pt idx="103">
                  <c:v>151</c:v>
                </c:pt>
                <c:pt idx="104">
                  <c:v>152</c:v>
                </c:pt>
                <c:pt idx="105">
                  <c:v>153</c:v>
                </c:pt>
                <c:pt idx="106">
                  <c:v>154</c:v>
                </c:pt>
                <c:pt idx="107">
                  <c:v>155</c:v>
                </c:pt>
                <c:pt idx="108">
                  <c:v>156</c:v>
                </c:pt>
                <c:pt idx="109">
                  <c:v>157</c:v>
                </c:pt>
                <c:pt idx="110">
                  <c:v>158</c:v>
                </c:pt>
                <c:pt idx="111">
                  <c:v>159</c:v>
                </c:pt>
                <c:pt idx="112">
                  <c:v>160</c:v>
                </c:pt>
                <c:pt idx="113">
                  <c:v>161</c:v>
                </c:pt>
                <c:pt idx="114">
                  <c:v>162</c:v>
                </c:pt>
                <c:pt idx="115">
                  <c:v>163</c:v>
                </c:pt>
                <c:pt idx="116">
                  <c:v>164</c:v>
                </c:pt>
                <c:pt idx="117">
                  <c:v>165</c:v>
                </c:pt>
                <c:pt idx="118">
                  <c:v>166</c:v>
                </c:pt>
                <c:pt idx="119">
                  <c:v>167</c:v>
                </c:pt>
                <c:pt idx="120">
                  <c:v>168</c:v>
                </c:pt>
                <c:pt idx="121">
                  <c:v>169</c:v>
                </c:pt>
                <c:pt idx="122">
                  <c:v>170</c:v>
                </c:pt>
                <c:pt idx="123">
                  <c:v>171</c:v>
                </c:pt>
                <c:pt idx="124">
                  <c:v>172</c:v>
                </c:pt>
                <c:pt idx="125">
                  <c:v>173</c:v>
                </c:pt>
                <c:pt idx="126">
                  <c:v>174</c:v>
                </c:pt>
                <c:pt idx="127">
                  <c:v>175</c:v>
                </c:pt>
                <c:pt idx="128">
                  <c:v>176</c:v>
                </c:pt>
                <c:pt idx="129">
                  <c:v>177</c:v>
                </c:pt>
                <c:pt idx="130">
                  <c:v>178</c:v>
                </c:pt>
                <c:pt idx="131">
                  <c:v>179</c:v>
                </c:pt>
                <c:pt idx="132">
                  <c:v>180</c:v>
                </c:pt>
                <c:pt idx="133">
                  <c:v>181</c:v>
                </c:pt>
                <c:pt idx="134">
                  <c:v>182</c:v>
                </c:pt>
                <c:pt idx="135">
                  <c:v>183</c:v>
                </c:pt>
                <c:pt idx="136">
                  <c:v>184</c:v>
                </c:pt>
                <c:pt idx="137">
                  <c:v>185</c:v>
                </c:pt>
                <c:pt idx="138">
                  <c:v>186</c:v>
                </c:pt>
                <c:pt idx="139">
                  <c:v>187</c:v>
                </c:pt>
                <c:pt idx="140">
                  <c:v>188</c:v>
                </c:pt>
                <c:pt idx="141">
                  <c:v>189</c:v>
                </c:pt>
                <c:pt idx="142">
                  <c:v>190</c:v>
                </c:pt>
                <c:pt idx="143">
                  <c:v>191</c:v>
                </c:pt>
                <c:pt idx="144">
                  <c:v>192</c:v>
                </c:pt>
                <c:pt idx="145">
                  <c:v>193</c:v>
                </c:pt>
                <c:pt idx="146">
                  <c:v>194</c:v>
                </c:pt>
                <c:pt idx="147">
                  <c:v>195</c:v>
                </c:pt>
                <c:pt idx="148">
                  <c:v>196</c:v>
                </c:pt>
                <c:pt idx="149">
                  <c:v>197</c:v>
                </c:pt>
                <c:pt idx="150">
                  <c:v>198</c:v>
                </c:pt>
                <c:pt idx="151">
                  <c:v>199</c:v>
                </c:pt>
                <c:pt idx="152">
                  <c:v>200</c:v>
                </c:pt>
                <c:pt idx="153">
                  <c:v>201</c:v>
                </c:pt>
                <c:pt idx="154">
                  <c:v>202</c:v>
                </c:pt>
                <c:pt idx="155">
                  <c:v>203</c:v>
                </c:pt>
                <c:pt idx="156">
                  <c:v>204</c:v>
                </c:pt>
                <c:pt idx="157">
                  <c:v>205</c:v>
                </c:pt>
                <c:pt idx="158">
                  <c:v>206</c:v>
                </c:pt>
                <c:pt idx="159">
                  <c:v>207</c:v>
                </c:pt>
                <c:pt idx="160">
                  <c:v>208</c:v>
                </c:pt>
                <c:pt idx="161">
                  <c:v>209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213</c:v>
                </c:pt>
                <c:pt idx="166">
                  <c:v>214</c:v>
                </c:pt>
                <c:pt idx="167">
                  <c:v>215</c:v>
                </c:pt>
                <c:pt idx="168">
                  <c:v>216</c:v>
                </c:pt>
                <c:pt idx="169">
                  <c:v>217</c:v>
                </c:pt>
                <c:pt idx="170">
                  <c:v>218</c:v>
                </c:pt>
                <c:pt idx="171">
                  <c:v>219</c:v>
                </c:pt>
                <c:pt idx="172">
                  <c:v>220</c:v>
                </c:pt>
                <c:pt idx="173">
                  <c:v>221</c:v>
                </c:pt>
                <c:pt idx="174">
                  <c:v>222</c:v>
                </c:pt>
                <c:pt idx="175">
                  <c:v>223</c:v>
                </c:pt>
                <c:pt idx="176">
                  <c:v>224</c:v>
                </c:pt>
                <c:pt idx="177">
                  <c:v>225</c:v>
                </c:pt>
                <c:pt idx="178">
                  <c:v>226</c:v>
                </c:pt>
                <c:pt idx="179">
                  <c:v>227</c:v>
                </c:pt>
                <c:pt idx="180">
                  <c:v>228</c:v>
                </c:pt>
                <c:pt idx="181">
                  <c:v>229</c:v>
                </c:pt>
                <c:pt idx="182">
                  <c:v>230</c:v>
                </c:pt>
                <c:pt idx="183">
                  <c:v>231</c:v>
                </c:pt>
                <c:pt idx="184">
                  <c:v>232</c:v>
                </c:pt>
                <c:pt idx="185">
                  <c:v>233</c:v>
                </c:pt>
                <c:pt idx="186">
                  <c:v>234</c:v>
                </c:pt>
                <c:pt idx="187">
                  <c:v>235</c:v>
                </c:pt>
                <c:pt idx="188">
                  <c:v>236</c:v>
                </c:pt>
                <c:pt idx="189">
                  <c:v>237</c:v>
                </c:pt>
                <c:pt idx="190">
                  <c:v>238</c:v>
                </c:pt>
                <c:pt idx="191">
                  <c:v>239</c:v>
                </c:pt>
                <c:pt idx="192">
                  <c:v>240</c:v>
                </c:pt>
                <c:pt idx="193">
                  <c:v>241</c:v>
                </c:pt>
                <c:pt idx="194">
                  <c:v>242</c:v>
                </c:pt>
                <c:pt idx="195">
                  <c:v>243</c:v>
                </c:pt>
                <c:pt idx="196">
                  <c:v>244</c:v>
                </c:pt>
                <c:pt idx="197">
                  <c:v>245</c:v>
                </c:pt>
                <c:pt idx="198">
                  <c:v>246</c:v>
                </c:pt>
                <c:pt idx="199">
                  <c:v>247</c:v>
                </c:pt>
                <c:pt idx="200">
                  <c:v>248</c:v>
                </c:pt>
                <c:pt idx="201">
                  <c:v>249</c:v>
                </c:pt>
                <c:pt idx="202">
                  <c:v>250</c:v>
                </c:pt>
                <c:pt idx="203">
                  <c:v>251</c:v>
                </c:pt>
                <c:pt idx="204">
                  <c:v>252</c:v>
                </c:pt>
                <c:pt idx="205">
                  <c:v>253</c:v>
                </c:pt>
                <c:pt idx="206">
                  <c:v>254</c:v>
                </c:pt>
                <c:pt idx="207">
                  <c:v>255</c:v>
                </c:pt>
                <c:pt idx="208">
                  <c:v>256</c:v>
                </c:pt>
                <c:pt idx="209">
                  <c:v>257</c:v>
                </c:pt>
                <c:pt idx="210">
                  <c:v>258</c:v>
                </c:pt>
                <c:pt idx="211">
                  <c:v>259</c:v>
                </c:pt>
                <c:pt idx="212">
                  <c:v>260</c:v>
                </c:pt>
                <c:pt idx="213">
                  <c:v>261</c:v>
                </c:pt>
                <c:pt idx="214">
                  <c:v>262</c:v>
                </c:pt>
                <c:pt idx="215">
                  <c:v>263</c:v>
                </c:pt>
                <c:pt idx="216">
                  <c:v>264</c:v>
                </c:pt>
                <c:pt idx="217">
                  <c:v>265</c:v>
                </c:pt>
                <c:pt idx="218">
                  <c:v>266</c:v>
                </c:pt>
                <c:pt idx="219">
                  <c:v>267</c:v>
                </c:pt>
                <c:pt idx="220">
                  <c:v>268</c:v>
                </c:pt>
                <c:pt idx="221">
                  <c:v>269</c:v>
                </c:pt>
                <c:pt idx="222">
                  <c:v>270</c:v>
                </c:pt>
                <c:pt idx="223">
                  <c:v>271</c:v>
                </c:pt>
                <c:pt idx="224">
                  <c:v>272</c:v>
                </c:pt>
                <c:pt idx="225">
                  <c:v>273</c:v>
                </c:pt>
                <c:pt idx="226">
                  <c:v>274</c:v>
                </c:pt>
              </c:numCache>
            </c:numRef>
          </c:xVal>
          <c:yVal>
            <c:numRef>
              <c:f>'New_cases - LNorm'!$O$55:$O$281</c:f>
              <c:numCache>
                <c:formatCode>General</c:formatCode>
                <c:ptCount val="227"/>
                <c:pt idx="0">
                  <c:v>1015.4321728010536</c:v>
                </c:pt>
                <c:pt idx="1">
                  <c:v>1017.2710082548758</c:v>
                </c:pt>
                <c:pt idx="2">
                  <c:v>1020.6068671636314</c:v>
                </c:pt>
                <c:pt idx="3">
                  <c:v>1026.2761219748888</c:v>
                </c:pt>
                <c:pt idx="4">
                  <c:v>1035.3752904930609</c:v>
                </c:pt>
                <c:pt idx="5">
                  <c:v>1049.2609636694572</c:v>
                </c:pt>
                <c:pt idx="6">
                  <c:v>1069.5235295095026</c:v>
                </c:pt>
                <c:pt idx="7">
                  <c:v>1097.9343814431522</c:v>
                </c:pt>
                <c:pt idx="8">
                  <c:v>1136.3697534025239</c:v>
                </c:pt>
                <c:pt idx="9">
                  <c:v>1186.7171750754569</c:v>
                </c:pt>
                <c:pt idx="10">
                  <c:v>1250.7724088037401</c:v>
                </c:pt>
                <c:pt idx="11">
                  <c:v>1330.1354683319544</c:v>
                </c:pt>
                <c:pt idx="12">
                  <c:v>1426.1139894888697</c:v>
                </c:pt>
                <c:pt idx="13">
                  <c:v>1539.6410306475468</c:v>
                </c:pt>
                <c:pt idx="14">
                  <c:v>1671.2126102974626</c:v>
                </c:pt>
                <c:pt idx="15">
                  <c:v>1820.8482391230682</c:v>
                </c:pt>
                <c:pt idx="16">
                  <c:v>1988.075642434665</c:v>
                </c:pt>
                <c:pt idx="17">
                  <c:v>2171.9390048601676</c:v>
                </c:pt>
                <c:pt idx="18">
                  <c:v>2371.0285426481287</c:v>
                </c:pt>
                <c:pt idx="19">
                  <c:v>2583.5280919274978</c:v>
                </c:pt>
                <c:pt idx="20">
                  <c:v>2807.276708409549</c:v>
                </c:pt>
                <c:pt idx="21">
                  <c:v>3039.8399763321877</c:v>
                </c:pt>
                <c:pt idx="22">
                  <c:v>3278.5867642465878</c:v>
                </c:pt>
                <c:pt idx="23">
                  <c:v>3520.7674696344134</c:v>
                </c:pt>
                <c:pt idx="24">
                  <c:v>3763.5902862400949</c:v>
                </c:pt>
                <c:pt idx="25">
                  <c:v>4004.2926342310971</c:v>
                </c:pt>
                <c:pt idx="26">
                  <c:v>4240.205549842236</c:v>
                </c:pt>
                <c:pt idx="27">
                  <c:v>4468.8094859595076</c:v>
                </c:pt>
                <c:pt idx="28">
                  <c:v>4687.7805889319015</c:v>
                </c:pt>
                <c:pt idx="29">
                  <c:v>4895.0270628791777</c:v>
                </c:pt>
                <c:pt idx="30">
                  <c:v>5088.7156949622049</c:v>
                </c:pt>
                <c:pt idx="31">
                  <c:v>5267.2889866816759</c:v>
                </c:pt>
                <c:pt idx="32">
                  <c:v>5429.4736175625048</c:v>
                </c:pt>
                <c:pt idx="33">
                  <c:v>5574.2811640231866</c:v>
                </c:pt>
                <c:pt idx="34">
                  <c:v>5701.0021167071245</c:v>
                </c:pt>
                <c:pt idx="35">
                  <c:v>5809.1942949090462</c:v>
                </c:pt>
                <c:pt idx="36">
                  <c:v>5898.6667585925652</c:v>
                </c:pt>
                <c:pt idx="37">
                  <c:v>5969.4602783969112</c:v>
                </c:pt>
                <c:pt idx="38">
                  <c:v>6021.8253527862698</c:v>
                </c:pt>
                <c:pt idx="39">
                  <c:v>6056.1986688031511</c:v>
                </c:pt>
                <c:pt idx="40">
                  <c:v>6073.178797113881</c:v>
                </c:pt>
                <c:pt idx="41">
                  <c:v>6073.5018001329736</c:v>
                </c:pt>
                <c:pt idx="42">
                  <c:v>6058.0173195493171</c:v>
                </c:pt>
                <c:pt idx="43">
                  <c:v>6027.6656008176278</c:v>
                </c:pt>
                <c:pt idx="44">
                  <c:v>5983.4558102296596</c:v>
                </c:pt>
                <c:pt idx="45">
                  <c:v>5926.4459071411875</c:v>
                </c:pt>
                <c:pt idx="46">
                  <c:v>5857.724251062622</c:v>
                </c:pt>
                <c:pt idx="47">
                  <c:v>5778.3930512013867</c:v>
                </c:pt>
                <c:pt idx="48">
                  <c:v>5689.5537047186863</c:v>
                </c:pt>
                <c:pt idx="49">
                  <c:v>5592.2940190769068</c:v>
                </c:pt>
                <c:pt idx="50">
                  <c:v>5487.6772727666284</c:v>
                </c:pt>
                <c:pt idx="51">
                  <c:v>5376.7330365846219</c:v>
                </c:pt>
                <c:pt idx="52">
                  <c:v>5260.4496535458229</c:v>
                </c:pt>
                <c:pt idx="53">
                  <c:v>5139.7682584654067</c:v>
                </c:pt>
                <c:pt idx="54">
                  <c:v>5015.5782072523725</c:v>
                </c:pt>
                <c:pt idx="55">
                  <c:v>4888.7137800595492</c:v>
                </c:pt>
                <c:pt idx="56">
                  <c:v>4759.9520207417609</c:v>
                </c:pt>
                <c:pt idx="57">
                  <c:v>4630.0115767644029</c:v>
                </c:pt>
                <c:pt idx="58">
                  <c:v>4499.5524080432915</c:v>
                </c:pt>
                <c:pt idx="59">
                  <c:v>4369.1762395356782</c:v>
                </c:pt>
                <c:pt idx="60">
                  <c:v>4239.4276401818861</c:v>
                </c:pt>
                <c:pt idx="61">
                  <c:v>4110.7956195399765</c:v>
                </c:pt>
                <c:pt idx="62">
                  <c:v>3983.7156427652872</c:v>
                </c:pt>
                <c:pt idx="63">
                  <c:v>3858.57197413616</c:v>
                </c:pt>
                <c:pt idx="64">
                  <c:v>3735.7002688558459</c:v>
                </c:pt>
                <c:pt idx="65">
                  <c:v>3615.3903421635036</c:v>
                </c:pt>
                <c:pt idx="66">
                  <c:v>3497.8890537105481</c:v>
                </c:pt>
                <c:pt idx="67">
                  <c:v>3383.403253588694</c:v>
                </c:pt>
                <c:pt idx="68">
                  <c:v>3272.1027442572718</c:v>
                </c:pt>
                <c:pt idx="69">
                  <c:v>3164.1232198610119</c:v>
                </c:pt>
                <c:pt idx="70">
                  <c:v>3059.5691510337397</c:v>
                </c:pt>
                <c:pt idx="71">
                  <c:v>2958.5165892426535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351-49D9-8412-5154FB7D0D89}"/>
            </c:ext>
          </c:extLst>
        </c:ser>
        <c:ser>
          <c:idx val="2"/>
          <c:order val="4"/>
          <c:tx>
            <c:strRef>
              <c:f>'New_cases - LNorm'!$P$7</c:f>
              <c:strCache>
                <c:ptCount val="1"/>
                <c:pt idx="0">
                  <c:v>Lower CI</c:v>
                </c:pt>
              </c:strCache>
            </c:strRef>
          </c:tx>
          <c:spPr>
            <a:ln w="19050" cap="rnd">
              <a:solidFill>
                <a:srgbClr val="00B05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'New_cases - LNorm'!$C$55:$C$281</c:f>
              <c:numCache>
                <c:formatCode>General</c:formatCode>
                <c:ptCount val="227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  <c:pt idx="55">
                  <c:v>103</c:v>
                </c:pt>
                <c:pt idx="56">
                  <c:v>104</c:v>
                </c:pt>
                <c:pt idx="57">
                  <c:v>105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111</c:v>
                </c:pt>
                <c:pt idx="64">
                  <c:v>112</c:v>
                </c:pt>
                <c:pt idx="65">
                  <c:v>113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  <c:pt idx="82">
                  <c:v>130</c:v>
                </c:pt>
                <c:pt idx="83">
                  <c:v>131</c:v>
                </c:pt>
                <c:pt idx="84">
                  <c:v>132</c:v>
                </c:pt>
                <c:pt idx="85">
                  <c:v>133</c:v>
                </c:pt>
                <c:pt idx="86">
                  <c:v>134</c:v>
                </c:pt>
                <c:pt idx="87">
                  <c:v>135</c:v>
                </c:pt>
                <c:pt idx="88">
                  <c:v>136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  <c:pt idx="92">
                  <c:v>140</c:v>
                </c:pt>
                <c:pt idx="93">
                  <c:v>141</c:v>
                </c:pt>
                <c:pt idx="94">
                  <c:v>142</c:v>
                </c:pt>
                <c:pt idx="95">
                  <c:v>143</c:v>
                </c:pt>
                <c:pt idx="96">
                  <c:v>144</c:v>
                </c:pt>
                <c:pt idx="97">
                  <c:v>145</c:v>
                </c:pt>
                <c:pt idx="98">
                  <c:v>146</c:v>
                </c:pt>
                <c:pt idx="99">
                  <c:v>147</c:v>
                </c:pt>
                <c:pt idx="100">
                  <c:v>148</c:v>
                </c:pt>
                <c:pt idx="101">
                  <c:v>149</c:v>
                </c:pt>
                <c:pt idx="102">
                  <c:v>150</c:v>
                </c:pt>
                <c:pt idx="103">
                  <c:v>151</c:v>
                </c:pt>
                <c:pt idx="104">
                  <c:v>152</c:v>
                </c:pt>
                <c:pt idx="105">
                  <c:v>153</c:v>
                </c:pt>
                <c:pt idx="106">
                  <c:v>154</c:v>
                </c:pt>
                <c:pt idx="107">
                  <c:v>155</c:v>
                </c:pt>
                <c:pt idx="108">
                  <c:v>156</c:v>
                </c:pt>
                <c:pt idx="109">
                  <c:v>157</c:v>
                </c:pt>
                <c:pt idx="110">
                  <c:v>158</c:v>
                </c:pt>
                <c:pt idx="111">
                  <c:v>159</c:v>
                </c:pt>
                <c:pt idx="112">
                  <c:v>160</c:v>
                </c:pt>
                <c:pt idx="113">
                  <c:v>161</c:v>
                </c:pt>
                <c:pt idx="114">
                  <c:v>162</c:v>
                </c:pt>
                <c:pt idx="115">
                  <c:v>163</c:v>
                </c:pt>
                <c:pt idx="116">
                  <c:v>164</c:v>
                </c:pt>
                <c:pt idx="117">
                  <c:v>165</c:v>
                </c:pt>
                <c:pt idx="118">
                  <c:v>166</c:v>
                </c:pt>
                <c:pt idx="119">
                  <c:v>167</c:v>
                </c:pt>
                <c:pt idx="120">
                  <c:v>168</c:v>
                </c:pt>
                <c:pt idx="121">
                  <c:v>169</c:v>
                </c:pt>
                <c:pt idx="122">
                  <c:v>170</c:v>
                </c:pt>
                <c:pt idx="123">
                  <c:v>171</c:v>
                </c:pt>
                <c:pt idx="124">
                  <c:v>172</c:v>
                </c:pt>
                <c:pt idx="125">
                  <c:v>173</c:v>
                </c:pt>
                <c:pt idx="126">
                  <c:v>174</c:v>
                </c:pt>
                <c:pt idx="127">
                  <c:v>175</c:v>
                </c:pt>
                <c:pt idx="128">
                  <c:v>176</c:v>
                </c:pt>
                <c:pt idx="129">
                  <c:v>177</c:v>
                </c:pt>
                <c:pt idx="130">
                  <c:v>178</c:v>
                </c:pt>
                <c:pt idx="131">
                  <c:v>179</c:v>
                </c:pt>
                <c:pt idx="132">
                  <c:v>180</c:v>
                </c:pt>
                <c:pt idx="133">
                  <c:v>181</c:v>
                </c:pt>
                <c:pt idx="134">
                  <c:v>182</c:v>
                </c:pt>
                <c:pt idx="135">
                  <c:v>183</c:v>
                </c:pt>
                <c:pt idx="136">
                  <c:v>184</c:v>
                </c:pt>
                <c:pt idx="137">
                  <c:v>185</c:v>
                </c:pt>
                <c:pt idx="138">
                  <c:v>186</c:v>
                </c:pt>
                <c:pt idx="139">
                  <c:v>187</c:v>
                </c:pt>
                <c:pt idx="140">
                  <c:v>188</c:v>
                </c:pt>
                <c:pt idx="141">
                  <c:v>189</c:v>
                </c:pt>
                <c:pt idx="142">
                  <c:v>190</c:v>
                </c:pt>
                <c:pt idx="143">
                  <c:v>191</c:v>
                </c:pt>
                <c:pt idx="144">
                  <c:v>192</c:v>
                </c:pt>
                <c:pt idx="145">
                  <c:v>193</c:v>
                </c:pt>
                <c:pt idx="146">
                  <c:v>194</c:v>
                </c:pt>
                <c:pt idx="147">
                  <c:v>195</c:v>
                </c:pt>
                <c:pt idx="148">
                  <c:v>196</c:v>
                </c:pt>
                <c:pt idx="149">
                  <c:v>197</c:v>
                </c:pt>
                <c:pt idx="150">
                  <c:v>198</c:v>
                </c:pt>
                <c:pt idx="151">
                  <c:v>199</c:v>
                </c:pt>
                <c:pt idx="152">
                  <c:v>200</c:v>
                </c:pt>
                <c:pt idx="153">
                  <c:v>201</c:v>
                </c:pt>
                <c:pt idx="154">
                  <c:v>202</c:v>
                </c:pt>
                <c:pt idx="155">
                  <c:v>203</c:v>
                </c:pt>
                <c:pt idx="156">
                  <c:v>204</c:v>
                </c:pt>
                <c:pt idx="157">
                  <c:v>205</c:v>
                </c:pt>
                <c:pt idx="158">
                  <c:v>206</c:v>
                </c:pt>
                <c:pt idx="159">
                  <c:v>207</c:v>
                </c:pt>
                <c:pt idx="160">
                  <c:v>208</c:v>
                </c:pt>
                <c:pt idx="161">
                  <c:v>209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213</c:v>
                </c:pt>
                <c:pt idx="166">
                  <c:v>214</c:v>
                </c:pt>
                <c:pt idx="167">
                  <c:v>215</c:v>
                </c:pt>
                <c:pt idx="168">
                  <c:v>216</c:v>
                </c:pt>
                <c:pt idx="169">
                  <c:v>217</c:v>
                </c:pt>
                <c:pt idx="170">
                  <c:v>218</c:v>
                </c:pt>
                <c:pt idx="171">
                  <c:v>219</c:v>
                </c:pt>
                <c:pt idx="172">
                  <c:v>220</c:v>
                </c:pt>
                <c:pt idx="173">
                  <c:v>221</c:v>
                </c:pt>
                <c:pt idx="174">
                  <c:v>222</c:v>
                </c:pt>
                <c:pt idx="175">
                  <c:v>223</c:v>
                </c:pt>
                <c:pt idx="176">
                  <c:v>224</c:v>
                </c:pt>
                <c:pt idx="177">
                  <c:v>225</c:v>
                </c:pt>
                <c:pt idx="178">
                  <c:v>226</c:v>
                </c:pt>
                <c:pt idx="179">
                  <c:v>227</c:v>
                </c:pt>
                <c:pt idx="180">
                  <c:v>228</c:v>
                </c:pt>
                <c:pt idx="181">
                  <c:v>229</c:v>
                </c:pt>
                <c:pt idx="182">
                  <c:v>230</c:v>
                </c:pt>
                <c:pt idx="183">
                  <c:v>231</c:v>
                </c:pt>
                <c:pt idx="184">
                  <c:v>232</c:v>
                </c:pt>
                <c:pt idx="185">
                  <c:v>233</c:v>
                </c:pt>
                <c:pt idx="186">
                  <c:v>234</c:v>
                </c:pt>
                <c:pt idx="187">
                  <c:v>235</c:v>
                </c:pt>
                <c:pt idx="188">
                  <c:v>236</c:v>
                </c:pt>
                <c:pt idx="189">
                  <c:v>237</c:v>
                </c:pt>
                <c:pt idx="190">
                  <c:v>238</c:v>
                </c:pt>
                <c:pt idx="191">
                  <c:v>239</c:v>
                </c:pt>
                <c:pt idx="192">
                  <c:v>240</c:v>
                </c:pt>
                <c:pt idx="193">
                  <c:v>241</c:v>
                </c:pt>
                <c:pt idx="194">
                  <c:v>242</c:v>
                </c:pt>
                <c:pt idx="195">
                  <c:v>243</c:v>
                </c:pt>
                <c:pt idx="196">
                  <c:v>244</c:v>
                </c:pt>
                <c:pt idx="197">
                  <c:v>245</c:v>
                </c:pt>
                <c:pt idx="198">
                  <c:v>246</c:v>
                </c:pt>
                <c:pt idx="199">
                  <c:v>247</c:v>
                </c:pt>
                <c:pt idx="200">
                  <c:v>248</c:v>
                </c:pt>
                <c:pt idx="201">
                  <c:v>249</c:v>
                </c:pt>
                <c:pt idx="202">
                  <c:v>250</c:v>
                </c:pt>
                <c:pt idx="203">
                  <c:v>251</c:v>
                </c:pt>
                <c:pt idx="204">
                  <c:v>252</c:v>
                </c:pt>
                <c:pt idx="205">
                  <c:v>253</c:v>
                </c:pt>
                <c:pt idx="206">
                  <c:v>254</c:v>
                </c:pt>
                <c:pt idx="207">
                  <c:v>255</c:v>
                </c:pt>
                <c:pt idx="208">
                  <c:v>256</c:v>
                </c:pt>
                <c:pt idx="209">
                  <c:v>257</c:v>
                </c:pt>
                <c:pt idx="210">
                  <c:v>258</c:v>
                </c:pt>
                <c:pt idx="211">
                  <c:v>259</c:v>
                </c:pt>
                <c:pt idx="212">
                  <c:v>260</c:v>
                </c:pt>
                <c:pt idx="213">
                  <c:v>261</c:v>
                </c:pt>
                <c:pt idx="214">
                  <c:v>262</c:v>
                </c:pt>
                <c:pt idx="215">
                  <c:v>263</c:v>
                </c:pt>
                <c:pt idx="216">
                  <c:v>264</c:v>
                </c:pt>
                <c:pt idx="217">
                  <c:v>265</c:v>
                </c:pt>
                <c:pt idx="218">
                  <c:v>266</c:v>
                </c:pt>
                <c:pt idx="219">
                  <c:v>267</c:v>
                </c:pt>
                <c:pt idx="220">
                  <c:v>268</c:v>
                </c:pt>
                <c:pt idx="221">
                  <c:v>269</c:v>
                </c:pt>
                <c:pt idx="222">
                  <c:v>270</c:v>
                </c:pt>
                <c:pt idx="223">
                  <c:v>271</c:v>
                </c:pt>
                <c:pt idx="224">
                  <c:v>272</c:v>
                </c:pt>
                <c:pt idx="225">
                  <c:v>273</c:v>
                </c:pt>
                <c:pt idx="226">
                  <c:v>274</c:v>
                </c:pt>
              </c:numCache>
            </c:numRef>
          </c:xVal>
          <c:yVal>
            <c:numRef>
              <c:f>'New_cases - LNorm'!$P$55:$P$281</c:f>
              <c:numCache>
                <c:formatCode>General</c:formatCode>
                <c:ptCount val="2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144.41300081953239</c:v>
                </c:pt>
                <c:pt idx="18">
                  <c:v>343.50253860749342</c:v>
                </c:pt>
                <c:pt idx="19">
                  <c:v>556.00208788686257</c:v>
                </c:pt>
                <c:pt idx="20">
                  <c:v>779.75070436891349</c:v>
                </c:pt>
                <c:pt idx="21">
                  <c:v>1012.3139722915524</c:v>
                </c:pt>
                <c:pt idx="22">
                  <c:v>1251.0607602059522</c:v>
                </c:pt>
                <c:pt idx="23">
                  <c:v>1493.2414655937778</c:v>
                </c:pt>
                <c:pt idx="24">
                  <c:v>1736.0642821994593</c:v>
                </c:pt>
                <c:pt idx="25">
                  <c:v>1976.7666301904615</c:v>
                </c:pt>
                <c:pt idx="26">
                  <c:v>2212.6795458016009</c:v>
                </c:pt>
                <c:pt idx="27">
                  <c:v>2441.283481918872</c:v>
                </c:pt>
                <c:pt idx="28">
                  <c:v>2660.2545848912664</c:v>
                </c:pt>
                <c:pt idx="29">
                  <c:v>2867.5010588385421</c:v>
                </c:pt>
                <c:pt idx="30">
                  <c:v>3061.1896909215693</c:v>
                </c:pt>
                <c:pt idx="31">
                  <c:v>3239.7629826410403</c:v>
                </c:pt>
                <c:pt idx="32">
                  <c:v>3401.9476135218692</c:v>
                </c:pt>
                <c:pt idx="33">
                  <c:v>3546.755159982551</c:v>
                </c:pt>
                <c:pt idx="34">
                  <c:v>3673.4761126664889</c:v>
                </c:pt>
                <c:pt idx="35">
                  <c:v>3781.6682908684106</c:v>
                </c:pt>
                <c:pt idx="36">
                  <c:v>3871.1407545519296</c:v>
                </c:pt>
                <c:pt idx="37">
                  <c:v>3941.9342743562756</c:v>
                </c:pt>
                <c:pt idx="38">
                  <c:v>3994.2993487456342</c:v>
                </c:pt>
                <c:pt idx="39">
                  <c:v>4028.6726647625155</c:v>
                </c:pt>
                <c:pt idx="40">
                  <c:v>4045.6527930732454</c:v>
                </c:pt>
                <c:pt idx="41">
                  <c:v>4045.975796092338</c:v>
                </c:pt>
                <c:pt idx="42">
                  <c:v>4030.4913155086815</c:v>
                </c:pt>
                <c:pt idx="43">
                  <c:v>4000.1395967769922</c:v>
                </c:pt>
                <c:pt idx="44">
                  <c:v>3955.929806189024</c:v>
                </c:pt>
                <c:pt idx="45">
                  <c:v>3898.9199031005519</c:v>
                </c:pt>
                <c:pt idx="46">
                  <c:v>3830.1982470219864</c:v>
                </c:pt>
                <c:pt idx="47">
                  <c:v>3750.8670471607511</c:v>
                </c:pt>
                <c:pt idx="48">
                  <c:v>3662.0277006780507</c:v>
                </c:pt>
                <c:pt idx="49">
                  <c:v>3564.7680150362712</c:v>
                </c:pt>
                <c:pt idx="50">
                  <c:v>3460.1512687259928</c:v>
                </c:pt>
                <c:pt idx="51">
                  <c:v>3349.2070325439863</c:v>
                </c:pt>
                <c:pt idx="52">
                  <c:v>3232.9236495051873</c:v>
                </c:pt>
                <c:pt idx="53">
                  <c:v>3112.2422544247711</c:v>
                </c:pt>
                <c:pt idx="54">
                  <c:v>2988.0522032117374</c:v>
                </c:pt>
                <c:pt idx="55">
                  <c:v>2861.1877760189136</c:v>
                </c:pt>
                <c:pt idx="56">
                  <c:v>2732.4260167011257</c:v>
                </c:pt>
                <c:pt idx="57">
                  <c:v>2602.4855727237673</c:v>
                </c:pt>
                <c:pt idx="58">
                  <c:v>2472.0264040026564</c:v>
                </c:pt>
                <c:pt idx="59">
                  <c:v>2341.650235495043</c:v>
                </c:pt>
                <c:pt idx="60">
                  <c:v>2211.9016361412505</c:v>
                </c:pt>
                <c:pt idx="61">
                  <c:v>2083.2696154993409</c:v>
                </c:pt>
                <c:pt idx="62">
                  <c:v>1956.1896387246516</c:v>
                </c:pt>
                <c:pt idx="63">
                  <c:v>1831.0459700955244</c:v>
                </c:pt>
                <c:pt idx="64">
                  <c:v>1708.1742648152103</c:v>
                </c:pt>
                <c:pt idx="65">
                  <c:v>1587.864338122868</c:v>
                </c:pt>
                <c:pt idx="66">
                  <c:v>1470.3630496699125</c:v>
                </c:pt>
                <c:pt idx="67">
                  <c:v>1355.8772495480584</c:v>
                </c:pt>
                <c:pt idx="68">
                  <c:v>1244.5767402166362</c:v>
                </c:pt>
                <c:pt idx="69">
                  <c:v>1136.5972158203763</c:v>
                </c:pt>
                <c:pt idx="70">
                  <c:v>1032.0431469931041</c:v>
                </c:pt>
                <c:pt idx="71">
                  <c:v>930.990585202018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351-49D9-8412-5154FB7D0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Days from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Dayly new cases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8779890344030938"/>
          <c:y val="0.20573317041562389"/>
          <c:w val="0.32687529757652334"/>
          <c:h val="0.3337666398904302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B050"/>
                </a:solidFill>
              </a:rPr>
              <a:t>rest of Italy outside Lombardy - </a:t>
            </a:r>
            <a:r>
              <a:rPr lang="it-IT" sz="1400" b="0" i="0" u="none" strike="noStrike" baseline="0">
                <a:solidFill>
                  <a:srgbClr val="00B050"/>
                </a:solidFill>
                <a:effectLst/>
              </a:rPr>
              <a:t>Accumulative cases (displacement) - Lognormal</a:t>
            </a:r>
            <a:endParaRPr lang="it-IT">
              <a:solidFill>
                <a:srgbClr val="00B05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'New_cases - LNorm'!$AA$7</c:f>
              <c:strCache>
                <c:ptCount val="1"/>
                <c:pt idx="0">
                  <c:v>rest of Italy cum.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LNorm'!$AA$8:$AA$184</c:f>
              <c:numCache>
                <c:formatCode>0</c:formatCode>
                <c:ptCount val="177"/>
                <c:pt idx="54">
                  <c:v>57</c:v>
                </c:pt>
                <c:pt idx="55">
                  <c:v>82</c:v>
                </c:pt>
                <c:pt idx="56">
                  <c:v>142</c:v>
                </c:pt>
                <c:pt idx="57">
                  <c:v>247</c:v>
                </c:pt>
                <c:pt idx="58">
                  <c:v>357</c:v>
                </c:pt>
                <c:pt idx="59">
                  <c:v>513</c:v>
                </c:pt>
                <c:pt idx="60">
                  <c:v>710</c:v>
                </c:pt>
                <c:pt idx="61">
                  <c:v>782</c:v>
                </c:pt>
                <c:pt idx="62">
                  <c:v>982</c:v>
                </c:pt>
                <c:pt idx="63">
                  <c:v>1269</c:v>
                </c:pt>
                <c:pt idx="64">
                  <c:v>1607</c:v>
                </c:pt>
                <c:pt idx="65">
                  <c:v>2024</c:v>
                </c:pt>
                <c:pt idx="66">
                  <c:v>2463</c:v>
                </c:pt>
                <c:pt idx="67">
                  <c:v>3186</c:v>
                </c:pt>
                <c:pt idx="68">
                  <c:v>3703</c:v>
                </c:pt>
                <c:pt idx="69">
                  <c:v>4358</c:v>
                </c:pt>
                <c:pt idx="70">
                  <c:v>5182</c:v>
                </c:pt>
                <c:pt idx="71">
                  <c:v>6388</c:v>
                </c:pt>
                <c:pt idx="72">
                  <c:v>7840</c:v>
                </c:pt>
                <c:pt idx="73">
                  <c:v>9472</c:v>
                </c:pt>
                <c:pt idx="74">
                  <c:v>11475</c:v>
                </c:pt>
                <c:pt idx="75">
                  <c:v>13331</c:v>
                </c:pt>
                <c:pt idx="76">
                  <c:v>15286</c:v>
                </c:pt>
                <c:pt idx="77">
                  <c:v>18000</c:v>
                </c:pt>
                <c:pt idx="78">
                  <c:v>21151</c:v>
                </c:pt>
                <c:pt idx="79">
                  <c:v>24757</c:v>
                </c:pt>
                <c:pt idx="80">
                  <c:v>28063</c:v>
                </c:pt>
                <c:pt idx="81">
                  <c:v>31932</c:v>
                </c:pt>
                <c:pt idx="82">
                  <c:v>35166</c:v>
                </c:pt>
                <c:pt idx="83">
                  <c:v>38473</c:v>
                </c:pt>
                <c:pt idx="84">
                  <c:v>42040</c:v>
                </c:pt>
                <c:pt idx="85">
                  <c:v>45650</c:v>
                </c:pt>
                <c:pt idx="86">
                  <c:v>49200</c:v>
                </c:pt>
                <c:pt idx="87">
                  <c:v>53057</c:v>
                </c:pt>
                <c:pt idx="88">
                  <c:v>56682</c:v>
                </c:pt>
                <c:pt idx="89">
                  <c:v>59578</c:v>
                </c:pt>
                <c:pt idx="90">
                  <c:v>62584</c:v>
                </c:pt>
                <c:pt idx="91">
                  <c:v>65801</c:v>
                </c:pt>
                <c:pt idx="92">
                  <c:v>69177</c:v>
                </c:pt>
                <c:pt idx="93">
                  <c:v>72307</c:v>
                </c:pt>
                <c:pt idx="94">
                  <c:v>75514</c:v>
                </c:pt>
                <c:pt idx="95">
                  <c:v>78493</c:v>
                </c:pt>
                <c:pt idx="96">
                  <c:v>81013</c:v>
                </c:pt>
                <c:pt idx="97">
                  <c:v>83261</c:v>
                </c:pt>
                <c:pt idx="98">
                  <c:v>86008</c:v>
                </c:pt>
                <c:pt idx="99">
                  <c:v>88824</c:v>
                </c:pt>
                <c:pt idx="100">
                  <c:v>91529</c:v>
                </c:pt>
                <c:pt idx="101">
                  <c:v>94679</c:v>
                </c:pt>
                <c:pt idx="102">
                  <c:v>97311</c:v>
                </c:pt>
                <c:pt idx="103">
                  <c:v>99202</c:v>
                </c:pt>
                <c:pt idx="104">
                  <c:v>101162</c:v>
                </c:pt>
                <c:pt idx="105">
                  <c:v>103002</c:v>
                </c:pt>
                <c:pt idx="106">
                  <c:v>105847</c:v>
                </c:pt>
                <c:pt idx="107">
                  <c:v>108299</c:v>
                </c:pt>
                <c:pt idx="108">
                  <c:v>110544</c:v>
                </c:pt>
                <c:pt idx="109">
                  <c:v>112736</c:v>
                </c:pt>
                <c:pt idx="110">
                  <c:v>114257</c:v>
                </c:pt>
                <c:pt idx="111">
                  <c:v>116026</c:v>
                </c:pt>
                <c:pt idx="112">
                  <c:v>118235</c:v>
                </c:pt>
                <c:pt idx="113">
                  <c:v>119808</c:v>
                </c:pt>
                <c:pt idx="114">
                  <c:v>121738</c:v>
                </c:pt>
                <c:pt idx="115">
                  <c:v>123382</c:v>
                </c:pt>
                <c:pt idx="116">
                  <c:v>124786</c:v>
                </c:pt>
                <c:pt idx="117">
                  <c:v>125935</c:v>
                </c:pt>
                <c:pt idx="118">
                  <c:v>127157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80-476A-920C-762E1C600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'New_cases - LNorm'!$AD$7</c:f>
              <c:strCache>
                <c:ptCount val="1"/>
                <c:pt idx="0">
                  <c:v>rest of Italy cumul. Fit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LNorm'!$AD$8:$AD$184</c:f>
              <c:numCache>
                <c:formatCode>0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1.9507327401080682E-56</c:v>
                </c:pt>
                <c:pt idx="38">
                  <c:v>2.4258346319876795E-27</c:v>
                </c:pt>
                <c:pt idx="39">
                  <c:v>9.0611137748086005E-19</c:v>
                </c:pt>
                <c:pt idx="40">
                  <c:v>4.4611368624324991E-14</c:v>
                </c:pt>
                <c:pt idx="41">
                  <c:v>5.4492801872499963E-11</c:v>
                </c:pt>
                <c:pt idx="42">
                  <c:v>9.2374410644758984E-9</c:v>
                </c:pt>
                <c:pt idx="43">
                  <c:v>4.6753772985919447E-7</c:v>
                </c:pt>
                <c:pt idx="44">
                  <c:v>1.0569392149442228E-5</c:v>
                </c:pt>
                <c:pt idx="45">
                  <c:v>1.3509330492944511E-4</c:v>
                </c:pt>
                <c:pt idx="46">
                  <c:v>1.1329276107491756E-3</c:v>
                </c:pt>
                <c:pt idx="47">
                  <c:v>6.8853047554286546E-3</c:v>
                </c:pt>
                <c:pt idx="48">
                  <c:v>3.250241220883384E-2</c:v>
                </c:pt>
                <c:pt idx="49">
                  <c:v>0.12529684172525352</c:v>
                </c:pt>
                <c:pt idx="50">
                  <c:v>0.40942503163152882</c:v>
                </c:pt>
                <c:pt idx="51">
                  <c:v>1.166635984039708</c:v>
                </c:pt>
                <c:pt idx="52">
                  <c:v>2.9634107340692979</c:v>
                </c:pt>
                <c:pt idx="53">
                  <c:v>6.8282200200796863</c:v>
                </c:pt>
                <c:pt idx="54" formatCode="General">
                  <c:v>14.472768060535266</c:v>
                </c:pt>
                <c:pt idx="55" formatCode="General">
                  <c:v>28.540319273609629</c:v>
                </c:pt>
                <c:pt idx="56" formatCode="General">
                  <c:v>52.855278634221321</c:v>
                </c:pt>
                <c:pt idx="57" formatCode="General">
                  <c:v>92.643298386472409</c:v>
                </c:pt>
                <c:pt idx="58" formatCode="General">
                  <c:v>154.69135092058042</c:v>
                </c:pt>
                <c:pt idx="59" formatCode="General">
                  <c:v>247.42222963734693</c:v>
                </c:pt>
                <c:pt idx="60" formatCode="General">
                  <c:v>380.86663026803939</c:v>
                </c:pt>
                <c:pt idx="61" formatCode="General">
                  <c:v>566.52661474504566</c:v>
                </c:pt>
                <c:pt idx="62" formatCode="General">
                  <c:v>817.13509237138612</c:v>
                </c:pt>
                <c:pt idx="63" formatCode="General">
                  <c:v>1146.3254735417293</c:v>
                </c:pt>
                <c:pt idx="64" formatCode="General">
                  <c:v>1568.2328388552471</c:v>
                </c:pt>
                <c:pt idx="65" formatCode="General">
                  <c:v>2097.0523245860077</c:v>
                </c:pt>
                <c:pt idx="66" formatCode="General">
                  <c:v>2746.5819261065622</c:v>
                </c:pt>
                <c:pt idx="67" formatCode="General">
                  <c:v>3529.7758891787362</c:v>
                </c:pt>
                <c:pt idx="68" formatCode="General">
                  <c:v>4458.3318388133321</c:v>
                </c:pt>
                <c:pt idx="69" formatCode="General">
                  <c:v>5542.3304236886052</c:v>
                </c:pt>
                <c:pt idx="70" formatCode="General">
                  <c:v>6789.9411612720642</c:v>
                </c:pt>
                <c:pt idx="71" formatCode="General">
                  <c:v>8207.2029099055053</c:v>
                </c:pt>
                <c:pt idx="72" formatCode="General">
                  <c:v>9797.8824105135063</c:v>
                </c:pt>
                <c:pt idx="73" formatCode="General">
                  <c:v>11563.409946216672</c:v>
                </c:pt>
                <c:pt idx="74" formatCode="General">
                  <c:v>13502.887554047407</c:v>
                </c:pt>
                <c:pt idx="75" formatCode="General">
                  <c:v>15613.162473367664</c:v>
                </c:pt>
                <c:pt idx="76" formatCode="General">
                  <c:v>17888.956629534136</c:v>
                </c:pt>
                <c:pt idx="77" formatCode="General">
                  <c:v>20323.041866037074</c:v>
                </c:pt>
                <c:pt idx="78" formatCode="General">
                  <c:v>22906.450250895345</c:v>
                </c:pt>
                <c:pt idx="79" formatCode="General">
                  <c:v>25628.708969359228</c:v>
                </c:pt>
                <c:pt idx="80" formatCode="General">
                  <c:v>28478.089944348303</c:v>
                </c:pt>
                <c:pt idx="81" formatCode="General">
                  <c:v>31441.865272423573</c:v>
                </c:pt>
                <c:pt idx="82" formatCode="General">
                  <c:v>34506.560712151368</c:v>
                </c:pt>
                <c:pt idx="83" formatCode="General">
                  <c:v>37658.20071523654</c:v>
                </c:pt>
                <c:pt idx="84" formatCode="General">
                  <c:v>40882.539768465918</c:v>
                </c:pt>
                <c:pt idx="85" formatCode="General">
                  <c:v>44165.276053994246</c:v>
                </c:pt>
                <c:pt idx="86" formatCode="General">
                  <c:v>47492.244591342511</c:v>
                </c:pt>
                <c:pt idx="87" formatCode="General">
                  <c:v>50849.58806611818</c:v>
                </c:pt>
                <c:pt idx="88" formatCode="General">
                  <c:v>54223.904460029429</c:v>
                </c:pt>
                <c:pt idx="89" formatCode="General">
                  <c:v>57602.371366640451</c:v>
                </c:pt>
                <c:pt idx="90" formatCode="General">
                  <c:v>60972.847507879022</c:v>
                </c:pt>
                <c:pt idx="91" formatCode="General">
                  <c:v>64323.952463805501</c:v>
                </c:pt>
                <c:pt idx="92" formatCode="General">
                  <c:v>67645.126002901379</c:v>
                </c:pt>
                <c:pt idx="93" formatCode="General">
                  <c:v>70926.668664974175</c:v>
                </c:pt>
                <c:pt idx="94" formatCode="General">
                  <c:v>74159.765417855233</c:v>
                </c:pt>
                <c:pt idx="95" formatCode="General">
                  <c:v>77336.494296891717</c:v>
                </c:pt>
                <c:pt idx="96" formatCode="General">
                  <c:v>80449.821956939806</c:v>
                </c:pt>
                <c:pt idx="97" formatCode="General">
                  <c:v>83493.588033471126</c:v>
                </c:pt>
                <c:pt idx="98" formatCode="General">
                  <c:v>86462.480134613143</c:v>
                </c:pt>
                <c:pt idx="99" formatCode="General">
                  <c:v>89352.001180257022</c:v>
                </c:pt>
                <c:pt idx="100" formatCode="General">
                  <c:v>92158.430677105629</c:v>
                </c:pt>
                <c:pt idx="101" formatCode="General">
                  <c:v>94878.781377666935</c:v>
                </c:pt>
                <c:pt idx="102" formatCode="General">
                  <c:v>97510.752623245149</c:v>
                </c:pt>
                <c:pt idx="103" formatCode="General">
                  <c:v>100052.68152131849</c:v>
                </c:pt>
                <c:pt idx="104" formatCode="General">
                  <c:v>102503.49296044245</c:v>
                </c:pt>
                <c:pt idx="105" formatCode="General">
                  <c:v>104862.64932420803</c:v>
                </c:pt>
                <c:pt idx="106" formatCode="General">
                  <c:v>107130.10063210889</c:v>
                </c:pt>
                <c:pt idx="107" formatCode="General">
                  <c:v>109306.23571102909</c:v>
                </c:pt>
                <c:pt idx="108" formatCode="General">
                  <c:v>111391.83488743517</c:v>
                </c:pt>
                <c:pt idx="109" formatCode="General">
                  <c:v>113388.02458773604</c:v>
                </c:pt>
                <c:pt idx="110" formatCode="General">
                  <c:v>115296.23414275379</c:v>
                </c:pt>
                <c:pt idx="111" formatCode="General">
                  <c:v>117118.15501163721</c:v>
                </c:pt>
                <c:pt idx="112" formatCode="General">
                  <c:v>118855.70257040823</c:v>
                </c:pt>
                <c:pt idx="113" formatCode="General">
                  <c:v>120510.9805500728</c:v>
                </c:pt>
                <c:pt idx="114" formatCode="General">
                  <c:v>122086.24815815724</c:v>
                </c:pt>
                <c:pt idx="115" formatCode="General">
                  <c:v>123583.88987487515</c:v>
                </c:pt>
                <c:pt idx="116" formatCode="General">
                  <c:v>125006.38788010621</c:v>
                </c:pt>
                <c:pt idx="117" formatCode="General">
                  <c:v>126356.29703916883</c:v>
                </c:pt>
                <c:pt idx="118" formatCode="General">
                  <c:v>127636.22235321964</c:v>
                </c:pt>
                <c:pt idx="119" formatCode="General">
                  <c:v>128848.7987632664</c:v>
                </c:pt>
                <c:pt idx="120" formatCode="General">
                  <c:v>129996.67318453532</c:v>
                </c:pt>
                <c:pt idx="121" formatCode="General">
                  <c:v>131082.48863962723</c:v>
                </c:pt>
                <c:pt idx="122" formatCode="General">
                  <c:v>132108.87035394527</c:v>
                </c:pt>
                <c:pt idx="123" formatCode="General">
                  <c:v>133078.41367472205</c:v>
                </c:pt>
                <c:pt idx="124" formatCode="General">
                  <c:v>133993.67367513973</c:v>
                </c:pt>
                <c:pt idx="125" formatCode="General">
                  <c:v>134857.15630708213</c:v>
                </c:pt>
                <c:pt idx="126" formatCode="General">
                  <c:v>135671.31096960977</c:v>
                </c:pt>
                <c:pt idx="127" formatCode="General">
                  <c:v>136438.52436496739</c:v>
                </c:pt>
                <c:pt idx="128" formatCode="General">
                  <c:v>137161.11551953363</c:v>
                </c:pt>
                <c:pt idx="129" formatCode="General">
                  <c:v>137841.33185336328</c:v>
                </c:pt>
                <c:pt idx="130" formatCode="General">
                  <c:v>138481.34618863615</c:v>
                </c:pt>
                <c:pt idx="131" formatCode="General">
                  <c:v>139083.25459424485</c:v>
                </c:pt>
                <c:pt idx="132" formatCode="General">
                  <c:v>139649.07497077979</c:v>
                </c:pt>
                <c:pt idx="133" formatCode="General">
                  <c:v>140180.74628718375</c:v>
                </c:pt>
                <c:pt idx="134" formatCode="General">
                  <c:v>140680.12838725458</c:v>
                </c:pt>
                <c:pt idx="135" formatCode="General">
                  <c:v>141149.00229090173</c:v>
                </c:pt>
                <c:pt idx="136" formatCode="General">
                  <c:v>141589.07092154451</c:v>
                </c:pt>
                <c:pt idx="137" formatCode="General">
                  <c:v>142001.96019724241</c:v>
                </c:pt>
                <c:pt idx="138" formatCode="General">
                  <c:v>142389.22042903272</c:v>
                </c:pt>
                <c:pt idx="139" formatCode="General">
                  <c:v>142752.32797550212</c:v>
                </c:pt>
                <c:pt idx="140" formatCode="General">
                  <c:v>143092.68710782341</c:v>
                </c:pt>
                <c:pt idx="141" formatCode="General">
                  <c:v>143411.63204434121</c:v>
                </c:pt>
                <c:pt idx="142" formatCode="General">
                  <c:v>143710.42911829479</c:v>
                </c:pt>
                <c:pt idx="143" formatCode="General">
                  <c:v>143990.27904642586</c:v>
                </c:pt>
                <c:pt idx="144" formatCode="General">
                  <c:v>144252.31927004526</c:v>
                </c:pt>
                <c:pt idx="145" formatCode="General">
                  <c:v>144497.62634363666</c:v>
                </c:pt>
                <c:pt idx="146" formatCode="General">
                  <c:v>144727.218349273</c:v>
                </c:pt>
                <c:pt idx="147" formatCode="General">
                  <c:v>144942.05731802669</c:v>
                </c:pt>
                <c:pt idx="148" formatCode="General">
                  <c:v>145143.05164218618</c:v>
                </c:pt>
                <c:pt idx="149" formatCode="General">
                  <c:v>145331.05846446479</c:v>
                </c:pt>
                <c:pt idx="150" formatCode="General">
                  <c:v>145506.8860325217</c:v>
                </c:pt>
                <c:pt idx="151" formatCode="General">
                  <c:v>145671.29600902554</c:v>
                </c:pt>
                <c:pt idx="152" formatCode="General">
                  <c:v>145825.00572919563</c:v>
                </c:pt>
                <c:pt idx="153" formatCode="General">
                  <c:v>145968.69039927144</c:v>
                </c:pt>
                <c:pt idx="154" formatCode="General">
                  <c:v>146102.98523070125</c:v>
                </c:pt>
                <c:pt idx="155" formatCode="General">
                  <c:v>146228.48750602425</c:v>
                </c:pt>
                <c:pt idx="156" formatCode="General">
                  <c:v>146345.7585734569</c:v>
                </c:pt>
                <c:pt idx="157" formatCode="General">
                  <c:v>146455.32576810059</c:v>
                </c:pt>
                <c:pt idx="158" formatCode="General">
                  <c:v>146557.68425847558</c:v>
                </c:pt>
                <c:pt idx="159" formatCode="General">
                  <c:v>146653.29881776491</c:v>
                </c:pt>
                <c:pt idx="160" formatCode="General">
                  <c:v>146742.60551973694</c:v>
                </c:pt>
                <c:pt idx="161" formatCode="General">
                  <c:v>146826.01335981127</c:v>
                </c:pt>
                <c:pt idx="162" formatCode="General">
                  <c:v>146903.90580215378</c:v>
                </c:pt>
                <c:pt idx="163" formatCode="General">
                  <c:v>146976.64225403685</c:v>
                </c:pt>
                <c:pt idx="164" formatCode="General">
                  <c:v>147044.55946899249</c:v>
                </c:pt>
                <c:pt idx="165" formatCode="General">
                  <c:v>147107.97288052144</c:v>
                </c:pt>
                <c:pt idx="166" formatCode="General">
                  <c:v>147167.17786831071</c:v>
                </c:pt>
                <c:pt idx="167" formatCode="General">
                  <c:v>147222.4509590595</c:v>
                </c:pt>
                <c:pt idx="168" formatCode="General">
                  <c:v>147274.0509641236</c:v>
                </c:pt>
                <c:pt idx="169" formatCode="General">
                  <c:v>147322.22005626812</c:v>
                </c:pt>
                <c:pt idx="170" formatCode="General">
                  <c:v>147367.18478786966</c:v>
                </c:pt>
                <c:pt idx="171" formatCode="General">
                  <c:v>147409.1570529367</c:v>
                </c:pt>
                <c:pt idx="172" formatCode="General">
                  <c:v>147448.33499532519</c:v>
                </c:pt>
                <c:pt idx="173" formatCode="General">
                  <c:v>147484.90386551686</c:v>
                </c:pt>
                <c:pt idx="174" formatCode="General">
                  <c:v>147519.03682830275</c:v>
                </c:pt>
                <c:pt idx="175" formatCode="General">
                  <c:v>147550.89572367969</c:v>
                </c:pt>
                <c:pt idx="176" formatCode="General">
                  <c:v>147580.63178322028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80-476A-920C-762E1C600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  <a:r>
                  <a:rPr lang="en-US" baseline="0"/>
                  <a:t> from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 number of cases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FF0000"/>
                </a:solidFill>
              </a:rPr>
              <a:t>Lombardy - </a:t>
            </a:r>
            <a:r>
              <a:rPr lang="it-IT" sz="1400" b="0" i="0" u="none" strike="noStrike" baseline="0">
                <a:solidFill>
                  <a:srgbClr val="FF0000"/>
                </a:solidFill>
                <a:effectLst/>
              </a:rPr>
              <a:t>Accumulative cases (displacement) - Lognormal</a:t>
            </a:r>
            <a:endParaRPr lang="it-IT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'New_cases - LNorm'!$Q$7</c:f>
              <c:strCache>
                <c:ptCount val="1"/>
                <c:pt idx="0">
                  <c:v>Lombardy cumul.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LNorm'!$Q$8:$Q$184</c:f>
              <c:numCache>
                <c:formatCode>General</c:formatCode>
                <c:ptCount val="177"/>
                <c:pt idx="54">
                  <c:v>172</c:v>
                </c:pt>
                <c:pt idx="55">
                  <c:v>240</c:v>
                </c:pt>
                <c:pt idx="56">
                  <c:v>258</c:v>
                </c:pt>
                <c:pt idx="57">
                  <c:v>403</c:v>
                </c:pt>
                <c:pt idx="58">
                  <c:v>531</c:v>
                </c:pt>
                <c:pt idx="59">
                  <c:v>615</c:v>
                </c:pt>
                <c:pt idx="60">
                  <c:v>984</c:v>
                </c:pt>
                <c:pt idx="61">
                  <c:v>1254</c:v>
                </c:pt>
                <c:pt idx="62">
                  <c:v>1520</c:v>
                </c:pt>
                <c:pt idx="63">
                  <c:v>1820</c:v>
                </c:pt>
                <c:pt idx="64">
                  <c:v>2251</c:v>
                </c:pt>
                <c:pt idx="65">
                  <c:v>2612</c:v>
                </c:pt>
                <c:pt idx="66">
                  <c:v>3420</c:v>
                </c:pt>
                <c:pt idx="67">
                  <c:v>4189</c:v>
                </c:pt>
                <c:pt idx="68">
                  <c:v>5469</c:v>
                </c:pt>
                <c:pt idx="69">
                  <c:v>5791</c:v>
                </c:pt>
                <c:pt idx="70">
                  <c:v>7280</c:v>
                </c:pt>
                <c:pt idx="71">
                  <c:v>8725</c:v>
                </c:pt>
                <c:pt idx="72">
                  <c:v>9820</c:v>
                </c:pt>
                <c:pt idx="73">
                  <c:v>11685</c:v>
                </c:pt>
                <c:pt idx="74">
                  <c:v>13272</c:v>
                </c:pt>
                <c:pt idx="75">
                  <c:v>14649</c:v>
                </c:pt>
                <c:pt idx="76">
                  <c:v>16220</c:v>
                </c:pt>
                <c:pt idx="77">
                  <c:v>17713</c:v>
                </c:pt>
                <c:pt idx="78">
                  <c:v>19884</c:v>
                </c:pt>
                <c:pt idx="79">
                  <c:v>22264</c:v>
                </c:pt>
                <c:pt idx="80">
                  <c:v>25515</c:v>
                </c:pt>
                <c:pt idx="81">
                  <c:v>27206</c:v>
                </c:pt>
                <c:pt idx="82">
                  <c:v>28761</c:v>
                </c:pt>
                <c:pt idx="83">
                  <c:v>30703</c:v>
                </c:pt>
                <c:pt idx="84">
                  <c:v>32346</c:v>
                </c:pt>
                <c:pt idx="85">
                  <c:v>34889</c:v>
                </c:pt>
                <c:pt idx="86">
                  <c:v>37298</c:v>
                </c:pt>
                <c:pt idx="87">
                  <c:v>39415</c:v>
                </c:pt>
                <c:pt idx="88">
                  <c:v>41007</c:v>
                </c:pt>
                <c:pt idx="89">
                  <c:v>42161</c:v>
                </c:pt>
                <c:pt idx="90">
                  <c:v>43208</c:v>
                </c:pt>
                <c:pt idx="91">
                  <c:v>44773</c:v>
                </c:pt>
                <c:pt idx="92">
                  <c:v>46065</c:v>
                </c:pt>
                <c:pt idx="93">
                  <c:v>47520</c:v>
                </c:pt>
                <c:pt idx="94">
                  <c:v>49118</c:v>
                </c:pt>
                <c:pt idx="95">
                  <c:v>50455</c:v>
                </c:pt>
                <c:pt idx="96">
                  <c:v>51534</c:v>
                </c:pt>
                <c:pt idx="97">
                  <c:v>52325</c:v>
                </c:pt>
                <c:pt idx="98">
                  <c:v>53414</c:v>
                </c:pt>
                <c:pt idx="99">
                  <c:v>54802</c:v>
                </c:pt>
                <c:pt idx="100">
                  <c:v>56048</c:v>
                </c:pt>
                <c:pt idx="101">
                  <c:v>57592</c:v>
                </c:pt>
                <c:pt idx="102">
                  <c:v>59052</c:v>
                </c:pt>
                <c:pt idx="103">
                  <c:v>60314</c:v>
                </c:pt>
                <c:pt idx="104">
                  <c:v>61326</c:v>
                </c:pt>
                <c:pt idx="105">
                  <c:v>62153</c:v>
                </c:pt>
                <c:pt idx="106">
                  <c:v>63094</c:v>
                </c:pt>
                <c:pt idx="107">
                  <c:v>64135</c:v>
                </c:pt>
                <c:pt idx="108">
                  <c:v>65381</c:v>
                </c:pt>
                <c:pt idx="109">
                  <c:v>66236</c:v>
                </c:pt>
                <c:pt idx="110">
                  <c:v>66971</c:v>
                </c:pt>
                <c:pt idx="111">
                  <c:v>67931</c:v>
                </c:pt>
                <c:pt idx="112">
                  <c:v>69092</c:v>
                </c:pt>
                <c:pt idx="113">
                  <c:v>70165</c:v>
                </c:pt>
                <c:pt idx="114">
                  <c:v>71256</c:v>
                </c:pt>
                <c:pt idx="115">
                  <c:v>71969</c:v>
                </c:pt>
                <c:pt idx="116">
                  <c:v>72889</c:v>
                </c:pt>
                <c:pt idx="117">
                  <c:v>73479</c:v>
                </c:pt>
                <c:pt idx="118">
                  <c:v>74348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BA-4D14-A7E2-A9B0B7DCB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'New_cases - LNorm'!$T$7</c:f>
              <c:strCache>
                <c:ptCount val="1"/>
                <c:pt idx="0">
                  <c:v>Lombardy cumul. Fit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LNorm'!$T$8:$T$184</c:f>
              <c:numCache>
                <c:formatCode>0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4.5004674482023335E-33</c:v>
                </c:pt>
                <c:pt idx="32">
                  <c:v>9.982998313231629E-21</c:v>
                </c:pt>
                <c:pt idx="33">
                  <c:v>4.0616974750038979E-15</c:v>
                </c:pt>
                <c:pt idx="34">
                  <c:v>1.1067531237093309E-11</c:v>
                </c:pt>
                <c:pt idx="35">
                  <c:v>2.706273601535887E-9</c:v>
                </c:pt>
                <c:pt idx="36">
                  <c:v>1.6452786763801899E-7</c:v>
                </c:pt>
                <c:pt idx="37">
                  <c:v>4.0922874212949553E-6</c:v>
                </c:pt>
                <c:pt idx="38">
                  <c:v>5.4980686627547732E-5</c:v>
                </c:pt>
                <c:pt idx="39">
                  <c:v>4.7268540916532139E-4</c:v>
                </c:pt>
                <c:pt idx="40">
                  <c:v>2.9037514905089928E-3</c:v>
                </c:pt>
                <c:pt idx="41">
                  <c:v>1.3744676008109632E-2</c:v>
                </c:pt>
                <c:pt idx="42">
                  <c:v>5.289229195701816E-2</c:v>
                </c:pt>
                <c:pt idx="43">
                  <c:v>0.17211805434560609</c:v>
                </c:pt>
                <c:pt idx="44">
                  <c:v>0.48787673256248693</c:v>
                </c:pt>
                <c:pt idx="45">
                  <c:v>1.232404561241581</c:v>
                </c:pt>
                <c:pt idx="46">
                  <c:v>2.8244131218996005</c:v>
                </c:pt>
                <c:pt idx="47">
                  <c:v>5.9570265831536959</c:v>
                </c:pt>
                <c:pt idx="48">
                  <c:v>11.696728324452055</c:v>
                </c:pt>
                <c:pt idx="49">
                  <c:v>21.583926129223123</c:v>
                </c:pt>
                <c:pt idx="50">
                  <c:v>37.724019062370473</c:v>
                </c:pt>
                <c:pt idx="51">
                  <c:v>62.857858736043291</c:v>
                </c:pt>
                <c:pt idx="52">
                  <c:v>100.40214228955595</c:v>
                </c:pt>
                <c:pt idx="53">
                  <c:v>154.45315185535208</c:v>
                </c:pt>
                <c:pt idx="54" formatCode="General">
                  <c:v>229.75081032074394</c:v>
                </c:pt>
                <c:pt idx="55" formatCode="General">
                  <c:v>331.60368823539022</c:v>
                </c:pt>
                <c:pt idx="56" formatCode="General">
                  <c:v>465.77889435556489</c:v>
                </c:pt>
                <c:pt idx="57" formatCode="General">
                  <c:v>638.36338064302606</c:v>
                </c:pt>
                <c:pt idx="58" formatCode="General">
                  <c:v>855.6049183896896</c:v>
                </c:pt>
                <c:pt idx="59" formatCode="General">
                  <c:v>1123.7418244760652</c:v>
                </c:pt>
                <c:pt idx="60" formatCode="General">
                  <c:v>1448.8305134421209</c:v>
                </c:pt>
                <c:pt idx="61" formatCode="General">
                  <c:v>1836.5792702222441</c:v>
                </c:pt>
                <c:pt idx="62" formatCode="General">
                  <c:v>2292.1954624306022</c:v>
                </c:pt>
                <c:pt idx="63" formatCode="General">
                  <c:v>2820.2519272416362</c:v>
                </c:pt>
                <c:pt idx="64" formatCode="General">
                  <c:v>3424.5766475447799</c:v>
                </c:pt>
                <c:pt idx="65" formatCode="General">
                  <c:v>4108.168218034295</c:v>
                </c:pt>
                <c:pt idx="66" formatCode="General">
                  <c:v>4873.1381029957529</c:v>
                </c:pt>
                <c:pt idx="67" formatCode="General">
                  <c:v>5720.6793780428634</c:v>
                </c:pt>
                <c:pt idx="68" formatCode="General">
                  <c:v>6651.0605708092144</c:v>
                </c:pt>
                <c:pt idx="69" formatCode="General">
                  <c:v>7663.6423871361549</c:v>
                </c:pt>
                <c:pt idx="70" formatCode="General">
                  <c:v>8756.9145256784268</c:v>
                </c:pt>
                <c:pt idx="71" formatCode="General">
                  <c:v>9928.5494264847639</c:v>
                </c:pt>
                <c:pt idx="72" formatCode="General">
                  <c:v>11175.46964004266</c:v>
                </c:pt>
                <c:pt idx="73" formatCode="General">
                  <c:v>12493.925509581044</c:v>
                </c:pt>
                <c:pt idx="74" formatCode="General">
                  <c:v>13879.579996701837</c:v>
                </c:pt>
                <c:pt idx="75" formatCode="General">
                  <c:v>15327.597715323067</c:v>
                </c:pt>
                <c:pt idx="76" formatCode="General">
                  <c:v>16832.735540922957</c:v>
                </c:pt>
                <c:pt idx="77" formatCode="General">
                  <c:v>18389.432504465833</c:v>
                </c:pt>
                <c:pt idx="78" formatCode="General">
                  <c:v>19991.897040773845</c:v>
                </c:pt>
                <c:pt idx="79" formatCode="General">
                  <c:v>21634.190021491242</c:v>
                </c:pt>
                <c:pt idx="80" formatCode="General">
                  <c:v>23310.302349365797</c:v>
                </c:pt>
                <c:pt idx="81" formatCode="General">
                  <c:v>25014.226213352795</c:v>
                </c:pt>
                <c:pt idx="82" formatCode="General">
                  <c:v>26740.019396335363</c:v>
                </c:pt>
                <c:pt idx="83" formatCode="General">
                  <c:v>28481.862285154002</c:v>
                </c:pt>
                <c:pt idx="84" formatCode="General">
                  <c:v>30234.107454482848</c:v>
                </c:pt>
                <c:pt idx="85" formatCode="General">
                  <c:v>31991.321881984775</c:v>
                </c:pt>
                <c:pt idx="86" formatCode="General">
                  <c:v>33748.322003527355</c:v>
                </c:pt>
                <c:pt idx="87" formatCode="General">
                  <c:v>35500.201936379526</c:v>
                </c:pt>
                <c:pt idx="88" formatCode="General">
                  <c:v>37242.355288164421</c:v>
                </c:pt>
                <c:pt idx="89" formatCode="General">
                  <c:v>38970.491033185979</c:v>
                </c:pt>
                <c:pt idx="90" formatCode="General">
                  <c:v>40680.643978973909</c:v>
                </c:pt>
                <c:pt idx="91" formatCode="General">
                  <c:v>42369.180367868961</c:v>
                </c:pt>
                <c:pt idx="92" formatCode="General">
                  <c:v>44032.799164431563</c:v>
                </c:pt>
                <c:pt idx="93" formatCode="General">
                  <c:v>45668.529572397463</c:v>
                </c:pt>
                <c:pt idx="94" formatCode="General">
                  <c:v>47273.725307568522</c:v>
                </c:pt>
                <c:pt idx="95" formatCode="General">
                  <c:v>48846.056127844786</c:v>
                </c:pt>
                <c:pt idx="96" formatCode="General">
                  <c:v>50383.497090705459</c:v>
                </c:pt>
                <c:pt idx="97" formatCode="General">
                  <c:v>51884.31597367175</c:v>
                </c:pt>
                <c:pt idx="98" formatCode="General">
                  <c:v>53347.059256157372</c:v>
                </c:pt>
                <c:pt idx="99" formatCode="General">
                  <c:v>54770.537022930162</c:v>
                </c:pt>
                <c:pt idx="100" formatCode="General">
                  <c:v>56153.80711118412</c:v>
                </c:pt>
                <c:pt idx="101" formatCode="General">
                  <c:v>57496.158785785505</c:v>
                </c:pt>
                <c:pt idx="102" formatCode="General">
                  <c:v>58797.096191230899</c:v>
                </c:pt>
                <c:pt idx="103" formatCode="General">
                  <c:v>60056.3217947015</c:v>
                </c:pt>
                <c:pt idx="104" formatCode="General">
                  <c:v>61273.720002643167</c:v>
                </c:pt>
                <c:pt idx="105" formatCode="General">
                  <c:v>62449.3411037525</c:v>
                </c:pt>
                <c:pt idx="106" formatCode="General">
                  <c:v>63583.38566421374</c:v>
                </c:pt>
                <c:pt idx="107" formatCode="General">
                  <c:v>64676.189476553751</c:v>
                </c:pt>
                <c:pt idx="108" formatCode="General">
                  <c:v>65728.209141519241</c:v>
                </c:pt>
                <c:pt idx="109" formatCode="General">
                  <c:v>66740.0083428785</c:v>
                </c:pt>
                <c:pt idx="110" formatCode="General">
                  <c:v>67712.244857883314</c:v>
                </c:pt>
                <c:pt idx="111" formatCode="General">
                  <c:v>68645.658331171959</c:v>
                </c:pt>
                <c:pt idx="112" formatCode="General">
                  <c:v>69541.058826994791</c:v>
                </c:pt>
                <c:pt idx="113" formatCode="General">
                  <c:v>70399.316163647018</c:v>
                </c:pt>
                <c:pt idx="114" formatCode="General">
                  <c:v>71221.350024725776</c:v>
                </c:pt>
                <c:pt idx="115" formatCode="General">
                  <c:v>72008.120834134315</c:v>
                </c:pt>
                <c:pt idx="116" formatCode="General">
                  <c:v>72760.621375470975</c:v>
                </c:pt>
                <c:pt idx="117" formatCode="General">
                  <c:v>73479.869131409956</c:v>
                </c:pt>
                <c:pt idx="118" formatCode="General">
                  <c:v>74166.8993147609</c:v>
                </c:pt>
                <c:pt idx="119" formatCode="General">
                  <c:v>74822.758559943803</c:v>
                </c:pt>
                <c:pt idx="120" formatCode="General">
                  <c:v>75448.499241512851</c:v>
                </c:pt>
                <c:pt idx="121" formatCode="General">
                  <c:v>76045.1743849841</c:v>
                </c:pt>
                <c:pt idx="122" formatCode="General">
                  <c:v>76613.833134465094</c:v>
                </c:pt>
                <c:pt idx="123" formatCode="General">
                  <c:v>77155.516741352141</c:v>
                </c:pt>
                <c:pt idx="124" formatCode="General">
                  <c:v>77671.255038565258</c:v>
                </c:pt>
                <c:pt idx="125" formatCode="General">
                  <c:v>78162.063365355221</c:v>
                </c:pt>
                <c:pt idx="126" formatCode="General">
                  <c:v>78628.939908572895</c:v>
                </c:pt>
                <c:pt idx="127" formatCode="General">
                  <c:v>79072.86342737946</c:v>
                </c:pt>
                <c:pt idx="128" formatCode="General">
                  <c:v>79494.791329642132</c:v>
                </c:pt>
                <c:pt idx="129" formatCode="General">
                  <c:v>79895.658069660931</c:v>
                </c:pt>
                <c:pt idx="130" formatCode="General">
                  <c:v>80276.373838365733</c:v>
                </c:pt>
                <c:pt idx="131" formatCode="General">
                  <c:v>80637.823518680394</c:v>
                </c:pt>
                <c:pt idx="132" formatCode="General">
                  <c:v>80980.86588033702</c:v>
                </c:pt>
                <c:pt idx="133" formatCode="General">
                  <c:v>81306.332990023977</c:v>
                </c:pt>
                <c:pt idx="134" formatCode="General">
                  <c:v>81615.02981433706</c:v>
                </c:pt>
                <c:pt idx="135" formatCode="General">
                  <c:v>81907.733994565613</c:v>
                </c:pt>
                <c:pt idx="136" formatCode="General">
                  <c:v>82185.195773867905</c:v>
                </c:pt>
                <c:pt idx="137" formatCode="General">
                  <c:v>82448.138058862911</c:v>
                </c:pt>
                <c:pt idx="138" formatCode="General">
                  <c:v>82697.256599083383</c:v>
                </c:pt>
                <c:pt idx="139" formatCode="General">
                  <c:v>82933.220269088051</c:v>
                </c:pt>
                <c:pt idx="140" formatCode="General">
                  <c:v>83156.671439319733</c:v>
                </c:pt>
                <c:pt idx="141" formatCode="General">
                  <c:v>83368.226423014072</c:v>
                </c:pt>
                <c:pt idx="142" formatCode="General">
                  <c:v>83568.475987613274</c:v>
                </c:pt>
                <c:pt idx="143" formatCode="General">
                  <c:v>83757.985920216946</c:v>
                </c:pt>
                <c:pt idx="144" formatCode="General">
                  <c:v>83937.297637611147</c:v>
                </c:pt>
                <c:pt idx="145" formatCode="General">
                  <c:v>84106.928832356643</c:v>
                </c:pt>
                <c:pt idx="146" formatCode="General">
                  <c:v>84267.37414729064</c:v>
                </c:pt>
                <c:pt idx="147" formatCode="General">
                  <c:v>84419.10587160557</c:v>
                </c:pt>
                <c:pt idx="148" formatCode="General">
                  <c:v>84562.574652415191</c:v>
                </c:pt>
                <c:pt idx="149" formatCode="General">
                  <c:v>84698.210216405729</c:v>
                </c:pt>
                <c:pt idx="150" formatCode="General">
                  <c:v>84826.422096802387</c:v>
                </c:pt>
                <c:pt idx="151" formatCode="General">
                  <c:v>84947.600361458666</c:v>
                </c:pt>
                <c:pt idx="152" formatCode="General">
                  <c:v>85062.116338405118</c:v>
                </c:pt>
                <c:pt idx="153" formatCode="General">
                  <c:v>85170.323335674941</c:v>
                </c:pt>
                <c:pt idx="154" formatCode="General">
                  <c:v>85272.55735266082</c:v>
                </c:pt>
                <c:pt idx="155" formatCode="General">
                  <c:v>85369.137780653706</c:v>
                </c:pt>
                <c:pt idx="156" formatCode="General">
                  <c:v>85460.368090571821</c:v>
                </c:pt>
                <c:pt idx="157" formatCode="General">
                  <c:v>85546.536506210832</c:v>
                </c:pt>
                <c:pt idx="158" formatCode="General">
                  <c:v>85627.916661635274</c:v>
                </c:pt>
                <c:pt idx="159" formatCode="General">
                  <c:v>85704.768241591519</c:v>
                </c:pt>
                <c:pt idx="160" formatCode="General">
                  <c:v>85777.337604053508</c:v>
                </c:pt>
                <c:pt idx="161" formatCode="General">
                  <c:v>85845.858384218838</c:v>
                </c:pt>
                <c:pt idx="162" formatCode="General">
                  <c:v>85910.552079455883</c:v>
                </c:pt>
                <c:pt idx="163" formatCode="General">
                  <c:v>85971.628614863439</c:v>
                </c:pt>
                <c:pt idx="164" formatCode="General">
                  <c:v>86029.286889247014</c:v>
                </c:pt>
                <c:pt idx="165" formatCode="General">
                  <c:v>86083.71530143969</c:v>
                </c:pt>
                <c:pt idx="166" formatCode="General">
                  <c:v>86135.092257003984</c:v>
                </c:pt>
                <c:pt idx="167" formatCode="General">
                  <c:v>86183.586655444858</c:v>
                </c:pt>
                <c:pt idx="168" formatCode="General">
                  <c:v>86229.358358144367</c:v>
                </c:pt>
                <c:pt idx="169" formatCode="General">
                  <c:v>86272.558637297756</c:v>
                </c:pt>
                <c:pt idx="170" formatCode="General">
                  <c:v>86313.330606188189</c:v>
                </c:pt>
                <c:pt idx="171" formatCode="General">
                  <c:v>86351.809631186756</c:v>
                </c:pt>
                <c:pt idx="172" formatCode="General">
                  <c:v>86388.123725904021</c:v>
                </c:pt>
                <c:pt idx="173" formatCode="General">
                  <c:v>86422.393927951678</c:v>
                </c:pt>
                <c:pt idx="174" formatCode="General">
                  <c:v>86454.7346587996</c:v>
                </c:pt>
                <c:pt idx="175" formatCode="General">
                  <c:v>86485.254067232017</c:v>
                </c:pt>
                <c:pt idx="176" formatCode="General">
                  <c:v>86514.054356922541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9BA-4D14-A7E2-A9B0B7DCB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  <a:r>
                  <a:rPr lang="en-US" baseline="0"/>
                  <a:t> from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 number of cases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B050"/>
                </a:solidFill>
              </a:rPr>
              <a:t>rest of Italy outside Lombardy </a:t>
            </a:r>
            <a:r>
              <a:rPr lang="it-IT" sz="1400" b="0" i="0" u="none" strike="noStrike" baseline="0">
                <a:solidFill>
                  <a:srgbClr val="00B050"/>
                </a:solidFill>
                <a:effectLst/>
              </a:rPr>
              <a:t>- Daily new cases (velocity) - Lognormal</a:t>
            </a:r>
            <a:endParaRPr lang="it-IT">
              <a:solidFill>
                <a:srgbClr val="00B05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'New_cases - LNorm'!$AB$7</c:f>
              <c:strCache>
                <c:ptCount val="1"/>
                <c:pt idx="0">
                  <c:v>rest of Italy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LNorm'!$AB$8:$AB$281</c:f>
              <c:numCache>
                <c:formatCode>General</c:formatCode>
                <c:ptCount val="274"/>
                <c:pt idx="55" formatCode="0">
                  <c:v>25</c:v>
                </c:pt>
                <c:pt idx="56" formatCode="0">
                  <c:v>60</c:v>
                </c:pt>
                <c:pt idx="57" formatCode="0">
                  <c:v>105</c:v>
                </c:pt>
                <c:pt idx="58" formatCode="0">
                  <c:v>110</c:v>
                </c:pt>
                <c:pt idx="59" formatCode="0">
                  <c:v>156</c:v>
                </c:pt>
                <c:pt idx="60" formatCode="0">
                  <c:v>197</c:v>
                </c:pt>
                <c:pt idx="61" formatCode="0">
                  <c:v>72</c:v>
                </c:pt>
                <c:pt idx="62" formatCode="0">
                  <c:v>200</c:v>
                </c:pt>
                <c:pt idx="63" formatCode="0">
                  <c:v>287</c:v>
                </c:pt>
                <c:pt idx="64" formatCode="0">
                  <c:v>338</c:v>
                </c:pt>
                <c:pt idx="65" formatCode="0">
                  <c:v>417</c:v>
                </c:pt>
                <c:pt idx="66" formatCode="0">
                  <c:v>439</c:v>
                </c:pt>
                <c:pt idx="67" formatCode="0">
                  <c:v>723</c:v>
                </c:pt>
                <c:pt idx="68" formatCode="0">
                  <c:v>517</c:v>
                </c:pt>
                <c:pt idx="69" formatCode="0">
                  <c:v>655</c:v>
                </c:pt>
                <c:pt idx="70" formatCode="0">
                  <c:v>824</c:v>
                </c:pt>
                <c:pt idx="71" formatCode="0">
                  <c:v>1206</c:v>
                </c:pt>
                <c:pt idx="72" formatCode="0">
                  <c:v>1452</c:v>
                </c:pt>
                <c:pt idx="73" formatCode="0">
                  <c:v>1632</c:v>
                </c:pt>
                <c:pt idx="74" formatCode="0">
                  <c:v>2003</c:v>
                </c:pt>
                <c:pt idx="75" formatCode="0">
                  <c:v>1856</c:v>
                </c:pt>
                <c:pt idx="76" formatCode="0">
                  <c:v>1955</c:v>
                </c:pt>
                <c:pt idx="77" formatCode="0">
                  <c:v>2714</c:v>
                </c:pt>
                <c:pt idx="78" formatCode="0">
                  <c:v>3151</c:v>
                </c:pt>
                <c:pt idx="79" formatCode="0">
                  <c:v>3606</c:v>
                </c:pt>
                <c:pt idx="80" formatCode="0">
                  <c:v>3306</c:v>
                </c:pt>
                <c:pt idx="81" formatCode="0">
                  <c:v>3869</c:v>
                </c:pt>
                <c:pt idx="82" formatCode="0">
                  <c:v>3234</c:v>
                </c:pt>
                <c:pt idx="83" formatCode="0">
                  <c:v>3307</c:v>
                </c:pt>
                <c:pt idx="84" formatCode="0">
                  <c:v>3567</c:v>
                </c:pt>
                <c:pt idx="85" formatCode="0">
                  <c:v>3610</c:v>
                </c:pt>
                <c:pt idx="86" formatCode="0">
                  <c:v>3550</c:v>
                </c:pt>
                <c:pt idx="87" formatCode="0">
                  <c:v>3857</c:v>
                </c:pt>
                <c:pt idx="88" formatCode="0">
                  <c:v>3625</c:v>
                </c:pt>
                <c:pt idx="89" formatCode="0">
                  <c:v>2896</c:v>
                </c:pt>
                <c:pt idx="90" formatCode="0">
                  <c:v>3006</c:v>
                </c:pt>
                <c:pt idx="91" formatCode="0">
                  <c:v>3217</c:v>
                </c:pt>
                <c:pt idx="92" formatCode="0">
                  <c:v>3376</c:v>
                </c:pt>
                <c:pt idx="93" formatCode="0">
                  <c:v>3130</c:v>
                </c:pt>
                <c:pt idx="94" formatCode="0">
                  <c:v>3207</c:v>
                </c:pt>
                <c:pt idx="95" formatCode="0">
                  <c:v>2979</c:v>
                </c:pt>
                <c:pt idx="96" formatCode="0">
                  <c:v>2520</c:v>
                </c:pt>
                <c:pt idx="97" formatCode="0">
                  <c:v>2248</c:v>
                </c:pt>
                <c:pt idx="98" formatCode="0">
                  <c:v>2747</c:v>
                </c:pt>
                <c:pt idx="99" formatCode="0">
                  <c:v>2816</c:v>
                </c:pt>
                <c:pt idx="100" formatCode="0">
                  <c:v>2705</c:v>
                </c:pt>
                <c:pt idx="101" formatCode="0">
                  <c:v>3150</c:v>
                </c:pt>
                <c:pt idx="102" formatCode="0">
                  <c:v>2632</c:v>
                </c:pt>
                <c:pt idx="103" formatCode="0">
                  <c:v>1891</c:v>
                </c:pt>
                <c:pt idx="104" formatCode="0">
                  <c:v>1960</c:v>
                </c:pt>
                <c:pt idx="105" formatCode="0">
                  <c:v>1840</c:v>
                </c:pt>
                <c:pt idx="106" formatCode="0">
                  <c:v>2845</c:v>
                </c:pt>
                <c:pt idx="107" formatCode="0">
                  <c:v>2452</c:v>
                </c:pt>
                <c:pt idx="108" formatCode="0">
                  <c:v>2245</c:v>
                </c:pt>
                <c:pt idx="109" formatCode="0">
                  <c:v>2192</c:v>
                </c:pt>
                <c:pt idx="110" formatCode="0">
                  <c:v>1521</c:v>
                </c:pt>
                <c:pt idx="111" formatCode="0">
                  <c:v>1769</c:v>
                </c:pt>
                <c:pt idx="112" formatCode="0">
                  <c:v>2209</c:v>
                </c:pt>
                <c:pt idx="113" formatCode="0">
                  <c:v>1573</c:v>
                </c:pt>
                <c:pt idx="114" formatCode="0">
                  <c:v>1930</c:v>
                </c:pt>
                <c:pt idx="115" formatCode="0">
                  <c:v>1644</c:v>
                </c:pt>
                <c:pt idx="116" formatCode="0">
                  <c:v>1404</c:v>
                </c:pt>
                <c:pt idx="117" formatCode="0">
                  <c:v>1149</c:v>
                </c:pt>
                <c:pt idx="118" formatCode="0">
                  <c:v>1222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8F-43A6-8F85-1987D75DE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'New_cases - LNorm'!$AF$7</c:f>
              <c:strCache>
                <c:ptCount val="1"/>
                <c:pt idx="0">
                  <c:v>rest of Italy fit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LNorm'!$AF$8:$AF$281</c:f>
              <c:numCache>
                <c:formatCode>General</c:formatCode>
                <c:ptCount val="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3.5603108157235843E-54</c:v>
                </c:pt>
                <c:pt idx="38">
                  <c:v>6.9999540786373238E-26</c:v>
                </c:pt>
                <c:pt idx="39">
                  <c:v>1.2495526260343405E-17</c:v>
                </c:pt>
                <c:pt idx="40">
                  <c:v>3.8051631768297409E-13</c:v>
                </c:pt>
                <c:pt idx="41">
                  <c:v>3.2395059036526822E-10</c:v>
                </c:pt>
                <c:pt idx="42">
                  <c:v>4.1023020044640386E-8</c:v>
                </c:pt>
                <c:pt idx="43">
                  <c:v>1.6231958919947614E-6</c:v>
                </c:pt>
                <c:pt idx="44">
                  <c:v>2.9623586544402733E-5</c:v>
                </c:pt>
                <c:pt idx="45">
                  <c:v>3.1307383839666164E-4</c:v>
                </c:pt>
                <c:pt idx="46">
                  <c:v>2.2114619462692015E-3</c:v>
                </c:pt>
                <c:pt idx="47">
                  <c:v>1.1488593719390787E-2</c:v>
                </c:pt>
                <c:pt idx="48">
                  <c:v>4.6918253395776648E-2</c:v>
                </c:pt>
                <c:pt idx="49">
                  <c:v>0.15804390046841324</c:v>
                </c:pt>
                <c:pt idx="50">
                  <c:v>0.45506194217060519</c:v>
                </c:pt>
                <c:pt idx="51">
                  <c:v>1.1508049613296201</c:v>
                </c:pt>
                <c:pt idx="52">
                  <c:v>2.6104279071784542</c:v>
                </c:pt>
                <c:pt idx="53">
                  <c:v>5.4002727358958271</c:v>
                </c:pt>
                <c:pt idx="54">
                  <c:v>10.325132476591177</c:v>
                </c:pt>
                <c:pt idx="55">
                  <c:v>18.443627571700961</c:v>
                </c:pt>
                <c:pt idx="56">
                  <c:v>31.054503010317745</c:v>
                </c:pt>
                <c:pt idx="57">
                  <c:v>49.651415984551527</c:v>
                </c:pt>
                <c:pt idx="58">
                  <c:v>75.848938488127814</c:v>
                </c:pt>
                <c:pt idx="59">
                  <c:v>111.28688876154665</c:v>
                </c:pt>
                <c:pt idx="60">
                  <c:v>157.52296613712468</c:v>
                </c:pt>
                <c:pt idx="61">
                  <c:v>215.92471211240581</c:v>
                </c:pt>
                <c:pt idx="62">
                  <c:v>287.57118773992391</c:v>
                </c:pt>
                <c:pt idx="63">
                  <c:v>373.17284739564866</c:v>
                </c:pt>
                <c:pt idx="64">
                  <c:v>473.01542232477493</c:v>
                </c:pt>
                <c:pt idx="65">
                  <c:v>586.9307141643676</c:v>
                </c:pt>
                <c:pt idx="66">
                  <c:v>714.29445601251996</c:v>
                </c:pt>
                <c:pt idx="67">
                  <c:v>854.04911286766855</c:v>
                </c:pt>
                <c:pt idx="68">
                  <c:v>1004.7478170397067</c:v>
                </c:pt>
                <c:pt idx="69">
                  <c:v>1164.6146057079882</c:v>
                </c:pt>
                <c:pt idx="70">
                  <c:v>1331.6157009039941</c:v>
                </c:pt>
                <c:pt idx="71">
                  <c:v>1503.53664763659</c:v>
                </c:pt>
                <c:pt idx="72">
                  <c:v>1678.0605794728556</c:v>
                </c:pt>
                <c:pt idx="73">
                  <c:v>1852.8435850697485</c:v>
                </c:pt>
                <c:pt idx="74">
                  <c:v>2025.5839876535661</c:v>
                </c:pt>
                <c:pt idx="75">
                  <c:v>2194.0832257012048</c:v>
                </c:pt>
                <c:pt idx="76">
                  <c:v>2356.2968636267587</c:v>
                </c:pt>
                <c:pt idx="77">
                  <c:v>2510.3750155728749</c:v>
                </c:pt>
                <c:pt idx="78">
                  <c:v>2654.692103379326</c:v>
                </c:pt>
                <c:pt idx="79">
                  <c:v>2787.8663782449853</c:v>
                </c:pt>
                <c:pt idx="80">
                  <c:v>2908.7700141799401</c:v>
                </c:pt>
                <c:pt idx="81">
                  <c:v>3016.5308387721075</c:v>
                </c:pt>
                <c:pt idx="82">
                  <c:v>3110.5269174635955</c:v>
                </c:pt>
                <c:pt idx="83">
                  <c:v>3190.3752687921292</c:v>
                </c:pt>
                <c:pt idx="84">
                  <c:v>3255.9159781051599</c:v>
                </c:pt>
                <c:pt idx="85">
                  <c:v>3307.192913674166</c:v>
                </c:pt>
                <c:pt idx="86">
                  <c:v>3344.4321479038872</c:v>
                </c:pt>
                <c:pt idx="87">
                  <c:v>3368.0190612821943</c:v>
                </c:pt>
                <c:pt idx="88">
                  <c:v>3378.4749693188419</c:v>
                </c:pt>
                <c:pt idx="89">
                  <c:v>3376.4339720750772</c:v>
                </c:pt>
                <c:pt idx="90">
                  <c:v>3362.6205888789086</c:v>
                </c:pt>
                <c:pt idx="91">
                  <c:v>3337.828612374286</c:v>
                </c:pt>
                <c:pt idx="92">
                  <c:v>3302.901499412304</c:v>
                </c:pt>
                <c:pt idx="93">
                  <c:v>3258.7145133293802</c:v>
                </c:pt>
                <c:pt idx="94">
                  <c:v>3206.1587436562982</c:v>
                </c:pt>
                <c:pt idx="95">
                  <c:v>3146.127055224069</c:v>
                </c:pt>
                <c:pt idx="96">
                  <c:v>3079.5019583444746</c:v>
                </c:pt>
                <c:pt idx="97">
                  <c:v>3007.145344209152</c:v>
                </c:pt>
                <c:pt idx="98">
                  <c:v>2929.8899935897552</c:v>
                </c:pt>
                <c:pt idx="99">
                  <c:v>2848.5327409277602</c:v>
                </c:pt>
                <c:pt idx="100">
                  <c:v>2763.8291585423817</c:v>
                </c:pt>
                <c:pt idx="101">
                  <c:v>2676.4896155606684</c:v>
                </c:pt>
                <c:pt idx="102">
                  <c:v>2587.1765619750977</c:v>
                </c:pt>
                <c:pt idx="103">
                  <c:v>2496.5028887607327</c:v>
                </c:pt>
                <c:pt idx="104">
                  <c:v>2405.0312191711232</c:v>
                </c:pt>
                <c:pt idx="105">
                  <c:v>2313.2739932466784</c:v>
                </c:pt>
                <c:pt idx="106">
                  <c:v>2221.6942164173033</c:v>
                </c:pt>
                <c:pt idx="107">
                  <c:v>2130.7067531950643</c:v>
                </c:pt>
                <c:pt idx="108">
                  <c:v>2040.6800577859933</c:v>
                </c:pt>
                <c:pt idx="109">
                  <c:v>1951.938244562695</c:v>
                </c:pt>
                <c:pt idx="110">
                  <c:v>1864.7634123870196</c:v>
                </c:pt>
                <c:pt idx="111">
                  <c:v>1779.3981474922105</c:v>
                </c:pt>
                <c:pt idx="112">
                  <c:v>1696.0481398345469</c:v>
                </c:pt>
                <c:pt idx="113">
                  <c:v>1614.8848573725725</c:v>
                </c:pt>
                <c:pt idx="114">
                  <c:v>1536.0482315417205</c:v>
                </c:pt>
                <c:pt idx="115">
                  <c:v>1459.6493152180863</c:v>
                </c:pt>
                <c:pt idx="116">
                  <c:v>1385.7728816909639</c:v>
                </c:pt>
                <c:pt idx="117">
                  <c:v>1314.4799395985358</c:v>
                </c:pt>
                <c:pt idx="118">
                  <c:v>1245.8101444502865</c:v>
                </c:pt>
                <c:pt idx="119">
                  <c:v>1179.7840923022191</c:v>
                </c:pt>
                <c:pt idx="120">
                  <c:v>1116.4054854142355</c:v>
                </c:pt>
                <c:pt idx="121">
                  <c:v>1055.6631633557765</c:v>
                </c:pt>
                <c:pt idx="122">
                  <c:v>997.53299609153396</c:v>
                </c:pt>
                <c:pt idx="123">
                  <c:v>941.97963812968112</c:v>
                </c:pt>
                <c:pt idx="124">
                  <c:v>888.95814490617602</c:v>
                </c:pt>
                <c:pt idx="125">
                  <c:v>838.41545426304185</c:v>
                </c:pt>
                <c:pt idx="126">
                  <c:v>790.29173720672065</c:v>
                </c:pt>
                <c:pt idx="127">
                  <c:v>744.52162315135365</c:v>
                </c:pt>
                <c:pt idx="128">
                  <c:v>701.03530560469312</c:v>
                </c:pt>
                <c:pt idx="129">
                  <c:v>659.75953478016152</c:v>
                </c:pt>
                <c:pt idx="130">
                  <c:v>620.61850395336728</c:v>
                </c:pt>
                <c:pt idx="131">
                  <c:v>583.53463655676308</c:v>
                </c:pt>
                <c:pt idx="132">
                  <c:v>548.42928104988653</c:v>
                </c:pt>
                <c:pt idx="133">
                  <c:v>515.22332054014612</c:v>
                </c:pt>
                <c:pt idx="134">
                  <c:v>483.83770398131725</c:v>
                </c:pt>
                <c:pt idx="135">
                  <c:v>454.19390556290517</c:v>
                </c:pt>
                <c:pt idx="136">
                  <c:v>426.21431863905917</c:v>
                </c:pt>
                <c:pt idx="137">
                  <c:v>399.82259024460336</c:v>
                </c:pt>
                <c:pt idx="138">
                  <c:v>374.94390191921877</c:v>
                </c:pt>
                <c:pt idx="139">
                  <c:v>351.50520221873751</c:v>
                </c:pt>
                <c:pt idx="140">
                  <c:v>329.43539594258692</c:v>
                </c:pt>
                <c:pt idx="141">
                  <c:v>308.66549475520475</c:v>
                </c:pt>
                <c:pt idx="142">
                  <c:v>289.12873353190429</c:v>
                </c:pt>
                <c:pt idx="143">
                  <c:v>270.76065642037685</c:v>
                </c:pt>
                <c:pt idx="144">
                  <c:v>253.49917628072163</c:v>
                </c:pt>
                <c:pt idx="145">
                  <c:v>237.28461085228838</c:v>
                </c:pt>
                <c:pt idx="146">
                  <c:v>222.05969869605568</c:v>
                </c:pt>
                <c:pt idx="147">
                  <c:v>207.76959767821637</c:v>
                </c:pt>
                <c:pt idx="148">
                  <c:v>194.36186849445971</c:v>
                </c:pt>
                <c:pt idx="149">
                  <c:v>181.78644548575426</c:v>
                </c:pt>
                <c:pt idx="150">
                  <c:v>169.99559676494684</c:v>
                </c:pt>
                <c:pt idx="151">
                  <c:v>158.94387545912204</c:v>
                </c:pt>
                <c:pt idx="152">
                  <c:v>148.58806367499781</c:v>
                </c:pt>
                <c:pt idx="153">
                  <c:v>138.88711061289575</c:v>
                </c:pt>
                <c:pt idx="154">
                  <c:v>129.80206608856005</c:v>
                </c:pt>
                <c:pt idx="155">
                  <c:v>121.29601057036058</c:v>
                </c:pt>
                <c:pt idx="156">
                  <c:v>113.33398270149605</c:v>
                </c:pt>
                <c:pt idx="157">
                  <c:v>105.88290515183097</c:v>
                </c:pt>
                <c:pt idx="158">
                  <c:v>98.911509531068333</c:v>
                </c:pt>
                <c:pt idx="159">
                  <c:v>92.390260993342054</c:v>
                </c:pt>
                <c:pt idx="160">
                  <c:v>86.291283072030623</c:v>
                </c:pt>
                <c:pt idx="161">
                  <c:v>80.588283201970967</c:v>
                </c:pt>
                <c:pt idx="162">
                  <c:v>75.256479313439783</c:v>
                </c:pt>
                <c:pt idx="163">
                  <c:v>70.272527817534595</c:v>
                </c:pt>
                <c:pt idx="164">
                  <c:v>65.61445324525765</c:v>
                </c:pt>
                <c:pt idx="165">
                  <c:v>61.261579751984854</c:v>
                </c:pt>
                <c:pt idx="166">
                  <c:v>57.194464654495931</c:v>
                </c:pt>
                <c:pt idx="167">
                  <c:v>53.39483412874759</c:v>
                </c:pt>
                <c:pt idx="168">
                  <c:v>49.845521162565966</c:v>
                </c:pt>
                <c:pt idx="169">
                  <c:v>46.530405827922699</c:v>
                </c:pt>
                <c:pt idx="170">
                  <c:v>43.434357911955068</c:v>
                </c:pt>
                <c:pt idx="171">
                  <c:v>40.543181924016729</c:v>
                </c:pt>
                <c:pt idx="172">
                  <c:v>37.843564477361163</c:v>
                </c:pt>
                <c:pt idx="173">
                  <c:v>35.323024028259177</c:v>
                </c:pt>
                <c:pt idx="174">
                  <c:v>32.969862942080226</c:v>
                </c:pt>
                <c:pt idx="175">
                  <c:v>30.773121844849612</c:v>
                </c:pt>
                <c:pt idx="176">
                  <c:v>28.72253620975799</c:v>
                </c:pt>
                <c:pt idx="177">
                  <c:v>26.808495120800671</c:v>
                </c:pt>
                <c:pt idx="178">
                  <c:v>25.022002149969296</c:v>
                </c:pt>
                <c:pt idx="179">
                  <c:v>23.354638279968487</c:v>
                </c:pt>
                <c:pt idx="180">
                  <c:v>21.798526801170439</c:v>
                </c:pt>
                <c:pt idx="181">
                  <c:v>20.346300109235695</c:v>
                </c:pt>
                <c:pt idx="182">
                  <c:v>18.991068328425126</c:v>
                </c:pt>
                <c:pt idx="183">
                  <c:v>17.726389684947989</c:v>
                </c:pt>
                <c:pt idx="184">
                  <c:v>16.546242554653691</c:v>
                </c:pt>
                <c:pt idx="185">
                  <c:v>15.444999109857786</c:v>
                </c:pt>
                <c:pt idx="186">
                  <c:v>14.417400491022027</c:v>
                </c:pt>
                <c:pt idx="187">
                  <c:v>13.458533430308405</c:v>
                </c:pt>
                <c:pt idx="188">
                  <c:v>12.563808255622892</c:v>
                </c:pt>
                <c:pt idx="189">
                  <c:v>11.728938205609783</c:v>
                </c:pt>
                <c:pt idx="190">
                  <c:v>10.949919988086478</c:v>
                </c:pt>
                <c:pt idx="191">
                  <c:v>10.223015516586869</c:v>
                </c:pt>
                <c:pt idx="192">
                  <c:v>9.5447347619737481</c:v>
                </c:pt>
                <c:pt idx="193">
                  <c:v>8.9118196584353946</c:v>
                </c:pt>
                <c:pt idx="194">
                  <c:v>8.3212290055956153</c:v>
                </c:pt>
                <c:pt idx="195">
                  <c:v>7.7701243108940767</c:v>
                </c:pt>
                <c:pt idx="196">
                  <c:v>7.2558565188256035</c:v>
                </c:pt>
                <c:pt idx="197">
                  <c:v>6.7759535760435847</c:v>
                </c:pt>
                <c:pt idx="198">
                  <c:v>6.328108783717787</c:v>
                </c:pt>
                <c:pt idx="199">
                  <c:v>5.9101698908789926</c:v>
                </c:pt>
                <c:pt idx="200">
                  <c:v>5.5201288847735404</c:v>
                </c:pt>
                <c:pt idx="201">
                  <c:v>5.1561124364827862</c:v>
                </c:pt>
                <c:pt idx="202">
                  <c:v>4.8163729622247082</c:v>
                </c:pt>
                <c:pt idx="203">
                  <c:v>4.4992802628504176</c:v>
                </c:pt>
                <c:pt idx="204">
                  <c:v>4.2033137060657424</c:v>
                </c:pt>
                <c:pt idx="205">
                  <c:v>3.9270549178529928</c:v>
                </c:pt>
                <c:pt idx="206">
                  <c:v>3.6691809514300835</c:v>
                </c:pt>
                <c:pt idx="207">
                  <c:v>3.4284579038724243</c:v>
                </c:pt>
                <c:pt idx="208">
                  <c:v>3.2037349522287442</c:v>
                </c:pt>
                <c:pt idx="209">
                  <c:v>2.9939387825922967</c:v>
                </c:pt>
                <c:pt idx="210">
                  <c:v>2.7980683871407384</c:v>
                </c:pt>
                <c:pt idx="211">
                  <c:v>2.6151902056350362</c:v>
                </c:pt>
                <c:pt idx="212">
                  <c:v>2.4444335892707545</c:v>
                </c:pt>
                <c:pt idx="213">
                  <c:v>2.2849865661061091</c:v>
                </c:pt>
                <c:pt idx="214">
                  <c:v>2.1360918885530822</c:v>
                </c:pt>
                <c:pt idx="215">
                  <c:v>1.9970433446124605</c:v>
                </c:pt>
                <c:pt idx="216">
                  <c:v>1.8671823156621152</c:v>
                </c:pt>
                <c:pt idx="217">
                  <c:v>1.7458945646766422</c:v>
                </c:pt>
                <c:pt idx="218">
                  <c:v>1.6326072397624227</c:v>
                </c:pt>
                <c:pt idx="219">
                  <c:v>1.5267860788432863</c:v>
                </c:pt>
                <c:pt idx="220">
                  <c:v>1.4279328022269551</c:v>
                </c:pt>
                <c:pt idx="221">
                  <c:v>1.3355826806260067</c:v>
                </c:pt>
                <c:pt idx="222">
                  <c:v>1.2493022670008072</c:v>
                </c:pt>
                <c:pt idx="223">
                  <c:v>1.16868728133835</c:v>
                </c:pt>
                <c:pt idx="224">
                  <c:v>1.0933606381825307</c:v>
                </c:pt>
                <c:pt idx="225">
                  <c:v>1.022970607390824</c:v>
                </c:pt>
                <c:pt idx="226">
                  <c:v>0.95718909921094275</c:v>
                </c:pt>
                <c:pt idx="227">
                  <c:v>0.89571006535222097</c:v>
                </c:pt>
                <c:pt idx="228">
                  <c:v>0.83824800827094559</c:v>
                </c:pt>
                <c:pt idx="229">
                  <c:v>0.78453659140013077</c:v>
                </c:pt>
                <c:pt idx="230">
                  <c:v>0.7343273435325578</c:v>
                </c:pt>
                <c:pt idx="231">
                  <c:v>0.68738845101461243</c:v>
                </c:pt>
                <c:pt idx="232">
                  <c:v>0.64350363182859471</c:v>
                </c:pt>
                <c:pt idx="233">
                  <c:v>0.60247108603400246</c:v>
                </c:pt>
                <c:pt idx="234">
                  <c:v>0.56410251740668005</c:v>
                </c:pt>
                <c:pt idx="235">
                  <c:v>0.52822222145863951</c:v>
                </c:pt>
                <c:pt idx="236">
                  <c:v>0.49466623534351584</c:v>
                </c:pt>
                <c:pt idx="237">
                  <c:v>0.46328154545346967</c:v>
                </c:pt>
                <c:pt idx="238">
                  <c:v>0.43392534879496003</c:v>
                </c:pt>
                <c:pt idx="239">
                  <c:v>0.40646436449356915</c:v>
                </c:pt>
                <c:pt idx="240">
                  <c:v>0.380774192023767</c:v>
                </c:pt>
                <c:pt idx="241">
                  <c:v>0.35673871298912757</c:v>
                </c:pt>
                <c:pt idx="242">
                  <c:v>0.33424953349259295</c:v>
                </c:pt>
                <c:pt idx="243">
                  <c:v>0.31320546433671753</c:v>
                </c:pt>
                <c:pt idx="244">
                  <c:v>0.29351203648040042</c:v>
                </c:pt>
                <c:pt idx="245">
                  <c:v>0.27508104935314132</c:v>
                </c:pt>
                <c:pt idx="246">
                  <c:v>0.25783014979044461</c:v>
                </c:pt>
                <c:pt idx="247">
                  <c:v>0.24168243950584764</c:v>
                </c:pt>
                <c:pt idx="248">
                  <c:v>0.22656610915671305</c:v>
                </c:pt>
                <c:pt idx="249">
                  <c:v>0.21241409719294341</c:v>
                </c:pt>
                <c:pt idx="250">
                  <c:v>0.19916377180109829</c:v>
                </c:pt>
                <c:pt idx="251">
                  <c:v>0.18675663437118439</c:v>
                </c:pt>
                <c:pt idx="252">
                  <c:v>0.17513804302067645</c:v>
                </c:pt>
                <c:pt idx="253">
                  <c:v>0.16425695481006308</c:v>
                </c:pt>
                <c:pt idx="254">
                  <c:v>0.1540656853774465</c:v>
                </c:pt>
                <c:pt idx="255">
                  <c:v>0.14451968480654503</c:v>
                </c:pt>
                <c:pt idx="256">
                  <c:v>0.1355773286232658</c:v>
                </c:pt>
                <c:pt idx="257">
                  <c:v>0.12719972289154682</c:v>
                </c:pt>
                <c:pt idx="258">
                  <c:v>0.11935052244938478</c:v>
                </c:pt>
                <c:pt idx="259">
                  <c:v>0.11199576139147817</c:v>
                </c:pt>
                <c:pt idx="260">
                  <c:v>0.10510369496597585</c:v>
                </c:pt>
                <c:pt idx="261">
                  <c:v>9.8644652109643641E-2</c:v>
                </c:pt>
                <c:pt idx="262">
                  <c:v>9.2590897898796334E-2</c:v>
                </c:pt>
                <c:pt idx="263">
                  <c:v>8.6916505242683836E-2</c:v>
                </c:pt>
                <c:pt idx="264">
                  <c:v>8.1597235192033657E-2</c:v>
                </c:pt>
                <c:pt idx="265">
                  <c:v>7.6610425278280159E-2</c:v>
                </c:pt>
                <c:pt idx="266">
                  <c:v>7.1934885338941851E-2</c:v>
                </c:pt>
                <c:pt idx="267">
                  <c:v>6.7550800321809129E-2</c:v>
                </c:pt>
                <c:pt idx="268">
                  <c:v>6.3439639595204197E-2</c:v>
                </c:pt>
                <c:pt idx="269">
                  <c:v>5.9584072323898604E-2</c:v>
                </c:pt>
                <c:pt idx="270">
                  <c:v>5.5967888500273393E-2</c:v>
                </c:pt>
                <c:pt idx="271">
                  <c:v>5.2575925248355283E-2</c:v>
                </c:pt>
                <c:pt idx="272">
                  <c:v>4.9393998044415605E-2</c:v>
                </c:pt>
                <c:pt idx="273">
                  <c:v>4.6408836522111627E-2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A8F-43A6-8F85-1987D75DEE3E}"/>
            </c:ext>
          </c:extLst>
        </c:ser>
        <c:ser>
          <c:idx val="2"/>
          <c:order val="2"/>
          <c:tx>
            <c:strRef>
              <c:f>'New_cases - LNorm'!$AI$7</c:f>
              <c:strCache>
                <c:ptCount val="1"/>
                <c:pt idx="0">
                  <c:v>Upper CI__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'New_cases - LNorm'!$C$55:$C$281</c:f>
              <c:numCache>
                <c:formatCode>General</c:formatCode>
                <c:ptCount val="227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  <c:pt idx="55">
                  <c:v>103</c:v>
                </c:pt>
                <c:pt idx="56">
                  <c:v>104</c:v>
                </c:pt>
                <c:pt idx="57">
                  <c:v>105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111</c:v>
                </c:pt>
                <c:pt idx="64">
                  <c:v>112</c:v>
                </c:pt>
                <c:pt idx="65">
                  <c:v>113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  <c:pt idx="82">
                  <c:v>130</c:v>
                </c:pt>
                <c:pt idx="83">
                  <c:v>131</c:v>
                </c:pt>
                <c:pt idx="84">
                  <c:v>132</c:v>
                </c:pt>
                <c:pt idx="85">
                  <c:v>133</c:v>
                </c:pt>
                <c:pt idx="86">
                  <c:v>134</c:v>
                </c:pt>
                <c:pt idx="87">
                  <c:v>135</c:v>
                </c:pt>
                <c:pt idx="88">
                  <c:v>136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  <c:pt idx="92">
                  <c:v>140</c:v>
                </c:pt>
                <c:pt idx="93">
                  <c:v>141</c:v>
                </c:pt>
                <c:pt idx="94">
                  <c:v>142</c:v>
                </c:pt>
                <c:pt idx="95">
                  <c:v>143</c:v>
                </c:pt>
                <c:pt idx="96">
                  <c:v>144</c:v>
                </c:pt>
                <c:pt idx="97">
                  <c:v>145</c:v>
                </c:pt>
                <c:pt idx="98">
                  <c:v>146</c:v>
                </c:pt>
                <c:pt idx="99">
                  <c:v>147</c:v>
                </c:pt>
                <c:pt idx="100">
                  <c:v>148</c:v>
                </c:pt>
                <c:pt idx="101">
                  <c:v>149</c:v>
                </c:pt>
                <c:pt idx="102">
                  <c:v>150</c:v>
                </c:pt>
                <c:pt idx="103">
                  <c:v>151</c:v>
                </c:pt>
                <c:pt idx="104">
                  <c:v>152</c:v>
                </c:pt>
                <c:pt idx="105">
                  <c:v>153</c:v>
                </c:pt>
                <c:pt idx="106">
                  <c:v>154</c:v>
                </c:pt>
                <c:pt idx="107">
                  <c:v>155</c:v>
                </c:pt>
                <c:pt idx="108">
                  <c:v>156</c:v>
                </c:pt>
                <c:pt idx="109">
                  <c:v>157</c:v>
                </c:pt>
                <c:pt idx="110">
                  <c:v>158</c:v>
                </c:pt>
                <c:pt idx="111">
                  <c:v>159</c:v>
                </c:pt>
                <c:pt idx="112">
                  <c:v>160</c:v>
                </c:pt>
                <c:pt idx="113">
                  <c:v>161</c:v>
                </c:pt>
                <c:pt idx="114">
                  <c:v>162</c:v>
                </c:pt>
                <c:pt idx="115">
                  <c:v>163</c:v>
                </c:pt>
                <c:pt idx="116">
                  <c:v>164</c:v>
                </c:pt>
                <c:pt idx="117">
                  <c:v>165</c:v>
                </c:pt>
                <c:pt idx="118">
                  <c:v>166</c:v>
                </c:pt>
                <c:pt idx="119">
                  <c:v>167</c:v>
                </c:pt>
                <c:pt idx="120">
                  <c:v>168</c:v>
                </c:pt>
                <c:pt idx="121">
                  <c:v>169</c:v>
                </c:pt>
                <c:pt idx="122">
                  <c:v>170</c:v>
                </c:pt>
                <c:pt idx="123">
                  <c:v>171</c:v>
                </c:pt>
                <c:pt idx="124">
                  <c:v>172</c:v>
                </c:pt>
                <c:pt idx="125">
                  <c:v>173</c:v>
                </c:pt>
                <c:pt idx="126">
                  <c:v>174</c:v>
                </c:pt>
                <c:pt idx="127">
                  <c:v>175</c:v>
                </c:pt>
                <c:pt idx="128">
                  <c:v>176</c:v>
                </c:pt>
                <c:pt idx="129">
                  <c:v>177</c:v>
                </c:pt>
                <c:pt idx="130">
                  <c:v>178</c:v>
                </c:pt>
                <c:pt idx="131">
                  <c:v>179</c:v>
                </c:pt>
                <c:pt idx="132">
                  <c:v>180</c:v>
                </c:pt>
                <c:pt idx="133">
                  <c:v>181</c:v>
                </c:pt>
                <c:pt idx="134">
                  <c:v>182</c:v>
                </c:pt>
                <c:pt idx="135">
                  <c:v>183</c:v>
                </c:pt>
                <c:pt idx="136">
                  <c:v>184</c:v>
                </c:pt>
                <c:pt idx="137">
                  <c:v>185</c:v>
                </c:pt>
                <c:pt idx="138">
                  <c:v>186</c:v>
                </c:pt>
                <c:pt idx="139">
                  <c:v>187</c:v>
                </c:pt>
                <c:pt idx="140">
                  <c:v>188</c:v>
                </c:pt>
                <c:pt idx="141">
                  <c:v>189</c:v>
                </c:pt>
                <c:pt idx="142">
                  <c:v>190</c:v>
                </c:pt>
                <c:pt idx="143">
                  <c:v>191</c:v>
                </c:pt>
                <c:pt idx="144">
                  <c:v>192</c:v>
                </c:pt>
                <c:pt idx="145">
                  <c:v>193</c:v>
                </c:pt>
                <c:pt idx="146">
                  <c:v>194</c:v>
                </c:pt>
                <c:pt idx="147">
                  <c:v>195</c:v>
                </c:pt>
                <c:pt idx="148">
                  <c:v>196</c:v>
                </c:pt>
                <c:pt idx="149">
                  <c:v>197</c:v>
                </c:pt>
                <c:pt idx="150">
                  <c:v>198</c:v>
                </c:pt>
                <c:pt idx="151">
                  <c:v>199</c:v>
                </c:pt>
                <c:pt idx="152">
                  <c:v>200</c:v>
                </c:pt>
                <c:pt idx="153">
                  <c:v>201</c:v>
                </c:pt>
                <c:pt idx="154">
                  <c:v>202</c:v>
                </c:pt>
                <c:pt idx="155">
                  <c:v>203</c:v>
                </c:pt>
                <c:pt idx="156">
                  <c:v>204</c:v>
                </c:pt>
                <c:pt idx="157">
                  <c:v>205</c:v>
                </c:pt>
                <c:pt idx="158">
                  <c:v>206</c:v>
                </c:pt>
                <c:pt idx="159">
                  <c:v>207</c:v>
                </c:pt>
                <c:pt idx="160">
                  <c:v>208</c:v>
                </c:pt>
                <c:pt idx="161">
                  <c:v>209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213</c:v>
                </c:pt>
                <c:pt idx="166">
                  <c:v>214</c:v>
                </c:pt>
                <c:pt idx="167">
                  <c:v>215</c:v>
                </c:pt>
                <c:pt idx="168">
                  <c:v>216</c:v>
                </c:pt>
                <c:pt idx="169">
                  <c:v>217</c:v>
                </c:pt>
                <c:pt idx="170">
                  <c:v>218</c:v>
                </c:pt>
                <c:pt idx="171">
                  <c:v>219</c:v>
                </c:pt>
                <c:pt idx="172">
                  <c:v>220</c:v>
                </c:pt>
                <c:pt idx="173">
                  <c:v>221</c:v>
                </c:pt>
                <c:pt idx="174">
                  <c:v>222</c:v>
                </c:pt>
                <c:pt idx="175">
                  <c:v>223</c:v>
                </c:pt>
                <c:pt idx="176">
                  <c:v>224</c:v>
                </c:pt>
                <c:pt idx="177">
                  <c:v>225</c:v>
                </c:pt>
                <c:pt idx="178">
                  <c:v>226</c:v>
                </c:pt>
                <c:pt idx="179">
                  <c:v>227</c:v>
                </c:pt>
                <c:pt idx="180">
                  <c:v>228</c:v>
                </c:pt>
                <c:pt idx="181">
                  <c:v>229</c:v>
                </c:pt>
                <c:pt idx="182">
                  <c:v>230</c:v>
                </c:pt>
                <c:pt idx="183">
                  <c:v>231</c:v>
                </c:pt>
                <c:pt idx="184">
                  <c:v>232</c:v>
                </c:pt>
                <c:pt idx="185">
                  <c:v>233</c:v>
                </c:pt>
                <c:pt idx="186">
                  <c:v>234</c:v>
                </c:pt>
                <c:pt idx="187">
                  <c:v>235</c:v>
                </c:pt>
                <c:pt idx="188">
                  <c:v>236</c:v>
                </c:pt>
                <c:pt idx="189">
                  <c:v>237</c:v>
                </c:pt>
                <c:pt idx="190">
                  <c:v>238</c:v>
                </c:pt>
                <c:pt idx="191">
                  <c:v>239</c:v>
                </c:pt>
                <c:pt idx="192">
                  <c:v>240</c:v>
                </c:pt>
                <c:pt idx="193">
                  <c:v>241</c:v>
                </c:pt>
                <c:pt idx="194">
                  <c:v>242</c:v>
                </c:pt>
                <c:pt idx="195">
                  <c:v>243</c:v>
                </c:pt>
                <c:pt idx="196">
                  <c:v>244</c:v>
                </c:pt>
                <c:pt idx="197">
                  <c:v>245</c:v>
                </c:pt>
                <c:pt idx="198">
                  <c:v>246</c:v>
                </c:pt>
                <c:pt idx="199">
                  <c:v>247</c:v>
                </c:pt>
                <c:pt idx="200">
                  <c:v>248</c:v>
                </c:pt>
                <c:pt idx="201">
                  <c:v>249</c:v>
                </c:pt>
                <c:pt idx="202">
                  <c:v>250</c:v>
                </c:pt>
                <c:pt idx="203">
                  <c:v>251</c:v>
                </c:pt>
                <c:pt idx="204">
                  <c:v>252</c:v>
                </c:pt>
                <c:pt idx="205">
                  <c:v>253</c:v>
                </c:pt>
                <c:pt idx="206">
                  <c:v>254</c:v>
                </c:pt>
                <c:pt idx="207">
                  <c:v>255</c:v>
                </c:pt>
                <c:pt idx="208">
                  <c:v>256</c:v>
                </c:pt>
                <c:pt idx="209">
                  <c:v>257</c:v>
                </c:pt>
                <c:pt idx="210">
                  <c:v>258</c:v>
                </c:pt>
                <c:pt idx="211">
                  <c:v>259</c:v>
                </c:pt>
                <c:pt idx="212">
                  <c:v>260</c:v>
                </c:pt>
                <c:pt idx="213">
                  <c:v>261</c:v>
                </c:pt>
                <c:pt idx="214">
                  <c:v>262</c:v>
                </c:pt>
                <c:pt idx="215">
                  <c:v>263</c:v>
                </c:pt>
                <c:pt idx="216">
                  <c:v>264</c:v>
                </c:pt>
                <c:pt idx="217">
                  <c:v>265</c:v>
                </c:pt>
                <c:pt idx="218">
                  <c:v>266</c:v>
                </c:pt>
                <c:pt idx="219">
                  <c:v>267</c:v>
                </c:pt>
                <c:pt idx="220">
                  <c:v>268</c:v>
                </c:pt>
                <c:pt idx="221">
                  <c:v>269</c:v>
                </c:pt>
                <c:pt idx="222">
                  <c:v>270</c:v>
                </c:pt>
                <c:pt idx="223">
                  <c:v>271</c:v>
                </c:pt>
                <c:pt idx="224">
                  <c:v>272</c:v>
                </c:pt>
                <c:pt idx="225">
                  <c:v>273</c:v>
                </c:pt>
                <c:pt idx="226">
                  <c:v>274</c:v>
                </c:pt>
              </c:numCache>
            </c:numRef>
          </c:xVal>
          <c:yVal>
            <c:numRef>
              <c:f>'New_cases - LNorm'!$AI$55:$AI$281</c:f>
              <c:numCache>
                <c:formatCode>General</c:formatCode>
                <c:ptCount val="227"/>
                <c:pt idx="0">
                  <c:v>694.66352445731673</c:v>
                </c:pt>
                <c:pt idx="1">
                  <c:v>694.69895411699315</c:v>
                </c:pt>
                <c:pt idx="2">
                  <c:v>694.81007976406579</c:v>
                </c:pt>
                <c:pt idx="3">
                  <c:v>695.10709780576792</c:v>
                </c:pt>
                <c:pt idx="4">
                  <c:v>695.80284082492699</c:v>
                </c:pt>
                <c:pt idx="5">
                  <c:v>697.26246377077575</c:v>
                </c:pt>
                <c:pt idx="6">
                  <c:v>700.05230859949313</c:v>
                </c:pt>
                <c:pt idx="7">
                  <c:v>704.97716834018854</c:v>
                </c:pt>
                <c:pt idx="8">
                  <c:v>713.09566343529832</c:v>
                </c:pt>
                <c:pt idx="9">
                  <c:v>725.70653887391506</c:v>
                </c:pt>
                <c:pt idx="10">
                  <c:v>744.30345184814882</c:v>
                </c:pt>
                <c:pt idx="11">
                  <c:v>770.50097435172518</c:v>
                </c:pt>
                <c:pt idx="12">
                  <c:v>805.93892462514395</c:v>
                </c:pt>
                <c:pt idx="13">
                  <c:v>852.17500200072209</c:v>
                </c:pt>
                <c:pt idx="14">
                  <c:v>910.57674797600316</c:v>
                </c:pt>
                <c:pt idx="15">
                  <c:v>982.22322360352132</c:v>
                </c:pt>
                <c:pt idx="16">
                  <c:v>1067.824883259246</c:v>
                </c:pt>
                <c:pt idx="17">
                  <c:v>1167.6674581883722</c:v>
                </c:pt>
                <c:pt idx="18">
                  <c:v>1281.5827500279649</c:v>
                </c:pt>
                <c:pt idx="19">
                  <c:v>1408.9464918761173</c:v>
                </c:pt>
                <c:pt idx="20">
                  <c:v>1548.7011487312659</c:v>
                </c:pt>
                <c:pt idx="21">
                  <c:v>1699.399852903304</c:v>
                </c:pt>
                <c:pt idx="22">
                  <c:v>1859.2666415715855</c:v>
                </c:pt>
                <c:pt idx="23">
                  <c:v>2026.2677367675915</c:v>
                </c:pt>
                <c:pt idx="24">
                  <c:v>2198.1886835001874</c:v>
                </c:pt>
                <c:pt idx="25">
                  <c:v>2372.7126153364529</c:v>
                </c:pt>
                <c:pt idx="26">
                  <c:v>2547.4956209333459</c:v>
                </c:pt>
                <c:pt idx="27">
                  <c:v>2720.2360235171636</c:v>
                </c:pt>
                <c:pt idx="28">
                  <c:v>2888.7352615648024</c:v>
                </c:pt>
                <c:pt idx="29">
                  <c:v>3050.9488994903559</c:v>
                </c:pt>
                <c:pt idx="30">
                  <c:v>3205.027051436472</c:v>
                </c:pt>
                <c:pt idx="31">
                  <c:v>3349.3441392429231</c:v>
                </c:pt>
                <c:pt idx="32">
                  <c:v>3482.5184141085829</c:v>
                </c:pt>
                <c:pt idx="33">
                  <c:v>3603.4220500435376</c:v>
                </c:pt>
                <c:pt idx="34">
                  <c:v>3711.182874635705</c:v>
                </c:pt>
                <c:pt idx="35">
                  <c:v>3805.1789533271931</c:v>
                </c:pt>
                <c:pt idx="36">
                  <c:v>3885.0273046557268</c:v>
                </c:pt>
                <c:pt idx="37">
                  <c:v>3950.5680139687574</c:v>
                </c:pt>
                <c:pt idx="38">
                  <c:v>4001.8449495377636</c:v>
                </c:pt>
                <c:pt idx="39">
                  <c:v>4039.0841837674843</c:v>
                </c:pt>
                <c:pt idx="40">
                  <c:v>4062.6710971457915</c:v>
                </c:pt>
                <c:pt idx="41">
                  <c:v>4073.1270051824395</c:v>
                </c:pt>
                <c:pt idx="42">
                  <c:v>4071.0860079386748</c:v>
                </c:pt>
                <c:pt idx="43">
                  <c:v>4057.2726247425062</c:v>
                </c:pt>
                <c:pt idx="44">
                  <c:v>4032.4806482378835</c:v>
                </c:pt>
                <c:pt idx="45">
                  <c:v>3997.5535352759016</c:v>
                </c:pt>
                <c:pt idx="46">
                  <c:v>3953.3665491929778</c:v>
                </c:pt>
                <c:pt idx="47">
                  <c:v>3900.8107795198957</c:v>
                </c:pt>
                <c:pt idx="48">
                  <c:v>3840.7790910876665</c:v>
                </c:pt>
                <c:pt idx="49">
                  <c:v>3774.1539942080717</c:v>
                </c:pt>
                <c:pt idx="50">
                  <c:v>3701.7973800727495</c:v>
                </c:pt>
                <c:pt idx="51">
                  <c:v>3624.5420294533524</c:v>
                </c:pt>
                <c:pt idx="52">
                  <c:v>3543.1847767913578</c:v>
                </c:pt>
                <c:pt idx="53">
                  <c:v>3458.4811944059793</c:v>
                </c:pt>
                <c:pt idx="54">
                  <c:v>3371.1416514242655</c:v>
                </c:pt>
                <c:pt idx="55">
                  <c:v>3281.8285978386948</c:v>
                </c:pt>
                <c:pt idx="56">
                  <c:v>3191.1549246243303</c:v>
                </c:pt>
                <c:pt idx="57">
                  <c:v>3099.6832550347208</c:v>
                </c:pt>
                <c:pt idx="58">
                  <c:v>3007.9260291102755</c:v>
                </c:pt>
                <c:pt idx="59">
                  <c:v>2916.3462522809004</c:v>
                </c:pt>
                <c:pt idx="60">
                  <c:v>2825.3587890586614</c:v>
                </c:pt>
                <c:pt idx="61">
                  <c:v>2735.3320936495907</c:v>
                </c:pt>
                <c:pt idx="62">
                  <c:v>2646.5902804262923</c:v>
                </c:pt>
                <c:pt idx="63">
                  <c:v>2559.4154482506169</c:v>
                </c:pt>
                <c:pt idx="64">
                  <c:v>2474.0501833558078</c:v>
                </c:pt>
                <c:pt idx="65">
                  <c:v>2390.7001756981444</c:v>
                </c:pt>
                <c:pt idx="66">
                  <c:v>2309.5368932361698</c:v>
                </c:pt>
                <c:pt idx="67">
                  <c:v>2230.7002674053178</c:v>
                </c:pt>
                <c:pt idx="68">
                  <c:v>2154.3013510816836</c:v>
                </c:pt>
                <c:pt idx="69">
                  <c:v>2080.424917554561</c:v>
                </c:pt>
                <c:pt idx="70">
                  <c:v>2009.1319754621331</c:v>
                </c:pt>
                <c:pt idx="71">
                  <c:v>1940.4621803138839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A8F-43A6-8F85-1987D75DEE3E}"/>
            </c:ext>
          </c:extLst>
        </c:ser>
        <c:ser>
          <c:idx val="3"/>
          <c:order val="3"/>
          <c:tx>
            <c:strRef>
              <c:f>'New_cases - LNorm'!$AJ$7</c:f>
              <c:strCache>
                <c:ptCount val="1"/>
                <c:pt idx="0">
                  <c:v>Lower CI__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'New_cases - LNorm'!$C$55:$C$281</c:f>
              <c:numCache>
                <c:formatCode>General</c:formatCode>
                <c:ptCount val="227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  <c:pt idx="55">
                  <c:v>103</c:v>
                </c:pt>
                <c:pt idx="56">
                  <c:v>104</c:v>
                </c:pt>
                <c:pt idx="57">
                  <c:v>105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111</c:v>
                </c:pt>
                <c:pt idx="64">
                  <c:v>112</c:v>
                </c:pt>
                <c:pt idx="65">
                  <c:v>113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  <c:pt idx="82">
                  <c:v>130</c:v>
                </c:pt>
                <c:pt idx="83">
                  <c:v>131</c:v>
                </c:pt>
                <c:pt idx="84">
                  <c:v>132</c:v>
                </c:pt>
                <c:pt idx="85">
                  <c:v>133</c:v>
                </c:pt>
                <c:pt idx="86">
                  <c:v>134</c:v>
                </c:pt>
                <c:pt idx="87">
                  <c:v>135</c:v>
                </c:pt>
                <c:pt idx="88">
                  <c:v>136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  <c:pt idx="92">
                  <c:v>140</c:v>
                </c:pt>
                <c:pt idx="93">
                  <c:v>141</c:v>
                </c:pt>
                <c:pt idx="94">
                  <c:v>142</c:v>
                </c:pt>
                <c:pt idx="95">
                  <c:v>143</c:v>
                </c:pt>
                <c:pt idx="96">
                  <c:v>144</c:v>
                </c:pt>
                <c:pt idx="97">
                  <c:v>145</c:v>
                </c:pt>
                <c:pt idx="98">
                  <c:v>146</c:v>
                </c:pt>
                <c:pt idx="99">
                  <c:v>147</c:v>
                </c:pt>
                <c:pt idx="100">
                  <c:v>148</c:v>
                </c:pt>
                <c:pt idx="101">
                  <c:v>149</c:v>
                </c:pt>
                <c:pt idx="102">
                  <c:v>150</c:v>
                </c:pt>
                <c:pt idx="103">
                  <c:v>151</c:v>
                </c:pt>
                <c:pt idx="104">
                  <c:v>152</c:v>
                </c:pt>
                <c:pt idx="105">
                  <c:v>153</c:v>
                </c:pt>
                <c:pt idx="106">
                  <c:v>154</c:v>
                </c:pt>
                <c:pt idx="107">
                  <c:v>155</c:v>
                </c:pt>
                <c:pt idx="108">
                  <c:v>156</c:v>
                </c:pt>
                <c:pt idx="109">
                  <c:v>157</c:v>
                </c:pt>
                <c:pt idx="110">
                  <c:v>158</c:v>
                </c:pt>
                <c:pt idx="111">
                  <c:v>159</c:v>
                </c:pt>
                <c:pt idx="112">
                  <c:v>160</c:v>
                </c:pt>
                <c:pt idx="113">
                  <c:v>161</c:v>
                </c:pt>
                <c:pt idx="114">
                  <c:v>162</c:v>
                </c:pt>
                <c:pt idx="115">
                  <c:v>163</c:v>
                </c:pt>
                <c:pt idx="116">
                  <c:v>164</c:v>
                </c:pt>
                <c:pt idx="117">
                  <c:v>165</c:v>
                </c:pt>
                <c:pt idx="118">
                  <c:v>166</c:v>
                </c:pt>
                <c:pt idx="119">
                  <c:v>167</c:v>
                </c:pt>
                <c:pt idx="120">
                  <c:v>168</c:v>
                </c:pt>
                <c:pt idx="121">
                  <c:v>169</c:v>
                </c:pt>
                <c:pt idx="122">
                  <c:v>170</c:v>
                </c:pt>
                <c:pt idx="123">
                  <c:v>171</c:v>
                </c:pt>
                <c:pt idx="124">
                  <c:v>172</c:v>
                </c:pt>
                <c:pt idx="125">
                  <c:v>173</c:v>
                </c:pt>
                <c:pt idx="126">
                  <c:v>174</c:v>
                </c:pt>
                <c:pt idx="127">
                  <c:v>175</c:v>
                </c:pt>
                <c:pt idx="128">
                  <c:v>176</c:v>
                </c:pt>
                <c:pt idx="129">
                  <c:v>177</c:v>
                </c:pt>
                <c:pt idx="130">
                  <c:v>178</c:v>
                </c:pt>
                <c:pt idx="131">
                  <c:v>179</c:v>
                </c:pt>
                <c:pt idx="132">
                  <c:v>180</c:v>
                </c:pt>
                <c:pt idx="133">
                  <c:v>181</c:v>
                </c:pt>
                <c:pt idx="134">
                  <c:v>182</c:v>
                </c:pt>
                <c:pt idx="135">
                  <c:v>183</c:v>
                </c:pt>
                <c:pt idx="136">
                  <c:v>184</c:v>
                </c:pt>
                <c:pt idx="137">
                  <c:v>185</c:v>
                </c:pt>
                <c:pt idx="138">
                  <c:v>186</c:v>
                </c:pt>
                <c:pt idx="139">
                  <c:v>187</c:v>
                </c:pt>
                <c:pt idx="140">
                  <c:v>188</c:v>
                </c:pt>
                <c:pt idx="141">
                  <c:v>189</c:v>
                </c:pt>
                <c:pt idx="142">
                  <c:v>190</c:v>
                </c:pt>
                <c:pt idx="143">
                  <c:v>191</c:v>
                </c:pt>
                <c:pt idx="144">
                  <c:v>192</c:v>
                </c:pt>
                <c:pt idx="145">
                  <c:v>193</c:v>
                </c:pt>
                <c:pt idx="146">
                  <c:v>194</c:v>
                </c:pt>
                <c:pt idx="147">
                  <c:v>195</c:v>
                </c:pt>
                <c:pt idx="148">
                  <c:v>196</c:v>
                </c:pt>
                <c:pt idx="149">
                  <c:v>197</c:v>
                </c:pt>
                <c:pt idx="150">
                  <c:v>198</c:v>
                </c:pt>
                <c:pt idx="151">
                  <c:v>199</c:v>
                </c:pt>
                <c:pt idx="152">
                  <c:v>200</c:v>
                </c:pt>
                <c:pt idx="153">
                  <c:v>201</c:v>
                </c:pt>
                <c:pt idx="154">
                  <c:v>202</c:v>
                </c:pt>
                <c:pt idx="155">
                  <c:v>203</c:v>
                </c:pt>
                <c:pt idx="156">
                  <c:v>204</c:v>
                </c:pt>
                <c:pt idx="157">
                  <c:v>205</c:v>
                </c:pt>
                <c:pt idx="158">
                  <c:v>206</c:v>
                </c:pt>
                <c:pt idx="159">
                  <c:v>207</c:v>
                </c:pt>
                <c:pt idx="160">
                  <c:v>208</c:v>
                </c:pt>
                <c:pt idx="161">
                  <c:v>209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213</c:v>
                </c:pt>
                <c:pt idx="166">
                  <c:v>214</c:v>
                </c:pt>
                <c:pt idx="167">
                  <c:v>215</c:v>
                </c:pt>
                <c:pt idx="168">
                  <c:v>216</c:v>
                </c:pt>
                <c:pt idx="169">
                  <c:v>217</c:v>
                </c:pt>
                <c:pt idx="170">
                  <c:v>218</c:v>
                </c:pt>
                <c:pt idx="171">
                  <c:v>219</c:v>
                </c:pt>
                <c:pt idx="172">
                  <c:v>220</c:v>
                </c:pt>
                <c:pt idx="173">
                  <c:v>221</c:v>
                </c:pt>
                <c:pt idx="174">
                  <c:v>222</c:v>
                </c:pt>
                <c:pt idx="175">
                  <c:v>223</c:v>
                </c:pt>
                <c:pt idx="176">
                  <c:v>224</c:v>
                </c:pt>
                <c:pt idx="177">
                  <c:v>225</c:v>
                </c:pt>
                <c:pt idx="178">
                  <c:v>226</c:v>
                </c:pt>
                <c:pt idx="179">
                  <c:v>227</c:v>
                </c:pt>
                <c:pt idx="180">
                  <c:v>228</c:v>
                </c:pt>
                <c:pt idx="181">
                  <c:v>229</c:v>
                </c:pt>
                <c:pt idx="182">
                  <c:v>230</c:v>
                </c:pt>
                <c:pt idx="183">
                  <c:v>231</c:v>
                </c:pt>
                <c:pt idx="184">
                  <c:v>232</c:v>
                </c:pt>
                <c:pt idx="185">
                  <c:v>233</c:v>
                </c:pt>
                <c:pt idx="186">
                  <c:v>234</c:v>
                </c:pt>
                <c:pt idx="187">
                  <c:v>235</c:v>
                </c:pt>
                <c:pt idx="188">
                  <c:v>236</c:v>
                </c:pt>
                <c:pt idx="189">
                  <c:v>237</c:v>
                </c:pt>
                <c:pt idx="190">
                  <c:v>238</c:v>
                </c:pt>
                <c:pt idx="191">
                  <c:v>239</c:v>
                </c:pt>
                <c:pt idx="192">
                  <c:v>240</c:v>
                </c:pt>
                <c:pt idx="193">
                  <c:v>241</c:v>
                </c:pt>
                <c:pt idx="194">
                  <c:v>242</c:v>
                </c:pt>
                <c:pt idx="195">
                  <c:v>243</c:v>
                </c:pt>
                <c:pt idx="196">
                  <c:v>244</c:v>
                </c:pt>
                <c:pt idx="197">
                  <c:v>245</c:v>
                </c:pt>
                <c:pt idx="198">
                  <c:v>246</c:v>
                </c:pt>
                <c:pt idx="199">
                  <c:v>247</c:v>
                </c:pt>
                <c:pt idx="200">
                  <c:v>248</c:v>
                </c:pt>
                <c:pt idx="201">
                  <c:v>249</c:v>
                </c:pt>
                <c:pt idx="202">
                  <c:v>250</c:v>
                </c:pt>
                <c:pt idx="203">
                  <c:v>251</c:v>
                </c:pt>
                <c:pt idx="204">
                  <c:v>252</c:v>
                </c:pt>
                <c:pt idx="205">
                  <c:v>253</c:v>
                </c:pt>
                <c:pt idx="206">
                  <c:v>254</c:v>
                </c:pt>
                <c:pt idx="207">
                  <c:v>255</c:v>
                </c:pt>
                <c:pt idx="208">
                  <c:v>256</c:v>
                </c:pt>
                <c:pt idx="209">
                  <c:v>257</c:v>
                </c:pt>
                <c:pt idx="210">
                  <c:v>258</c:v>
                </c:pt>
                <c:pt idx="211">
                  <c:v>259</c:v>
                </c:pt>
                <c:pt idx="212">
                  <c:v>260</c:v>
                </c:pt>
                <c:pt idx="213">
                  <c:v>261</c:v>
                </c:pt>
                <c:pt idx="214">
                  <c:v>262</c:v>
                </c:pt>
                <c:pt idx="215">
                  <c:v>263</c:v>
                </c:pt>
                <c:pt idx="216">
                  <c:v>264</c:v>
                </c:pt>
                <c:pt idx="217">
                  <c:v>265</c:v>
                </c:pt>
                <c:pt idx="218">
                  <c:v>266</c:v>
                </c:pt>
                <c:pt idx="219">
                  <c:v>267</c:v>
                </c:pt>
                <c:pt idx="220">
                  <c:v>268</c:v>
                </c:pt>
                <c:pt idx="221">
                  <c:v>269</c:v>
                </c:pt>
                <c:pt idx="222">
                  <c:v>270</c:v>
                </c:pt>
                <c:pt idx="223">
                  <c:v>271</c:v>
                </c:pt>
                <c:pt idx="224">
                  <c:v>272</c:v>
                </c:pt>
                <c:pt idx="225">
                  <c:v>273</c:v>
                </c:pt>
                <c:pt idx="226">
                  <c:v>274</c:v>
                </c:pt>
              </c:numCache>
            </c:numRef>
          </c:xVal>
          <c:yVal>
            <c:numRef>
              <c:f>'New_cases - LNorm'!$AJ$55:$AJ$281</c:f>
              <c:numCache>
                <c:formatCode>General</c:formatCode>
                <c:ptCount val="2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19.642420148922611</c:v>
                </c:pt>
                <c:pt idx="20">
                  <c:v>159.39707700407121</c:v>
                </c:pt>
                <c:pt idx="21">
                  <c:v>310.09578117610931</c:v>
                </c:pt>
                <c:pt idx="22">
                  <c:v>469.96256984439083</c:v>
                </c:pt>
                <c:pt idx="23">
                  <c:v>636.96366504039679</c:v>
                </c:pt>
                <c:pt idx="24">
                  <c:v>808.88461177299268</c:v>
                </c:pt>
                <c:pt idx="25">
                  <c:v>983.40854360925823</c:v>
                </c:pt>
                <c:pt idx="26">
                  <c:v>1158.1915492061512</c:v>
                </c:pt>
                <c:pt idx="27">
                  <c:v>1330.9319517899687</c:v>
                </c:pt>
                <c:pt idx="28">
                  <c:v>1499.4311898376075</c:v>
                </c:pt>
                <c:pt idx="29">
                  <c:v>1661.6448277631614</c:v>
                </c:pt>
                <c:pt idx="30">
                  <c:v>1815.7229797092775</c:v>
                </c:pt>
                <c:pt idx="31">
                  <c:v>1960.0400675157287</c:v>
                </c:pt>
                <c:pt idx="32">
                  <c:v>2093.2143423813877</c:v>
                </c:pt>
                <c:pt idx="33">
                  <c:v>2214.1179783163425</c:v>
                </c:pt>
                <c:pt idx="34">
                  <c:v>2321.8788029085099</c:v>
                </c:pt>
                <c:pt idx="35">
                  <c:v>2415.8748815999979</c:v>
                </c:pt>
                <c:pt idx="36">
                  <c:v>2495.7232329285316</c:v>
                </c:pt>
                <c:pt idx="37">
                  <c:v>2561.2639422415623</c:v>
                </c:pt>
                <c:pt idx="38">
                  <c:v>2612.5408778105684</c:v>
                </c:pt>
                <c:pt idx="39">
                  <c:v>2649.7801120402901</c:v>
                </c:pt>
                <c:pt idx="40">
                  <c:v>2673.3670254185972</c:v>
                </c:pt>
                <c:pt idx="41">
                  <c:v>2683.8229334552443</c:v>
                </c:pt>
                <c:pt idx="42">
                  <c:v>2681.7819362114797</c:v>
                </c:pt>
                <c:pt idx="43">
                  <c:v>2667.968553015311</c:v>
                </c:pt>
                <c:pt idx="44">
                  <c:v>2643.1765765106884</c:v>
                </c:pt>
                <c:pt idx="45">
                  <c:v>2608.2494635487064</c:v>
                </c:pt>
                <c:pt idx="46">
                  <c:v>2564.0624774657826</c:v>
                </c:pt>
                <c:pt idx="47">
                  <c:v>2511.5067077927006</c:v>
                </c:pt>
                <c:pt idx="48">
                  <c:v>2451.4750193604714</c:v>
                </c:pt>
                <c:pt idx="49">
                  <c:v>2384.8499224808775</c:v>
                </c:pt>
                <c:pt idx="50">
                  <c:v>2312.4933083455544</c:v>
                </c:pt>
                <c:pt idx="51">
                  <c:v>2235.2379577261581</c:v>
                </c:pt>
                <c:pt idx="52">
                  <c:v>2153.8807050641626</c:v>
                </c:pt>
                <c:pt idx="53">
                  <c:v>2069.1771226787841</c:v>
                </c:pt>
                <c:pt idx="54">
                  <c:v>1981.8375796970711</c:v>
                </c:pt>
                <c:pt idx="55">
                  <c:v>1892.5245261115003</c:v>
                </c:pt>
                <c:pt idx="56">
                  <c:v>1801.8508528971354</c:v>
                </c:pt>
                <c:pt idx="57">
                  <c:v>1710.3791833075259</c:v>
                </c:pt>
                <c:pt idx="58">
                  <c:v>1618.6219573830811</c:v>
                </c:pt>
                <c:pt idx="59">
                  <c:v>1527.042180553706</c:v>
                </c:pt>
                <c:pt idx="60">
                  <c:v>1436.0547173314669</c:v>
                </c:pt>
                <c:pt idx="61">
                  <c:v>1346.028021922396</c:v>
                </c:pt>
                <c:pt idx="62">
                  <c:v>1257.2862086990976</c:v>
                </c:pt>
                <c:pt idx="63">
                  <c:v>1170.1113765234222</c:v>
                </c:pt>
                <c:pt idx="64">
                  <c:v>1084.7461116286131</c:v>
                </c:pt>
                <c:pt idx="65">
                  <c:v>1001.3961039709495</c:v>
                </c:pt>
                <c:pt idx="66">
                  <c:v>920.23282150897512</c:v>
                </c:pt>
                <c:pt idx="67">
                  <c:v>841.39619567812315</c:v>
                </c:pt>
                <c:pt idx="68">
                  <c:v>764.99727935448891</c:v>
                </c:pt>
                <c:pt idx="69">
                  <c:v>691.12084582736657</c:v>
                </c:pt>
                <c:pt idx="70">
                  <c:v>619.82790373493845</c:v>
                </c:pt>
                <c:pt idx="71">
                  <c:v>551.1581085866892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A8F-43A6-8F85-1987D75DE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kern="1200" baseline="0">
                    <a:solidFill>
                      <a:srgbClr val="595959"/>
                    </a:solidFill>
                    <a:effectLst/>
                  </a:rPr>
                  <a:t>Days from </a:t>
                </a:r>
                <a:endParaRPr lang="it-IT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Dayly new cases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FF0000"/>
                </a:solidFill>
              </a:rPr>
              <a:t>Lombardy </a:t>
            </a:r>
            <a:r>
              <a:rPr lang="it-IT" sz="1400" b="0" i="0" u="none" strike="noStrike" baseline="0">
                <a:solidFill>
                  <a:srgbClr val="FF0000"/>
                </a:solidFill>
                <a:effectLst/>
              </a:rPr>
              <a:t>- Daily new cases (velocity) - Lognormal</a:t>
            </a:r>
            <a:endParaRPr lang="it-IT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428793038537132"/>
          <c:y val="0.11220881326088156"/>
          <c:w val="0.61863161004613043"/>
          <c:h val="0.79304813164644039"/>
        </c:manualLayout>
      </c:layout>
      <c:scatterChart>
        <c:scatterStyle val="lineMarker"/>
        <c:varyColors val="0"/>
        <c:ser>
          <c:idx val="0"/>
          <c:order val="0"/>
          <c:tx>
            <c:strRef>
              <c:f>'New_cases - LNorm'!$R$7</c:f>
              <c:strCache>
                <c:ptCount val="1"/>
                <c:pt idx="0">
                  <c:v>Lombardy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LNorm'!$R$8:$R$281</c:f>
              <c:numCache>
                <c:formatCode>General</c:formatCode>
                <c:ptCount val="274"/>
                <c:pt idx="55">
                  <c:v>68</c:v>
                </c:pt>
                <c:pt idx="56">
                  <c:v>18</c:v>
                </c:pt>
                <c:pt idx="57">
                  <c:v>145</c:v>
                </c:pt>
                <c:pt idx="58">
                  <c:v>128</c:v>
                </c:pt>
                <c:pt idx="59">
                  <c:v>84</c:v>
                </c:pt>
                <c:pt idx="60">
                  <c:v>369</c:v>
                </c:pt>
                <c:pt idx="61">
                  <c:v>270</c:v>
                </c:pt>
                <c:pt idx="62">
                  <c:v>266</c:v>
                </c:pt>
                <c:pt idx="63">
                  <c:v>300</c:v>
                </c:pt>
                <c:pt idx="64">
                  <c:v>431</c:v>
                </c:pt>
                <c:pt idx="65">
                  <c:v>361</c:v>
                </c:pt>
                <c:pt idx="66">
                  <c:v>808</c:v>
                </c:pt>
                <c:pt idx="67">
                  <c:v>769</c:v>
                </c:pt>
                <c:pt idx="68">
                  <c:v>1280</c:v>
                </c:pt>
                <c:pt idx="69">
                  <c:v>322</c:v>
                </c:pt>
                <c:pt idx="70">
                  <c:v>1489</c:v>
                </c:pt>
                <c:pt idx="71">
                  <c:v>1445</c:v>
                </c:pt>
                <c:pt idx="72">
                  <c:v>1095</c:v>
                </c:pt>
                <c:pt idx="73">
                  <c:v>1865</c:v>
                </c:pt>
                <c:pt idx="74">
                  <c:v>1587</c:v>
                </c:pt>
                <c:pt idx="75">
                  <c:v>1377</c:v>
                </c:pt>
                <c:pt idx="76">
                  <c:v>1571</c:v>
                </c:pt>
                <c:pt idx="77">
                  <c:v>1493</c:v>
                </c:pt>
                <c:pt idx="78">
                  <c:v>2171</c:v>
                </c:pt>
                <c:pt idx="79">
                  <c:v>2380</c:v>
                </c:pt>
                <c:pt idx="80">
                  <c:v>3251</c:v>
                </c:pt>
                <c:pt idx="81">
                  <c:v>1691</c:v>
                </c:pt>
                <c:pt idx="82">
                  <c:v>1555</c:v>
                </c:pt>
                <c:pt idx="83">
                  <c:v>1942</c:v>
                </c:pt>
                <c:pt idx="84">
                  <c:v>1643</c:v>
                </c:pt>
                <c:pt idx="85">
                  <c:v>2543</c:v>
                </c:pt>
                <c:pt idx="86">
                  <c:v>2409</c:v>
                </c:pt>
                <c:pt idx="87">
                  <c:v>2117</c:v>
                </c:pt>
                <c:pt idx="88">
                  <c:v>1592</c:v>
                </c:pt>
                <c:pt idx="89">
                  <c:v>1154</c:v>
                </c:pt>
                <c:pt idx="90">
                  <c:v>1047</c:v>
                </c:pt>
                <c:pt idx="91">
                  <c:v>1565</c:v>
                </c:pt>
                <c:pt idx="92">
                  <c:v>1292</c:v>
                </c:pt>
                <c:pt idx="93">
                  <c:v>1455</c:v>
                </c:pt>
                <c:pt idx="94">
                  <c:v>1598</c:v>
                </c:pt>
                <c:pt idx="95">
                  <c:v>1337</c:v>
                </c:pt>
                <c:pt idx="96">
                  <c:v>1079</c:v>
                </c:pt>
                <c:pt idx="97">
                  <c:v>791</c:v>
                </c:pt>
                <c:pt idx="98">
                  <c:v>1089</c:v>
                </c:pt>
                <c:pt idx="99">
                  <c:v>1388</c:v>
                </c:pt>
                <c:pt idx="100">
                  <c:v>1246</c:v>
                </c:pt>
                <c:pt idx="101">
                  <c:v>1544</c:v>
                </c:pt>
                <c:pt idx="102">
                  <c:v>1460</c:v>
                </c:pt>
                <c:pt idx="103">
                  <c:v>1262</c:v>
                </c:pt>
                <c:pt idx="104">
                  <c:v>1012</c:v>
                </c:pt>
                <c:pt idx="105">
                  <c:v>827</c:v>
                </c:pt>
                <c:pt idx="106">
                  <c:v>941</c:v>
                </c:pt>
                <c:pt idx="107">
                  <c:v>1041</c:v>
                </c:pt>
                <c:pt idx="108">
                  <c:v>1246</c:v>
                </c:pt>
                <c:pt idx="109">
                  <c:v>855</c:v>
                </c:pt>
                <c:pt idx="110">
                  <c:v>735</c:v>
                </c:pt>
                <c:pt idx="111">
                  <c:v>960</c:v>
                </c:pt>
                <c:pt idx="112">
                  <c:v>1161</c:v>
                </c:pt>
                <c:pt idx="113">
                  <c:v>1073</c:v>
                </c:pt>
                <c:pt idx="114">
                  <c:v>1091</c:v>
                </c:pt>
                <c:pt idx="115">
                  <c:v>713</c:v>
                </c:pt>
                <c:pt idx="116">
                  <c:v>920</c:v>
                </c:pt>
                <c:pt idx="117">
                  <c:v>590</c:v>
                </c:pt>
                <c:pt idx="118">
                  <c:v>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74-42C3-AEA3-0FCF0C9EE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'New_cases - LNorm'!$V$7</c:f>
              <c:strCache>
                <c:ptCount val="1"/>
                <c:pt idx="0">
                  <c:v>Lombardy fit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LNorm'!$V$8:$V$281</c:f>
              <c:numCache>
                <c:formatCode>General</c:formatCode>
                <c:ptCount val="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2.194779593411024E-31</c:v>
                </c:pt>
                <c:pt idx="32">
                  <c:v>1.7322845421536119E-19</c:v>
                </c:pt>
                <c:pt idx="33">
                  <c:v>3.9532398639963845E-14</c:v>
                </c:pt>
                <c:pt idx="34">
                  <c:v>7.1529656312274142E-11</c:v>
                </c:pt>
                <c:pt idx="35">
                  <c:v>1.2699112488216759E-8</c:v>
                </c:pt>
                <c:pt idx="36">
                  <c:v>5.9253015244641235E-7</c:v>
                </c:pt>
                <c:pt idx="37">
                  <c:v>1.1748239881930595E-5</c:v>
                </c:pt>
                <c:pt idx="38">
                  <c:v>1.2933818240994045E-4</c:v>
                </c:pt>
                <c:pt idx="39">
                  <c:v>9.3046935614295309E-4</c:v>
                </c:pt>
                <c:pt idx="40">
                  <c:v>4.8624763084411642E-3</c:v>
                </c:pt>
                <c:pt idx="41">
                  <c:v>1.9841352030007232E-2</c:v>
                </c:pt>
                <c:pt idx="42">
                  <c:v>6.654550358259502E-2</c:v>
                </c:pt>
                <c:pt idx="43">
                  <c:v>0.19046709521624131</c:v>
                </c:pt>
                <c:pt idx="44">
                  <c:v>0.47857256012040816</c:v>
                </c:pt>
                <c:pt idx="45">
                  <c:v>1.0787875900445603</c:v>
                </c:pt>
                <c:pt idx="46">
                  <c:v>2.2190781575440344</c:v>
                </c:pt>
                <c:pt idx="47">
                  <c:v>4.2221927199926466</c:v>
                </c:pt>
                <c:pt idx="48">
                  <c:v>7.5124004947819838</c:v>
                </c:pt>
                <c:pt idx="49">
                  <c:v>12.611697574226687</c:v>
                </c:pt>
                <c:pt idx="50">
                  <c:v>20.124607729459562</c:v>
                </c:pt>
                <c:pt idx="51">
                  <c:v>30.712451565484525</c:v>
                </c:pt>
                <c:pt idx="52">
                  <c:v>45.059429969357659</c:v>
                </c:pt>
                <c:pt idx="53">
                  <c:v>63.833835847445826</c:v>
                </c:pt>
                <c:pt idx="54">
                  <c:v>87.648093905472948</c:v>
                </c:pt>
                <c:pt idx="55">
                  <c:v>117.02117832508443</c:v>
                </c:pt>
                <c:pt idx="56">
                  <c:v>152.34639825617381</c:v>
                </c:pt>
                <c:pt idx="57">
                  <c:v>193.86672930973202</c:v>
                </c:pt>
                <c:pt idx="58">
                  <c:v>241.65895998029089</c:v>
                </c:pt>
                <c:pt idx="59">
                  <c:v>295.62704237893797</c:v>
                </c:pt>
                <c:pt idx="60">
                  <c:v>355.50427654437118</c:v>
                </c:pt>
                <c:pt idx="61">
                  <c:v>420.86336829536248</c:v>
                </c:pt>
                <c:pt idx="62">
                  <c:v>491.13300028691896</c:v>
                </c:pt>
                <c:pt idx="63">
                  <c:v>565.61933768960068</c:v>
                </c:pt>
                <c:pt idx="64">
                  <c:v>643.53083024248861</c:v>
                </c:pt>
                <c:pt idx="65">
                  <c:v>724.00473902404099</c:v>
                </c:pt>
                <c:pt idx="66">
                  <c:v>806.13397412127313</c:v>
                </c:pt>
                <c:pt idx="67">
                  <c:v>888.99304505859823</c:v>
                </c:pt>
                <c:pt idx="68">
                  <c:v>971.66217028128381</c:v>
                </c:pt>
                <c:pt idx="69">
                  <c:v>1053.2488417170159</c:v>
                </c:pt>
                <c:pt idx="70">
                  <c:v>1132.9063779653745</c:v>
                </c:pt>
                <c:pt idx="71">
                  <c:v>1209.8492131042087</c:v>
                </c:pt>
                <c:pt idx="72">
                  <c:v>1283.3648504414211</c:v>
                </c:pt>
                <c:pt idx="73">
                  <c:v>1352.822558718497</c:v>
                </c:pt>
                <c:pt idx="74">
                  <c:v>1417.679002228017</c:v>
                </c:pt>
                <c:pt idx="75">
                  <c:v>1477.4810780998919</c:v>
                </c:pt>
                <c:pt idx="76">
                  <c:v>1531.8662870557482</c:v>
                </c:pt>
                <c:pt idx="77">
                  <c:v>1580.5609923813795</c:v>
                </c:pt>
                <c:pt idx="78">
                  <c:v>1623.3769301389393</c:v>
                </c:pt>
                <c:pt idx="79">
                  <c:v>1660.2063260677619</c:v>
                </c:pt>
                <c:pt idx="80">
                  <c:v>1691.0159552256368</c:v>
                </c:pt>
                <c:pt idx="81">
                  <c:v>1715.840452770231</c:v>
                </c:pt>
                <c:pt idx="82">
                  <c:v>1734.7751514208735</c:v>
                </c:pt>
                <c:pt idx="83">
                  <c:v>1747.968685586088</c:v>
                </c:pt>
                <c:pt idx="84">
                  <c:v>1755.6155658875773</c:v>
                </c:pt>
                <c:pt idx="85">
                  <c:v>1757.9488923792978</c:v>
                </c:pt>
                <c:pt idx="86">
                  <c:v>1755.2333412571345</c:v>
                </c:pt>
                <c:pt idx="87">
                  <c:v>1747.7585290314307</c:v>
                </c:pt>
                <c:pt idx="88">
                  <c:v>1735.8328304500953</c:v>
                </c:pt>
                <c:pt idx="89">
                  <c:v>1719.7777021380912</c:v>
                </c:pt>
                <c:pt idx="90">
                  <c:v>1699.9225430030324</c:v>
                </c:pt>
                <c:pt idx="91">
                  <c:v>1676.6001048543555</c:v>
                </c:pt>
                <c:pt idx="92">
                  <c:v>1650.1424522075963</c:v>
                </c:pt>
                <c:pt idx="93">
                  <c:v>1620.8774586452207</c:v>
                </c:pt>
                <c:pt idx="94">
                  <c:v>1589.1258180934817</c:v>
                </c:pt>
                <c:pt idx="95">
                  <c:v>1555.1985426467959</c:v>
                </c:pt>
                <c:pt idx="96">
                  <c:v>1519.3949138216258</c:v>
                </c:pt>
                <c:pt idx="97">
                  <c:v>1482.0008510551986</c:v>
                </c:pt>
                <c:pt idx="98">
                  <c:v>1443.2876596031119</c:v>
                </c:pt>
                <c:pt idx="99">
                  <c:v>1403.5111194784272</c:v>
                </c:pt>
                <c:pt idx="100">
                  <c:v>1362.9108774841045</c:v>
                </c:pt>
                <c:pt idx="101">
                  <c:v>1321.7101055171868</c:v>
                </c:pt>
                <c:pt idx="102">
                  <c:v>1280.115389990418</c:v>
                </c:pt>
                <c:pt idx="103">
                  <c:v>1238.3168192739481</c:v>
                </c:pt>
                <c:pt idx="104">
                  <c:v>1196.4882383786437</c:v>
                </c:pt>
                <c:pt idx="105">
                  <c:v>1154.7876425778054</c:v>
                </c:pt>
                <c:pt idx="106">
                  <c:v>1113.3576842095831</c:v>
                </c:pt>
                <c:pt idx="107">
                  <c:v>1072.3262694491302</c:v>
                </c:pt>
                <c:pt idx="108">
                  <c:v>1031.8072243341942</c:v>
                </c:pt>
                <c:pt idx="109">
                  <c:v>991.90101172920083</c:v>
                </c:pt>
                <c:pt idx="110">
                  <c:v>952.6954831916421</c:v>
                </c:pt>
                <c:pt idx="111">
                  <c:v>914.26665184004321</c:v>
                </c:pt>
                <c:pt idx="112">
                  <c:v>876.67947430216725</c:v>
                </c:pt>
                <c:pt idx="113">
                  <c:v>839.98863163849398</c:v>
                </c:pt>
                <c:pt idx="114">
                  <c:v>804.23930078788555</c:v>
                </c:pt>
                <c:pt idx="115">
                  <c:v>769.46790957141582</c:v>
                </c:pt>
                <c:pt idx="116">
                  <c:v>735.70286962182229</c:v>
                </c:pt>
                <c:pt idx="117">
                  <c:v>702.96528278682194</c:v>
                </c:pt>
                <c:pt idx="118">
                  <c:v>671.26961759335336</c:v>
                </c:pt>
                <c:pt idx="119">
                  <c:v>640.62435326623688</c:v>
                </c:pt>
                <c:pt idx="120">
                  <c:v>611.03258957880848</c:v>
                </c:pt>
                <c:pt idx="121">
                  <c:v>582.49262148530897</c:v>
                </c:pt>
                <c:pt idx="122">
                  <c:v>554.99847805544789</c:v>
                </c:pt>
                <c:pt idx="123">
                  <c:v>528.54042571051821</c:v>
                </c:pt>
                <c:pt idx="124">
                  <c:v>503.10543615765926</c:v>
                </c:pt>
                <c:pt idx="125">
                  <c:v>478.67761974325276</c:v>
                </c:pt>
                <c:pt idx="126">
                  <c:v>455.23862520672765</c:v>
                </c:pt>
                <c:pt idx="127">
                  <c:v>432.76800702007944</c:v>
                </c:pt>
                <c:pt idx="128">
                  <c:v>411.24356165364134</c:v>
                </c:pt>
                <c:pt idx="129">
                  <c:v>390.64163422160391</c:v>
                </c:pt>
                <c:pt idx="130">
                  <c:v>370.93739703769523</c:v>
                </c:pt>
                <c:pt idx="131">
                  <c:v>352.10510165754272</c:v>
                </c:pt>
                <c:pt idx="132">
                  <c:v>334.1183060046618</c:v>
                </c:pt>
                <c:pt idx="133">
                  <c:v>316.95007817583087</c:v>
                </c:pt>
                <c:pt idx="134">
                  <c:v>300.57317850286819</c:v>
                </c:pt>
                <c:pt idx="135">
                  <c:v>284.96022141471974</c:v>
                </c:pt>
                <c:pt idx="136">
                  <c:v>270.08381859928841</c:v>
                </c:pt>
                <c:pt idx="137">
                  <c:v>255.91670491119669</c:v>
                </c:pt>
                <c:pt idx="138">
                  <c:v>242.43184841168704</c:v>
                </c:pt>
                <c:pt idx="139">
                  <c:v>229.60254586220248</c:v>
                </c:pt>
                <c:pt idx="140">
                  <c:v>217.40250492532616</c:v>
                </c:pt>
                <c:pt idx="141">
                  <c:v>205.8059142570437</c:v>
                </c:pt>
                <c:pt idx="142">
                  <c:v>194.78750260386664</c:v>
                </c:pt>
                <c:pt idx="143">
                  <c:v>184.32258794816315</c:v>
                </c:pt>
                <c:pt idx="144">
                  <c:v>174.38711767577294</c:v>
                </c:pt>
                <c:pt idx="145">
                  <c:v>164.95770067229864</c:v>
                </c:pt>
                <c:pt idx="146">
                  <c:v>156.01163218881777</c:v>
                </c:pt>
                <c:pt idx="147">
                  <c:v>147.52691225449914</c:v>
                </c:pt>
                <c:pt idx="148">
                  <c:v>139.48225835302821</c:v>
                </c:pt>
                <c:pt idx="149">
                  <c:v>131.85711302205891</c:v>
                </c:pt>
                <c:pt idx="150">
                  <c:v>124.63164698013571</c:v>
                </c:pt>
                <c:pt idx="151">
                  <c:v>117.78675833389015</c:v>
                </c:pt>
                <c:pt idx="152">
                  <c:v>111.30406836968926</c:v>
                </c:pt>
                <c:pt idx="153">
                  <c:v>105.16591438836666</c:v>
                </c:pt>
                <c:pt idx="154">
                  <c:v>99.355339999105652</c:v>
                </c:pt>
                <c:pt idx="155">
                  <c:v>93.856083248924762</c:v>
                </c:pt>
                <c:pt idx="156">
                  <c:v>88.652562927420973</c:v>
                </c:pt>
                <c:pt idx="157">
                  <c:v>83.729863352353661</c:v>
                </c:pt>
                <c:pt idx="158">
                  <c:v>79.07371791020195</c:v>
                </c:pt>
                <c:pt idx="159">
                  <c:v>74.670491596837081</c:v>
                </c:pt>
                <c:pt idx="160">
                  <c:v>70.507162776822412</c:v>
                </c:pt>
                <c:pt idx="161">
                  <c:v>66.571304355456547</c:v>
                </c:pt>
                <c:pt idx="162">
                  <c:v>62.851064535325399</c:v>
                </c:pt>
                <c:pt idx="163">
                  <c:v>59.335147308776108</c:v>
                </c:pt>
                <c:pt idx="164">
                  <c:v>56.012792819164844</c:v>
                </c:pt>
                <c:pt idx="165">
                  <c:v>52.87375770689097</c:v>
                </c:pt>
                <c:pt idx="166">
                  <c:v>49.908295540959109</c:v>
                </c:pt>
                <c:pt idx="167">
                  <c:v>47.107137423001539</c:v>
                </c:pt>
                <c:pt idx="168">
                  <c:v>44.461472838251026</c:v>
                </c:pt>
                <c:pt idx="169">
                  <c:v>41.96293081672858</c:v>
                </c:pt>
                <c:pt idx="170">
                  <c:v>39.603561457876339</c:v>
                </c:pt>
                <c:pt idx="171">
                  <c:v>37.375817862836612</c:v>
                </c:pt>
                <c:pt idx="172">
                  <c:v>35.272538510554277</c:v>
                </c:pt>
                <c:pt idx="173">
                  <c:v>33.286930106712617</c:v>
                </c:pt>
                <c:pt idx="174">
                  <c:v>31.412550928160474</c:v>
                </c:pt>
                <c:pt idx="175">
                  <c:v>29.643294679872614</c:v>
                </c:pt>
                <c:pt idx="176">
                  <c:v>27.973374876525536</c:v>
                </c:pt>
                <c:pt idx="177">
                  <c:v>26.397309756428676</c:v>
                </c:pt>
                <c:pt idx="178">
                  <c:v>24.909907731743306</c:v>
                </c:pt>
                <c:pt idx="179">
                  <c:v>23.506253375618666</c:v>
                </c:pt>
                <c:pt idx="180">
                  <c:v>22.181693944010323</c:v>
                </c:pt>
                <c:pt idx="181">
                  <c:v>20.931826427491409</c:v>
                </c:pt>
                <c:pt idx="182">
                  <c:v>19.752485126258758</c:v>
                </c:pt>
                <c:pt idx="183">
                  <c:v>18.639729739770814</c:v>
                </c:pt>
                <c:pt idx="184">
                  <c:v>17.589833960954472</c:v>
                </c:pt>
                <c:pt idx="185">
                  <c:v>16.599274563695914</c:v>
                </c:pt>
                <c:pt idx="186">
                  <c:v>15.66472097132373</c:v>
                </c:pt>
                <c:pt idx="187">
                  <c:v>14.783025292992344</c:v>
                </c:pt>
                <c:pt idx="188">
                  <c:v>13.951212814257888</c:v>
                </c:pt>
                <c:pt idx="189">
                  <c:v>13.16647292767267</c:v>
                </c:pt>
                <c:pt idx="190">
                  <c:v>12.426150488902081</c:v>
                </c:pt>
                <c:pt idx="191">
                  <c:v>11.727737583666684</c:v>
                </c:pt>
                <c:pt idx="192">
                  <c:v>11.068865690713725</c:v>
                </c:pt>
                <c:pt idx="193">
                  <c:v>10.447298226022081</c:v>
                </c:pt>
                <c:pt idx="194">
                  <c:v>9.8609234535114449</c:v>
                </c:pt>
                <c:pt idx="195">
                  <c:v>9.3077477476759363</c:v>
                </c:pt>
                <c:pt idx="196">
                  <c:v>8.7858891937561783</c:v>
                </c:pt>
                <c:pt idx="197">
                  <c:v>8.2935715113132673</c:v>
                </c:pt>
                <c:pt idx="198">
                  <c:v>7.8291182873561276</c:v>
                </c:pt>
                <c:pt idx="199">
                  <c:v>7.3909475054923606</c:v>
                </c:pt>
                <c:pt idx="200">
                  <c:v>6.9775663579236387</c:v>
                </c:pt>
                <c:pt idx="201">
                  <c:v>6.5875663274715093</c:v>
                </c:pt>
                <c:pt idx="202">
                  <c:v>6.2196185272077651</c:v>
                </c:pt>
                <c:pt idx="203">
                  <c:v>5.8724692856566794</c:v>
                </c:pt>
                <c:pt idx="204">
                  <c:v>5.544935965945478</c:v>
                </c:pt>
                <c:pt idx="205">
                  <c:v>5.2359030076835298</c:v>
                </c:pt>
                <c:pt idx="206">
                  <c:v>4.9443181807676106</c:v>
                </c:pt>
                <c:pt idx="207">
                  <c:v>4.6691890407165877</c:v>
                </c:pt>
                <c:pt idx="208">
                  <c:v>4.4095795755502216</c:v>
                </c:pt>
                <c:pt idx="209">
                  <c:v>4.1646070346273749</c:v>
                </c:pt>
                <c:pt idx="210">
                  <c:v>3.9334389302597814</c:v>
                </c:pt>
                <c:pt idx="211">
                  <c:v>3.715290203303137</c:v>
                </c:pt>
                <c:pt idx="212">
                  <c:v>3.5094205443131448</c:v>
                </c:pt>
                <c:pt idx="213">
                  <c:v>3.3151318622232631</c:v>
                </c:pt>
                <c:pt idx="214">
                  <c:v>3.1317658928650469</c:v>
                </c:pt>
                <c:pt idx="215">
                  <c:v>2.9587019400030021</c:v>
                </c:pt>
                <c:pt idx="216">
                  <c:v>2.7953547418971674</c:v>
                </c:pt>
                <c:pt idx="217">
                  <c:v>2.6411724567360562</c:v>
                </c:pt>
                <c:pt idx="218">
                  <c:v>2.4956347606012477</c:v>
                </c:pt>
                <c:pt idx="219">
                  <c:v>2.3582510519313353</c:v>
                </c:pt>
                <c:pt idx="220">
                  <c:v>2.2285587567489626</c:v>
                </c:pt>
                <c:pt idx="221">
                  <c:v>2.1061217291979557</c:v>
                </c:pt>
                <c:pt idx="222">
                  <c:v>1.9905287422103664</c:v>
                </c:pt>
                <c:pt idx="223">
                  <c:v>1.8813920633845929</c:v>
                </c:pt>
                <c:pt idx="224">
                  <c:v>1.7783461114061818</c:v>
                </c:pt>
                <c:pt idx="225">
                  <c:v>1.681046188582225</c:v>
                </c:pt>
                <c:pt idx="226">
                  <c:v>1.5891672852894634</c:v>
                </c:pt>
                <c:pt idx="227">
                  <c:v>1.5024029523548661</c:v>
                </c:pt>
                <c:pt idx="228">
                  <c:v>1.4204642375960852</c:v>
                </c:pt>
                <c:pt idx="229">
                  <c:v>1.3430786829485246</c:v>
                </c:pt>
                <c:pt idx="230">
                  <c:v>1.2699893787952741</c:v>
                </c:pt>
                <c:pt idx="231">
                  <c:v>1.2009540722966696</c:v>
                </c:pt>
                <c:pt idx="232">
                  <c:v>1.1357443266885185</c:v>
                </c:pt>
                <c:pt idx="233">
                  <c:v>1.074144728681137</c:v>
                </c:pt>
                <c:pt idx="234">
                  <c:v>1.0159521412471268</c:v>
                </c:pt>
                <c:pt idx="235">
                  <c:v>0.96097499923311935</c:v>
                </c:pt>
                <c:pt idx="236">
                  <c:v>0.90903264537120754</c:v>
                </c:pt>
                <c:pt idx="237">
                  <c:v>0.85995470439869859</c:v>
                </c:pt>
                <c:pt idx="238">
                  <c:v>0.81358049312119352</c:v>
                </c:pt>
                <c:pt idx="239">
                  <c:v>0.76975846437346696</c:v>
                </c:pt>
                <c:pt idx="240">
                  <c:v>0.72834568294645352</c:v>
                </c:pt>
                <c:pt idx="241">
                  <c:v>0.68920733165576609</c:v>
                </c:pt>
                <c:pt idx="242">
                  <c:v>0.65221624582942583</c:v>
                </c:pt>
                <c:pt idx="243">
                  <c:v>0.61725247458845545</c:v>
                </c:pt>
                <c:pt idx="244">
                  <c:v>0.58420286738576432</c:v>
                </c:pt>
                <c:pt idx="245">
                  <c:v>0.55296068435463097</c:v>
                </c:pt>
                <c:pt idx="246">
                  <c:v>0.5234252291001773</c:v>
                </c:pt>
                <c:pt idx="247">
                  <c:v>0.4955015026442452</c:v>
                </c:pt>
                <c:pt idx="248">
                  <c:v>0.46909987730729369</c:v>
                </c:pt>
                <c:pt idx="249">
                  <c:v>0.44413578937989073</c:v>
                </c:pt>
                <c:pt idx="250">
                  <c:v>0.42052944950167509</c:v>
                </c:pt>
                <c:pt idx="251">
                  <c:v>0.39820556972734578</c:v>
                </c:pt>
                <c:pt idx="252">
                  <c:v>0.37709310631732912</c:v>
                </c:pt>
                <c:pt idx="253">
                  <c:v>0.35712501734604035</c:v>
                </c:pt>
                <c:pt idx="254">
                  <c:v>0.33823803427225169</c:v>
                </c:pt>
                <c:pt idx="255">
                  <c:v>0.32037244666542969</c:v>
                </c:pt>
                <c:pt idx="256">
                  <c:v>0.30347189932791618</c:v>
                </c:pt>
                <c:pt idx="257">
                  <c:v>0.28748320109670422</c:v>
                </c:pt>
                <c:pt idx="258">
                  <c:v>0.27235614464960117</c:v>
                </c:pt>
                <c:pt idx="259">
                  <c:v>0.25804333667958684</c:v>
                </c:pt>
                <c:pt idx="260">
                  <c:v>0.24450003783773513</c:v>
                </c:pt>
                <c:pt idx="261">
                  <c:v>0.23168401187976448</c:v>
                </c:pt>
                <c:pt idx="262">
                  <c:v>0.21955538348380665</c:v>
                </c:pt>
                <c:pt idx="263">
                  <c:v>0.20807650423781732</c:v>
                </c:pt>
                <c:pt idx="264">
                  <c:v>0.19721182632402609</c:v>
                </c:pt>
                <c:pt idx="265">
                  <c:v>0.1869277834551584</c:v>
                </c:pt>
                <c:pt idx="266">
                  <c:v>0.17719267864299418</c:v>
                </c:pt>
                <c:pt idx="267">
                  <c:v>0.1679765784040359</c:v>
                </c:pt>
                <c:pt idx="268">
                  <c:v>0.15925121303004147</c:v>
                </c:pt>
                <c:pt idx="269">
                  <c:v>0.15098988257272769</c:v>
                </c:pt>
                <c:pt idx="270">
                  <c:v>0.1431673682122748</c:v>
                </c:pt>
                <c:pt idx="271">
                  <c:v>0.13575984869846613</c:v>
                </c:pt>
                <c:pt idx="272">
                  <c:v>0.12874482157130396</c:v>
                </c:pt>
                <c:pt idx="273">
                  <c:v>0.12210102888501577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C74-42C3-AEA3-0FCF0C9EED54}"/>
            </c:ext>
          </c:extLst>
        </c:ser>
        <c:ser>
          <c:idx val="2"/>
          <c:order val="2"/>
          <c:tx>
            <c:strRef>
              <c:f>'New_cases - LNorm'!$Y$7</c:f>
              <c:strCache>
                <c:ptCount val="1"/>
                <c:pt idx="0">
                  <c:v>Upper CI_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'New_cases - LNorm'!$C$55:$C$281</c:f>
              <c:numCache>
                <c:formatCode>General</c:formatCode>
                <c:ptCount val="227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  <c:pt idx="55">
                  <c:v>103</c:v>
                </c:pt>
                <c:pt idx="56">
                  <c:v>104</c:v>
                </c:pt>
                <c:pt idx="57">
                  <c:v>105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111</c:v>
                </c:pt>
                <c:pt idx="64">
                  <c:v>112</c:v>
                </c:pt>
                <c:pt idx="65">
                  <c:v>113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  <c:pt idx="82">
                  <c:v>130</c:v>
                </c:pt>
                <c:pt idx="83">
                  <c:v>131</c:v>
                </c:pt>
                <c:pt idx="84">
                  <c:v>132</c:v>
                </c:pt>
                <c:pt idx="85">
                  <c:v>133</c:v>
                </c:pt>
                <c:pt idx="86">
                  <c:v>134</c:v>
                </c:pt>
                <c:pt idx="87">
                  <c:v>135</c:v>
                </c:pt>
                <c:pt idx="88">
                  <c:v>136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  <c:pt idx="92">
                  <c:v>140</c:v>
                </c:pt>
                <c:pt idx="93">
                  <c:v>141</c:v>
                </c:pt>
                <c:pt idx="94">
                  <c:v>142</c:v>
                </c:pt>
                <c:pt idx="95">
                  <c:v>143</c:v>
                </c:pt>
                <c:pt idx="96">
                  <c:v>144</c:v>
                </c:pt>
                <c:pt idx="97">
                  <c:v>145</c:v>
                </c:pt>
                <c:pt idx="98">
                  <c:v>146</c:v>
                </c:pt>
                <c:pt idx="99">
                  <c:v>147</c:v>
                </c:pt>
                <c:pt idx="100">
                  <c:v>148</c:v>
                </c:pt>
                <c:pt idx="101">
                  <c:v>149</c:v>
                </c:pt>
                <c:pt idx="102">
                  <c:v>150</c:v>
                </c:pt>
                <c:pt idx="103">
                  <c:v>151</c:v>
                </c:pt>
                <c:pt idx="104">
                  <c:v>152</c:v>
                </c:pt>
                <c:pt idx="105">
                  <c:v>153</c:v>
                </c:pt>
                <c:pt idx="106">
                  <c:v>154</c:v>
                </c:pt>
                <c:pt idx="107">
                  <c:v>155</c:v>
                </c:pt>
                <c:pt idx="108">
                  <c:v>156</c:v>
                </c:pt>
                <c:pt idx="109">
                  <c:v>157</c:v>
                </c:pt>
                <c:pt idx="110">
                  <c:v>158</c:v>
                </c:pt>
                <c:pt idx="111">
                  <c:v>159</c:v>
                </c:pt>
                <c:pt idx="112">
                  <c:v>160</c:v>
                </c:pt>
                <c:pt idx="113">
                  <c:v>161</c:v>
                </c:pt>
                <c:pt idx="114">
                  <c:v>162</c:v>
                </c:pt>
                <c:pt idx="115">
                  <c:v>163</c:v>
                </c:pt>
                <c:pt idx="116">
                  <c:v>164</c:v>
                </c:pt>
                <c:pt idx="117">
                  <c:v>165</c:v>
                </c:pt>
                <c:pt idx="118">
                  <c:v>166</c:v>
                </c:pt>
                <c:pt idx="119">
                  <c:v>167</c:v>
                </c:pt>
                <c:pt idx="120">
                  <c:v>168</c:v>
                </c:pt>
                <c:pt idx="121">
                  <c:v>169</c:v>
                </c:pt>
                <c:pt idx="122">
                  <c:v>170</c:v>
                </c:pt>
                <c:pt idx="123">
                  <c:v>171</c:v>
                </c:pt>
                <c:pt idx="124">
                  <c:v>172</c:v>
                </c:pt>
                <c:pt idx="125">
                  <c:v>173</c:v>
                </c:pt>
                <c:pt idx="126">
                  <c:v>174</c:v>
                </c:pt>
                <c:pt idx="127">
                  <c:v>175</c:v>
                </c:pt>
                <c:pt idx="128">
                  <c:v>176</c:v>
                </c:pt>
                <c:pt idx="129">
                  <c:v>177</c:v>
                </c:pt>
                <c:pt idx="130">
                  <c:v>178</c:v>
                </c:pt>
                <c:pt idx="131">
                  <c:v>179</c:v>
                </c:pt>
                <c:pt idx="132">
                  <c:v>180</c:v>
                </c:pt>
                <c:pt idx="133">
                  <c:v>181</c:v>
                </c:pt>
                <c:pt idx="134">
                  <c:v>182</c:v>
                </c:pt>
                <c:pt idx="135">
                  <c:v>183</c:v>
                </c:pt>
                <c:pt idx="136">
                  <c:v>184</c:v>
                </c:pt>
                <c:pt idx="137">
                  <c:v>185</c:v>
                </c:pt>
                <c:pt idx="138">
                  <c:v>186</c:v>
                </c:pt>
                <c:pt idx="139">
                  <c:v>187</c:v>
                </c:pt>
                <c:pt idx="140">
                  <c:v>188</c:v>
                </c:pt>
                <c:pt idx="141">
                  <c:v>189</c:v>
                </c:pt>
                <c:pt idx="142">
                  <c:v>190</c:v>
                </c:pt>
                <c:pt idx="143">
                  <c:v>191</c:v>
                </c:pt>
                <c:pt idx="144">
                  <c:v>192</c:v>
                </c:pt>
                <c:pt idx="145">
                  <c:v>193</c:v>
                </c:pt>
                <c:pt idx="146">
                  <c:v>194</c:v>
                </c:pt>
                <c:pt idx="147">
                  <c:v>195</c:v>
                </c:pt>
                <c:pt idx="148">
                  <c:v>196</c:v>
                </c:pt>
                <c:pt idx="149">
                  <c:v>197</c:v>
                </c:pt>
                <c:pt idx="150">
                  <c:v>198</c:v>
                </c:pt>
                <c:pt idx="151">
                  <c:v>199</c:v>
                </c:pt>
                <c:pt idx="152">
                  <c:v>200</c:v>
                </c:pt>
                <c:pt idx="153">
                  <c:v>201</c:v>
                </c:pt>
                <c:pt idx="154">
                  <c:v>202</c:v>
                </c:pt>
                <c:pt idx="155">
                  <c:v>203</c:v>
                </c:pt>
                <c:pt idx="156">
                  <c:v>204</c:v>
                </c:pt>
                <c:pt idx="157">
                  <c:v>205</c:v>
                </c:pt>
                <c:pt idx="158">
                  <c:v>206</c:v>
                </c:pt>
                <c:pt idx="159">
                  <c:v>207</c:v>
                </c:pt>
                <c:pt idx="160">
                  <c:v>208</c:v>
                </c:pt>
                <c:pt idx="161">
                  <c:v>209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213</c:v>
                </c:pt>
                <c:pt idx="166">
                  <c:v>214</c:v>
                </c:pt>
                <c:pt idx="167">
                  <c:v>215</c:v>
                </c:pt>
                <c:pt idx="168">
                  <c:v>216</c:v>
                </c:pt>
                <c:pt idx="169">
                  <c:v>217</c:v>
                </c:pt>
                <c:pt idx="170">
                  <c:v>218</c:v>
                </c:pt>
                <c:pt idx="171">
                  <c:v>219</c:v>
                </c:pt>
                <c:pt idx="172">
                  <c:v>220</c:v>
                </c:pt>
                <c:pt idx="173">
                  <c:v>221</c:v>
                </c:pt>
                <c:pt idx="174">
                  <c:v>222</c:v>
                </c:pt>
                <c:pt idx="175">
                  <c:v>223</c:v>
                </c:pt>
                <c:pt idx="176">
                  <c:v>224</c:v>
                </c:pt>
                <c:pt idx="177">
                  <c:v>225</c:v>
                </c:pt>
                <c:pt idx="178">
                  <c:v>226</c:v>
                </c:pt>
                <c:pt idx="179">
                  <c:v>227</c:v>
                </c:pt>
                <c:pt idx="180">
                  <c:v>228</c:v>
                </c:pt>
                <c:pt idx="181">
                  <c:v>229</c:v>
                </c:pt>
                <c:pt idx="182">
                  <c:v>230</c:v>
                </c:pt>
                <c:pt idx="183">
                  <c:v>231</c:v>
                </c:pt>
                <c:pt idx="184">
                  <c:v>232</c:v>
                </c:pt>
                <c:pt idx="185">
                  <c:v>233</c:v>
                </c:pt>
                <c:pt idx="186">
                  <c:v>234</c:v>
                </c:pt>
                <c:pt idx="187">
                  <c:v>235</c:v>
                </c:pt>
                <c:pt idx="188">
                  <c:v>236</c:v>
                </c:pt>
                <c:pt idx="189">
                  <c:v>237</c:v>
                </c:pt>
                <c:pt idx="190">
                  <c:v>238</c:v>
                </c:pt>
                <c:pt idx="191">
                  <c:v>239</c:v>
                </c:pt>
                <c:pt idx="192">
                  <c:v>240</c:v>
                </c:pt>
                <c:pt idx="193">
                  <c:v>241</c:v>
                </c:pt>
                <c:pt idx="194">
                  <c:v>242</c:v>
                </c:pt>
                <c:pt idx="195">
                  <c:v>243</c:v>
                </c:pt>
                <c:pt idx="196">
                  <c:v>244</c:v>
                </c:pt>
                <c:pt idx="197">
                  <c:v>245</c:v>
                </c:pt>
                <c:pt idx="198">
                  <c:v>246</c:v>
                </c:pt>
                <c:pt idx="199">
                  <c:v>247</c:v>
                </c:pt>
                <c:pt idx="200">
                  <c:v>248</c:v>
                </c:pt>
                <c:pt idx="201">
                  <c:v>249</c:v>
                </c:pt>
                <c:pt idx="202">
                  <c:v>250</c:v>
                </c:pt>
                <c:pt idx="203">
                  <c:v>251</c:v>
                </c:pt>
                <c:pt idx="204">
                  <c:v>252</c:v>
                </c:pt>
                <c:pt idx="205">
                  <c:v>253</c:v>
                </c:pt>
                <c:pt idx="206">
                  <c:v>254</c:v>
                </c:pt>
                <c:pt idx="207">
                  <c:v>255</c:v>
                </c:pt>
                <c:pt idx="208">
                  <c:v>256</c:v>
                </c:pt>
                <c:pt idx="209">
                  <c:v>257</c:v>
                </c:pt>
                <c:pt idx="210">
                  <c:v>258</c:v>
                </c:pt>
                <c:pt idx="211">
                  <c:v>259</c:v>
                </c:pt>
                <c:pt idx="212">
                  <c:v>260</c:v>
                </c:pt>
                <c:pt idx="213">
                  <c:v>261</c:v>
                </c:pt>
                <c:pt idx="214">
                  <c:v>262</c:v>
                </c:pt>
                <c:pt idx="215">
                  <c:v>263</c:v>
                </c:pt>
                <c:pt idx="216">
                  <c:v>264</c:v>
                </c:pt>
                <c:pt idx="217">
                  <c:v>265</c:v>
                </c:pt>
                <c:pt idx="218">
                  <c:v>266</c:v>
                </c:pt>
                <c:pt idx="219">
                  <c:v>267</c:v>
                </c:pt>
                <c:pt idx="220">
                  <c:v>268</c:v>
                </c:pt>
                <c:pt idx="221">
                  <c:v>269</c:v>
                </c:pt>
                <c:pt idx="222">
                  <c:v>270</c:v>
                </c:pt>
                <c:pt idx="223">
                  <c:v>271</c:v>
                </c:pt>
                <c:pt idx="224">
                  <c:v>272</c:v>
                </c:pt>
                <c:pt idx="225">
                  <c:v>273</c:v>
                </c:pt>
                <c:pt idx="226">
                  <c:v>274</c:v>
                </c:pt>
              </c:numCache>
            </c:numRef>
          </c:xVal>
          <c:yVal>
            <c:numRef>
              <c:f>'New_cases - LNorm'!$Y$55:$Y$281</c:f>
              <c:numCache>
                <c:formatCode>General</c:formatCode>
                <c:ptCount val="227"/>
                <c:pt idx="0">
                  <c:v>753.1775645236163</c:v>
                </c:pt>
                <c:pt idx="1">
                  <c:v>756.46777229840563</c:v>
                </c:pt>
                <c:pt idx="2">
                  <c:v>761.56706937785032</c:v>
                </c:pt>
                <c:pt idx="3">
                  <c:v>769.07997953308313</c:v>
                </c:pt>
                <c:pt idx="4">
                  <c:v>779.66782336910819</c:v>
                </c:pt>
                <c:pt idx="5">
                  <c:v>794.01480177298129</c:v>
                </c:pt>
                <c:pt idx="6">
                  <c:v>812.78920765106943</c:v>
                </c:pt>
                <c:pt idx="7">
                  <c:v>836.60346570909655</c:v>
                </c:pt>
                <c:pt idx="8">
                  <c:v>865.97655012870803</c:v>
                </c:pt>
                <c:pt idx="9">
                  <c:v>901.30177005979749</c:v>
                </c:pt>
                <c:pt idx="10">
                  <c:v>942.82210111335564</c:v>
                </c:pt>
                <c:pt idx="11">
                  <c:v>990.61433178391451</c:v>
                </c:pt>
                <c:pt idx="12">
                  <c:v>1044.5824141825615</c:v>
                </c:pt>
                <c:pt idx="13">
                  <c:v>1104.4596483479947</c:v>
                </c:pt>
                <c:pt idx="14">
                  <c:v>1169.8187400989862</c:v>
                </c:pt>
                <c:pt idx="15">
                  <c:v>1240.0883720905426</c:v>
                </c:pt>
                <c:pt idx="16">
                  <c:v>1314.5747094932244</c:v>
                </c:pt>
                <c:pt idx="17">
                  <c:v>1392.4862020461123</c:v>
                </c:pt>
                <c:pt idx="18">
                  <c:v>1472.9601108276647</c:v>
                </c:pt>
                <c:pt idx="19">
                  <c:v>1555.0893459248969</c:v>
                </c:pt>
                <c:pt idx="20">
                  <c:v>1637.9484168622218</c:v>
                </c:pt>
                <c:pt idx="21">
                  <c:v>1720.6175420849074</c:v>
                </c:pt>
                <c:pt idx="22">
                  <c:v>1802.2042135206395</c:v>
                </c:pt>
                <c:pt idx="23">
                  <c:v>1881.8617497689982</c:v>
                </c:pt>
                <c:pt idx="24">
                  <c:v>1958.8045849078323</c:v>
                </c:pt>
                <c:pt idx="25">
                  <c:v>2032.3202222450448</c:v>
                </c:pt>
                <c:pt idx="26">
                  <c:v>2101.7779305221206</c:v>
                </c:pt>
                <c:pt idx="27">
                  <c:v>2166.6343740316406</c:v>
                </c:pt>
                <c:pt idx="28">
                  <c:v>2226.4364499035155</c:v>
                </c:pt>
                <c:pt idx="29">
                  <c:v>2280.8216588593718</c:v>
                </c:pt>
                <c:pt idx="30">
                  <c:v>2329.5163641850031</c:v>
                </c:pt>
                <c:pt idx="31">
                  <c:v>2372.3323019425629</c:v>
                </c:pt>
                <c:pt idx="32">
                  <c:v>2409.1616978713855</c:v>
                </c:pt>
                <c:pt idx="33">
                  <c:v>2439.9713270292605</c:v>
                </c:pt>
                <c:pt idx="34">
                  <c:v>2464.7958245738546</c:v>
                </c:pt>
                <c:pt idx="35">
                  <c:v>2483.7305232244971</c:v>
                </c:pt>
                <c:pt idx="36">
                  <c:v>2496.9240573897114</c:v>
                </c:pt>
                <c:pt idx="37">
                  <c:v>2504.5709376912009</c:v>
                </c:pt>
                <c:pt idx="38">
                  <c:v>2506.9042641829215</c:v>
                </c:pt>
                <c:pt idx="39">
                  <c:v>2504.1887130607583</c:v>
                </c:pt>
                <c:pt idx="40">
                  <c:v>2496.7139008350541</c:v>
                </c:pt>
                <c:pt idx="41">
                  <c:v>2484.7882022537187</c:v>
                </c:pt>
                <c:pt idx="42">
                  <c:v>2468.7330739417148</c:v>
                </c:pt>
                <c:pt idx="43">
                  <c:v>2448.877914806656</c:v>
                </c:pt>
                <c:pt idx="44">
                  <c:v>2425.5554766579789</c:v>
                </c:pt>
                <c:pt idx="45">
                  <c:v>2399.0978240112199</c:v>
                </c:pt>
                <c:pt idx="46">
                  <c:v>2369.8328304488441</c:v>
                </c:pt>
                <c:pt idx="47">
                  <c:v>2338.0811898971051</c:v>
                </c:pt>
                <c:pt idx="48">
                  <c:v>2304.1539144504195</c:v>
                </c:pt>
                <c:pt idx="49">
                  <c:v>2268.3502856252494</c:v>
                </c:pt>
                <c:pt idx="50">
                  <c:v>2230.956222858822</c:v>
                </c:pt>
                <c:pt idx="51">
                  <c:v>2192.2430314067356</c:v>
                </c:pt>
                <c:pt idx="52">
                  <c:v>2152.4664912820508</c:v>
                </c:pt>
                <c:pt idx="53">
                  <c:v>2111.8662492877284</c:v>
                </c:pt>
                <c:pt idx="54">
                  <c:v>2070.6654773208102</c:v>
                </c:pt>
                <c:pt idx="55">
                  <c:v>2029.0707617940416</c:v>
                </c:pt>
                <c:pt idx="56">
                  <c:v>1987.2721910775717</c:v>
                </c:pt>
                <c:pt idx="57">
                  <c:v>1945.4436101822673</c:v>
                </c:pt>
                <c:pt idx="58">
                  <c:v>1903.743014381429</c:v>
                </c:pt>
                <c:pt idx="59">
                  <c:v>1862.3130560132067</c:v>
                </c:pt>
                <c:pt idx="60">
                  <c:v>1821.2816412527538</c:v>
                </c:pt>
                <c:pt idx="61">
                  <c:v>1780.7625961378178</c:v>
                </c:pt>
                <c:pt idx="62">
                  <c:v>1740.8563835328246</c:v>
                </c:pt>
                <c:pt idx="63">
                  <c:v>1701.6508549952657</c:v>
                </c:pt>
                <c:pt idx="64">
                  <c:v>1663.2220236436669</c:v>
                </c:pt>
                <c:pt idx="65">
                  <c:v>1625.634846105791</c:v>
                </c:pt>
                <c:pt idx="66">
                  <c:v>1588.9440034421177</c:v>
                </c:pt>
                <c:pt idx="67">
                  <c:v>1553.1946725915091</c:v>
                </c:pt>
                <c:pt idx="68">
                  <c:v>1518.4232813750396</c:v>
                </c:pt>
                <c:pt idx="69">
                  <c:v>1484.6582414254458</c:v>
                </c:pt>
                <c:pt idx="70">
                  <c:v>1451.9206545904456</c:v>
                </c:pt>
                <c:pt idx="71">
                  <c:v>1420.224989396977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C74-42C3-AEA3-0FCF0C9EED54}"/>
            </c:ext>
          </c:extLst>
        </c:ser>
        <c:ser>
          <c:idx val="3"/>
          <c:order val="3"/>
          <c:tx>
            <c:strRef>
              <c:f>'New_cases - LNorm'!$Z$7</c:f>
              <c:strCache>
                <c:ptCount val="1"/>
                <c:pt idx="0">
                  <c:v>Lower CI_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'New_cases - LNorm'!$C$55:$C$281</c:f>
              <c:numCache>
                <c:formatCode>General</c:formatCode>
                <c:ptCount val="227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  <c:pt idx="55">
                  <c:v>103</c:v>
                </c:pt>
                <c:pt idx="56">
                  <c:v>104</c:v>
                </c:pt>
                <c:pt idx="57">
                  <c:v>105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111</c:v>
                </c:pt>
                <c:pt idx="64">
                  <c:v>112</c:v>
                </c:pt>
                <c:pt idx="65">
                  <c:v>113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  <c:pt idx="82">
                  <c:v>130</c:v>
                </c:pt>
                <c:pt idx="83">
                  <c:v>131</c:v>
                </c:pt>
                <c:pt idx="84">
                  <c:v>132</c:v>
                </c:pt>
                <c:pt idx="85">
                  <c:v>133</c:v>
                </c:pt>
                <c:pt idx="86">
                  <c:v>134</c:v>
                </c:pt>
                <c:pt idx="87">
                  <c:v>135</c:v>
                </c:pt>
                <c:pt idx="88">
                  <c:v>136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  <c:pt idx="92">
                  <c:v>140</c:v>
                </c:pt>
                <c:pt idx="93">
                  <c:v>141</c:v>
                </c:pt>
                <c:pt idx="94">
                  <c:v>142</c:v>
                </c:pt>
                <c:pt idx="95">
                  <c:v>143</c:v>
                </c:pt>
                <c:pt idx="96">
                  <c:v>144</c:v>
                </c:pt>
                <c:pt idx="97">
                  <c:v>145</c:v>
                </c:pt>
                <c:pt idx="98">
                  <c:v>146</c:v>
                </c:pt>
                <c:pt idx="99">
                  <c:v>147</c:v>
                </c:pt>
                <c:pt idx="100">
                  <c:v>148</c:v>
                </c:pt>
                <c:pt idx="101">
                  <c:v>149</c:v>
                </c:pt>
                <c:pt idx="102">
                  <c:v>150</c:v>
                </c:pt>
                <c:pt idx="103">
                  <c:v>151</c:v>
                </c:pt>
                <c:pt idx="104">
                  <c:v>152</c:v>
                </c:pt>
                <c:pt idx="105">
                  <c:v>153</c:v>
                </c:pt>
                <c:pt idx="106">
                  <c:v>154</c:v>
                </c:pt>
                <c:pt idx="107">
                  <c:v>155</c:v>
                </c:pt>
                <c:pt idx="108">
                  <c:v>156</c:v>
                </c:pt>
                <c:pt idx="109">
                  <c:v>157</c:v>
                </c:pt>
                <c:pt idx="110">
                  <c:v>158</c:v>
                </c:pt>
                <c:pt idx="111">
                  <c:v>159</c:v>
                </c:pt>
                <c:pt idx="112">
                  <c:v>160</c:v>
                </c:pt>
                <c:pt idx="113">
                  <c:v>161</c:v>
                </c:pt>
                <c:pt idx="114">
                  <c:v>162</c:v>
                </c:pt>
                <c:pt idx="115">
                  <c:v>163</c:v>
                </c:pt>
                <c:pt idx="116">
                  <c:v>164</c:v>
                </c:pt>
                <c:pt idx="117">
                  <c:v>165</c:v>
                </c:pt>
                <c:pt idx="118">
                  <c:v>166</c:v>
                </c:pt>
                <c:pt idx="119">
                  <c:v>167</c:v>
                </c:pt>
                <c:pt idx="120">
                  <c:v>168</c:v>
                </c:pt>
                <c:pt idx="121">
                  <c:v>169</c:v>
                </c:pt>
                <c:pt idx="122">
                  <c:v>170</c:v>
                </c:pt>
                <c:pt idx="123">
                  <c:v>171</c:v>
                </c:pt>
                <c:pt idx="124">
                  <c:v>172</c:v>
                </c:pt>
                <c:pt idx="125">
                  <c:v>173</c:v>
                </c:pt>
                <c:pt idx="126">
                  <c:v>174</c:v>
                </c:pt>
                <c:pt idx="127">
                  <c:v>175</c:v>
                </c:pt>
                <c:pt idx="128">
                  <c:v>176</c:v>
                </c:pt>
                <c:pt idx="129">
                  <c:v>177</c:v>
                </c:pt>
                <c:pt idx="130">
                  <c:v>178</c:v>
                </c:pt>
                <c:pt idx="131">
                  <c:v>179</c:v>
                </c:pt>
                <c:pt idx="132">
                  <c:v>180</c:v>
                </c:pt>
                <c:pt idx="133">
                  <c:v>181</c:v>
                </c:pt>
                <c:pt idx="134">
                  <c:v>182</c:v>
                </c:pt>
                <c:pt idx="135">
                  <c:v>183</c:v>
                </c:pt>
                <c:pt idx="136">
                  <c:v>184</c:v>
                </c:pt>
                <c:pt idx="137">
                  <c:v>185</c:v>
                </c:pt>
                <c:pt idx="138">
                  <c:v>186</c:v>
                </c:pt>
                <c:pt idx="139">
                  <c:v>187</c:v>
                </c:pt>
                <c:pt idx="140">
                  <c:v>188</c:v>
                </c:pt>
                <c:pt idx="141">
                  <c:v>189</c:v>
                </c:pt>
                <c:pt idx="142">
                  <c:v>190</c:v>
                </c:pt>
                <c:pt idx="143">
                  <c:v>191</c:v>
                </c:pt>
                <c:pt idx="144">
                  <c:v>192</c:v>
                </c:pt>
                <c:pt idx="145">
                  <c:v>193</c:v>
                </c:pt>
                <c:pt idx="146">
                  <c:v>194</c:v>
                </c:pt>
                <c:pt idx="147">
                  <c:v>195</c:v>
                </c:pt>
                <c:pt idx="148">
                  <c:v>196</c:v>
                </c:pt>
                <c:pt idx="149">
                  <c:v>197</c:v>
                </c:pt>
                <c:pt idx="150">
                  <c:v>198</c:v>
                </c:pt>
                <c:pt idx="151">
                  <c:v>199</c:v>
                </c:pt>
                <c:pt idx="152">
                  <c:v>200</c:v>
                </c:pt>
                <c:pt idx="153">
                  <c:v>201</c:v>
                </c:pt>
                <c:pt idx="154">
                  <c:v>202</c:v>
                </c:pt>
                <c:pt idx="155">
                  <c:v>203</c:v>
                </c:pt>
                <c:pt idx="156">
                  <c:v>204</c:v>
                </c:pt>
                <c:pt idx="157">
                  <c:v>205</c:v>
                </c:pt>
                <c:pt idx="158">
                  <c:v>206</c:v>
                </c:pt>
                <c:pt idx="159">
                  <c:v>207</c:v>
                </c:pt>
                <c:pt idx="160">
                  <c:v>208</c:v>
                </c:pt>
                <c:pt idx="161">
                  <c:v>209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213</c:v>
                </c:pt>
                <c:pt idx="166">
                  <c:v>214</c:v>
                </c:pt>
                <c:pt idx="167">
                  <c:v>215</c:v>
                </c:pt>
                <c:pt idx="168">
                  <c:v>216</c:v>
                </c:pt>
                <c:pt idx="169">
                  <c:v>217</c:v>
                </c:pt>
                <c:pt idx="170">
                  <c:v>218</c:v>
                </c:pt>
                <c:pt idx="171">
                  <c:v>219</c:v>
                </c:pt>
                <c:pt idx="172">
                  <c:v>220</c:v>
                </c:pt>
                <c:pt idx="173">
                  <c:v>221</c:v>
                </c:pt>
                <c:pt idx="174">
                  <c:v>222</c:v>
                </c:pt>
                <c:pt idx="175">
                  <c:v>223</c:v>
                </c:pt>
                <c:pt idx="176">
                  <c:v>224</c:v>
                </c:pt>
                <c:pt idx="177">
                  <c:v>225</c:v>
                </c:pt>
                <c:pt idx="178">
                  <c:v>226</c:v>
                </c:pt>
                <c:pt idx="179">
                  <c:v>227</c:v>
                </c:pt>
                <c:pt idx="180">
                  <c:v>228</c:v>
                </c:pt>
                <c:pt idx="181">
                  <c:v>229</c:v>
                </c:pt>
                <c:pt idx="182">
                  <c:v>230</c:v>
                </c:pt>
                <c:pt idx="183">
                  <c:v>231</c:v>
                </c:pt>
                <c:pt idx="184">
                  <c:v>232</c:v>
                </c:pt>
                <c:pt idx="185">
                  <c:v>233</c:v>
                </c:pt>
                <c:pt idx="186">
                  <c:v>234</c:v>
                </c:pt>
                <c:pt idx="187">
                  <c:v>235</c:v>
                </c:pt>
                <c:pt idx="188">
                  <c:v>236</c:v>
                </c:pt>
                <c:pt idx="189">
                  <c:v>237</c:v>
                </c:pt>
                <c:pt idx="190">
                  <c:v>238</c:v>
                </c:pt>
                <c:pt idx="191">
                  <c:v>239</c:v>
                </c:pt>
                <c:pt idx="192">
                  <c:v>240</c:v>
                </c:pt>
                <c:pt idx="193">
                  <c:v>241</c:v>
                </c:pt>
                <c:pt idx="194">
                  <c:v>242</c:v>
                </c:pt>
                <c:pt idx="195">
                  <c:v>243</c:v>
                </c:pt>
                <c:pt idx="196">
                  <c:v>244</c:v>
                </c:pt>
                <c:pt idx="197">
                  <c:v>245</c:v>
                </c:pt>
                <c:pt idx="198">
                  <c:v>246</c:v>
                </c:pt>
                <c:pt idx="199">
                  <c:v>247</c:v>
                </c:pt>
                <c:pt idx="200">
                  <c:v>248</c:v>
                </c:pt>
                <c:pt idx="201">
                  <c:v>249</c:v>
                </c:pt>
                <c:pt idx="202">
                  <c:v>250</c:v>
                </c:pt>
                <c:pt idx="203">
                  <c:v>251</c:v>
                </c:pt>
                <c:pt idx="204">
                  <c:v>252</c:v>
                </c:pt>
                <c:pt idx="205">
                  <c:v>253</c:v>
                </c:pt>
                <c:pt idx="206">
                  <c:v>254</c:v>
                </c:pt>
                <c:pt idx="207">
                  <c:v>255</c:v>
                </c:pt>
                <c:pt idx="208">
                  <c:v>256</c:v>
                </c:pt>
                <c:pt idx="209">
                  <c:v>257</c:v>
                </c:pt>
                <c:pt idx="210">
                  <c:v>258</c:v>
                </c:pt>
                <c:pt idx="211">
                  <c:v>259</c:v>
                </c:pt>
                <c:pt idx="212">
                  <c:v>260</c:v>
                </c:pt>
                <c:pt idx="213">
                  <c:v>261</c:v>
                </c:pt>
                <c:pt idx="214">
                  <c:v>262</c:v>
                </c:pt>
                <c:pt idx="215">
                  <c:v>263</c:v>
                </c:pt>
                <c:pt idx="216">
                  <c:v>264</c:v>
                </c:pt>
                <c:pt idx="217">
                  <c:v>265</c:v>
                </c:pt>
                <c:pt idx="218">
                  <c:v>266</c:v>
                </c:pt>
                <c:pt idx="219">
                  <c:v>267</c:v>
                </c:pt>
                <c:pt idx="220">
                  <c:v>268</c:v>
                </c:pt>
                <c:pt idx="221">
                  <c:v>269</c:v>
                </c:pt>
                <c:pt idx="222">
                  <c:v>270</c:v>
                </c:pt>
                <c:pt idx="223">
                  <c:v>271</c:v>
                </c:pt>
                <c:pt idx="224">
                  <c:v>272</c:v>
                </c:pt>
                <c:pt idx="225">
                  <c:v>273</c:v>
                </c:pt>
                <c:pt idx="226">
                  <c:v>274</c:v>
                </c:pt>
              </c:numCache>
            </c:numRef>
          </c:xVal>
          <c:yVal>
            <c:numRef>
              <c:f>'New_cases - LNorm'!$Z$55:$Z$281</c:f>
              <c:numCache>
                <c:formatCode>General</c:formatCode>
                <c:ptCount val="2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57.178602317649506</c:v>
                </c:pt>
                <c:pt idx="20">
                  <c:v>140.03767325497461</c:v>
                </c:pt>
                <c:pt idx="21">
                  <c:v>222.70679847766019</c:v>
                </c:pt>
                <c:pt idx="22">
                  <c:v>304.2934699133923</c:v>
                </c:pt>
                <c:pt idx="23">
                  <c:v>383.95100616175091</c:v>
                </c:pt>
                <c:pt idx="24">
                  <c:v>460.89384130058511</c:v>
                </c:pt>
                <c:pt idx="25">
                  <c:v>534.40947863779752</c:v>
                </c:pt>
                <c:pt idx="26">
                  <c:v>603.8671869148734</c:v>
                </c:pt>
                <c:pt idx="27">
                  <c:v>668.72363042439338</c:v>
                </c:pt>
                <c:pt idx="28">
                  <c:v>728.52570629626825</c:v>
                </c:pt>
                <c:pt idx="29">
                  <c:v>782.9109152521246</c:v>
                </c:pt>
                <c:pt idx="30">
                  <c:v>831.60562057775587</c:v>
                </c:pt>
                <c:pt idx="31">
                  <c:v>874.42155833531569</c:v>
                </c:pt>
                <c:pt idx="32">
                  <c:v>911.25095426413827</c:v>
                </c:pt>
                <c:pt idx="33">
                  <c:v>942.06058342201322</c:v>
                </c:pt>
                <c:pt idx="34">
                  <c:v>966.88508096660735</c:v>
                </c:pt>
                <c:pt idx="35">
                  <c:v>985.81977961724988</c:v>
                </c:pt>
                <c:pt idx="36">
                  <c:v>999.01331378246437</c:v>
                </c:pt>
                <c:pt idx="37">
                  <c:v>1006.6601940839537</c:v>
                </c:pt>
                <c:pt idx="38">
                  <c:v>1008.9935205756742</c:v>
                </c:pt>
                <c:pt idx="39">
                  <c:v>1006.2779694535109</c:v>
                </c:pt>
                <c:pt idx="40">
                  <c:v>998.80315722780711</c:v>
                </c:pt>
                <c:pt idx="41">
                  <c:v>986.87745864647172</c:v>
                </c:pt>
                <c:pt idx="42">
                  <c:v>970.82233033446755</c:v>
                </c:pt>
                <c:pt idx="43">
                  <c:v>950.96717119940877</c:v>
                </c:pt>
                <c:pt idx="44">
                  <c:v>927.64473305073193</c:v>
                </c:pt>
                <c:pt idx="45">
                  <c:v>901.18708040397269</c:v>
                </c:pt>
                <c:pt idx="46">
                  <c:v>871.92208684159709</c:v>
                </c:pt>
                <c:pt idx="47">
                  <c:v>840.17044628985809</c:v>
                </c:pt>
                <c:pt idx="48">
                  <c:v>806.24317084317227</c:v>
                </c:pt>
                <c:pt idx="49">
                  <c:v>770.43954201800216</c:v>
                </c:pt>
                <c:pt idx="50">
                  <c:v>733.04547925157499</c:v>
                </c:pt>
                <c:pt idx="51">
                  <c:v>694.33228779948831</c:v>
                </c:pt>
                <c:pt idx="52">
                  <c:v>654.55574767480357</c:v>
                </c:pt>
                <c:pt idx="53">
                  <c:v>613.95550568048088</c:v>
                </c:pt>
                <c:pt idx="54">
                  <c:v>572.75473371356316</c:v>
                </c:pt>
                <c:pt idx="55">
                  <c:v>531.16001818679433</c:v>
                </c:pt>
                <c:pt idx="56">
                  <c:v>489.36144747032449</c:v>
                </c:pt>
                <c:pt idx="57">
                  <c:v>447.53286657502008</c:v>
                </c:pt>
                <c:pt idx="58">
                  <c:v>405.83227077418178</c:v>
                </c:pt>
                <c:pt idx="59">
                  <c:v>364.40231240595949</c:v>
                </c:pt>
                <c:pt idx="60">
                  <c:v>323.3708976455066</c:v>
                </c:pt>
                <c:pt idx="61">
                  <c:v>282.85185253057057</c:v>
                </c:pt>
                <c:pt idx="62">
                  <c:v>242.94563992557721</c:v>
                </c:pt>
                <c:pt idx="63">
                  <c:v>203.74011138801848</c:v>
                </c:pt>
                <c:pt idx="64">
                  <c:v>165.31128003641959</c:v>
                </c:pt>
                <c:pt idx="65">
                  <c:v>127.72410249854363</c:v>
                </c:pt>
                <c:pt idx="66">
                  <c:v>91.033259834870364</c:v>
                </c:pt>
                <c:pt idx="67">
                  <c:v>55.283928984261934</c:v>
                </c:pt>
                <c:pt idx="68">
                  <c:v>20.512537767792196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C74-42C3-AEA3-0FCF0C9EE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kern="1200" baseline="0">
                    <a:solidFill>
                      <a:srgbClr val="595959"/>
                    </a:solidFill>
                    <a:effectLst/>
                  </a:rPr>
                  <a:t>Days from </a:t>
                </a:r>
                <a:endParaRPr lang="it-IT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Dayly new cases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70C0"/>
                </a:solidFill>
              </a:rPr>
              <a:t>Italy - Daily new cases (velocity) - Lognormal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'New_cases - LNorm'!$E$7</c:f>
              <c:strCache>
                <c:ptCount val="1"/>
                <c:pt idx="0">
                  <c:v>Italy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'New_cases - LNorm'!$C$55:$C$281</c:f>
              <c:numCache>
                <c:formatCode>General</c:formatCode>
                <c:ptCount val="227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  <c:pt idx="55">
                  <c:v>103</c:v>
                </c:pt>
                <c:pt idx="56">
                  <c:v>104</c:v>
                </c:pt>
                <c:pt idx="57">
                  <c:v>105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111</c:v>
                </c:pt>
                <c:pt idx="64">
                  <c:v>112</c:v>
                </c:pt>
                <c:pt idx="65">
                  <c:v>113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  <c:pt idx="82">
                  <c:v>130</c:v>
                </c:pt>
                <c:pt idx="83">
                  <c:v>131</c:v>
                </c:pt>
                <c:pt idx="84">
                  <c:v>132</c:v>
                </c:pt>
                <c:pt idx="85">
                  <c:v>133</c:v>
                </c:pt>
                <c:pt idx="86">
                  <c:v>134</c:v>
                </c:pt>
                <c:pt idx="87">
                  <c:v>135</c:v>
                </c:pt>
                <c:pt idx="88">
                  <c:v>136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  <c:pt idx="92">
                  <c:v>140</c:v>
                </c:pt>
                <c:pt idx="93">
                  <c:v>141</c:v>
                </c:pt>
                <c:pt idx="94">
                  <c:v>142</c:v>
                </c:pt>
                <c:pt idx="95">
                  <c:v>143</c:v>
                </c:pt>
                <c:pt idx="96">
                  <c:v>144</c:v>
                </c:pt>
                <c:pt idx="97">
                  <c:v>145</c:v>
                </c:pt>
                <c:pt idx="98">
                  <c:v>146</c:v>
                </c:pt>
                <c:pt idx="99">
                  <c:v>147</c:v>
                </c:pt>
                <c:pt idx="100">
                  <c:v>148</c:v>
                </c:pt>
                <c:pt idx="101">
                  <c:v>149</c:v>
                </c:pt>
                <c:pt idx="102">
                  <c:v>150</c:v>
                </c:pt>
                <c:pt idx="103">
                  <c:v>151</c:v>
                </c:pt>
                <c:pt idx="104">
                  <c:v>152</c:v>
                </c:pt>
                <c:pt idx="105">
                  <c:v>153</c:v>
                </c:pt>
                <c:pt idx="106">
                  <c:v>154</c:v>
                </c:pt>
                <c:pt idx="107">
                  <c:v>155</c:v>
                </c:pt>
                <c:pt idx="108">
                  <c:v>156</c:v>
                </c:pt>
                <c:pt idx="109">
                  <c:v>157</c:v>
                </c:pt>
                <c:pt idx="110">
                  <c:v>158</c:v>
                </c:pt>
                <c:pt idx="111">
                  <c:v>159</c:v>
                </c:pt>
                <c:pt idx="112">
                  <c:v>160</c:v>
                </c:pt>
                <c:pt idx="113">
                  <c:v>161</c:v>
                </c:pt>
                <c:pt idx="114">
                  <c:v>162</c:v>
                </c:pt>
                <c:pt idx="115">
                  <c:v>163</c:v>
                </c:pt>
                <c:pt idx="116">
                  <c:v>164</c:v>
                </c:pt>
                <c:pt idx="117">
                  <c:v>165</c:v>
                </c:pt>
                <c:pt idx="118">
                  <c:v>166</c:v>
                </c:pt>
                <c:pt idx="119">
                  <c:v>167</c:v>
                </c:pt>
                <c:pt idx="120">
                  <c:v>168</c:v>
                </c:pt>
                <c:pt idx="121">
                  <c:v>169</c:v>
                </c:pt>
                <c:pt idx="122">
                  <c:v>170</c:v>
                </c:pt>
                <c:pt idx="123">
                  <c:v>171</c:v>
                </c:pt>
                <c:pt idx="124">
                  <c:v>172</c:v>
                </c:pt>
                <c:pt idx="125">
                  <c:v>173</c:v>
                </c:pt>
                <c:pt idx="126">
                  <c:v>174</c:v>
                </c:pt>
                <c:pt idx="127">
                  <c:v>175</c:v>
                </c:pt>
                <c:pt idx="128">
                  <c:v>176</c:v>
                </c:pt>
                <c:pt idx="129">
                  <c:v>177</c:v>
                </c:pt>
                <c:pt idx="130">
                  <c:v>178</c:v>
                </c:pt>
                <c:pt idx="131">
                  <c:v>179</c:v>
                </c:pt>
                <c:pt idx="132">
                  <c:v>180</c:v>
                </c:pt>
                <c:pt idx="133">
                  <c:v>181</c:v>
                </c:pt>
                <c:pt idx="134">
                  <c:v>182</c:v>
                </c:pt>
                <c:pt idx="135">
                  <c:v>183</c:v>
                </c:pt>
                <c:pt idx="136">
                  <c:v>184</c:v>
                </c:pt>
                <c:pt idx="137">
                  <c:v>185</c:v>
                </c:pt>
                <c:pt idx="138">
                  <c:v>186</c:v>
                </c:pt>
                <c:pt idx="139">
                  <c:v>187</c:v>
                </c:pt>
                <c:pt idx="140">
                  <c:v>188</c:v>
                </c:pt>
                <c:pt idx="141">
                  <c:v>189</c:v>
                </c:pt>
                <c:pt idx="142">
                  <c:v>190</c:v>
                </c:pt>
                <c:pt idx="143">
                  <c:v>191</c:v>
                </c:pt>
                <c:pt idx="144">
                  <c:v>192</c:v>
                </c:pt>
                <c:pt idx="145">
                  <c:v>193</c:v>
                </c:pt>
                <c:pt idx="146">
                  <c:v>194</c:v>
                </c:pt>
                <c:pt idx="147">
                  <c:v>195</c:v>
                </c:pt>
                <c:pt idx="148">
                  <c:v>196</c:v>
                </c:pt>
                <c:pt idx="149">
                  <c:v>197</c:v>
                </c:pt>
                <c:pt idx="150">
                  <c:v>198</c:v>
                </c:pt>
                <c:pt idx="151">
                  <c:v>199</c:v>
                </c:pt>
                <c:pt idx="152">
                  <c:v>200</c:v>
                </c:pt>
                <c:pt idx="153">
                  <c:v>201</c:v>
                </c:pt>
                <c:pt idx="154">
                  <c:v>202</c:v>
                </c:pt>
                <c:pt idx="155">
                  <c:v>203</c:v>
                </c:pt>
                <c:pt idx="156">
                  <c:v>204</c:v>
                </c:pt>
                <c:pt idx="157">
                  <c:v>205</c:v>
                </c:pt>
                <c:pt idx="158">
                  <c:v>206</c:v>
                </c:pt>
                <c:pt idx="159">
                  <c:v>207</c:v>
                </c:pt>
                <c:pt idx="160">
                  <c:v>208</c:v>
                </c:pt>
                <c:pt idx="161">
                  <c:v>209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213</c:v>
                </c:pt>
                <c:pt idx="166">
                  <c:v>214</c:v>
                </c:pt>
                <c:pt idx="167">
                  <c:v>215</c:v>
                </c:pt>
                <c:pt idx="168">
                  <c:v>216</c:v>
                </c:pt>
                <c:pt idx="169">
                  <c:v>217</c:v>
                </c:pt>
                <c:pt idx="170">
                  <c:v>218</c:v>
                </c:pt>
                <c:pt idx="171">
                  <c:v>219</c:v>
                </c:pt>
                <c:pt idx="172">
                  <c:v>220</c:v>
                </c:pt>
                <c:pt idx="173">
                  <c:v>221</c:v>
                </c:pt>
                <c:pt idx="174">
                  <c:v>222</c:v>
                </c:pt>
                <c:pt idx="175">
                  <c:v>223</c:v>
                </c:pt>
                <c:pt idx="176">
                  <c:v>224</c:v>
                </c:pt>
                <c:pt idx="177">
                  <c:v>225</c:v>
                </c:pt>
                <c:pt idx="178">
                  <c:v>226</c:v>
                </c:pt>
                <c:pt idx="179">
                  <c:v>227</c:v>
                </c:pt>
                <c:pt idx="180">
                  <c:v>228</c:v>
                </c:pt>
                <c:pt idx="181">
                  <c:v>229</c:v>
                </c:pt>
                <c:pt idx="182">
                  <c:v>230</c:v>
                </c:pt>
                <c:pt idx="183">
                  <c:v>231</c:v>
                </c:pt>
                <c:pt idx="184">
                  <c:v>232</c:v>
                </c:pt>
                <c:pt idx="185">
                  <c:v>233</c:v>
                </c:pt>
                <c:pt idx="186">
                  <c:v>234</c:v>
                </c:pt>
                <c:pt idx="187">
                  <c:v>235</c:v>
                </c:pt>
                <c:pt idx="188">
                  <c:v>236</c:v>
                </c:pt>
                <c:pt idx="189">
                  <c:v>237</c:v>
                </c:pt>
                <c:pt idx="190">
                  <c:v>238</c:v>
                </c:pt>
                <c:pt idx="191">
                  <c:v>239</c:v>
                </c:pt>
                <c:pt idx="192">
                  <c:v>240</c:v>
                </c:pt>
                <c:pt idx="193">
                  <c:v>241</c:v>
                </c:pt>
                <c:pt idx="194">
                  <c:v>242</c:v>
                </c:pt>
                <c:pt idx="195">
                  <c:v>243</c:v>
                </c:pt>
                <c:pt idx="196">
                  <c:v>244</c:v>
                </c:pt>
                <c:pt idx="197">
                  <c:v>245</c:v>
                </c:pt>
                <c:pt idx="198">
                  <c:v>246</c:v>
                </c:pt>
                <c:pt idx="199">
                  <c:v>247</c:v>
                </c:pt>
                <c:pt idx="200">
                  <c:v>248</c:v>
                </c:pt>
                <c:pt idx="201">
                  <c:v>249</c:v>
                </c:pt>
                <c:pt idx="202">
                  <c:v>250</c:v>
                </c:pt>
                <c:pt idx="203">
                  <c:v>251</c:v>
                </c:pt>
                <c:pt idx="204">
                  <c:v>252</c:v>
                </c:pt>
                <c:pt idx="205">
                  <c:v>253</c:v>
                </c:pt>
                <c:pt idx="206">
                  <c:v>254</c:v>
                </c:pt>
                <c:pt idx="207">
                  <c:v>255</c:v>
                </c:pt>
                <c:pt idx="208">
                  <c:v>256</c:v>
                </c:pt>
                <c:pt idx="209">
                  <c:v>257</c:v>
                </c:pt>
                <c:pt idx="210">
                  <c:v>258</c:v>
                </c:pt>
                <c:pt idx="211">
                  <c:v>259</c:v>
                </c:pt>
                <c:pt idx="212">
                  <c:v>260</c:v>
                </c:pt>
                <c:pt idx="213">
                  <c:v>261</c:v>
                </c:pt>
                <c:pt idx="214">
                  <c:v>262</c:v>
                </c:pt>
                <c:pt idx="215">
                  <c:v>263</c:v>
                </c:pt>
                <c:pt idx="216">
                  <c:v>264</c:v>
                </c:pt>
                <c:pt idx="217">
                  <c:v>265</c:v>
                </c:pt>
                <c:pt idx="218">
                  <c:v>266</c:v>
                </c:pt>
                <c:pt idx="219">
                  <c:v>267</c:v>
                </c:pt>
                <c:pt idx="220">
                  <c:v>268</c:v>
                </c:pt>
                <c:pt idx="221">
                  <c:v>269</c:v>
                </c:pt>
                <c:pt idx="222">
                  <c:v>270</c:v>
                </c:pt>
                <c:pt idx="223">
                  <c:v>271</c:v>
                </c:pt>
                <c:pt idx="224">
                  <c:v>272</c:v>
                </c:pt>
                <c:pt idx="225">
                  <c:v>273</c:v>
                </c:pt>
                <c:pt idx="226">
                  <c:v>274</c:v>
                </c:pt>
              </c:numCache>
            </c:numRef>
          </c:xVal>
          <c:yVal>
            <c:numRef>
              <c:f>'New_cases - LNorm'!$E$55:$E$281</c:f>
              <c:numCache>
                <c:formatCode>General</c:formatCode>
                <c:ptCount val="2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17</c:v>
                </c:pt>
                <c:pt idx="5">
                  <c:v>42</c:v>
                </c:pt>
                <c:pt idx="6">
                  <c:v>93</c:v>
                </c:pt>
                <c:pt idx="7">
                  <c:v>74</c:v>
                </c:pt>
                <c:pt idx="8">
                  <c:v>93</c:v>
                </c:pt>
                <c:pt idx="9">
                  <c:v>78</c:v>
                </c:pt>
                <c:pt idx="10">
                  <c:v>250</c:v>
                </c:pt>
                <c:pt idx="11">
                  <c:v>238</c:v>
                </c:pt>
                <c:pt idx="12">
                  <c:v>240</c:v>
                </c:pt>
                <c:pt idx="13">
                  <c:v>566</c:v>
                </c:pt>
                <c:pt idx="14">
                  <c:v>342</c:v>
                </c:pt>
                <c:pt idx="15">
                  <c:v>466</c:v>
                </c:pt>
                <c:pt idx="16">
                  <c:v>587</c:v>
                </c:pt>
                <c:pt idx="17">
                  <c:v>769</c:v>
                </c:pt>
                <c:pt idx="18">
                  <c:v>778</c:v>
                </c:pt>
                <c:pt idx="19">
                  <c:v>1247</c:v>
                </c:pt>
                <c:pt idx="20">
                  <c:v>1492</c:v>
                </c:pt>
                <c:pt idx="21">
                  <c:v>1797</c:v>
                </c:pt>
                <c:pt idx="22">
                  <c:v>977</c:v>
                </c:pt>
                <c:pt idx="23">
                  <c:v>2313</c:v>
                </c:pt>
                <c:pt idx="24">
                  <c:v>2651</c:v>
                </c:pt>
                <c:pt idx="25">
                  <c:v>2547</c:v>
                </c:pt>
                <c:pt idx="26">
                  <c:v>3497</c:v>
                </c:pt>
                <c:pt idx="27">
                  <c:v>3590</c:v>
                </c:pt>
                <c:pt idx="28">
                  <c:v>3233</c:v>
                </c:pt>
                <c:pt idx="29">
                  <c:v>3526</c:v>
                </c:pt>
                <c:pt idx="30">
                  <c:v>4207</c:v>
                </c:pt>
                <c:pt idx="31">
                  <c:v>5322</c:v>
                </c:pt>
                <c:pt idx="32">
                  <c:v>5986</c:v>
                </c:pt>
                <c:pt idx="33">
                  <c:v>6557</c:v>
                </c:pt>
                <c:pt idx="34">
                  <c:v>5560</c:v>
                </c:pt>
                <c:pt idx="35">
                  <c:v>4789</c:v>
                </c:pt>
                <c:pt idx="36">
                  <c:v>5249</c:v>
                </c:pt>
                <c:pt idx="37">
                  <c:v>5210</c:v>
                </c:pt>
                <c:pt idx="38">
                  <c:v>6153</c:v>
                </c:pt>
                <c:pt idx="39">
                  <c:v>5959</c:v>
                </c:pt>
                <c:pt idx="40">
                  <c:v>5974</c:v>
                </c:pt>
                <c:pt idx="41">
                  <c:v>5217</c:v>
                </c:pt>
                <c:pt idx="42">
                  <c:v>4050</c:v>
                </c:pt>
                <c:pt idx="43">
                  <c:v>4053</c:v>
                </c:pt>
                <c:pt idx="44">
                  <c:v>4782</c:v>
                </c:pt>
                <c:pt idx="45">
                  <c:v>4668</c:v>
                </c:pt>
                <c:pt idx="46">
                  <c:v>4585</c:v>
                </c:pt>
                <c:pt idx="47">
                  <c:v>4805</c:v>
                </c:pt>
                <c:pt idx="48">
                  <c:v>4316</c:v>
                </c:pt>
                <c:pt idx="49">
                  <c:v>3599</c:v>
                </c:pt>
                <c:pt idx="50">
                  <c:v>3039</c:v>
                </c:pt>
                <c:pt idx="51">
                  <c:v>3836</c:v>
                </c:pt>
                <c:pt idx="52">
                  <c:v>4204</c:v>
                </c:pt>
                <c:pt idx="53">
                  <c:v>3951</c:v>
                </c:pt>
                <c:pt idx="54">
                  <c:v>4694</c:v>
                </c:pt>
                <c:pt idx="55">
                  <c:v>4092</c:v>
                </c:pt>
                <c:pt idx="56">
                  <c:v>3153</c:v>
                </c:pt>
                <c:pt idx="57">
                  <c:v>2972</c:v>
                </c:pt>
                <c:pt idx="58">
                  <c:v>2667</c:v>
                </c:pt>
                <c:pt idx="59">
                  <c:v>3786</c:v>
                </c:pt>
                <c:pt idx="60">
                  <c:v>3493</c:v>
                </c:pt>
                <c:pt idx="61">
                  <c:v>3491</c:v>
                </c:pt>
                <c:pt idx="62">
                  <c:v>3047</c:v>
                </c:pt>
                <c:pt idx="63">
                  <c:v>2256</c:v>
                </c:pt>
                <c:pt idx="64">
                  <c:v>2729</c:v>
                </c:pt>
                <c:pt idx="65">
                  <c:v>3370</c:v>
                </c:pt>
                <c:pt idx="66">
                  <c:v>2646</c:v>
                </c:pt>
                <c:pt idx="67">
                  <c:v>3021</c:v>
                </c:pt>
                <c:pt idx="68">
                  <c:v>2357</c:v>
                </c:pt>
                <c:pt idx="69">
                  <c:v>2324</c:v>
                </c:pt>
                <c:pt idx="70">
                  <c:v>1739</c:v>
                </c:pt>
                <c:pt idx="71">
                  <c:v>2091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BC-45C6-9DBF-1275DCBF9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'New_cases - LNorm'!$K$7</c:f>
              <c:strCache>
                <c:ptCount val="1"/>
                <c:pt idx="0">
                  <c:v>Italy fit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LNorm'!$C$55:$C$281</c:f>
              <c:numCache>
                <c:formatCode>General</c:formatCode>
                <c:ptCount val="227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  <c:pt idx="55">
                  <c:v>103</c:v>
                </c:pt>
                <c:pt idx="56">
                  <c:v>104</c:v>
                </c:pt>
                <c:pt idx="57">
                  <c:v>105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111</c:v>
                </c:pt>
                <c:pt idx="64">
                  <c:v>112</c:v>
                </c:pt>
                <c:pt idx="65">
                  <c:v>113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  <c:pt idx="82">
                  <c:v>130</c:v>
                </c:pt>
                <c:pt idx="83">
                  <c:v>131</c:v>
                </c:pt>
                <c:pt idx="84">
                  <c:v>132</c:v>
                </c:pt>
                <c:pt idx="85">
                  <c:v>133</c:v>
                </c:pt>
                <c:pt idx="86">
                  <c:v>134</c:v>
                </c:pt>
                <c:pt idx="87">
                  <c:v>135</c:v>
                </c:pt>
                <c:pt idx="88">
                  <c:v>136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  <c:pt idx="92">
                  <c:v>140</c:v>
                </c:pt>
                <c:pt idx="93">
                  <c:v>141</c:v>
                </c:pt>
                <c:pt idx="94">
                  <c:v>142</c:v>
                </c:pt>
                <c:pt idx="95">
                  <c:v>143</c:v>
                </c:pt>
                <c:pt idx="96">
                  <c:v>144</c:v>
                </c:pt>
                <c:pt idx="97">
                  <c:v>145</c:v>
                </c:pt>
                <c:pt idx="98">
                  <c:v>146</c:v>
                </c:pt>
                <c:pt idx="99">
                  <c:v>147</c:v>
                </c:pt>
                <c:pt idx="100">
                  <c:v>148</c:v>
                </c:pt>
                <c:pt idx="101">
                  <c:v>149</c:v>
                </c:pt>
                <c:pt idx="102">
                  <c:v>150</c:v>
                </c:pt>
                <c:pt idx="103">
                  <c:v>151</c:v>
                </c:pt>
                <c:pt idx="104">
                  <c:v>152</c:v>
                </c:pt>
                <c:pt idx="105">
                  <c:v>153</c:v>
                </c:pt>
                <c:pt idx="106">
                  <c:v>154</c:v>
                </c:pt>
                <c:pt idx="107">
                  <c:v>155</c:v>
                </c:pt>
                <c:pt idx="108">
                  <c:v>156</c:v>
                </c:pt>
                <c:pt idx="109">
                  <c:v>157</c:v>
                </c:pt>
                <c:pt idx="110">
                  <c:v>158</c:v>
                </c:pt>
                <c:pt idx="111">
                  <c:v>159</c:v>
                </c:pt>
                <c:pt idx="112">
                  <c:v>160</c:v>
                </c:pt>
                <c:pt idx="113">
                  <c:v>161</c:v>
                </c:pt>
                <c:pt idx="114">
                  <c:v>162</c:v>
                </c:pt>
                <c:pt idx="115">
                  <c:v>163</c:v>
                </c:pt>
                <c:pt idx="116">
                  <c:v>164</c:v>
                </c:pt>
                <c:pt idx="117">
                  <c:v>165</c:v>
                </c:pt>
                <c:pt idx="118">
                  <c:v>166</c:v>
                </c:pt>
                <c:pt idx="119">
                  <c:v>167</c:v>
                </c:pt>
                <c:pt idx="120">
                  <c:v>168</c:v>
                </c:pt>
                <c:pt idx="121">
                  <c:v>169</c:v>
                </c:pt>
                <c:pt idx="122">
                  <c:v>170</c:v>
                </c:pt>
                <c:pt idx="123">
                  <c:v>171</c:v>
                </c:pt>
                <c:pt idx="124">
                  <c:v>172</c:v>
                </c:pt>
                <c:pt idx="125">
                  <c:v>173</c:v>
                </c:pt>
                <c:pt idx="126">
                  <c:v>174</c:v>
                </c:pt>
                <c:pt idx="127">
                  <c:v>175</c:v>
                </c:pt>
                <c:pt idx="128">
                  <c:v>176</c:v>
                </c:pt>
                <c:pt idx="129">
                  <c:v>177</c:v>
                </c:pt>
                <c:pt idx="130">
                  <c:v>178</c:v>
                </c:pt>
                <c:pt idx="131">
                  <c:v>179</c:v>
                </c:pt>
                <c:pt idx="132">
                  <c:v>180</c:v>
                </c:pt>
                <c:pt idx="133">
                  <c:v>181</c:v>
                </c:pt>
                <c:pt idx="134">
                  <c:v>182</c:v>
                </c:pt>
                <c:pt idx="135">
                  <c:v>183</c:v>
                </c:pt>
                <c:pt idx="136">
                  <c:v>184</c:v>
                </c:pt>
                <c:pt idx="137">
                  <c:v>185</c:v>
                </c:pt>
                <c:pt idx="138">
                  <c:v>186</c:v>
                </c:pt>
                <c:pt idx="139">
                  <c:v>187</c:v>
                </c:pt>
                <c:pt idx="140">
                  <c:v>188</c:v>
                </c:pt>
                <c:pt idx="141">
                  <c:v>189</c:v>
                </c:pt>
                <c:pt idx="142">
                  <c:v>190</c:v>
                </c:pt>
                <c:pt idx="143">
                  <c:v>191</c:v>
                </c:pt>
                <c:pt idx="144">
                  <c:v>192</c:v>
                </c:pt>
                <c:pt idx="145">
                  <c:v>193</c:v>
                </c:pt>
                <c:pt idx="146">
                  <c:v>194</c:v>
                </c:pt>
                <c:pt idx="147">
                  <c:v>195</c:v>
                </c:pt>
                <c:pt idx="148">
                  <c:v>196</c:v>
                </c:pt>
                <c:pt idx="149">
                  <c:v>197</c:v>
                </c:pt>
                <c:pt idx="150">
                  <c:v>198</c:v>
                </c:pt>
                <c:pt idx="151">
                  <c:v>199</c:v>
                </c:pt>
                <c:pt idx="152">
                  <c:v>200</c:v>
                </c:pt>
                <c:pt idx="153">
                  <c:v>201</c:v>
                </c:pt>
                <c:pt idx="154">
                  <c:v>202</c:v>
                </c:pt>
                <c:pt idx="155">
                  <c:v>203</c:v>
                </c:pt>
                <c:pt idx="156">
                  <c:v>204</c:v>
                </c:pt>
                <c:pt idx="157">
                  <c:v>205</c:v>
                </c:pt>
                <c:pt idx="158">
                  <c:v>206</c:v>
                </c:pt>
                <c:pt idx="159">
                  <c:v>207</c:v>
                </c:pt>
                <c:pt idx="160">
                  <c:v>208</c:v>
                </c:pt>
                <c:pt idx="161">
                  <c:v>209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213</c:v>
                </c:pt>
                <c:pt idx="166">
                  <c:v>214</c:v>
                </c:pt>
                <c:pt idx="167">
                  <c:v>215</c:v>
                </c:pt>
                <c:pt idx="168">
                  <c:v>216</c:v>
                </c:pt>
                <c:pt idx="169">
                  <c:v>217</c:v>
                </c:pt>
                <c:pt idx="170">
                  <c:v>218</c:v>
                </c:pt>
                <c:pt idx="171">
                  <c:v>219</c:v>
                </c:pt>
                <c:pt idx="172">
                  <c:v>220</c:v>
                </c:pt>
                <c:pt idx="173">
                  <c:v>221</c:v>
                </c:pt>
                <c:pt idx="174">
                  <c:v>222</c:v>
                </c:pt>
                <c:pt idx="175">
                  <c:v>223</c:v>
                </c:pt>
                <c:pt idx="176">
                  <c:v>224</c:v>
                </c:pt>
                <c:pt idx="177">
                  <c:v>225</c:v>
                </c:pt>
                <c:pt idx="178">
                  <c:v>226</c:v>
                </c:pt>
                <c:pt idx="179">
                  <c:v>227</c:v>
                </c:pt>
                <c:pt idx="180">
                  <c:v>228</c:v>
                </c:pt>
                <c:pt idx="181">
                  <c:v>229</c:v>
                </c:pt>
                <c:pt idx="182">
                  <c:v>230</c:v>
                </c:pt>
                <c:pt idx="183">
                  <c:v>231</c:v>
                </c:pt>
                <c:pt idx="184">
                  <c:v>232</c:v>
                </c:pt>
                <c:pt idx="185">
                  <c:v>233</c:v>
                </c:pt>
                <c:pt idx="186">
                  <c:v>234</c:v>
                </c:pt>
                <c:pt idx="187">
                  <c:v>235</c:v>
                </c:pt>
                <c:pt idx="188">
                  <c:v>236</c:v>
                </c:pt>
                <c:pt idx="189">
                  <c:v>237</c:v>
                </c:pt>
                <c:pt idx="190">
                  <c:v>238</c:v>
                </c:pt>
                <c:pt idx="191">
                  <c:v>239</c:v>
                </c:pt>
                <c:pt idx="192">
                  <c:v>240</c:v>
                </c:pt>
                <c:pt idx="193">
                  <c:v>241</c:v>
                </c:pt>
                <c:pt idx="194">
                  <c:v>242</c:v>
                </c:pt>
                <c:pt idx="195">
                  <c:v>243</c:v>
                </c:pt>
                <c:pt idx="196">
                  <c:v>244</c:v>
                </c:pt>
                <c:pt idx="197">
                  <c:v>245</c:v>
                </c:pt>
                <c:pt idx="198">
                  <c:v>246</c:v>
                </c:pt>
                <c:pt idx="199">
                  <c:v>247</c:v>
                </c:pt>
                <c:pt idx="200">
                  <c:v>248</c:v>
                </c:pt>
                <c:pt idx="201">
                  <c:v>249</c:v>
                </c:pt>
                <c:pt idx="202">
                  <c:v>250</c:v>
                </c:pt>
                <c:pt idx="203">
                  <c:v>251</c:v>
                </c:pt>
                <c:pt idx="204">
                  <c:v>252</c:v>
                </c:pt>
                <c:pt idx="205">
                  <c:v>253</c:v>
                </c:pt>
                <c:pt idx="206">
                  <c:v>254</c:v>
                </c:pt>
                <c:pt idx="207">
                  <c:v>255</c:v>
                </c:pt>
                <c:pt idx="208">
                  <c:v>256</c:v>
                </c:pt>
                <c:pt idx="209">
                  <c:v>257</c:v>
                </c:pt>
                <c:pt idx="210">
                  <c:v>258</c:v>
                </c:pt>
                <c:pt idx="211">
                  <c:v>259</c:v>
                </c:pt>
                <c:pt idx="212">
                  <c:v>260</c:v>
                </c:pt>
                <c:pt idx="213">
                  <c:v>261</c:v>
                </c:pt>
                <c:pt idx="214">
                  <c:v>262</c:v>
                </c:pt>
                <c:pt idx="215">
                  <c:v>263</c:v>
                </c:pt>
                <c:pt idx="216">
                  <c:v>264</c:v>
                </c:pt>
                <c:pt idx="217">
                  <c:v>265</c:v>
                </c:pt>
                <c:pt idx="218">
                  <c:v>266</c:v>
                </c:pt>
                <c:pt idx="219">
                  <c:v>267</c:v>
                </c:pt>
                <c:pt idx="220">
                  <c:v>268</c:v>
                </c:pt>
                <c:pt idx="221">
                  <c:v>269</c:v>
                </c:pt>
                <c:pt idx="222">
                  <c:v>270</c:v>
                </c:pt>
                <c:pt idx="223">
                  <c:v>271</c:v>
                </c:pt>
                <c:pt idx="224">
                  <c:v>272</c:v>
                </c:pt>
                <c:pt idx="225">
                  <c:v>273</c:v>
                </c:pt>
                <c:pt idx="226">
                  <c:v>274</c:v>
                </c:pt>
              </c:numCache>
            </c:numRef>
          </c:xVal>
          <c:yVal>
            <c:numRef>
              <c:f>'New_cases - LNorm'!$K$55:$K$281</c:f>
              <c:numCache>
                <c:formatCode>General</c:formatCode>
                <c:ptCount val="227"/>
                <c:pt idx="0">
                  <c:v>1.6691707807359872</c:v>
                </c:pt>
                <c:pt idx="1">
                  <c:v>3.5080062345581662</c:v>
                </c:pt>
                <c:pt idx="2">
                  <c:v>6.8438651433136366</c:v>
                </c:pt>
                <c:pt idx="3">
                  <c:v>12.513119954571096</c:v>
                </c:pt>
                <c:pt idx="4">
                  <c:v>21.612288472743202</c:v>
                </c:pt>
                <c:pt idx="5">
                  <c:v>35.49796164913942</c:v>
                </c:pt>
                <c:pt idx="6">
                  <c:v>55.760527489184952</c:v>
                </c:pt>
                <c:pt idx="7">
                  <c:v>84.171379422834548</c:v>
                </c:pt>
                <c:pt idx="8">
                  <c:v>122.60675138220617</c:v>
                </c:pt>
                <c:pt idx="9">
                  <c:v>172.95417305513911</c:v>
                </c:pt>
                <c:pt idx="10">
                  <c:v>237.00940678342241</c:v>
                </c:pt>
                <c:pt idx="11">
                  <c:v>316.37246631163669</c:v>
                </c:pt>
                <c:pt idx="12">
                  <c:v>412.35098746855203</c:v>
                </c:pt>
                <c:pt idx="13">
                  <c:v>525.87802862722901</c:v>
                </c:pt>
                <c:pt idx="14">
                  <c:v>657.44960827714499</c:v>
                </c:pt>
                <c:pt idx="15">
                  <c:v>807.08523710275051</c:v>
                </c:pt>
                <c:pt idx="16">
                  <c:v>974.31264041434724</c:v>
                </c:pt>
                <c:pt idx="17">
                  <c:v>1158.1760028398501</c:v>
                </c:pt>
                <c:pt idx="18">
                  <c:v>1357.2655406278111</c:v>
                </c:pt>
                <c:pt idx="19">
                  <c:v>1569.7650899071803</c:v>
                </c:pt>
                <c:pt idx="20">
                  <c:v>1793.5137063892312</c:v>
                </c:pt>
                <c:pt idx="21">
                  <c:v>2026.0769743118701</c:v>
                </c:pt>
                <c:pt idx="22">
                  <c:v>2264.82376222627</c:v>
                </c:pt>
                <c:pt idx="23">
                  <c:v>2507.0044676140956</c:v>
                </c:pt>
                <c:pt idx="24">
                  <c:v>2749.8272842197771</c:v>
                </c:pt>
                <c:pt idx="25">
                  <c:v>2990.5296322107793</c:v>
                </c:pt>
                <c:pt idx="26">
                  <c:v>3226.4425478219187</c:v>
                </c:pt>
                <c:pt idx="27">
                  <c:v>3455.0464839391898</c:v>
                </c:pt>
                <c:pt idx="28">
                  <c:v>3674.0175869115842</c:v>
                </c:pt>
                <c:pt idx="29">
                  <c:v>3881.2640608588599</c:v>
                </c:pt>
                <c:pt idx="30">
                  <c:v>4074.9526929418871</c:v>
                </c:pt>
                <c:pt idx="31">
                  <c:v>4253.5259846613581</c:v>
                </c:pt>
                <c:pt idx="32">
                  <c:v>4415.710615542187</c:v>
                </c:pt>
                <c:pt idx="33">
                  <c:v>4560.5181620028688</c:v>
                </c:pt>
                <c:pt idx="34">
                  <c:v>4687.2391146868067</c:v>
                </c:pt>
                <c:pt idx="35">
                  <c:v>4795.4312928887284</c:v>
                </c:pt>
                <c:pt idx="36">
                  <c:v>4884.9037565722474</c:v>
                </c:pt>
                <c:pt idx="37">
                  <c:v>4955.6972763765934</c:v>
                </c:pt>
                <c:pt idx="38">
                  <c:v>5008.062350765952</c:v>
                </c:pt>
                <c:pt idx="39">
                  <c:v>5042.4356667828333</c:v>
                </c:pt>
                <c:pt idx="40">
                  <c:v>5059.4157950935632</c:v>
                </c:pt>
                <c:pt idx="41">
                  <c:v>5059.7387981126558</c:v>
                </c:pt>
                <c:pt idx="42">
                  <c:v>5044.2543175289993</c:v>
                </c:pt>
                <c:pt idx="43">
                  <c:v>5013.90259879731</c:v>
                </c:pt>
                <c:pt idx="44">
                  <c:v>4969.6928082093418</c:v>
                </c:pt>
                <c:pt idx="45">
                  <c:v>4912.6829051208697</c:v>
                </c:pt>
                <c:pt idx="46">
                  <c:v>4843.9612490423042</c:v>
                </c:pt>
                <c:pt idx="47">
                  <c:v>4764.6300491810689</c:v>
                </c:pt>
                <c:pt idx="48">
                  <c:v>4675.7907026983685</c:v>
                </c:pt>
                <c:pt idx="49">
                  <c:v>4578.531017056589</c:v>
                </c:pt>
                <c:pt idx="50">
                  <c:v>4473.9142707463106</c:v>
                </c:pt>
                <c:pt idx="51">
                  <c:v>4362.9700345643041</c:v>
                </c:pt>
                <c:pt idx="52">
                  <c:v>4246.6866515255051</c:v>
                </c:pt>
                <c:pt idx="53">
                  <c:v>4126.0052564450889</c:v>
                </c:pt>
                <c:pt idx="54">
                  <c:v>4001.8152052320552</c:v>
                </c:pt>
                <c:pt idx="55">
                  <c:v>3874.9507780392314</c:v>
                </c:pt>
                <c:pt idx="56">
                  <c:v>3746.1890187214435</c:v>
                </c:pt>
                <c:pt idx="57">
                  <c:v>3616.2485747440851</c:v>
                </c:pt>
                <c:pt idx="58">
                  <c:v>3485.7894060229742</c:v>
                </c:pt>
                <c:pt idx="59">
                  <c:v>3355.4132375153608</c:v>
                </c:pt>
                <c:pt idx="60">
                  <c:v>3225.6646381615683</c:v>
                </c:pt>
                <c:pt idx="61">
                  <c:v>3097.0326175196587</c:v>
                </c:pt>
                <c:pt idx="62">
                  <c:v>2969.9526407449694</c:v>
                </c:pt>
                <c:pt idx="63">
                  <c:v>2844.8089721158422</c:v>
                </c:pt>
                <c:pt idx="64">
                  <c:v>2721.9372668355281</c:v>
                </c:pt>
                <c:pt idx="65">
                  <c:v>2601.6273401431858</c:v>
                </c:pt>
                <c:pt idx="66">
                  <c:v>2484.1260516902303</c:v>
                </c:pt>
                <c:pt idx="67">
                  <c:v>2369.6402515683762</c:v>
                </c:pt>
                <c:pt idx="68">
                  <c:v>2258.339742236954</c:v>
                </c:pt>
                <c:pt idx="69">
                  <c:v>2150.3602178406941</c:v>
                </c:pt>
                <c:pt idx="70">
                  <c:v>2045.8061490134219</c:v>
                </c:pt>
                <c:pt idx="71">
                  <c:v>1944.7535872223357</c:v>
                </c:pt>
                <c:pt idx="72">
                  <c:v>1847.2528680339526</c:v>
                </c:pt>
                <c:pt idx="73">
                  <c:v>1753.3311973975901</c:v>
                </c:pt>
                <c:pt idx="74">
                  <c:v>1662.9951091767732</c:v>
                </c:pt>
                <c:pt idx="75">
                  <c:v>1576.2327857486753</c:v>
                </c:pt>
                <c:pt idx="76">
                  <c:v>1493.0162365773947</c:v>
                </c:pt>
                <c:pt idx="77">
                  <c:v>1413.3033322896019</c:v>
                </c:pt>
                <c:pt idx="78">
                  <c:v>1337.0396939837447</c:v>
                </c:pt>
                <c:pt idx="79">
                  <c:v>1264.1604393283071</c:v>
                </c:pt>
                <c:pt idx="80">
                  <c:v>1194.5917884914834</c:v>
                </c:pt>
                <c:pt idx="81">
                  <c:v>1128.2525341323064</c:v>
                </c:pt>
                <c:pt idx="82">
                  <c:v>1065.0553806090427</c:v>
                </c:pt>
                <c:pt idx="83">
                  <c:v>1004.9081582577937</c:v>
                </c:pt>
                <c:pt idx="84">
                  <c:v>947.71491909443876</c:v>
                </c:pt>
                <c:pt idx="85">
                  <c:v>893.37692062482665</c:v>
                </c:pt>
                <c:pt idx="86">
                  <c:v>841.79350463715036</c:v>
                </c:pt>
                <c:pt idx="87">
                  <c:v>792.86287792015048</c:v>
                </c:pt>
                <c:pt idx="88">
                  <c:v>746.48280182148176</c:v>
                </c:pt>
                <c:pt idx="89">
                  <c:v>702.55119745119828</c:v>
                </c:pt>
                <c:pt idx="90">
                  <c:v>660.96667316094317</c:v>
                </c:pt>
                <c:pt idx="91">
                  <c:v>621.62898070506117</c:v>
                </c:pt>
                <c:pt idx="92">
                  <c:v>584.43940622669379</c:v>
                </c:pt>
                <c:pt idx="93">
                  <c:v>549.30110192110874</c:v>
                </c:pt>
                <c:pt idx="94">
                  <c:v>516.11936391818824</c:v>
                </c:pt>
                <c:pt idx="95">
                  <c:v>484.80186160418259</c:v>
                </c:pt>
                <c:pt idx="96">
                  <c:v>455.25882327540688</c:v>
                </c:pt>
                <c:pt idx="97">
                  <c:v>427.40318268864502</c:v>
                </c:pt>
                <c:pt idx="98">
                  <c:v>401.15069074913811</c:v>
                </c:pt>
                <c:pt idx="99">
                  <c:v>376.41999625995055</c:v>
                </c:pt>
                <c:pt idx="100">
                  <c:v>353.13269934951444</c:v>
                </c:pt>
                <c:pt idx="101">
                  <c:v>331.21338089866896</c:v>
                </c:pt>
                <c:pt idx="102">
                  <c:v>310.58961100637686</c:v>
                </c:pt>
                <c:pt idx="103">
                  <c:v>291.19193926547757</c:v>
                </c:pt>
                <c:pt idx="104">
                  <c:v>272.95386936681211</c:v>
                </c:pt>
                <c:pt idx="105">
                  <c:v>255.81182031246118</c:v>
                </c:pt>
                <c:pt idx="106">
                  <c:v>239.70507629642211</c:v>
                </c:pt>
                <c:pt idx="107">
                  <c:v>224.57572710402809</c:v>
                </c:pt>
                <c:pt idx="108">
                  <c:v>210.36860068919191</c:v>
                </c:pt>
                <c:pt idx="109">
                  <c:v>197.03118941093325</c:v>
                </c:pt>
                <c:pt idx="110">
                  <c:v>184.51357124690128</c:v>
                </c:pt>
                <c:pt idx="111">
                  <c:v>172.76832715139551</c:v>
                </c:pt>
                <c:pt idx="112">
                  <c:v>161.75045558771774</c:v>
                </c:pt>
                <c:pt idx="113">
                  <c:v>151.41728513919617</c:v>
                </c:pt>
                <c:pt idx="114">
                  <c:v>141.72838598900191</c:v>
                </c:pt>
                <c:pt idx="115">
                  <c:v>132.64548095527522</c:v>
                </c:pt>
                <c:pt idx="116">
                  <c:v>124.13235667439514</c:v>
                </c:pt>
                <c:pt idx="117">
                  <c:v>116.15477544076585</c:v>
                </c:pt>
                <c:pt idx="118">
                  <c:v>108.68038813554175</c:v>
                </c:pt>
                <c:pt idx="119">
                  <c:v>101.67864860865541</c:v>
                </c:pt>
                <c:pt idx="120">
                  <c:v>95.120729817732496</c:v>
                </c:pt>
                <c:pt idx="121">
                  <c:v>88.979441973301391</c:v>
                </c:pt>
                <c:pt idx="122">
                  <c:v>83.229152891688713</c:v>
                </c:pt>
                <c:pt idx="123">
                  <c:v>77.845710714466179</c:v>
                </c:pt>
                <c:pt idx="124">
                  <c:v>72.806369115912943</c:v>
                </c:pt>
                <c:pt idx="125">
                  <c:v>68.089715087105617</c:v>
                </c:pt>
                <c:pt idx="126">
                  <c:v>63.675599356563751</c:v>
                </c:pt>
                <c:pt idx="127">
                  <c:v>59.545069482470083</c:v>
                </c:pt>
                <c:pt idx="128">
                  <c:v>55.680305629926259</c:v>
                </c:pt>
                <c:pt idx="129">
                  <c:v>52.064559028217332</c:v>
                </c:pt>
                <c:pt idx="130">
                  <c:v>48.682093087257719</c:v>
                </c:pt>
                <c:pt idx="131">
                  <c:v>45.518127139059011</c:v>
                </c:pt>
                <c:pt idx="132">
                  <c:v>42.558782758854761</c:v>
                </c:pt>
                <c:pt idx="133">
                  <c:v>39.791032611285154</c:v>
                </c:pt>
                <c:pt idx="134">
                  <c:v>37.202651759459627</c:v>
                </c:pt>
                <c:pt idx="135">
                  <c:v>34.782171368683258</c:v>
                </c:pt>
                <c:pt idx="136">
                  <c:v>32.518834731900611</c:v>
                </c:pt>
                <c:pt idx="137">
                  <c:v>30.402555540335204</c:v>
                </c:pt>
                <c:pt idx="138">
                  <c:v>28.423878320256421</c:v>
                </c:pt>
                <c:pt idx="139">
                  <c:v>26.573940955118839</c:v>
                </c:pt>
                <c:pt idx="140">
                  <c:v>24.844439211402531</c:v>
                </c:pt>
                <c:pt idx="141">
                  <c:v>23.22759318622542</c:v>
                </c:pt>
                <c:pt idx="142">
                  <c:v>21.716115595079749</c:v>
                </c:pt>
                <c:pt idx="143">
                  <c:v>20.303181818820516</c:v>
                </c:pt>
                <c:pt idx="144">
                  <c:v>18.982401630191838</c:v>
                </c:pt>
                <c:pt idx="145">
                  <c:v>17.747792521671528</c:v>
                </c:pt>
                <c:pt idx="146">
                  <c:v>16.593754558181988</c:v>
                </c:pt>
                <c:pt idx="147">
                  <c:v>15.515046680195594</c:v>
                </c:pt>
                <c:pt idx="148">
                  <c:v>14.506764384925853</c:v>
                </c:pt>
                <c:pt idx="149">
                  <c:v>13.564318715581889</c:v>
                </c:pt>
                <c:pt idx="150">
                  <c:v>12.683416491057125</c:v>
                </c:pt>
                <c:pt idx="151">
                  <c:v>11.860041710882255</c:v>
                </c:pt>
                <c:pt idx="152">
                  <c:v>11.090438072767746</c:v>
                </c:pt>
                <c:pt idx="153">
                  <c:v>10.371092542587286</c:v>
                </c:pt>
                <c:pt idx="154">
                  <c:v>9.6987199191701965</c:v>
                </c:pt>
                <c:pt idx="155">
                  <c:v>9.0702483387741601</c:v>
                </c:pt>
                <c:pt idx="156">
                  <c:v>8.4828056665878275</c:v>
                </c:pt>
                <c:pt idx="157">
                  <c:v>7.9337067250416515</c:v>
                </c:pt>
                <c:pt idx="158">
                  <c:v>7.420441311089756</c:v>
                </c:pt>
                <c:pt idx="159">
                  <c:v>6.9406629569506126</c:v>
                </c:pt>
                <c:pt idx="160">
                  <c:v>6.492178391051671</c:v>
                </c:pt>
                <c:pt idx="161">
                  <c:v>6.0729376581136458</c:v>
                </c:pt>
                <c:pt idx="162">
                  <c:v>5.6810248594298596</c:v>
                </c:pt>
                <c:pt idx="163">
                  <c:v>5.3146494764345897</c:v>
                </c:pt>
                <c:pt idx="164">
                  <c:v>4.972138242621968</c:v>
                </c:pt>
                <c:pt idx="165">
                  <c:v>4.6519275307624479</c:v>
                </c:pt>
                <c:pt idx="166">
                  <c:v>4.3525562241737807</c:v>
                </c:pt>
                <c:pt idx="167">
                  <c:v>4.0726590425325124</c:v>
                </c:pt>
                <c:pt idx="168">
                  <c:v>3.810960294367876</c:v>
                </c:pt>
                <c:pt idx="169">
                  <c:v>3.5662680299556788</c:v>
                </c:pt>
                <c:pt idx="170">
                  <c:v>3.3374685698344209</c:v>
                </c:pt>
                <c:pt idx="171">
                  <c:v>3.1235213855955011</c:v>
                </c:pt>
                <c:pt idx="172">
                  <c:v>2.9234543109588409</c:v>
                </c:pt>
                <c:pt idx="173">
                  <c:v>2.7363590624370957</c:v>
                </c:pt>
                <c:pt idx="174">
                  <c:v>2.5613870501150058</c:v>
                </c:pt>
                <c:pt idx="175">
                  <c:v>2.3977454602309245</c:v>
                </c:pt>
                <c:pt idx="176">
                  <c:v>2.2446935923470637</c:v>
                </c:pt>
                <c:pt idx="177">
                  <c:v>2.1015394349327088</c:v>
                </c:pt>
                <c:pt idx="178">
                  <c:v>1.9676364641682262</c:v>
                </c:pt>
                <c:pt idx="179">
                  <c:v>1.8423806517049084</c:v>
                </c:pt>
                <c:pt idx="180">
                  <c:v>1.7252076679921002</c:v>
                </c:pt>
                <c:pt idx="181">
                  <c:v>1.6155902686085455</c:v>
                </c:pt>
                <c:pt idx="182">
                  <c:v>1.5130358518147091</c:v>
                </c:pt>
                <c:pt idx="183">
                  <c:v>1.4170841762761091</c:v>
                </c:pt>
                <c:pt idx="184">
                  <c:v>1.3273052285988629</c:v>
                </c:pt>
                <c:pt idx="185">
                  <c:v>1.2432972309695713</c:v>
                </c:pt>
                <c:pt idx="186">
                  <c:v>1.1646847798030495</c:v>
                </c:pt>
                <c:pt idx="187">
                  <c:v>1.0911171068771255</c:v>
                </c:pt>
                <c:pt idx="188">
                  <c:v>1.022266454974617</c:v>
                </c:pt>
                <c:pt idx="189">
                  <c:v>0.95782656056050697</c:v>
                </c:pt>
                <c:pt idx="190">
                  <c:v>0.89751123649975406</c:v>
                </c:pt>
                <c:pt idx="191">
                  <c:v>0.84105304826897653</c:v>
                </c:pt>
                <c:pt idx="192">
                  <c:v>0.78820207753595362</c:v>
                </c:pt>
                <c:pt idx="193">
                  <c:v>0.73872476737503612</c:v>
                </c:pt>
                <c:pt idx="194">
                  <c:v>0.69240284375678396</c:v>
                </c:pt>
                <c:pt idx="195">
                  <c:v>0.64903230829671821</c:v>
                </c:pt>
                <c:pt idx="196">
                  <c:v>0.60842249757342626</c:v>
                </c:pt>
                <c:pt idx="197">
                  <c:v>0.57039520463072435</c:v>
                </c:pt>
                <c:pt idx="198">
                  <c:v>0.53478385856407396</c:v>
                </c:pt>
                <c:pt idx="199">
                  <c:v>0.50143275835880718</c:v>
                </c:pt>
                <c:pt idx="200">
                  <c:v>0.47019635739778404</c:v>
                </c:pt>
                <c:pt idx="201">
                  <c:v>0.4409385952907578</c:v>
                </c:pt>
                <c:pt idx="202">
                  <c:v>0.41353227389681613</c:v>
                </c:pt>
                <c:pt idx="203">
                  <c:v>0.38785847461655842</c:v>
                </c:pt>
                <c:pt idx="204">
                  <c:v>0.36380601422276243</c:v>
                </c:pt>
                <c:pt idx="205">
                  <c:v>0.34127093667792957</c:v>
                </c:pt>
                <c:pt idx="206">
                  <c:v>0.32015603855500413</c:v>
                </c:pt>
                <c:pt idx="207">
                  <c:v>0.30037042583483214</c:v>
                </c:pt>
                <c:pt idx="208">
                  <c:v>0.28182910000078298</c:v>
                </c:pt>
                <c:pt idx="209">
                  <c:v>0.26445257148823254</c:v>
                </c:pt>
                <c:pt idx="210">
                  <c:v>0.24816649867512486</c:v>
                </c:pt>
                <c:pt idx="211">
                  <c:v>0.2329013507197373</c:v>
                </c:pt>
                <c:pt idx="212">
                  <c:v>0.21859209266390442</c:v>
                </c:pt>
                <c:pt idx="213">
                  <c:v>0.20517789132482117</c:v>
                </c:pt>
                <c:pt idx="214">
                  <c:v>0.19260184059637908</c:v>
                </c:pt>
                <c:pt idx="215">
                  <c:v>0.18081070487245496</c:v>
                </c:pt>
                <c:pt idx="216">
                  <c:v>0.16975467939009214</c:v>
                </c:pt>
                <c:pt idx="217">
                  <c:v>0.15938716637021433</c:v>
                </c:pt>
                <c:pt idx="218">
                  <c:v>0.14966456590812116</c:v>
                </c:pt>
                <c:pt idx="219">
                  <c:v>0.14054608063564339</c:v>
                </c:pt>
                <c:pt idx="220">
                  <c:v>0.13199353324176377</c:v>
                </c:pt>
                <c:pt idx="221">
                  <c:v>0.1239711959992973</c:v>
                </c:pt>
                <c:pt idx="222">
                  <c:v>0.11644563150187311</c:v>
                </c:pt>
                <c:pt idx="223">
                  <c:v>0.10938554386836652</c:v>
                </c:pt>
                <c:pt idx="224">
                  <c:v>0.10276163972137276</c:v>
                </c:pt>
                <c:pt idx="225">
                  <c:v>9.6546498292411825E-2</c:v>
                </c:pt>
                <c:pt idx="226">
                  <c:v>9.0714450049629761E-2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FBC-45C6-9DBF-1275DCBF9818}"/>
            </c:ext>
          </c:extLst>
        </c:ser>
        <c:ser>
          <c:idx val="4"/>
          <c:order val="2"/>
          <c:tx>
            <c:strRef>
              <c:f>'New_cases - LNorm'!$I$7</c:f>
              <c:strCache>
                <c:ptCount val="1"/>
                <c:pt idx="0">
                  <c:v>Italy (fitted Lombardy + fitted sum of the other regions)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'New_cases - LNorm'!$C$55:$C$281</c:f>
              <c:numCache>
                <c:formatCode>General</c:formatCode>
                <c:ptCount val="227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  <c:pt idx="55">
                  <c:v>103</c:v>
                </c:pt>
                <c:pt idx="56">
                  <c:v>104</c:v>
                </c:pt>
                <c:pt idx="57">
                  <c:v>105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111</c:v>
                </c:pt>
                <c:pt idx="64">
                  <c:v>112</c:v>
                </c:pt>
                <c:pt idx="65">
                  <c:v>113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  <c:pt idx="82">
                  <c:v>130</c:v>
                </c:pt>
                <c:pt idx="83">
                  <c:v>131</c:v>
                </c:pt>
                <c:pt idx="84">
                  <c:v>132</c:v>
                </c:pt>
                <c:pt idx="85">
                  <c:v>133</c:v>
                </c:pt>
                <c:pt idx="86">
                  <c:v>134</c:v>
                </c:pt>
                <c:pt idx="87">
                  <c:v>135</c:v>
                </c:pt>
                <c:pt idx="88">
                  <c:v>136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  <c:pt idx="92">
                  <c:v>140</c:v>
                </c:pt>
                <c:pt idx="93">
                  <c:v>141</c:v>
                </c:pt>
                <c:pt idx="94">
                  <c:v>142</c:v>
                </c:pt>
                <c:pt idx="95">
                  <c:v>143</c:v>
                </c:pt>
                <c:pt idx="96">
                  <c:v>144</c:v>
                </c:pt>
                <c:pt idx="97">
                  <c:v>145</c:v>
                </c:pt>
                <c:pt idx="98">
                  <c:v>146</c:v>
                </c:pt>
                <c:pt idx="99">
                  <c:v>147</c:v>
                </c:pt>
                <c:pt idx="100">
                  <c:v>148</c:v>
                </c:pt>
                <c:pt idx="101">
                  <c:v>149</c:v>
                </c:pt>
                <c:pt idx="102">
                  <c:v>150</c:v>
                </c:pt>
                <c:pt idx="103">
                  <c:v>151</c:v>
                </c:pt>
                <c:pt idx="104">
                  <c:v>152</c:v>
                </c:pt>
                <c:pt idx="105">
                  <c:v>153</c:v>
                </c:pt>
                <c:pt idx="106">
                  <c:v>154</c:v>
                </c:pt>
                <c:pt idx="107">
                  <c:v>155</c:v>
                </c:pt>
                <c:pt idx="108">
                  <c:v>156</c:v>
                </c:pt>
                <c:pt idx="109">
                  <c:v>157</c:v>
                </c:pt>
                <c:pt idx="110">
                  <c:v>158</c:v>
                </c:pt>
                <c:pt idx="111">
                  <c:v>159</c:v>
                </c:pt>
                <c:pt idx="112">
                  <c:v>160</c:v>
                </c:pt>
                <c:pt idx="113">
                  <c:v>161</c:v>
                </c:pt>
                <c:pt idx="114">
                  <c:v>162</c:v>
                </c:pt>
                <c:pt idx="115">
                  <c:v>163</c:v>
                </c:pt>
                <c:pt idx="116">
                  <c:v>164</c:v>
                </c:pt>
                <c:pt idx="117">
                  <c:v>165</c:v>
                </c:pt>
                <c:pt idx="118">
                  <c:v>166</c:v>
                </c:pt>
                <c:pt idx="119">
                  <c:v>167</c:v>
                </c:pt>
                <c:pt idx="120">
                  <c:v>168</c:v>
                </c:pt>
                <c:pt idx="121">
                  <c:v>169</c:v>
                </c:pt>
                <c:pt idx="122">
                  <c:v>170</c:v>
                </c:pt>
                <c:pt idx="123">
                  <c:v>171</c:v>
                </c:pt>
                <c:pt idx="124">
                  <c:v>172</c:v>
                </c:pt>
                <c:pt idx="125">
                  <c:v>173</c:v>
                </c:pt>
                <c:pt idx="126">
                  <c:v>174</c:v>
                </c:pt>
                <c:pt idx="127">
                  <c:v>175</c:v>
                </c:pt>
                <c:pt idx="128">
                  <c:v>176</c:v>
                </c:pt>
                <c:pt idx="129">
                  <c:v>177</c:v>
                </c:pt>
                <c:pt idx="130">
                  <c:v>178</c:v>
                </c:pt>
                <c:pt idx="131">
                  <c:v>179</c:v>
                </c:pt>
                <c:pt idx="132">
                  <c:v>180</c:v>
                </c:pt>
                <c:pt idx="133">
                  <c:v>181</c:v>
                </c:pt>
                <c:pt idx="134">
                  <c:v>182</c:v>
                </c:pt>
                <c:pt idx="135">
                  <c:v>183</c:v>
                </c:pt>
                <c:pt idx="136">
                  <c:v>184</c:v>
                </c:pt>
                <c:pt idx="137">
                  <c:v>185</c:v>
                </c:pt>
                <c:pt idx="138">
                  <c:v>186</c:v>
                </c:pt>
                <c:pt idx="139">
                  <c:v>187</c:v>
                </c:pt>
                <c:pt idx="140">
                  <c:v>188</c:v>
                </c:pt>
                <c:pt idx="141">
                  <c:v>189</c:v>
                </c:pt>
                <c:pt idx="142">
                  <c:v>190</c:v>
                </c:pt>
                <c:pt idx="143">
                  <c:v>191</c:v>
                </c:pt>
                <c:pt idx="144">
                  <c:v>192</c:v>
                </c:pt>
                <c:pt idx="145">
                  <c:v>193</c:v>
                </c:pt>
                <c:pt idx="146">
                  <c:v>194</c:v>
                </c:pt>
                <c:pt idx="147">
                  <c:v>195</c:v>
                </c:pt>
                <c:pt idx="148">
                  <c:v>196</c:v>
                </c:pt>
                <c:pt idx="149">
                  <c:v>197</c:v>
                </c:pt>
                <c:pt idx="150">
                  <c:v>198</c:v>
                </c:pt>
                <c:pt idx="151">
                  <c:v>199</c:v>
                </c:pt>
                <c:pt idx="152">
                  <c:v>200</c:v>
                </c:pt>
                <c:pt idx="153">
                  <c:v>201</c:v>
                </c:pt>
                <c:pt idx="154">
                  <c:v>202</c:v>
                </c:pt>
                <c:pt idx="155">
                  <c:v>203</c:v>
                </c:pt>
                <c:pt idx="156">
                  <c:v>204</c:v>
                </c:pt>
                <c:pt idx="157">
                  <c:v>205</c:v>
                </c:pt>
                <c:pt idx="158">
                  <c:v>206</c:v>
                </c:pt>
                <c:pt idx="159">
                  <c:v>207</c:v>
                </c:pt>
                <c:pt idx="160">
                  <c:v>208</c:v>
                </c:pt>
                <c:pt idx="161">
                  <c:v>209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213</c:v>
                </c:pt>
                <c:pt idx="166">
                  <c:v>214</c:v>
                </c:pt>
                <c:pt idx="167">
                  <c:v>215</c:v>
                </c:pt>
                <c:pt idx="168">
                  <c:v>216</c:v>
                </c:pt>
                <c:pt idx="169">
                  <c:v>217</c:v>
                </c:pt>
                <c:pt idx="170">
                  <c:v>218</c:v>
                </c:pt>
                <c:pt idx="171">
                  <c:v>219</c:v>
                </c:pt>
                <c:pt idx="172">
                  <c:v>220</c:v>
                </c:pt>
                <c:pt idx="173">
                  <c:v>221</c:v>
                </c:pt>
                <c:pt idx="174">
                  <c:v>222</c:v>
                </c:pt>
                <c:pt idx="175">
                  <c:v>223</c:v>
                </c:pt>
                <c:pt idx="176">
                  <c:v>224</c:v>
                </c:pt>
                <c:pt idx="177">
                  <c:v>225</c:v>
                </c:pt>
                <c:pt idx="178">
                  <c:v>226</c:v>
                </c:pt>
                <c:pt idx="179">
                  <c:v>227</c:v>
                </c:pt>
                <c:pt idx="180">
                  <c:v>228</c:v>
                </c:pt>
                <c:pt idx="181">
                  <c:v>229</c:v>
                </c:pt>
                <c:pt idx="182">
                  <c:v>230</c:v>
                </c:pt>
                <c:pt idx="183">
                  <c:v>231</c:v>
                </c:pt>
                <c:pt idx="184">
                  <c:v>232</c:v>
                </c:pt>
                <c:pt idx="185">
                  <c:v>233</c:v>
                </c:pt>
                <c:pt idx="186">
                  <c:v>234</c:v>
                </c:pt>
                <c:pt idx="187">
                  <c:v>235</c:v>
                </c:pt>
                <c:pt idx="188">
                  <c:v>236</c:v>
                </c:pt>
                <c:pt idx="189">
                  <c:v>237</c:v>
                </c:pt>
                <c:pt idx="190">
                  <c:v>238</c:v>
                </c:pt>
                <c:pt idx="191">
                  <c:v>239</c:v>
                </c:pt>
                <c:pt idx="192">
                  <c:v>240</c:v>
                </c:pt>
                <c:pt idx="193">
                  <c:v>241</c:v>
                </c:pt>
                <c:pt idx="194">
                  <c:v>242</c:v>
                </c:pt>
                <c:pt idx="195">
                  <c:v>243</c:v>
                </c:pt>
                <c:pt idx="196">
                  <c:v>244</c:v>
                </c:pt>
                <c:pt idx="197">
                  <c:v>245</c:v>
                </c:pt>
                <c:pt idx="198">
                  <c:v>246</c:v>
                </c:pt>
                <c:pt idx="199">
                  <c:v>247</c:v>
                </c:pt>
                <c:pt idx="200">
                  <c:v>248</c:v>
                </c:pt>
                <c:pt idx="201">
                  <c:v>249</c:v>
                </c:pt>
                <c:pt idx="202">
                  <c:v>250</c:v>
                </c:pt>
                <c:pt idx="203">
                  <c:v>251</c:v>
                </c:pt>
                <c:pt idx="204">
                  <c:v>252</c:v>
                </c:pt>
                <c:pt idx="205">
                  <c:v>253</c:v>
                </c:pt>
                <c:pt idx="206">
                  <c:v>254</c:v>
                </c:pt>
                <c:pt idx="207">
                  <c:v>255</c:v>
                </c:pt>
                <c:pt idx="208">
                  <c:v>256</c:v>
                </c:pt>
                <c:pt idx="209">
                  <c:v>257</c:v>
                </c:pt>
                <c:pt idx="210">
                  <c:v>258</c:v>
                </c:pt>
                <c:pt idx="211">
                  <c:v>259</c:v>
                </c:pt>
                <c:pt idx="212">
                  <c:v>260</c:v>
                </c:pt>
                <c:pt idx="213">
                  <c:v>261</c:v>
                </c:pt>
                <c:pt idx="214">
                  <c:v>262</c:v>
                </c:pt>
                <c:pt idx="215">
                  <c:v>263</c:v>
                </c:pt>
                <c:pt idx="216">
                  <c:v>264</c:v>
                </c:pt>
                <c:pt idx="217">
                  <c:v>265</c:v>
                </c:pt>
                <c:pt idx="218">
                  <c:v>266</c:v>
                </c:pt>
                <c:pt idx="219">
                  <c:v>267</c:v>
                </c:pt>
                <c:pt idx="220">
                  <c:v>268</c:v>
                </c:pt>
                <c:pt idx="221">
                  <c:v>269</c:v>
                </c:pt>
                <c:pt idx="222">
                  <c:v>270</c:v>
                </c:pt>
                <c:pt idx="223">
                  <c:v>271</c:v>
                </c:pt>
                <c:pt idx="224">
                  <c:v>272</c:v>
                </c:pt>
                <c:pt idx="225">
                  <c:v>273</c:v>
                </c:pt>
                <c:pt idx="226">
                  <c:v>274</c:v>
                </c:pt>
              </c:numCache>
            </c:numRef>
          </c:xVal>
          <c:yVal>
            <c:numRef>
              <c:f>'New_cases - LNorm'!$I$55:$I$281</c:f>
              <c:numCache>
                <c:formatCode>General</c:formatCode>
                <c:ptCount val="227"/>
                <c:pt idx="0">
                  <c:v>4.2336813137120375</c:v>
                </c:pt>
                <c:pt idx="1">
                  <c:v>7.5593187481777608</c:v>
                </c:pt>
                <c:pt idx="2">
                  <c:v>12.769741474695101</c:v>
                </c:pt>
                <c:pt idx="3">
                  <c:v>20.579669671630167</c:v>
                </c:pt>
                <c:pt idx="4">
                  <c:v>31.863256526814144</c:v>
                </c:pt>
                <c:pt idx="5">
                  <c:v>47.669857876536113</c:v>
                </c:pt>
                <c:pt idx="6">
                  <c:v>69.234108583341651</c:v>
                </c:pt>
                <c:pt idx="7">
                  <c:v>97.973226382064126</c:v>
                </c:pt>
                <c:pt idx="8">
                  <c:v>135.46480589678541</c:v>
                </c:pt>
                <c:pt idx="9">
                  <c:v>183.40090126649156</c:v>
                </c:pt>
                <c:pt idx="10">
                  <c:v>243.51814529428356</c:v>
                </c:pt>
                <c:pt idx="11">
                  <c:v>317.50789846841872</c:v>
                </c:pt>
                <c:pt idx="12">
                  <c:v>406.91393114048464</c:v>
                </c:pt>
                <c:pt idx="13">
                  <c:v>513.02724268149586</c:v>
                </c:pt>
                <c:pt idx="14">
                  <c:v>636.78808040776835</c:v>
                </c:pt>
                <c:pt idx="15">
                  <c:v>778.70418802684287</c:v>
                </c:pt>
                <c:pt idx="16">
                  <c:v>938.79218508524934</c:v>
                </c:pt>
                <c:pt idx="17">
                  <c:v>1116.5462525672635</c:v>
                </c:pt>
                <c:pt idx="18">
                  <c:v>1310.9354531884087</c:v>
                </c:pt>
                <c:pt idx="19">
                  <c:v>1520.428430133793</c:v>
                </c:pt>
                <c:pt idx="20">
                  <c:v>1743.0421579262668</c:v>
                </c:pt>
                <c:pt idx="21">
                  <c:v>1976.4099873209905</c:v>
                </c:pt>
                <c:pt idx="22">
                  <c:v>2217.8634474250039</c:v>
                </c:pt>
                <c:pt idx="23">
                  <c:v>2464.5220788693687</c:v>
                </c:pt>
                <c:pt idx="24">
                  <c:v>2713.3858607407988</c:v>
                </c:pt>
                <c:pt idx="25">
                  <c:v>2961.4254299142767</c:v>
                </c:pt>
                <c:pt idx="26">
                  <c:v>3205.6661437882458</c:v>
                </c:pt>
                <c:pt idx="27">
                  <c:v>3443.2629898815831</c:v>
                </c:pt>
                <c:pt idx="28">
                  <c:v>3671.5643038010967</c:v>
                </c:pt>
                <c:pt idx="29">
                  <c:v>3888.163150682507</c:v>
                </c:pt>
                <c:pt idx="30">
                  <c:v>4090.9360079542544</c:v>
                </c:pt>
                <c:pt idx="31">
                  <c:v>4278.0690335182653</c:v>
                </c:pt>
                <c:pt idx="32">
                  <c:v>4448.0727043127472</c:v>
                </c:pt>
                <c:pt idx="33">
                  <c:v>4599.7859694055769</c:v>
                </c:pt>
                <c:pt idx="34">
                  <c:v>4732.3712915423384</c:v>
                </c:pt>
                <c:pt idx="35">
                  <c:v>4845.302068884469</c:v>
                </c:pt>
                <c:pt idx="36">
                  <c:v>4938.3439543782169</c:v>
                </c:pt>
                <c:pt idx="37">
                  <c:v>5011.5315439927372</c:v>
                </c:pt>
                <c:pt idx="38">
                  <c:v>5065.1418060534634</c:v>
                </c:pt>
                <c:pt idx="39">
                  <c:v>5099.6654891610215</c:v>
                </c:pt>
                <c:pt idx="40">
                  <c:v>5115.7775903136253</c:v>
                </c:pt>
                <c:pt idx="41">
                  <c:v>5114.307799768937</c:v>
                </c:pt>
                <c:pt idx="42">
                  <c:v>5096.2116742131684</c:v>
                </c:pt>
                <c:pt idx="43">
                  <c:v>5062.543131881941</c:v>
                </c:pt>
                <c:pt idx="44">
                  <c:v>5014.4287172286413</c:v>
                </c:pt>
                <c:pt idx="45">
                  <c:v>4953.0439516199003</c:v>
                </c:pt>
                <c:pt idx="46">
                  <c:v>4879.5919719746007</c:v>
                </c:pt>
                <c:pt idx="47">
                  <c:v>4795.2845617497796</c:v>
                </c:pt>
                <c:pt idx="48">
                  <c:v>4701.3255978708648</c:v>
                </c:pt>
                <c:pt idx="49">
                  <c:v>4598.8968721661004</c:v>
                </c:pt>
                <c:pt idx="50">
                  <c:v>4489.1461952643504</c:v>
                </c:pt>
                <c:pt idx="51">
                  <c:v>4373.1776531928672</c:v>
                </c:pt>
                <c:pt idx="52">
                  <c:v>4252.0438604061874</c:v>
                </c:pt>
                <c:pt idx="53">
                  <c:v>4126.7400360264865</c:v>
                </c:pt>
                <c:pt idx="54">
                  <c:v>3998.1997210778554</c:v>
                </c:pt>
                <c:pt idx="55">
                  <c:v>3867.2919519655156</c:v>
                </c:pt>
                <c:pt idx="56">
                  <c:v>3734.8197080346808</c:v>
                </c:pt>
                <c:pt idx="57">
                  <c:v>3601.5194575497671</c:v>
                </c:pt>
                <c:pt idx="58">
                  <c:v>3468.0616358244838</c:v>
                </c:pt>
                <c:pt idx="59">
                  <c:v>3335.0519006268864</c:v>
                </c:pt>
                <c:pt idx="60">
                  <c:v>3203.0330226441947</c:v>
                </c:pt>
                <c:pt idx="61">
                  <c:v>3072.4872821201875</c:v>
                </c:pt>
                <c:pt idx="62">
                  <c:v>2943.8392562918957</c:v>
                </c:pt>
                <c:pt idx="63">
                  <c:v>2817.4588955786617</c:v>
                </c:pt>
                <c:pt idx="64">
                  <c:v>2693.6647993322536</c:v>
                </c:pt>
                <c:pt idx="65">
                  <c:v>2572.7276141367142</c:v>
                </c:pt>
                <c:pt idx="66">
                  <c:v>2454.8734890110663</c:v>
                </c:pt>
                <c:pt idx="67">
                  <c:v>2340.2875323296062</c:v>
                </c:pt>
                <c:pt idx="68">
                  <c:v>2229.117224789502</c:v>
                </c:pt>
                <c:pt idx="69">
                  <c:v>2121.4757513127861</c:v>
                </c:pt>
                <c:pt idx="70">
                  <c:v>2017.4452223853577</c:v>
                </c:pt>
                <c:pt idx="71">
                  <c:v>1917.0797620436399</c:v>
                </c:pt>
                <c:pt idx="72">
                  <c:v>1820.408445568456</c:v>
                </c:pt>
                <c:pt idx="73">
                  <c:v>1727.438074993044</c:v>
                </c:pt>
                <c:pt idx="74">
                  <c:v>1638.1557848410855</c:v>
                </c:pt>
                <c:pt idx="75">
                  <c:v>1552.531474146982</c:v>
                </c:pt>
                <c:pt idx="76">
                  <c:v>1470.5200638401993</c:v>
                </c:pt>
                <c:pt idx="77">
                  <c:v>1392.0635810638353</c:v>
                </c:pt>
                <c:pt idx="78">
                  <c:v>1317.0930740062945</c:v>
                </c:pt>
                <c:pt idx="79">
                  <c:v>1245.5303624134483</c:v>
                </c:pt>
                <c:pt idx="80">
                  <c:v>1177.2896301714331</c:v>
                </c:pt>
                <c:pt idx="81">
                  <c:v>1112.2788672583345</c:v>
                </c:pt>
                <c:pt idx="82">
                  <c:v>1050.4011690017655</c:v>
                </c:pt>
                <c:pt idx="83">
                  <c:v>991.55590099106257</c:v>
                </c:pt>
                <c:pt idx="84">
                  <c:v>935.63973821430579</c:v>
                </c:pt>
                <c:pt idx="85">
                  <c:v>882.54758705454833</c:v>
                </c:pt>
                <c:pt idx="86">
                  <c:v>832.17339871597699</c:v>
                </c:pt>
                <c:pt idx="87">
                  <c:v>784.41088248418544</c:v>
                </c:pt>
                <c:pt idx="88">
                  <c:v>739.15412697762486</c:v>
                </c:pt>
                <c:pt idx="89">
                  <c:v>696.29813723834764</c:v>
                </c:pt>
                <c:pt idx="90">
                  <c:v>655.73929515580005</c:v>
                </c:pt>
                <c:pt idx="91">
                  <c:v>617.37575033090582</c:v>
                </c:pt>
                <c:pt idx="92">
                  <c:v>581.10774808093993</c:v>
                </c:pt>
                <c:pt idx="93">
                  <c:v>546.83790086791305</c:v>
                </c:pt>
                <c:pt idx="94">
                  <c:v>514.47140901224839</c:v>
                </c:pt>
                <c:pt idx="95">
                  <c:v>483.91623613577093</c:v>
                </c:pt>
                <c:pt idx="96">
                  <c:v>455.08324436854002</c:v>
                </c:pt>
                <c:pt idx="97">
                  <c:v>427.88629395649457</c:v>
                </c:pt>
                <c:pt idx="98">
                  <c:v>402.24231152458702</c:v>
                </c:pt>
                <c:pt idx="99">
                  <c:v>378.07133088487342</c:v>
                </c:pt>
                <c:pt idx="100">
                  <c:v>355.29650993271548</c:v>
                </c:pt>
                <c:pt idx="101">
                  <c:v>333.84412684748793</c:v>
                </c:pt>
                <c:pt idx="102">
                  <c:v>313.64355850781317</c:v>
                </c:pt>
                <c:pt idx="103">
                  <c:v>294.62724374508252</c:v>
                </c:pt>
                <c:pt idx="104">
                  <c:v>276.7306337930122</c:v>
                </c:pt>
                <c:pt idx="105">
                  <c:v>259.89213204468706</c:v>
                </c:pt>
                <c:pt idx="106">
                  <c:v>244.05302500126243</c:v>
                </c:pt>
                <c:pt idx="107">
                  <c:v>229.15740608766572</c:v>
                </c:pt>
                <c:pt idx="108">
                  <c:v>215.15209381928534</c:v>
                </c:pt>
                <c:pt idx="109">
                  <c:v>201.98654562891704</c:v>
                </c:pt>
                <c:pt idx="110">
                  <c:v>189.61276850418463</c:v>
                </c:pt>
                <c:pt idx="111">
                  <c:v>177.9852274412703</c:v>
                </c:pt>
                <c:pt idx="112">
                  <c:v>167.06075259017913</c:v>
                </c:pt>
                <c:pt idx="113">
                  <c:v>156.79844584885302</c:v>
                </c:pt>
                <c:pt idx="114">
                  <c:v>147.15958755742753</c:v>
                </c:pt>
                <c:pt idx="115">
                  <c:v>138.10754384876518</c:v>
                </c:pt>
                <c:pt idx="116">
                  <c:v>129.60767512631071</c:v>
                </c:pt>
                <c:pt idx="117">
                  <c:v>121.62724606442249</c:v>
                </c:pt>
                <c:pt idx="118">
                  <c:v>114.13533745887582</c:v>
                </c:pt>
                <c:pt idx="119">
                  <c:v>107.10276019545503</c:v>
                </c:pt>
                <c:pt idx="120">
                  <c:v>100.50197155174914</c:v>
                </c:pt>
                <c:pt idx="121">
                  <c:v>94.306994000816985</c:v>
                </c:pt>
                <c:pt idx="122">
                  <c:v>88.493336644651279</c:v>
                </c:pt>
                <c:pt idx="123">
                  <c:v>83.0379193698314</c:v>
                </c:pt>
                <c:pt idx="124">
                  <c:v>77.918999786853334</c:v>
                </c:pt>
                <c:pt idx="125">
                  <c:v>73.11610298791544</c:v>
                </c:pt>
                <c:pt idx="126">
                  <c:v>68.609954134971787</c:v>
                </c:pt>
                <c:pt idx="127">
                  <c:v>64.382413870240697</c:v>
                </c:pt>
                <c:pt idx="128">
                  <c:v>60.416416524722223</c:v>
                </c:pt>
                <c:pt idx="129">
                  <c:v>56.69591108628353</c:v>
                </c:pt>
                <c:pt idx="130">
                  <c:v>53.205804877229347</c:v>
                </c:pt>
                <c:pt idx="131">
                  <c:v>49.931909881712599</c:v>
                </c:pt>
                <c:pt idx="132">
                  <c:v>46.860891655587153</c:v>
                </c:pt>
                <c:pt idx="133">
                  <c:v>43.980220745180759</c:v>
                </c:pt>
                <c:pt idx="134">
                  <c:v>41.2781265367271</c:v>
                </c:pt>
                <c:pt idx="135">
                  <c:v>38.743553454683884</c:v>
                </c:pt>
                <c:pt idx="136">
                  <c:v>36.366119424718804</c:v>
                </c:pt>
                <c:pt idx="137">
                  <c:v>34.136076515608167</c:v>
                </c:pt>
                <c:pt idx="138">
                  <c:v>32.044273673553704</c:v>
                </c:pt>
                <c:pt idx="139">
                  <c:v>30.082121462345757</c:v>
                </c:pt>
                <c:pt idx="140">
                  <c:v>28.241558723300749</c:v>
                </c:pt>
                <c:pt idx="141">
                  <c:v>26.515021069880781</c:v>
                </c:pt>
                <c:pt idx="142">
                  <c:v>24.895411133282451</c:v>
                </c:pt>
                <c:pt idx="143">
                  <c:v>23.376070476988559</c:v>
                </c:pt>
                <c:pt idx="144">
                  <c:v>21.950753100253554</c:v>
                </c:pt>
                <c:pt idx="145">
                  <c:v>20.613600452687471</c:v>
                </c:pt>
                <c:pt idx="146">
                  <c:v>19.359117884457476</c:v>
                </c:pt>
                <c:pt idx="147">
                  <c:v>18.182152459107058</c:v>
                </c:pt>
                <c:pt idx="148">
                  <c:v>17.077872058570012</c:v>
                </c:pt>
                <c:pt idx="149">
                  <c:v>16.041745712581783</c:v>
                </c:pt>
                <c:pt idx="150">
                  <c:v>15.069525087356851</c:v>
                </c:pt>
                <c:pt idx="151">
                  <c:v>14.157227071073915</c:v>
                </c:pt>
                <c:pt idx="152">
                  <c:v>13.301117396371353</c:v>
                </c:pt>
                <c:pt idx="153">
                  <c:v>12.49769524269718</c:v>
                </c:pt>
                <c:pt idx="154">
                  <c:v>11.743678763954296</c:v>
                </c:pt>
                <c:pt idx="155">
                  <c:v>11.035991489432472</c:v>
                </c:pt>
                <c:pt idx="156">
                  <c:v>10.371749548507097</c:v>
                </c:pt>
                <c:pt idx="157">
                  <c:v>9.7482496720112195</c:v>
                </c:pt>
                <c:pt idx="158">
                  <c:v>9.1629579255365226</c:v>
                </c:pt>
                <c:pt idx="159">
                  <c:v>8.6134991321976937</c:v>
                </c:pt>
                <c:pt idx="160">
                  <c:v>8.0976469445890125</c:v>
                </c:pt>
                <c:pt idx="161">
                  <c:v>7.6133145277789662</c:v>
                </c:pt>
                <c:pt idx="162">
                  <c:v>7.1585458172196716</c:v>
                </c:pt>
                <c:pt idx="163">
                  <c:v>6.7315073174005198</c:v>
                </c:pt>
                <c:pt idx="164">
                  <c:v>6.3304804089381737</c:v>
                </c:pt>
                <c:pt idx="165">
                  <c:v>5.9538541335838993</c:v>
                </c:pt>
                <c:pt idx="166">
                  <c:v>5.6001184283293721</c:v>
                </c:pt>
                <c:pt idx="167">
                  <c:v>5.2678577814181295</c:v>
                </c:pt>
                <c:pt idx="168">
                  <c:v>4.9557452846154622</c:v>
                </c:pt>
                <c:pt idx="169">
                  <c:v>4.6625370575592822</c:v>
                </c:pt>
                <c:pt idx="170">
                  <c:v>4.3870670214126983</c:v>
                </c:pt>
                <c:pt idx="171">
                  <c:v>4.1282420003636702</c:v>
                </c:pt>
                <c:pt idx="172">
                  <c:v>3.8850371307746219</c:v>
                </c:pt>
                <c:pt idx="173">
                  <c:v>3.6564915589759179</c:v>
                </c:pt>
                <c:pt idx="174">
                  <c:v>3.4417044098239624</c:v>
                </c:pt>
                <c:pt idx="175">
                  <c:v>3.2398310092111737</c:v>
                </c:pt>
                <c:pt idx="176">
                  <c:v>3.0500793447229428</c:v>
                </c:pt>
                <c:pt idx="177">
                  <c:v>2.8717067495887125</c:v>
                </c:pt>
                <c:pt idx="178">
                  <c:v>2.704016795973049</c:v>
                </c:pt>
                <c:pt idx="179">
                  <c:v>2.546356384500406</c:v>
                </c:pt>
                <c:pt idx="180">
                  <c:v>2.3981130177070868</c:v>
                </c:pt>
                <c:pt idx="181">
                  <c:v>2.2587122458670308</c:v>
                </c:pt>
                <c:pt idx="182">
                  <c:v>2.1276152743486554</c:v>
                </c:pt>
                <c:pt idx="183">
                  <c:v>2.004316722327832</c:v>
                </c:pt>
                <c:pt idx="184">
                  <c:v>1.8883425233112821</c:v>
                </c:pt>
                <c:pt idx="185">
                  <c:v>1.7792479585171133</c:v>
                </c:pt>
                <c:pt idx="186">
                  <c:v>1.6766158147151393</c:v>
                </c:pt>
                <c:pt idx="187">
                  <c:v>1.5800546586538069</c:v>
                </c:pt>
                <c:pt idx="188">
                  <c:v>1.489197220691759</c:v>
                </c:pt>
                <c:pt idx="189">
                  <c:v>1.4036988807147233</c:v>
                </c:pt>
                <c:pt idx="190">
                  <c:v>1.3232362498521684</c:v>
                </c:pt>
                <c:pt idx="191">
                  <c:v>1.2475058419161535</c:v>
                </c:pt>
                <c:pt idx="192">
                  <c:v>1.176222828867036</c:v>
                </c:pt>
                <c:pt idx="193">
                  <c:v>1.1091198749702205</c:v>
                </c:pt>
                <c:pt idx="194">
                  <c:v>1.0459460446448936</c:v>
                </c:pt>
                <c:pt idx="195">
                  <c:v>0.98646577932201884</c:v>
                </c:pt>
                <c:pt idx="196">
                  <c:v>0.93045793892517303</c:v>
                </c:pt>
                <c:pt idx="197">
                  <c:v>0.87771490386616469</c:v>
                </c:pt>
                <c:pt idx="198">
                  <c:v>0.82804173370777234</c:v>
                </c:pt>
                <c:pt idx="199">
                  <c:v>0.78125537889062191</c:v>
                </c:pt>
                <c:pt idx="200">
                  <c:v>0.73718394215009286</c:v>
                </c:pt>
                <c:pt idx="201">
                  <c:v>0.69566598646400668</c:v>
                </c:pt>
                <c:pt idx="202">
                  <c:v>0.65654988657283408</c:v>
                </c:pt>
                <c:pt idx="203">
                  <c:v>0.61969322130277338</c:v>
                </c:pt>
                <c:pt idx="204">
                  <c:v>0.58496220409853017</c:v>
                </c:pt>
                <c:pt idx="205">
                  <c:v>0.55223114933800554</c:v>
                </c:pt>
                <c:pt idx="206">
                  <c:v>0.52138197215610349</c:v>
                </c:pt>
                <c:pt idx="207">
                  <c:v>0.49230371964969821</c:v>
                </c:pt>
                <c:pt idx="208">
                  <c:v>0.46489213147197472</c:v>
                </c:pt>
                <c:pt idx="209">
                  <c:v>0.43904922795118195</c:v>
                </c:pt>
                <c:pt idx="210">
                  <c:v>0.41468292398825102</c:v>
                </c:pt>
                <c:pt idx="211">
                  <c:v>0.39170666709898594</c:v>
                </c:pt>
                <c:pt idx="212">
                  <c:v>0.370039098071065</c:v>
                </c:pt>
                <c:pt idx="213">
                  <c:v>0.34960373280371099</c:v>
                </c:pt>
                <c:pt idx="214">
                  <c:v>0.33032866398940813</c:v>
                </c:pt>
                <c:pt idx="215">
                  <c:v>0.31214628138260297</c:v>
                </c:pt>
                <c:pt idx="216">
                  <c:v>0.29499300948050117</c:v>
                </c:pt>
                <c:pt idx="217">
                  <c:v>0.27880906151605978</c:v>
                </c:pt>
                <c:pt idx="218">
                  <c:v>0.26353820873343858</c:v>
                </c:pt>
                <c:pt idx="219">
                  <c:v>0.24912756398193603</c:v>
                </c:pt>
                <c:pt idx="220">
                  <c:v>0.23552737872584503</c:v>
                </c:pt>
                <c:pt idx="221">
                  <c:v>0.22269085262524568</c:v>
                </c:pt>
                <c:pt idx="222">
                  <c:v>0.21057395489662628</c:v>
                </c:pt>
                <c:pt idx="223">
                  <c:v>0.1991352567125482</c:v>
                </c:pt>
                <c:pt idx="224">
                  <c:v>0.18833577394682141</c:v>
                </c:pt>
                <c:pt idx="225">
                  <c:v>0.17813881961571956</c:v>
                </c:pt>
                <c:pt idx="226">
                  <c:v>0.1685098654071274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FBC-45C6-9DBF-1275DCBF9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'New_cases - LNorm'!$O$7</c15:sqref>
                        </c15:formulaRef>
                      </c:ext>
                    </c:extLst>
                    <c:strCache>
                      <c:ptCount val="1"/>
                      <c:pt idx="0">
                        <c:v>Upper CI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'New_cases - LNorm'!$C$8:$C$281</c15:sqref>
                        </c15:formulaRef>
                      </c:ext>
                    </c:extLst>
                    <c:numCache>
                      <c:formatCode>General</c:formatCode>
                      <c:ptCount val="27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'New_cases - LNorm'!$O$8:$O$281</c15:sqref>
                        </c15:formulaRef>
                      </c:ext>
                    </c:extLst>
                    <c:numCache>
                      <c:formatCode>General</c:formatCode>
                      <c:ptCount val="274"/>
                      <c:pt idx="0">
                        <c:v>1013.7630020203177</c:v>
                      </c:pt>
                      <c:pt idx="1">
                        <c:v>1013.7630020203177</c:v>
                      </c:pt>
                      <c:pt idx="2">
                        <c:v>1013.7630020203177</c:v>
                      </c:pt>
                      <c:pt idx="3">
                        <c:v>1013.7630020203177</c:v>
                      </c:pt>
                      <c:pt idx="4">
                        <c:v>1013.7630020203177</c:v>
                      </c:pt>
                      <c:pt idx="5">
                        <c:v>1013.7630020203177</c:v>
                      </c:pt>
                      <c:pt idx="6">
                        <c:v>1013.7630020203177</c:v>
                      </c:pt>
                      <c:pt idx="7">
                        <c:v>1013.7630020203177</c:v>
                      </c:pt>
                      <c:pt idx="8">
                        <c:v>1013.7630020203177</c:v>
                      </c:pt>
                      <c:pt idx="9">
                        <c:v>1013.7630020203177</c:v>
                      </c:pt>
                      <c:pt idx="10">
                        <c:v>1013.7630020203177</c:v>
                      </c:pt>
                      <c:pt idx="11">
                        <c:v>1013.7630020203177</c:v>
                      </c:pt>
                      <c:pt idx="12">
                        <c:v>1013.7630020203177</c:v>
                      </c:pt>
                      <c:pt idx="13">
                        <c:v>1013.7630020203177</c:v>
                      </c:pt>
                      <c:pt idx="14">
                        <c:v>1013.7630020203177</c:v>
                      </c:pt>
                      <c:pt idx="15">
                        <c:v>1013.7630020203177</c:v>
                      </c:pt>
                      <c:pt idx="16">
                        <c:v>1013.7630020203177</c:v>
                      </c:pt>
                      <c:pt idx="17">
                        <c:v>1013.7630020203177</c:v>
                      </c:pt>
                      <c:pt idx="18">
                        <c:v>1013.7630020203177</c:v>
                      </c:pt>
                      <c:pt idx="19">
                        <c:v>1013.7630020203177</c:v>
                      </c:pt>
                      <c:pt idx="20">
                        <c:v>1013.7630020203177</c:v>
                      </c:pt>
                      <c:pt idx="21">
                        <c:v>1013.7630020203177</c:v>
                      </c:pt>
                      <c:pt idx="22">
                        <c:v>1013.7630020203177</c:v>
                      </c:pt>
                      <c:pt idx="23">
                        <c:v>1013.7630020203177</c:v>
                      </c:pt>
                      <c:pt idx="24">
                        <c:v>1013.7630020203177</c:v>
                      </c:pt>
                      <c:pt idx="25">
                        <c:v>1013.7630020203177</c:v>
                      </c:pt>
                      <c:pt idx="26">
                        <c:v>1013.7630020203177</c:v>
                      </c:pt>
                      <c:pt idx="27">
                        <c:v>1013.7630020203177</c:v>
                      </c:pt>
                      <c:pt idx="28">
                        <c:v>1013.7630020203177</c:v>
                      </c:pt>
                      <c:pt idx="29">
                        <c:v>1013.7630020203177</c:v>
                      </c:pt>
                      <c:pt idx="30">
                        <c:v>1013.7630020203177</c:v>
                      </c:pt>
                      <c:pt idx="31">
                        <c:v>1013.7630020203177</c:v>
                      </c:pt>
                      <c:pt idx="32">
                        <c:v>1013.7630020203177</c:v>
                      </c:pt>
                      <c:pt idx="33">
                        <c:v>1013.7630020203177</c:v>
                      </c:pt>
                      <c:pt idx="34">
                        <c:v>1013.7630020203177</c:v>
                      </c:pt>
                      <c:pt idx="35">
                        <c:v>1013.7630020203305</c:v>
                      </c:pt>
                      <c:pt idx="36">
                        <c:v>1013.7630020224266</c:v>
                      </c:pt>
                      <c:pt idx="37">
                        <c:v>1013.7630021271819</c:v>
                      </c:pt>
                      <c:pt idx="38">
                        <c:v>1013.7630044691031</c:v>
                      </c:pt>
                      <c:pt idx="39">
                        <c:v>1013.7630338414484</c:v>
                      </c:pt>
                      <c:pt idx="40">
                        <c:v>1013.7632730586355</c:v>
                      </c:pt>
                      <c:pt idx="41">
                        <c:v>1013.7646705581218</c:v>
                      </c:pt>
                      <c:pt idx="42">
                        <c:v>1013.7709540507886</c:v>
                      </c:pt>
                      <c:pt idx="43">
                        <c:v>1013.7938451106734</c:v>
                      </c:pt>
                      <c:pt idx="44">
                        <c:v>1013.8640651825715</c:v>
                      </c:pt>
                      <c:pt idx="45">
                        <c:v>1014.0508633406587</c:v>
                      </c:pt>
                      <c:pt idx="46">
                        <c:v>1014.4917836566217</c:v>
                      </c:pt>
                      <c:pt idx="47">
                        <c:v>1015.4321728010536</c:v>
                      </c:pt>
                      <c:pt idx="48">
                        <c:v>1017.2710082548758</c:v>
                      </c:pt>
                      <c:pt idx="49">
                        <c:v>1020.6068671636314</c:v>
                      </c:pt>
                      <c:pt idx="50">
                        <c:v>1026.2761219748888</c:v>
                      </c:pt>
                      <c:pt idx="51">
                        <c:v>1035.3752904930609</c:v>
                      </c:pt>
                      <c:pt idx="52">
                        <c:v>1049.2609636694572</c:v>
                      </c:pt>
                      <c:pt idx="53">
                        <c:v>1069.5235295095026</c:v>
                      </c:pt>
                      <c:pt idx="54">
                        <c:v>1097.9343814431522</c:v>
                      </c:pt>
                      <c:pt idx="55">
                        <c:v>1136.3697534025239</c:v>
                      </c:pt>
                      <c:pt idx="56">
                        <c:v>1186.7171750754569</c:v>
                      </c:pt>
                      <c:pt idx="57">
                        <c:v>1250.7724088037401</c:v>
                      </c:pt>
                      <c:pt idx="58">
                        <c:v>1330.1354683319544</c:v>
                      </c:pt>
                      <c:pt idx="59">
                        <c:v>1426.1139894888697</c:v>
                      </c:pt>
                      <c:pt idx="60">
                        <c:v>1539.6410306475468</c:v>
                      </c:pt>
                      <c:pt idx="61">
                        <c:v>1671.2126102974626</c:v>
                      </c:pt>
                      <c:pt idx="62">
                        <c:v>1820.8482391230682</c:v>
                      </c:pt>
                      <c:pt idx="63">
                        <c:v>1988.075642434665</c:v>
                      </c:pt>
                      <c:pt idx="64">
                        <c:v>2171.9390048601676</c:v>
                      </c:pt>
                      <c:pt idx="65">
                        <c:v>2371.0285426481287</c:v>
                      </c:pt>
                      <c:pt idx="66">
                        <c:v>2583.5280919274978</c:v>
                      </c:pt>
                      <c:pt idx="67">
                        <c:v>2807.276708409549</c:v>
                      </c:pt>
                      <c:pt idx="68">
                        <c:v>3039.8399763321877</c:v>
                      </c:pt>
                      <c:pt idx="69">
                        <c:v>3278.5867642465878</c:v>
                      </c:pt>
                      <c:pt idx="70">
                        <c:v>3520.7674696344134</c:v>
                      </c:pt>
                      <c:pt idx="71">
                        <c:v>3763.5902862400949</c:v>
                      </c:pt>
                      <c:pt idx="72">
                        <c:v>4004.2926342310971</c:v>
                      </c:pt>
                      <c:pt idx="73">
                        <c:v>4240.205549842236</c:v>
                      </c:pt>
                      <c:pt idx="74">
                        <c:v>4468.8094859595076</c:v>
                      </c:pt>
                      <c:pt idx="75">
                        <c:v>4687.7805889319015</c:v>
                      </c:pt>
                      <c:pt idx="76">
                        <c:v>4895.0270628791777</c:v>
                      </c:pt>
                      <c:pt idx="77">
                        <c:v>5088.7156949622049</c:v>
                      </c:pt>
                      <c:pt idx="78">
                        <c:v>5267.2889866816759</c:v>
                      </c:pt>
                      <c:pt idx="79">
                        <c:v>5429.4736175625048</c:v>
                      </c:pt>
                      <c:pt idx="80">
                        <c:v>5574.2811640231866</c:v>
                      </c:pt>
                      <c:pt idx="81">
                        <c:v>5701.0021167071245</c:v>
                      </c:pt>
                      <c:pt idx="82">
                        <c:v>5809.1942949090462</c:v>
                      </c:pt>
                      <c:pt idx="83">
                        <c:v>5898.6667585925652</c:v>
                      </c:pt>
                      <c:pt idx="84">
                        <c:v>5969.4602783969112</c:v>
                      </c:pt>
                      <c:pt idx="85">
                        <c:v>6021.8253527862698</c:v>
                      </c:pt>
                      <c:pt idx="86">
                        <c:v>6056.1986688031511</c:v>
                      </c:pt>
                      <c:pt idx="87">
                        <c:v>6073.178797113881</c:v>
                      </c:pt>
                      <c:pt idx="88">
                        <c:v>6073.5018001329736</c:v>
                      </c:pt>
                      <c:pt idx="89">
                        <c:v>6058.0173195493171</c:v>
                      </c:pt>
                      <c:pt idx="90">
                        <c:v>6027.6656008176278</c:v>
                      </c:pt>
                      <c:pt idx="91">
                        <c:v>5983.4558102296596</c:v>
                      </c:pt>
                      <c:pt idx="92">
                        <c:v>5926.4459071411875</c:v>
                      </c:pt>
                      <c:pt idx="93">
                        <c:v>5857.724251062622</c:v>
                      </c:pt>
                      <c:pt idx="94">
                        <c:v>5778.3930512013867</c:v>
                      </c:pt>
                      <c:pt idx="95">
                        <c:v>5689.5537047186863</c:v>
                      </c:pt>
                      <c:pt idx="96">
                        <c:v>5592.2940190769068</c:v>
                      </c:pt>
                      <c:pt idx="97">
                        <c:v>5487.6772727666284</c:v>
                      </c:pt>
                      <c:pt idx="98">
                        <c:v>5376.7330365846219</c:v>
                      </c:pt>
                      <c:pt idx="99">
                        <c:v>5260.4496535458229</c:v>
                      </c:pt>
                      <c:pt idx="100">
                        <c:v>5139.7682584654067</c:v>
                      </c:pt>
                      <c:pt idx="101">
                        <c:v>5015.5782072523725</c:v>
                      </c:pt>
                      <c:pt idx="102">
                        <c:v>4888.7137800595492</c:v>
                      </c:pt>
                      <c:pt idx="103">
                        <c:v>4759.9520207417609</c:v>
                      </c:pt>
                      <c:pt idx="104">
                        <c:v>4630.0115767644029</c:v>
                      </c:pt>
                      <c:pt idx="105">
                        <c:v>4499.5524080432915</c:v>
                      </c:pt>
                      <c:pt idx="106">
                        <c:v>4369.1762395356782</c:v>
                      </c:pt>
                      <c:pt idx="107">
                        <c:v>4239.4276401818861</c:v>
                      </c:pt>
                      <c:pt idx="108">
                        <c:v>4110.7956195399765</c:v>
                      </c:pt>
                      <c:pt idx="109">
                        <c:v>3983.7156427652872</c:v>
                      </c:pt>
                      <c:pt idx="110">
                        <c:v>3858.57197413616</c:v>
                      </c:pt>
                      <c:pt idx="111">
                        <c:v>3735.7002688558459</c:v>
                      </c:pt>
                      <c:pt idx="112">
                        <c:v>3615.3903421635036</c:v>
                      </c:pt>
                      <c:pt idx="113">
                        <c:v>3497.8890537105481</c:v>
                      </c:pt>
                      <c:pt idx="114">
                        <c:v>3383.403253588694</c:v>
                      </c:pt>
                      <c:pt idx="115">
                        <c:v>3272.1027442572718</c:v>
                      </c:pt>
                      <c:pt idx="116">
                        <c:v>3164.1232198610119</c:v>
                      </c:pt>
                      <c:pt idx="117">
                        <c:v>3059.5691510337397</c:v>
                      </c:pt>
                      <c:pt idx="118">
                        <c:v>2958.5165892426535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BFBC-45C6-9DBF-1275DCBF9818}"/>
                  </c:ext>
                </c:extLst>
              </c15:ser>
            </c15:filteredScatterSeries>
            <c15:filteredScatterSeries>
              <c15:ser>
                <c:idx val="2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 - LNorm'!$P$7</c15:sqref>
                        </c15:formulaRef>
                      </c:ext>
                    </c:extLst>
                    <c:strCache>
                      <c:ptCount val="1"/>
                      <c:pt idx="0">
                        <c:v>Lower CI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 - LNorm'!$C$8:$C$281</c15:sqref>
                        </c15:formulaRef>
                      </c:ext>
                    </c:extLst>
                    <c:numCache>
                      <c:formatCode>General</c:formatCode>
                      <c:ptCount val="27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 - LNorm'!$P$8:$P$281</c15:sqref>
                        </c15:formulaRef>
                      </c:ext>
                    </c:extLst>
                    <c:numCache>
                      <c:formatCode>General</c:formatCode>
                      <c:ptCount val="2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144.41300081953239</c:v>
                      </c:pt>
                      <c:pt idx="65">
                        <c:v>343.50253860749342</c:v>
                      </c:pt>
                      <c:pt idx="66">
                        <c:v>556.00208788686257</c:v>
                      </c:pt>
                      <c:pt idx="67">
                        <c:v>779.75070436891349</c:v>
                      </c:pt>
                      <c:pt idx="68">
                        <c:v>1012.3139722915524</c:v>
                      </c:pt>
                      <c:pt idx="69">
                        <c:v>1251.0607602059522</c:v>
                      </c:pt>
                      <c:pt idx="70">
                        <c:v>1493.2414655937778</c:v>
                      </c:pt>
                      <c:pt idx="71">
                        <c:v>1736.0642821994593</c:v>
                      </c:pt>
                      <c:pt idx="72">
                        <c:v>1976.7666301904615</c:v>
                      </c:pt>
                      <c:pt idx="73">
                        <c:v>2212.6795458016009</c:v>
                      </c:pt>
                      <c:pt idx="74">
                        <c:v>2441.283481918872</c:v>
                      </c:pt>
                      <c:pt idx="75">
                        <c:v>2660.2545848912664</c:v>
                      </c:pt>
                      <c:pt idx="76">
                        <c:v>2867.5010588385421</c:v>
                      </c:pt>
                      <c:pt idx="77">
                        <c:v>3061.1896909215693</c:v>
                      </c:pt>
                      <c:pt idx="78">
                        <c:v>3239.7629826410403</c:v>
                      </c:pt>
                      <c:pt idx="79">
                        <c:v>3401.9476135218692</c:v>
                      </c:pt>
                      <c:pt idx="80">
                        <c:v>3546.755159982551</c:v>
                      </c:pt>
                      <c:pt idx="81">
                        <c:v>3673.4761126664889</c:v>
                      </c:pt>
                      <c:pt idx="82">
                        <c:v>3781.6682908684106</c:v>
                      </c:pt>
                      <c:pt idx="83">
                        <c:v>3871.1407545519296</c:v>
                      </c:pt>
                      <c:pt idx="84">
                        <c:v>3941.9342743562756</c:v>
                      </c:pt>
                      <c:pt idx="85">
                        <c:v>3994.2993487456342</c:v>
                      </c:pt>
                      <c:pt idx="86">
                        <c:v>4028.6726647625155</c:v>
                      </c:pt>
                      <c:pt idx="87">
                        <c:v>4045.6527930732454</c:v>
                      </c:pt>
                      <c:pt idx="88">
                        <c:v>4045.975796092338</c:v>
                      </c:pt>
                      <c:pt idx="89">
                        <c:v>4030.4913155086815</c:v>
                      </c:pt>
                      <c:pt idx="90">
                        <c:v>4000.1395967769922</c:v>
                      </c:pt>
                      <c:pt idx="91">
                        <c:v>3955.929806189024</c:v>
                      </c:pt>
                      <c:pt idx="92">
                        <c:v>3898.9199031005519</c:v>
                      </c:pt>
                      <c:pt idx="93">
                        <c:v>3830.1982470219864</c:v>
                      </c:pt>
                      <c:pt idx="94">
                        <c:v>3750.8670471607511</c:v>
                      </c:pt>
                      <c:pt idx="95">
                        <c:v>3662.0277006780507</c:v>
                      </c:pt>
                      <c:pt idx="96">
                        <c:v>3564.7680150362712</c:v>
                      </c:pt>
                      <c:pt idx="97">
                        <c:v>3460.1512687259928</c:v>
                      </c:pt>
                      <c:pt idx="98">
                        <c:v>3349.2070325439863</c:v>
                      </c:pt>
                      <c:pt idx="99">
                        <c:v>3232.9236495051873</c:v>
                      </c:pt>
                      <c:pt idx="100">
                        <c:v>3112.2422544247711</c:v>
                      </c:pt>
                      <c:pt idx="101">
                        <c:v>2988.0522032117374</c:v>
                      </c:pt>
                      <c:pt idx="102">
                        <c:v>2861.1877760189136</c:v>
                      </c:pt>
                      <c:pt idx="103">
                        <c:v>2732.4260167011257</c:v>
                      </c:pt>
                      <c:pt idx="104">
                        <c:v>2602.4855727237673</c:v>
                      </c:pt>
                      <c:pt idx="105">
                        <c:v>2472.0264040026564</c:v>
                      </c:pt>
                      <c:pt idx="106">
                        <c:v>2341.650235495043</c:v>
                      </c:pt>
                      <c:pt idx="107">
                        <c:v>2211.9016361412505</c:v>
                      </c:pt>
                      <c:pt idx="108">
                        <c:v>2083.2696154993409</c:v>
                      </c:pt>
                      <c:pt idx="109">
                        <c:v>1956.1896387246516</c:v>
                      </c:pt>
                      <c:pt idx="110">
                        <c:v>1831.0459700955244</c:v>
                      </c:pt>
                      <c:pt idx="111">
                        <c:v>1708.1742648152103</c:v>
                      </c:pt>
                      <c:pt idx="112">
                        <c:v>1587.864338122868</c:v>
                      </c:pt>
                      <c:pt idx="113">
                        <c:v>1470.3630496699125</c:v>
                      </c:pt>
                      <c:pt idx="114">
                        <c:v>1355.8772495480584</c:v>
                      </c:pt>
                      <c:pt idx="115">
                        <c:v>1244.5767402166362</c:v>
                      </c:pt>
                      <c:pt idx="116">
                        <c:v>1136.5972158203763</c:v>
                      </c:pt>
                      <c:pt idx="117">
                        <c:v>1032.0431469931041</c:v>
                      </c:pt>
                      <c:pt idx="118">
                        <c:v>930.990585202018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FBC-45C6-9DBF-1275DCBF9818}"/>
                  </c:ext>
                </c:extLst>
              </c15:ser>
            </c15:filteredScatterSeries>
          </c:ext>
        </c:extLst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Days from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Dayly new cases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761760963245405"/>
          <c:y val="0.14215259860632665"/>
          <c:w val="0.32687529757652334"/>
          <c:h val="0.2005046353056969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FF0000"/>
                </a:solidFill>
              </a:rPr>
              <a:t>Lombardy </a:t>
            </a:r>
            <a:r>
              <a:rPr lang="it-IT" sz="1400" b="0" i="0" u="none" strike="noStrike" baseline="0">
                <a:solidFill>
                  <a:srgbClr val="FF0000"/>
                </a:solidFill>
                <a:effectLst/>
              </a:rPr>
              <a:t>- Daily new cases (velocity) - Lognormal</a:t>
            </a:r>
            <a:endParaRPr lang="it-IT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428793038537132"/>
          <c:y val="0.11220881326088156"/>
          <c:w val="0.79059594956695434"/>
          <c:h val="0.79304813164644039"/>
        </c:manualLayout>
      </c:layout>
      <c:scatterChart>
        <c:scatterStyle val="lineMarker"/>
        <c:varyColors val="0"/>
        <c:ser>
          <c:idx val="0"/>
          <c:order val="0"/>
          <c:tx>
            <c:strRef>
              <c:f>'New_cases - LNorm'!$R$7</c:f>
              <c:strCache>
                <c:ptCount val="1"/>
                <c:pt idx="0">
                  <c:v>Lombardy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LNorm'!$R$8:$R$281</c:f>
              <c:numCache>
                <c:formatCode>General</c:formatCode>
                <c:ptCount val="274"/>
                <c:pt idx="55">
                  <c:v>68</c:v>
                </c:pt>
                <c:pt idx="56">
                  <c:v>18</c:v>
                </c:pt>
                <c:pt idx="57">
                  <c:v>145</c:v>
                </c:pt>
                <c:pt idx="58">
                  <c:v>128</c:v>
                </c:pt>
                <c:pt idx="59">
                  <c:v>84</c:v>
                </c:pt>
                <c:pt idx="60">
                  <c:v>369</c:v>
                </c:pt>
                <c:pt idx="61">
                  <c:v>270</c:v>
                </c:pt>
                <c:pt idx="62">
                  <c:v>266</c:v>
                </c:pt>
                <c:pt idx="63">
                  <c:v>300</c:v>
                </c:pt>
                <c:pt idx="64">
                  <c:v>431</c:v>
                </c:pt>
                <c:pt idx="65">
                  <c:v>361</c:v>
                </c:pt>
                <c:pt idx="66">
                  <c:v>808</c:v>
                </c:pt>
                <c:pt idx="67">
                  <c:v>769</c:v>
                </c:pt>
                <c:pt idx="68">
                  <c:v>1280</c:v>
                </c:pt>
                <c:pt idx="69">
                  <c:v>322</c:v>
                </c:pt>
                <c:pt idx="70">
                  <c:v>1489</c:v>
                </c:pt>
                <c:pt idx="71">
                  <c:v>1445</c:v>
                </c:pt>
                <c:pt idx="72">
                  <c:v>1095</c:v>
                </c:pt>
                <c:pt idx="73">
                  <c:v>1865</c:v>
                </c:pt>
                <c:pt idx="74">
                  <c:v>1587</c:v>
                </c:pt>
                <c:pt idx="75">
                  <c:v>1377</c:v>
                </c:pt>
                <c:pt idx="76">
                  <c:v>1571</c:v>
                </c:pt>
                <c:pt idx="77">
                  <c:v>1493</c:v>
                </c:pt>
                <c:pt idx="78">
                  <c:v>2171</c:v>
                </c:pt>
                <c:pt idx="79">
                  <c:v>2380</c:v>
                </c:pt>
                <c:pt idx="80">
                  <c:v>3251</c:v>
                </c:pt>
                <c:pt idx="81">
                  <c:v>1691</c:v>
                </c:pt>
                <c:pt idx="82">
                  <c:v>1555</c:v>
                </c:pt>
                <c:pt idx="83">
                  <c:v>1942</c:v>
                </c:pt>
                <c:pt idx="84">
                  <c:v>1643</c:v>
                </c:pt>
                <c:pt idx="85">
                  <c:v>2543</c:v>
                </c:pt>
                <c:pt idx="86">
                  <c:v>2409</c:v>
                </c:pt>
                <c:pt idx="87">
                  <c:v>2117</c:v>
                </c:pt>
                <c:pt idx="88">
                  <c:v>1592</c:v>
                </c:pt>
                <c:pt idx="89">
                  <c:v>1154</c:v>
                </c:pt>
                <c:pt idx="90">
                  <c:v>1047</c:v>
                </c:pt>
                <c:pt idx="91">
                  <c:v>1565</c:v>
                </c:pt>
                <c:pt idx="92">
                  <c:v>1292</c:v>
                </c:pt>
                <c:pt idx="93">
                  <c:v>1455</c:v>
                </c:pt>
                <c:pt idx="94">
                  <c:v>1598</c:v>
                </c:pt>
                <c:pt idx="95">
                  <c:v>1337</c:v>
                </c:pt>
                <c:pt idx="96">
                  <c:v>1079</c:v>
                </c:pt>
                <c:pt idx="97">
                  <c:v>791</c:v>
                </c:pt>
                <c:pt idx="98">
                  <c:v>1089</c:v>
                </c:pt>
                <c:pt idx="99">
                  <c:v>1388</c:v>
                </c:pt>
                <c:pt idx="100">
                  <c:v>1246</c:v>
                </c:pt>
                <c:pt idx="101">
                  <c:v>1544</c:v>
                </c:pt>
                <c:pt idx="102">
                  <c:v>1460</c:v>
                </c:pt>
                <c:pt idx="103">
                  <c:v>1262</c:v>
                </c:pt>
                <c:pt idx="104">
                  <c:v>1012</c:v>
                </c:pt>
                <c:pt idx="105">
                  <c:v>827</c:v>
                </c:pt>
                <c:pt idx="106">
                  <c:v>941</c:v>
                </c:pt>
                <c:pt idx="107">
                  <c:v>1041</c:v>
                </c:pt>
                <c:pt idx="108">
                  <c:v>1246</c:v>
                </c:pt>
                <c:pt idx="109">
                  <c:v>855</c:v>
                </c:pt>
                <c:pt idx="110">
                  <c:v>735</c:v>
                </c:pt>
                <c:pt idx="111">
                  <c:v>960</c:v>
                </c:pt>
                <c:pt idx="112">
                  <c:v>1161</c:v>
                </c:pt>
                <c:pt idx="113">
                  <c:v>1073</c:v>
                </c:pt>
                <c:pt idx="114">
                  <c:v>1091</c:v>
                </c:pt>
                <c:pt idx="115">
                  <c:v>713</c:v>
                </c:pt>
                <c:pt idx="116">
                  <c:v>920</c:v>
                </c:pt>
                <c:pt idx="117">
                  <c:v>590</c:v>
                </c:pt>
                <c:pt idx="118">
                  <c:v>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D2-4346-8DCD-ABBA25EAC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'New_cases - LNorm'!$V$7</c:f>
              <c:strCache>
                <c:ptCount val="1"/>
                <c:pt idx="0">
                  <c:v>Lombardy fit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LNorm'!$C$55:$C$281</c:f>
              <c:numCache>
                <c:formatCode>General</c:formatCode>
                <c:ptCount val="227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  <c:pt idx="55">
                  <c:v>103</c:v>
                </c:pt>
                <c:pt idx="56">
                  <c:v>104</c:v>
                </c:pt>
                <c:pt idx="57">
                  <c:v>105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111</c:v>
                </c:pt>
                <c:pt idx="64">
                  <c:v>112</c:v>
                </c:pt>
                <c:pt idx="65">
                  <c:v>113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  <c:pt idx="82">
                  <c:v>130</c:v>
                </c:pt>
                <c:pt idx="83">
                  <c:v>131</c:v>
                </c:pt>
                <c:pt idx="84">
                  <c:v>132</c:v>
                </c:pt>
                <c:pt idx="85">
                  <c:v>133</c:v>
                </c:pt>
                <c:pt idx="86">
                  <c:v>134</c:v>
                </c:pt>
                <c:pt idx="87">
                  <c:v>135</c:v>
                </c:pt>
                <c:pt idx="88">
                  <c:v>136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  <c:pt idx="92">
                  <c:v>140</c:v>
                </c:pt>
                <c:pt idx="93">
                  <c:v>141</c:v>
                </c:pt>
                <c:pt idx="94">
                  <c:v>142</c:v>
                </c:pt>
                <c:pt idx="95">
                  <c:v>143</c:v>
                </c:pt>
                <c:pt idx="96">
                  <c:v>144</c:v>
                </c:pt>
                <c:pt idx="97">
                  <c:v>145</c:v>
                </c:pt>
                <c:pt idx="98">
                  <c:v>146</c:v>
                </c:pt>
                <c:pt idx="99">
                  <c:v>147</c:v>
                </c:pt>
                <c:pt idx="100">
                  <c:v>148</c:v>
                </c:pt>
                <c:pt idx="101">
                  <c:v>149</c:v>
                </c:pt>
                <c:pt idx="102">
                  <c:v>150</c:v>
                </c:pt>
                <c:pt idx="103">
                  <c:v>151</c:v>
                </c:pt>
                <c:pt idx="104">
                  <c:v>152</c:v>
                </c:pt>
                <c:pt idx="105">
                  <c:v>153</c:v>
                </c:pt>
                <c:pt idx="106">
                  <c:v>154</c:v>
                </c:pt>
                <c:pt idx="107">
                  <c:v>155</c:v>
                </c:pt>
                <c:pt idx="108">
                  <c:v>156</c:v>
                </c:pt>
                <c:pt idx="109">
                  <c:v>157</c:v>
                </c:pt>
                <c:pt idx="110">
                  <c:v>158</c:v>
                </c:pt>
                <c:pt idx="111">
                  <c:v>159</c:v>
                </c:pt>
                <c:pt idx="112">
                  <c:v>160</c:v>
                </c:pt>
                <c:pt idx="113">
                  <c:v>161</c:v>
                </c:pt>
                <c:pt idx="114">
                  <c:v>162</c:v>
                </c:pt>
                <c:pt idx="115">
                  <c:v>163</c:v>
                </c:pt>
                <c:pt idx="116">
                  <c:v>164</c:v>
                </c:pt>
                <c:pt idx="117">
                  <c:v>165</c:v>
                </c:pt>
                <c:pt idx="118">
                  <c:v>166</c:v>
                </c:pt>
                <c:pt idx="119">
                  <c:v>167</c:v>
                </c:pt>
                <c:pt idx="120">
                  <c:v>168</c:v>
                </c:pt>
                <c:pt idx="121">
                  <c:v>169</c:v>
                </c:pt>
                <c:pt idx="122">
                  <c:v>170</c:v>
                </c:pt>
                <c:pt idx="123">
                  <c:v>171</c:v>
                </c:pt>
                <c:pt idx="124">
                  <c:v>172</c:v>
                </c:pt>
                <c:pt idx="125">
                  <c:v>173</c:v>
                </c:pt>
                <c:pt idx="126">
                  <c:v>174</c:v>
                </c:pt>
                <c:pt idx="127">
                  <c:v>175</c:v>
                </c:pt>
                <c:pt idx="128">
                  <c:v>176</c:v>
                </c:pt>
                <c:pt idx="129">
                  <c:v>177</c:v>
                </c:pt>
                <c:pt idx="130">
                  <c:v>178</c:v>
                </c:pt>
                <c:pt idx="131">
                  <c:v>179</c:v>
                </c:pt>
                <c:pt idx="132">
                  <c:v>180</c:v>
                </c:pt>
                <c:pt idx="133">
                  <c:v>181</c:v>
                </c:pt>
                <c:pt idx="134">
                  <c:v>182</c:v>
                </c:pt>
                <c:pt idx="135">
                  <c:v>183</c:v>
                </c:pt>
                <c:pt idx="136">
                  <c:v>184</c:v>
                </c:pt>
                <c:pt idx="137">
                  <c:v>185</c:v>
                </c:pt>
                <c:pt idx="138">
                  <c:v>186</c:v>
                </c:pt>
                <c:pt idx="139">
                  <c:v>187</c:v>
                </c:pt>
                <c:pt idx="140">
                  <c:v>188</c:v>
                </c:pt>
                <c:pt idx="141">
                  <c:v>189</c:v>
                </c:pt>
                <c:pt idx="142">
                  <c:v>190</c:v>
                </c:pt>
                <c:pt idx="143">
                  <c:v>191</c:v>
                </c:pt>
                <c:pt idx="144">
                  <c:v>192</c:v>
                </c:pt>
                <c:pt idx="145">
                  <c:v>193</c:v>
                </c:pt>
                <c:pt idx="146">
                  <c:v>194</c:v>
                </c:pt>
                <c:pt idx="147">
                  <c:v>195</c:v>
                </c:pt>
                <c:pt idx="148">
                  <c:v>196</c:v>
                </c:pt>
                <c:pt idx="149">
                  <c:v>197</c:v>
                </c:pt>
                <c:pt idx="150">
                  <c:v>198</c:v>
                </c:pt>
                <c:pt idx="151">
                  <c:v>199</c:v>
                </c:pt>
                <c:pt idx="152">
                  <c:v>200</c:v>
                </c:pt>
                <c:pt idx="153">
                  <c:v>201</c:v>
                </c:pt>
                <c:pt idx="154">
                  <c:v>202</c:v>
                </c:pt>
                <c:pt idx="155">
                  <c:v>203</c:v>
                </c:pt>
                <c:pt idx="156">
                  <c:v>204</c:v>
                </c:pt>
                <c:pt idx="157">
                  <c:v>205</c:v>
                </c:pt>
                <c:pt idx="158">
                  <c:v>206</c:v>
                </c:pt>
                <c:pt idx="159">
                  <c:v>207</c:v>
                </c:pt>
                <c:pt idx="160">
                  <c:v>208</c:v>
                </c:pt>
                <c:pt idx="161">
                  <c:v>209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213</c:v>
                </c:pt>
                <c:pt idx="166">
                  <c:v>214</c:v>
                </c:pt>
                <c:pt idx="167">
                  <c:v>215</c:v>
                </c:pt>
                <c:pt idx="168">
                  <c:v>216</c:v>
                </c:pt>
                <c:pt idx="169">
                  <c:v>217</c:v>
                </c:pt>
                <c:pt idx="170">
                  <c:v>218</c:v>
                </c:pt>
                <c:pt idx="171">
                  <c:v>219</c:v>
                </c:pt>
                <c:pt idx="172">
                  <c:v>220</c:v>
                </c:pt>
                <c:pt idx="173">
                  <c:v>221</c:v>
                </c:pt>
                <c:pt idx="174">
                  <c:v>222</c:v>
                </c:pt>
                <c:pt idx="175">
                  <c:v>223</c:v>
                </c:pt>
                <c:pt idx="176">
                  <c:v>224</c:v>
                </c:pt>
                <c:pt idx="177">
                  <c:v>225</c:v>
                </c:pt>
                <c:pt idx="178">
                  <c:v>226</c:v>
                </c:pt>
                <c:pt idx="179">
                  <c:v>227</c:v>
                </c:pt>
                <c:pt idx="180">
                  <c:v>228</c:v>
                </c:pt>
                <c:pt idx="181">
                  <c:v>229</c:v>
                </c:pt>
                <c:pt idx="182">
                  <c:v>230</c:v>
                </c:pt>
                <c:pt idx="183">
                  <c:v>231</c:v>
                </c:pt>
                <c:pt idx="184">
                  <c:v>232</c:v>
                </c:pt>
                <c:pt idx="185">
                  <c:v>233</c:v>
                </c:pt>
                <c:pt idx="186">
                  <c:v>234</c:v>
                </c:pt>
                <c:pt idx="187">
                  <c:v>235</c:v>
                </c:pt>
                <c:pt idx="188">
                  <c:v>236</c:v>
                </c:pt>
                <c:pt idx="189">
                  <c:v>237</c:v>
                </c:pt>
                <c:pt idx="190">
                  <c:v>238</c:v>
                </c:pt>
                <c:pt idx="191">
                  <c:v>239</c:v>
                </c:pt>
                <c:pt idx="192">
                  <c:v>240</c:v>
                </c:pt>
                <c:pt idx="193">
                  <c:v>241</c:v>
                </c:pt>
                <c:pt idx="194">
                  <c:v>242</c:v>
                </c:pt>
                <c:pt idx="195">
                  <c:v>243</c:v>
                </c:pt>
                <c:pt idx="196">
                  <c:v>244</c:v>
                </c:pt>
                <c:pt idx="197">
                  <c:v>245</c:v>
                </c:pt>
                <c:pt idx="198">
                  <c:v>246</c:v>
                </c:pt>
                <c:pt idx="199">
                  <c:v>247</c:v>
                </c:pt>
                <c:pt idx="200">
                  <c:v>248</c:v>
                </c:pt>
                <c:pt idx="201">
                  <c:v>249</c:v>
                </c:pt>
                <c:pt idx="202">
                  <c:v>250</c:v>
                </c:pt>
                <c:pt idx="203">
                  <c:v>251</c:v>
                </c:pt>
                <c:pt idx="204">
                  <c:v>252</c:v>
                </c:pt>
                <c:pt idx="205">
                  <c:v>253</c:v>
                </c:pt>
                <c:pt idx="206">
                  <c:v>254</c:v>
                </c:pt>
                <c:pt idx="207">
                  <c:v>255</c:v>
                </c:pt>
                <c:pt idx="208">
                  <c:v>256</c:v>
                </c:pt>
                <c:pt idx="209">
                  <c:v>257</c:v>
                </c:pt>
                <c:pt idx="210">
                  <c:v>258</c:v>
                </c:pt>
                <c:pt idx="211">
                  <c:v>259</c:v>
                </c:pt>
                <c:pt idx="212">
                  <c:v>260</c:v>
                </c:pt>
                <c:pt idx="213">
                  <c:v>261</c:v>
                </c:pt>
                <c:pt idx="214">
                  <c:v>262</c:v>
                </c:pt>
                <c:pt idx="215">
                  <c:v>263</c:v>
                </c:pt>
                <c:pt idx="216">
                  <c:v>264</c:v>
                </c:pt>
                <c:pt idx="217">
                  <c:v>265</c:v>
                </c:pt>
                <c:pt idx="218">
                  <c:v>266</c:v>
                </c:pt>
                <c:pt idx="219">
                  <c:v>267</c:v>
                </c:pt>
                <c:pt idx="220">
                  <c:v>268</c:v>
                </c:pt>
                <c:pt idx="221">
                  <c:v>269</c:v>
                </c:pt>
                <c:pt idx="222">
                  <c:v>270</c:v>
                </c:pt>
                <c:pt idx="223">
                  <c:v>271</c:v>
                </c:pt>
                <c:pt idx="224">
                  <c:v>272</c:v>
                </c:pt>
                <c:pt idx="225">
                  <c:v>273</c:v>
                </c:pt>
                <c:pt idx="226">
                  <c:v>274</c:v>
                </c:pt>
              </c:numCache>
            </c:numRef>
          </c:xVal>
          <c:yVal>
            <c:numRef>
              <c:f>'New_cases - LNorm'!$V$55:$V$281</c:f>
              <c:numCache>
                <c:formatCode>General</c:formatCode>
                <c:ptCount val="227"/>
                <c:pt idx="0">
                  <c:v>4.2221927199926466</c:v>
                </c:pt>
                <c:pt idx="1">
                  <c:v>7.5124004947819838</c:v>
                </c:pt>
                <c:pt idx="2">
                  <c:v>12.611697574226687</c:v>
                </c:pt>
                <c:pt idx="3">
                  <c:v>20.124607729459562</c:v>
                </c:pt>
                <c:pt idx="4">
                  <c:v>30.712451565484525</c:v>
                </c:pt>
                <c:pt idx="5">
                  <c:v>45.059429969357659</c:v>
                </c:pt>
                <c:pt idx="6">
                  <c:v>63.833835847445826</c:v>
                </c:pt>
                <c:pt idx="7">
                  <c:v>87.648093905472948</c:v>
                </c:pt>
                <c:pt idx="8">
                  <c:v>117.02117832508443</c:v>
                </c:pt>
                <c:pt idx="9">
                  <c:v>152.34639825617381</c:v>
                </c:pt>
                <c:pt idx="10">
                  <c:v>193.86672930973202</c:v>
                </c:pt>
                <c:pt idx="11">
                  <c:v>241.65895998029089</c:v>
                </c:pt>
                <c:pt idx="12">
                  <c:v>295.62704237893797</c:v>
                </c:pt>
                <c:pt idx="13">
                  <c:v>355.50427654437118</c:v>
                </c:pt>
                <c:pt idx="14">
                  <c:v>420.86336829536248</c:v>
                </c:pt>
                <c:pt idx="15">
                  <c:v>491.13300028691896</c:v>
                </c:pt>
                <c:pt idx="16">
                  <c:v>565.61933768960068</c:v>
                </c:pt>
                <c:pt idx="17">
                  <c:v>643.53083024248861</c:v>
                </c:pt>
                <c:pt idx="18">
                  <c:v>724.00473902404099</c:v>
                </c:pt>
                <c:pt idx="19">
                  <c:v>806.13397412127313</c:v>
                </c:pt>
                <c:pt idx="20">
                  <c:v>888.99304505859823</c:v>
                </c:pt>
                <c:pt idx="21">
                  <c:v>971.66217028128381</c:v>
                </c:pt>
                <c:pt idx="22">
                  <c:v>1053.2488417170159</c:v>
                </c:pt>
                <c:pt idx="23">
                  <c:v>1132.9063779653745</c:v>
                </c:pt>
                <c:pt idx="24">
                  <c:v>1209.8492131042087</c:v>
                </c:pt>
                <c:pt idx="25">
                  <c:v>1283.3648504414211</c:v>
                </c:pt>
                <c:pt idx="26">
                  <c:v>1352.822558718497</c:v>
                </c:pt>
                <c:pt idx="27">
                  <c:v>1417.679002228017</c:v>
                </c:pt>
                <c:pt idx="28">
                  <c:v>1477.4810780998919</c:v>
                </c:pt>
                <c:pt idx="29">
                  <c:v>1531.8662870557482</c:v>
                </c:pt>
                <c:pt idx="30">
                  <c:v>1580.5609923813795</c:v>
                </c:pt>
                <c:pt idx="31">
                  <c:v>1623.3769301389393</c:v>
                </c:pt>
                <c:pt idx="32">
                  <c:v>1660.2063260677619</c:v>
                </c:pt>
                <c:pt idx="33">
                  <c:v>1691.0159552256368</c:v>
                </c:pt>
                <c:pt idx="34">
                  <c:v>1715.840452770231</c:v>
                </c:pt>
                <c:pt idx="35">
                  <c:v>1734.7751514208735</c:v>
                </c:pt>
                <c:pt idx="36">
                  <c:v>1747.968685586088</c:v>
                </c:pt>
                <c:pt idx="37">
                  <c:v>1755.6155658875773</c:v>
                </c:pt>
                <c:pt idx="38">
                  <c:v>1757.9488923792978</c:v>
                </c:pt>
                <c:pt idx="39">
                  <c:v>1755.2333412571345</c:v>
                </c:pt>
                <c:pt idx="40">
                  <c:v>1747.7585290314307</c:v>
                </c:pt>
                <c:pt idx="41">
                  <c:v>1735.8328304500953</c:v>
                </c:pt>
                <c:pt idx="42">
                  <c:v>1719.7777021380912</c:v>
                </c:pt>
                <c:pt idx="43">
                  <c:v>1699.9225430030324</c:v>
                </c:pt>
                <c:pt idx="44">
                  <c:v>1676.6001048543555</c:v>
                </c:pt>
                <c:pt idx="45">
                  <c:v>1650.1424522075963</c:v>
                </c:pt>
                <c:pt idx="46">
                  <c:v>1620.8774586452207</c:v>
                </c:pt>
                <c:pt idx="47">
                  <c:v>1589.1258180934817</c:v>
                </c:pt>
                <c:pt idx="48">
                  <c:v>1555.1985426467959</c:v>
                </c:pt>
                <c:pt idx="49">
                  <c:v>1519.3949138216258</c:v>
                </c:pt>
                <c:pt idx="50">
                  <c:v>1482.0008510551986</c:v>
                </c:pt>
                <c:pt idx="51">
                  <c:v>1443.2876596031119</c:v>
                </c:pt>
                <c:pt idx="52">
                  <c:v>1403.5111194784272</c:v>
                </c:pt>
                <c:pt idx="53">
                  <c:v>1362.9108774841045</c:v>
                </c:pt>
                <c:pt idx="54">
                  <c:v>1321.7101055171868</c:v>
                </c:pt>
                <c:pt idx="55">
                  <c:v>1280.115389990418</c:v>
                </c:pt>
                <c:pt idx="56">
                  <c:v>1238.3168192739481</c:v>
                </c:pt>
                <c:pt idx="57">
                  <c:v>1196.4882383786437</c:v>
                </c:pt>
                <c:pt idx="58">
                  <c:v>1154.7876425778054</c:v>
                </c:pt>
                <c:pt idx="59">
                  <c:v>1113.3576842095831</c:v>
                </c:pt>
                <c:pt idx="60">
                  <c:v>1072.3262694491302</c:v>
                </c:pt>
                <c:pt idx="61">
                  <c:v>1031.8072243341942</c:v>
                </c:pt>
                <c:pt idx="62">
                  <c:v>991.90101172920083</c:v>
                </c:pt>
                <c:pt idx="63">
                  <c:v>952.6954831916421</c:v>
                </c:pt>
                <c:pt idx="64">
                  <c:v>914.26665184004321</c:v>
                </c:pt>
                <c:pt idx="65">
                  <c:v>876.67947430216725</c:v>
                </c:pt>
                <c:pt idx="66">
                  <c:v>839.98863163849398</c:v>
                </c:pt>
                <c:pt idx="67">
                  <c:v>804.23930078788555</c:v>
                </c:pt>
                <c:pt idx="68">
                  <c:v>769.46790957141582</c:v>
                </c:pt>
                <c:pt idx="69">
                  <c:v>735.70286962182229</c:v>
                </c:pt>
                <c:pt idx="70">
                  <c:v>702.96528278682194</c:v>
                </c:pt>
                <c:pt idx="71">
                  <c:v>671.26961759335336</c:v>
                </c:pt>
                <c:pt idx="72">
                  <c:v>640.62435326623688</c:v>
                </c:pt>
                <c:pt idx="73">
                  <c:v>611.03258957880848</c:v>
                </c:pt>
                <c:pt idx="74">
                  <c:v>582.49262148530897</c:v>
                </c:pt>
                <c:pt idx="75">
                  <c:v>554.99847805544789</c:v>
                </c:pt>
                <c:pt idx="76">
                  <c:v>528.54042571051821</c:v>
                </c:pt>
                <c:pt idx="77">
                  <c:v>503.10543615765926</c:v>
                </c:pt>
                <c:pt idx="78">
                  <c:v>478.67761974325276</c:v>
                </c:pt>
                <c:pt idx="79">
                  <c:v>455.23862520672765</c:v>
                </c:pt>
                <c:pt idx="80">
                  <c:v>432.76800702007944</c:v>
                </c:pt>
                <c:pt idx="81">
                  <c:v>411.24356165364134</c:v>
                </c:pt>
                <c:pt idx="82">
                  <c:v>390.64163422160391</c:v>
                </c:pt>
                <c:pt idx="83">
                  <c:v>370.93739703769523</c:v>
                </c:pt>
                <c:pt idx="84">
                  <c:v>352.10510165754272</c:v>
                </c:pt>
                <c:pt idx="85">
                  <c:v>334.1183060046618</c:v>
                </c:pt>
                <c:pt idx="86">
                  <c:v>316.95007817583087</c:v>
                </c:pt>
                <c:pt idx="87">
                  <c:v>300.57317850286819</c:v>
                </c:pt>
                <c:pt idx="88">
                  <c:v>284.96022141471974</c:v>
                </c:pt>
                <c:pt idx="89">
                  <c:v>270.08381859928841</c:v>
                </c:pt>
                <c:pt idx="90">
                  <c:v>255.91670491119669</c:v>
                </c:pt>
                <c:pt idx="91">
                  <c:v>242.43184841168704</c:v>
                </c:pt>
                <c:pt idx="92">
                  <c:v>229.60254586220248</c:v>
                </c:pt>
                <c:pt idx="93">
                  <c:v>217.40250492532616</c:v>
                </c:pt>
                <c:pt idx="94">
                  <c:v>205.8059142570437</c:v>
                </c:pt>
                <c:pt idx="95">
                  <c:v>194.78750260386664</c:v>
                </c:pt>
                <c:pt idx="96">
                  <c:v>184.32258794816315</c:v>
                </c:pt>
                <c:pt idx="97">
                  <c:v>174.38711767577294</c:v>
                </c:pt>
                <c:pt idx="98">
                  <c:v>164.95770067229864</c:v>
                </c:pt>
                <c:pt idx="99">
                  <c:v>156.01163218881777</c:v>
                </c:pt>
                <c:pt idx="100">
                  <c:v>147.52691225449914</c:v>
                </c:pt>
                <c:pt idx="101">
                  <c:v>139.48225835302821</c:v>
                </c:pt>
                <c:pt idx="102">
                  <c:v>131.85711302205891</c:v>
                </c:pt>
                <c:pt idx="103">
                  <c:v>124.63164698013571</c:v>
                </c:pt>
                <c:pt idx="104">
                  <c:v>117.78675833389015</c:v>
                </c:pt>
                <c:pt idx="105">
                  <c:v>111.30406836968926</c:v>
                </c:pt>
                <c:pt idx="106">
                  <c:v>105.16591438836666</c:v>
                </c:pt>
                <c:pt idx="107">
                  <c:v>99.355339999105652</c:v>
                </c:pt>
                <c:pt idx="108">
                  <c:v>93.856083248924762</c:v>
                </c:pt>
                <c:pt idx="109">
                  <c:v>88.652562927420973</c:v>
                </c:pt>
                <c:pt idx="110">
                  <c:v>83.729863352353661</c:v>
                </c:pt>
                <c:pt idx="111">
                  <c:v>79.07371791020195</c:v>
                </c:pt>
                <c:pt idx="112">
                  <c:v>74.670491596837081</c:v>
                </c:pt>
                <c:pt idx="113">
                  <c:v>70.507162776822412</c:v>
                </c:pt>
                <c:pt idx="114">
                  <c:v>66.571304355456547</c:v>
                </c:pt>
                <c:pt idx="115">
                  <c:v>62.851064535325399</c:v>
                </c:pt>
                <c:pt idx="116">
                  <c:v>59.335147308776108</c:v>
                </c:pt>
                <c:pt idx="117">
                  <c:v>56.012792819164844</c:v>
                </c:pt>
                <c:pt idx="118">
                  <c:v>52.87375770689097</c:v>
                </c:pt>
                <c:pt idx="119">
                  <c:v>49.908295540959109</c:v>
                </c:pt>
                <c:pt idx="120">
                  <c:v>47.107137423001539</c:v>
                </c:pt>
                <c:pt idx="121">
                  <c:v>44.461472838251026</c:v>
                </c:pt>
                <c:pt idx="122">
                  <c:v>41.96293081672858</c:v>
                </c:pt>
                <c:pt idx="123">
                  <c:v>39.603561457876339</c:v>
                </c:pt>
                <c:pt idx="124">
                  <c:v>37.375817862836612</c:v>
                </c:pt>
                <c:pt idx="125">
                  <c:v>35.272538510554277</c:v>
                </c:pt>
                <c:pt idx="126">
                  <c:v>33.286930106712617</c:v>
                </c:pt>
                <c:pt idx="127">
                  <c:v>31.412550928160474</c:v>
                </c:pt>
                <c:pt idx="128">
                  <c:v>29.643294679872614</c:v>
                </c:pt>
                <c:pt idx="129">
                  <c:v>27.973374876525536</c:v>
                </c:pt>
                <c:pt idx="130">
                  <c:v>26.397309756428676</c:v>
                </c:pt>
                <c:pt idx="131">
                  <c:v>24.909907731743306</c:v>
                </c:pt>
                <c:pt idx="132">
                  <c:v>23.506253375618666</c:v>
                </c:pt>
                <c:pt idx="133">
                  <c:v>22.181693944010323</c:v>
                </c:pt>
                <c:pt idx="134">
                  <c:v>20.931826427491409</c:v>
                </c:pt>
                <c:pt idx="135">
                  <c:v>19.752485126258758</c:v>
                </c:pt>
                <c:pt idx="136">
                  <c:v>18.639729739770814</c:v>
                </c:pt>
                <c:pt idx="137">
                  <c:v>17.589833960954472</c:v>
                </c:pt>
                <c:pt idx="138">
                  <c:v>16.599274563695914</c:v>
                </c:pt>
                <c:pt idx="139">
                  <c:v>15.66472097132373</c:v>
                </c:pt>
                <c:pt idx="140">
                  <c:v>14.783025292992344</c:v>
                </c:pt>
                <c:pt idx="141">
                  <c:v>13.951212814257888</c:v>
                </c:pt>
                <c:pt idx="142">
                  <c:v>13.16647292767267</c:v>
                </c:pt>
                <c:pt idx="143">
                  <c:v>12.426150488902081</c:v>
                </c:pt>
                <c:pt idx="144">
                  <c:v>11.727737583666684</c:v>
                </c:pt>
                <c:pt idx="145">
                  <c:v>11.068865690713725</c:v>
                </c:pt>
                <c:pt idx="146">
                  <c:v>10.447298226022081</c:v>
                </c:pt>
                <c:pt idx="147">
                  <c:v>9.8609234535114449</c:v>
                </c:pt>
                <c:pt idx="148">
                  <c:v>9.3077477476759363</c:v>
                </c:pt>
                <c:pt idx="149">
                  <c:v>8.7858891937561783</c:v>
                </c:pt>
                <c:pt idx="150">
                  <c:v>8.2935715113132673</c:v>
                </c:pt>
                <c:pt idx="151">
                  <c:v>7.8291182873561276</c:v>
                </c:pt>
                <c:pt idx="152">
                  <c:v>7.3909475054923606</c:v>
                </c:pt>
                <c:pt idx="153">
                  <c:v>6.9775663579236387</c:v>
                </c:pt>
                <c:pt idx="154">
                  <c:v>6.5875663274715093</c:v>
                </c:pt>
                <c:pt idx="155">
                  <c:v>6.2196185272077651</c:v>
                </c:pt>
                <c:pt idx="156">
                  <c:v>5.8724692856566794</c:v>
                </c:pt>
                <c:pt idx="157">
                  <c:v>5.544935965945478</c:v>
                </c:pt>
                <c:pt idx="158">
                  <c:v>5.2359030076835298</c:v>
                </c:pt>
                <c:pt idx="159">
                  <c:v>4.9443181807676106</c:v>
                </c:pt>
                <c:pt idx="160">
                  <c:v>4.6691890407165877</c:v>
                </c:pt>
                <c:pt idx="161">
                  <c:v>4.4095795755502216</c:v>
                </c:pt>
                <c:pt idx="162">
                  <c:v>4.1646070346273749</c:v>
                </c:pt>
                <c:pt idx="163">
                  <c:v>3.9334389302597814</c:v>
                </c:pt>
                <c:pt idx="164">
                  <c:v>3.715290203303137</c:v>
                </c:pt>
                <c:pt idx="165">
                  <c:v>3.5094205443131448</c:v>
                </c:pt>
                <c:pt idx="166">
                  <c:v>3.3151318622232631</c:v>
                </c:pt>
                <c:pt idx="167">
                  <c:v>3.1317658928650469</c:v>
                </c:pt>
                <c:pt idx="168">
                  <c:v>2.9587019400030021</c:v>
                </c:pt>
                <c:pt idx="169">
                  <c:v>2.7953547418971674</c:v>
                </c:pt>
                <c:pt idx="170">
                  <c:v>2.6411724567360562</c:v>
                </c:pt>
                <c:pt idx="171">
                  <c:v>2.4956347606012477</c:v>
                </c:pt>
                <c:pt idx="172">
                  <c:v>2.3582510519313353</c:v>
                </c:pt>
                <c:pt idx="173">
                  <c:v>2.2285587567489626</c:v>
                </c:pt>
                <c:pt idx="174">
                  <c:v>2.1061217291979557</c:v>
                </c:pt>
                <c:pt idx="175">
                  <c:v>1.9905287422103664</c:v>
                </c:pt>
                <c:pt idx="176">
                  <c:v>1.8813920633845929</c:v>
                </c:pt>
                <c:pt idx="177">
                  <c:v>1.7783461114061818</c:v>
                </c:pt>
                <c:pt idx="178">
                  <c:v>1.681046188582225</c:v>
                </c:pt>
                <c:pt idx="179">
                  <c:v>1.5891672852894634</c:v>
                </c:pt>
                <c:pt idx="180">
                  <c:v>1.5024029523548661</c:v>
                </c:pt>
                <c:pt idx="181">
                  <c:v>1.4204642375960852</c:v>
                </c:pt>
                <c:pt idx="182">
                  <c:v>1.3430786829485246</c:v>
                </c:pt>
                <c:pt idx="183">
                  <c:v>1.2699893787952741</c:v>
                </c:pt>
                <c:pt idx="184">
                  <c:v>1.2009540722966696</c:v>
                </c:pt>
                <c:pt idx="185">
                  <c:v>1.1357443266885185</c:v>
                </c:pt>
                <c:pt idx="186">
                  <c:v>1.074144728681137</c:v>
                </c:pt>
                <c:pt idx="187">
                  <c:v>1.0159521412471268</c:v>
                </c:pt>
                <c:pt idx="188">
                  <c:v>0.96097499923311935</c:v>
                </c:pt>
                <c:pt idx="189">
                  <c:v>0.90903264537120754</c:v>
                </c:pt>
                <c:pt idx="190">
                  <c:v>0.85995470439869859</c:v>
                </c:pt>
                <c:pt idx="191">
                  <c:v>0.81358049312119352</c:v>
                </c:pt>
                <c:pt idx="192">
                  <c:v>0.76975846437346696</c:v>
                </c:pt>
                <c:pt idx="193">
                  <c:v>0.72834568294645352</c:v>
                </c:pt>
                <c:pt idx="194">
                  <c:v>0.68920733165576609</c:v>
                </c:pt>
                <c:pt idx="195">
                  <c:v>0.65221624582942583</c:v>
                </c:pt>
                <c:pt idx="196">
                  <c:v>0.61725247458845545</c:v>
                </c:pt>
                <c:pt idx="197">
                  <c:v>0.58420286738576432</c:v>
                </c:pt>
                <c:pt idx="198">
                  <c:v>0.55296068435463097</c:v>
                </c:pt>
                <c:pt idx="199">
                  <c:v>0.5234252291001773</c:v>
                </c:pt>
                <c:pt idx="200">
                  <c:v>0.4955015026442452</c:v>
                </c:pt>
                <c:pt idx="201">
                  <c:v>0.46909987730729369</c:v>
                </c:pt>
                <c:pt idx="202">
                  <c:v>0.44413578937989073</c:v>
                </c:pt>
                <c:pt idx="203">
                  <c:v>0.42052944950167509</c:v>
                </c:pt>
                <c:pt idx="204">
                  <c:v>0.39820556972734578</c:v>
                </c:pt>
                <c:pt idx="205">
                  <c:v>0.37709310631732912</c:v>
                </c:pt>
                <c:pt idx="206">
                  <c:v>0.35712501734604035</c:v>
                </c:pt>
                <c:pt idx="207">
                  <c:v>0.33823803427225169</c:v>
                </c:pt>
                <c:pt idx="208">
                  <c:v>0.32037244666542969</c:v>
                </c:pt>
                <c:pt idx="209">
                  <c:v>0.30347189932791618</c:v>
                </c:pt>
                <c:pt idx="210">
                  <c:v>0.28748320109670422</c:v>
                </c:pt>
                <c:pt idx="211">
                  <c:v>0.27235614464960117</c:v>
                </c:pt>
                <c:pt idx="212">
                  <c:v>0.25804333667958684</c:v>
                </c:pt>
                <c:pt idx="213">
                  <c:v>0.24450003783773513</c:v>
                </c:pt>
                <c:pt idx="214">
                  <c:v>0.23168401187976448</c:v>
                </c:pt>
                <c:pt idx="215">
                  <c:v>0.21955538348380665</c:v>
                </c:pt>
                <c:pt idx="216">
                  <c:v>0.20807650423781732</c:v>
                </c:pt>
                <c:pt idx="217">
                  <c:v>0.19721182632402609</c:v>
                </c:pt>
                <c:pt idx="218">
                  <c:v>0.1869277834551584</c:v>
                </c:pt>
                <c:pt idx="219">
                  <c:v>0.17719267864299418</c:v>
                </c:pt>
                <c:pt idx="220">
                  <c:v>0.1679765784040359</c:v>
                </c:pt>
                <c:pt idx="221">
                  <c:v>0.15925121303004147</c:v>
                </c:pt>
                <c:pt idx="222">
                  <c:v>0.15098988257272769</c:v>
                </c:pt>
                <c:pt idx="223">
                  <c:v>0.1431673682122748</c:v>
                </c:pt>
                <c:pt idx="224">
                  <c:v>0.13575984869846613</c:v>
                </c:pt>
                <c:pt idx="225">
                  <c:v>0.12874482157130396</c:v>
                </c:pt>
                <c:pt idx="226">
                  <c:v>0.12210102888501577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2D2-4346-8DCD-ABBA25EAC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'New_cases - LNorm'!$Y$7</c15:sqref>
                        </c15:formulaRef>
                      </c:ext>
                    </c:extLst>
                    <c:strCache>
                      <c:ptCount val="1"/>
                      <c:pt idx="0">
                        <c:v>Upper CI_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'New_cases - LNorm'!$C$55:$C$281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48</c:v>
                      </c:pt>
                      <c:pt idx="1">
                        <c:v>49</c:v>
                      </c:pt>
                      <c:pt idx="2">
                        <c:v>50</c:v>
                      </c:pt>
                      <c:pt idx="3">
                        <c:v>51</c:v>
                      </c:pt>
                      <c:pt idx="4">
                        <c:v>52</c:v>
                      </c:pt>
                      <c:pt idx="5">
                        <c:v>53</c:v>
                      </c:pt>
                      <c:pt idx="6">
                        <c:v>54</c:v>
                      </c:pt>
                      <c:pt idx="7">
                        <c:v>55</c:v>
                      </c:pt>
                      <c:pt idx="8">
                        <c:v>56</c:v>
                      </c:pt>
                      <c:pt idx="9">
                        <c:v>57</c:v>
                      </c:pt>
                      <c:pt idx="10">
                        <c:v>58</c:v>
                      </c:pt>
                      <c:pt idx="11">
                        <c:v>59</c:v>
                      </c:pt>
                      <c:pt idx="12">
                        <c:v>60</c:v>
                      </c:pt>
                      <c:pt idx="13">
                        <c:v>61</c:v>
                      </c:pt>
                      <c:pt idx="14">
                        <c:v>62</c:v>
                      </c:pt>
                      <c:pt idx="15">
                        <c:v>63</c:v>
                      </c:pt>
                      <c:pt idx="16">
                        <c:v>64</c:v>
                      </c:pt>
                      <c:pt idx="17">
                        <c:v>65</c:v>
                      </c:pt>
                      <c:pt idx="18">
                        <c:v>66</c:v>
                      </c:pt>
                      <c:pt idx="19">
                        <c:v>67</c:v>
                      </c:pt>
                      <c:pt idx="20">
                        <c:v>68</c:v>
                      </c:pt>
                      <c:pt idx="21">
                        <c:v>69</c:v>
                      </c:pt>
                      <c:pt idx="22">
                        <c:v>70</c:v>
                      </c:pt>
                      <c:pt idx="23">
                        <c:v>71</c:v>
                      </c:pt>
                      <c:pt idx="24">
                        <c:v>72</c:v>
                      </c:pt>
                      <c:pt idx="25">
                        <c:v>73</c:v>
                      </c:pt>
                      <c:pt idx="26">
                        <c:v>74</c:v>
                      </c:pt>
                      <c:pt idx="27">
                        <c:v>75</c:v>
                      </c:pt>
                      <c:pt idx="28">
                        <c:v>76</c:v>
                      </c:pt>
                      <c:pt idx="29">
                        <c:v>77</c:v>
                      </c:pt>
                      <c:pt idx="30">
                        <c:v>78</c:v>
                      </c:pt>
                      <c:pt idx="31">
                        <c:v>79</c:v>
                      </c:pt>
                      <c:pt idx="32">
                        <c:v>80</c:v>
                      </c:pt>
                      <c:pt idx="33">
                        <c:v>81</c:v>
                      </c:pt>
                      <c:pt idx="34">
                        <c:v>82</c:v>
                      </c:pt>
                      <c:pt idx="35">
                        <c:v>83</c:v>
                      </c:pt>
                      <c:pt idx="36">
                        <c:v>84</c:v>
                      </c:pt>
                      <c:pt idx="37">
                        <c:v>85</c:v>
                      </c:pt>
                      <c:pt idx="38">
                        <c:v>86</c:v>
                      </c:pt>
                      <c:pt idx="39">
                        <c:v>87</c:v>
                      </c:pt>
                      <c:pt idx="40">
                        <c:v>88</c:v>
                      </c:pt>
                      <c:pt idx="41">
                        <c:v>89</c:v>
                      </c:pt>
                      <c:pt idx="42">
                        <c:v>90</c:v>
                      </c:pt>
                      <c:pt idx="43">
                        <c:v>91</c:v>
                      </c:pt>
                      <c:pt idx="44">
                        <c:v>92</c:v>
                      </c:pt>
                      <c:pt idx="45">
                        <c:v>93</c:v>
                      </c:pt>
                      <c:pt idx="46">
                        <c:v>94</c:v>
                      </c:pt>
                      <c:pt idx="47">
                        <c:v>95</c:v>
                      </c:pt>
                      <c:pt idx="48">
                        <c:v>96</c:v>
                      </c:pt>
                      <c:pt idx="49">
                        <c:v>97</c:v>
                      </c:pt>
                      <c:pt idx="50">
                        <c:v>98</c:v>
                      </c:pt>
                      <c:pt idx="51">
                        <c:v>99</c:v>
                      </c:pt>
                      <c:pt idx="52">
                        <c:v>100</c:v>
                      </c:pt>
                      <c:pt idx="53">
                        <c:v>101</c:v>
                      </c:pt>
                      <c:pt idx="54">
                        <c:v>102</c:v>
                      </c:pt>
                      <c:pt idx="55">
                        <c:v>103</c:v>
                      </c:pt>
                      <c:pt idx="56">
                        <c:v>104</c:v>
                      </c:pt>
                      <c:pt idx="57">
                        <c:v>105</c:v>
                      </c:pt>
                      <c:pt idx="58">
                        <c:v>106</c:v>
                      </c:pt>
                      <c:pt idx="59">
                        <c:v>107</c:v>
                      </c:pt>
                      <c:pt idx="60">
                        <c:v>108</c:v>
                      </c:pt>
                      <c:pt idx="61">
                        <c:v>109</c:v>
                      </c:pt>
                      <c:pt idx="62">
                        <c:v>110</c:v>
                      </c:pt>
                      <c:pt idx="63">
                        <c:v>111</c:v>
                      </c:pt>
                      <c:pt idx="64">
                        <c:v>112</c:v>
                      </c:pt>
                      <c:pt idx="65">
                        <c:v>113</c:v>
                      </c:pt>
                      <c:pt idx="66">
                        <c:v>114</c:v>
                      </c:pt>
                      <c:pt idx="67">
                        <c:v>115</c:v>
                      </c:pt>
                      <c:pt idx="68">
                        <c:v>116</c:v>
                      </c:pt>
                      <c:pt idx="69">
                        <c:v>117</c:v>
                      </c:pt>
                      <c:pt idx="70">
                        <c:v>118</c:v>
                      </c:pt>
                      <c:pt idx="71">
                        <c:v>119</c:v>
                      </c:pt>
                      <c:pt idx="72">
                        <c:v>120</c:v>
                      </c:pt>
                      <c:pt idx="73">
                        <c:v>121</c:v>
                      </c:pt>
                      <c:pt idx="74">
                        <c:v>122</c:v>
                      </c:pt>
                      <c:pt idx="75">
                        <c:v>123</c:v>
                      </c:pt>
                      <c:pt idx="76">
                        <c:v>124</c:v>
                      </c:pt>
                      <c:pt idx="77">
                        <c:v>125</c:v>
                      </c:pt>
                      <c:pt idx="78">
                        <c:v>126</c:v>
                      </c:pt>
                      <c:pt idx="79">
                        <c:v>127</c:v>
                      </c:pt>
                      <c:pt idx="80">
                        <c:v>128</c:v>
                      </c:pt>
                      <c:pt idx="81">
                        <c:v>129</c:v>
                      </c:pt>
                      <c:pt idx="82">
                        <c:v>130</c:v>
                      </c:pt>
                      <c:pt idx="83">
                        <c:v>131</c:v>
                      </c:pt>
                      <c:pt idx="84">
                        <c:v>132</c:v>
                      </c:pt>
                      <c:pt idx="85">
                        <c:v>133</c:v>
                      </c:pt>
                      <c:pt idx="86">
                        <c:v>134</c:v>
                      </c:pt>
                      <c:pt idx="87">
                        <c:v>135</c:v>
                      </c:pt>
                      <c:pt idx="88">
                        <c:v>136</c:v>
                      </c:pt>
                      <c:pt idx="89">
                        <c:v>137</c:v>
                      </c:pt>
                      <c:pt idx="90">
                        <c:v>138</c:v>
                      </c:pt>
                      <c:pt idx="91">
                        <c:v>139</c:v>
                      </c:pt>
                      <c:pt idx="92">
                        <c:v>140</c:v>
                      </c:pt>
                      <c:pt idx="93">
                        <c:v>141</c:v>
                      </c:pt>
                      <c:pt idx="94">
                        <c:v>142</c:v>
                      </c:pt>
                      <c:pt idx="95">
                        <c:v>143</c:v>
                      </c:pt>
                      <c:pt idx="96">
                        <c:v>144</c:v>
                      </c:pt>
                      <c:pt idx="97">
                        <c:v>145</c:v>
                      </c:pt>
                      <c:pt idx="98">
                        <c:v>146</c:v>
                      </c:pt>
                      <c:pt idx="99">
                        <c:v>147</c:v>
                      </c:pt>
                      <c:pt idx="100">
                        <c:v>148</c:v>
                      </c:pt>
                      <c:pt idx="101">
                        <c:v>149</c:v>
                      </c:pt>
                      <c:pt idx="102">
                        <c:v>150</c:v>
                      </c:pt>
                      <c:pt idx="103">
                        <c:v>151</c:v>
                      </c:pt>
                      <c:pt idx="104">
                        <c:v>152</c:v>
                      </c:pt>
                      <c:pt idx="105">
                        <c:v>153</c:v>
                      </c:pt>
                      <c:pt idx="106">
                        <c:v>154</c:v>
                      </c:pt>
                      <c:pt idx="107">
                        <c:v>155</c:v>
                      </c:pt>
                      <c:pt idx="108">
                        <c:v>156</c:v>
                      </c:pt>
                      <c:pt idx="109">
                        <c:v>157</c:v>
                      </c:pt>
                      <c:pt idx="110">
                        <c:v>158</c:v>
                      </c:pt>
                      <c:pt idx="111">
                        <c:v>159</c:v>
                      </c:pt>
                      <c:pt idx="112">
                        <c:v>160</c:v>
                      </c:pt>
                      <c:pt idx="113">
                        <c:v>161</c:v>
                      </c:pt>
                      <c:pt idx="114">
                        <c:v>162</c:v>
                      </c:pt>
                      <c:pt idx="115">
                        <c:v>163</c:v>
                      </c:pt>
                      <c:pt idx="116">
                        <c:v>164</c:v>
                      </c:pt>
                      <c:pt idx="117">
                        <c:v>165</c:v>
                      </c:pt>
                      <c:pt idx="118">
                        <c:v>166</c:v>
                      </c:pt>
                      <c:pt idx="119">
                        <c:v>167</c:v>
                      </c:pt>
                      <c:pt idx="120">
                        <c:v>168</c:v>
                      </c:pt>
                      <c:pt idx="121">
                        <c:v>169</c:v>
                      </c:pt>
                      <c:pt idx="122">
                        <c:v>170</c:v>
                      </c:pt>
                      <c:pt idx="123">
                        <c:v>171</c:v>
                      </c:pt>
                      <c:pt idx="124">
                        <c:v>172</c:v>
                      </c:pt>
                      <c:pt idx="125">
                        <c:v>173</c:v>
                      </c:pt>
                      <c:pt idx="126">
                        <c:v>174</c:v>
                      </c:pt>
                      <c:pt idx="127">
                        <c:v>175</c:v>
                      </c:pt>
                      <c:pt idx="128">
                        <c:v>176</c:v>
                      </c:pt>
                      <c:pt idx="129">
                        <c:v>177</c:v>
                      </c:pt>
                      <c:pt idx="130">
                        <c:v>178</c:v>
                      </c:pt>
                      <c:pt idx="131">
                        <c:v>179</c:v>
                      </c:pt>
                      <c:pt idx="132">
                        <c:v>180</c:v>
                      </c:pt>
                      <c:pt idx="133">
                        <c:v>181</c:v>
                      </c:pt>
                      <c:pt idx="134">
                        <c:v>182</c:v>
                      </c:pt>
                      <c:pt idx="135">
                        <c:v>183</c:v>
                      </c:pt>
                      <c:pt idx="136">
                        <c:v>184</c:v>
                      </c:pt>
                      <c:pt idx="137">
                        <c:v>185</c:v>
                      </c:pt>
                      <c:pt idx="138">
                        <c:v>186</c:v>
                      </c:pt>
                      <c:pt idx="139">
                        <c:v>187</c:v>
                      </c:pt>
                      <c:pt idx="140">
                        <c:v>188</c:v>
                      </c:pt>
                      <c:pt idx="141">
                        <c:v>189</c:v>
                      </c:pt>
                      <c:pt idx="142">
                        <c:v>190</c:v>
                      </c:pt>
                      <c:pt idx="143">
                        <c:v>191</c:v>
                      </c:pt>
                      <c:pt idx="144">
                        <c:v>192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195</c:v>
                      </c:pt>
                      <c:pt idx="148">
                        <c:v>196</c:v>
                      </c:pt>
                      <c:pt idx="149">
                        <c:v>197</c:v>
                      </c:pt>
                      <c:pt idx="150">
                        <c:v>198</c:v>
                      </c:pt>
                      <c:pt idx="151">
                        <c:v>199</c:v>
                      </c:pt>
                      <c:pt idx="152">
                        <c:v>200</c:v>
                      </c:pt>
                      <c:pt idx="153">
                        <c:v>201</c:v>
                      </c:pt>
                      <c:pt idx="154">
                        <c:v>202</c:v>
                      </c:pt>
                      <c:pt idx="155">
                        <c:v>203</c:v>
                      </c:pt>
                      <c:pt idx="156">
                        <c:v>204</c:v>
                      </c:pt>
                      <c:pt idx="157">
                        <c:v>205</c:v>
                      </c:pt>
                      <c:pt idx="158">
                        <c:v>206</c:v>
                      </c:pt>
                      <c:pt idx="159">
                        <c:v>207</c:v>
                      </c:pt>
                      <c:pt idx="160">
                        <c:v>208</c:v>
                      </c:pt>
                      <c:pt idx="161">
                        <c:v>209</c:v>
                      </c:pt>
                      <c:pt idx="162">
                        <c:v>210</c:v>
                      </c:pt>
                      <c:pt idx="163">
                        <c:v>211</c:v>
                      </c:pt>
                      <c:pt idx="164">
                        <c:v>212</c:v>
                      </c:pt>
                      <c:pt idx="165">
                        <c:v>213</c:v>
                      </c:pt>
                      <c:pt idx="166">
                        <c:v>214</c:v>
                      </c:pt>
                      <c:pt idx="167">
                        <c:v>215</c:v>
                      </c:pt>
                      <c:pt idx="168">
                        <c:v>216</c:v>
                      </c:pt>
                      <c:pt idx="169">
                        <c:v>217</c:v>
                      </c:pt>
                      <c:pt idx="170">
                        <c:v>218</c:v>
                      </c:pt>
                      <c:pt idx="171">
                        <c:v>219</c:v>
                      </c:pt>
                      <c:pt idx="172">
                        <c:v>220</c:v>
                      </c:pt>
                      <c:pt idx="173">
                        <c:v>221</c:v>
                      </c:pt>
                      <c:pt idx="174">
                        <c:v>222</c:v>
                      </c:pt>
                      <c:pt idx="175">
                        <c:v>223</c:v>
                      </c:pt>
                      <c:pt idx="176">
                        <c:v>224</c:v>
                      </c:pt>
                      <c:pt idx="177">
                        <c:v>225</c:v>
                      </c:pt>
                      <c:pt idx="178">
                        <c:v>226</c:v>
                      </c:pt>
                      <c:pt idx="179">
                        <c:v>227</c:v>
                      </c:pt>
                      <c:pt idx="180">
                        <c:v>228</c:v>
                      </c:pt>
                      <c:pt idx="181">
                        <c:v>229</c:v>
                      </c:pt>
                      <c:pt idx="182">
                        <c:v>230</c:v>
                      </c:pt>
                      <c:pt idx="183">
                        <c:v>231</c:v>
                      </c:pt>
                      <c:pt idx="184">
                        <c:v>232</c:v>
                      </c:pt>
                      <c:pt idx="185">
                        <c:v>233</c:v>
                      </c:pt>
                      <c:pt idx="186">
                        <c:v>234</c:v>
                      </c:pt>
                      <c:pt idx="187">
                        <c:v>235</c:v>
                      </c:pt>
                      <c:pt idx="188">
                        <c:v>236</c:v>
                      </c:pt>
                      <c:pt idx="189">
                        <c:v>237</c:v>
                      </c:pt>
                      <c:pt idx="190">
                        <c:v>238</c:v>
                      </c:pt>
                      <c:pt idx="191">
                        <c:v>239</c:v>
                      </c:pt>
                      <c:pt idx="192">
                        <c:v>240</c:v>
                      </c:pt>
                      <c:pt idx="193">
                        <c:v>241</c:v>
                      </c:pt>
                      <c:pt idx="194">
                        <c:v>242</c:v>
                      </c:pt>
                      <c:pt idx="195">
                        <c:v>243</c:v>
                      </c:pt>
                      <c:pt idx="196">
                        <c:v>244</c:v>
                      </c:pt>
                      <c:pt idx="197">
                        <c:v>245</c:v>
                      </c:pt>
                      <c:pt idx="198">
                        <c:v>246</c:v>
                      </c:pt>
                      <c:pt idx="199">
                        <c:v>247</c:v>
                      </c:pt>
                      <c:pt idx="200">
                        <c:v>248</c:v>
                      </c:pt>
                      <c:pt idx="201">
                        <c:v>249</c:v>
                      </c:pt>
                      <c:pt idx="202">
                        <c:v>250</c:v>
                      </c:pt>
                      <c:pt idx="203">
                        <c:v>251</c:v>
                      </c:pt>
                      <c:pt idx="204">
                        <c:v>252</c:v>
                      </c:pt>
                      <c:pt idx="205">
                        <c:v>253</c:v>
                      </c:pt>
                      <c:pt idx="206">
                        <c:v>254</c:v>
                      </c:pt>
                      <c:pt idx="207">
                        <c:v>255</c:v>
                      </c:pt>
                      <c:pt idx="208">
                        <c:v>256</c:v>
                      </c:pt>
                      <c:pt idx="209">
                        <c:v>257</c:v>
                      </c:pt>
                      <c:pt idx="210">
                        <c:v>258</c:v>
                      </c:pt>
                      <c:pt idx="211">
                        <c:v>259</c:v>
                      </c:pt>
                      <c:pt idx="212">
                        <c:v>260</c:v>
                      </c:pt>
                      <c:pt idx="213">
                        <c:v>261</c:v>
                      </c:pt>
                      <c:pt idx="214">
                        <c:v>262</c:v>
                      </c:pt>
                      <c:pt idx="215">
                        <c:v>263</c:v>
                      </c:pt>
                      <c:pt idx="216">
                        <c:v>264</c:v>
                      </c:pt>
                      <c:pt idx="217">
                        <c:v>265</c:v>
                      </c:pt>
                      <c:pt idx="218">
                        <c:v>266</c:v>
                      </c:pt>
                      <c:pt idx="219">
                        <c:v>267</c:v>
                      </c:pt>
                      <c:pt idx="220">
                        <c:v>268</c:v>
                      </c:pt>
                      <c:pt idx="221">
                        <c:v>269</c:v>
                      </c:pt>
                      <c:pt idx="222">
                        <c:v>270</c:v>
                      </c:pt>
                      <c:pt idx="223">
                        <c:v>271</c:v>
                      </c:pt>
                      <c:pt idx="224">
                        <c:v>272</c:v>
                      </c:pt>
                      <c:pt idx="225">
                        <c:v>273</c:v>
                      </c:pt>
                      <c:pt idx="226">
                        <c:v>274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'New_cases - LNorm'!$Y$55:$Y$281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753.1775645236163</c:v>
                      </c:pt>
                      <c:pt idx="1">
                        <c:v>756.46777229840563</c:v>
                      </c:pt>
                      <c:pt idx="2">
                        <c:v>761.56706937785032</c:v>
                      </c:pt>
                      <c:pt idx="3">
                        <c:v>769.07997953308313</c:v>
                      </c:pt>
                      <c:pt idx="4">
                        <c:v>779.66782336910819</c:v>
                      </c:pt>
                      <c:pt idx="5">
                        <c:v>794.01480177298129</c:v>
                      </c:pt>
                      <c:pt idx="6">
                        <c:v>812.78920765106943</c:v>
                      </c:pt>
                      <c:pt idx="7">
                        <c:v>836.60346570909655</c:v>
                      </c:pt>
                      <c:pt idx="8">
                        <c:v>865.97655012870803</c:v>
                      </c:pt>
                      <c:pt idx="9">
                        <c:v>901.30177005979749</c:v>
                      </c:pt>
                      <c:pt idx="10">
                        <c:v>942.82210111335564</c:v>
                      </c:pt>
                      <c:pt idx="11">
                        <c:v>990.61433178391451</c:v>
                      </c:pt>
                      <c:pt idx="12">
                        <c:v>1044.5824141825615</c:v>
                      </c:pt>
                      <c:pt idx="13">
                        <c:v>1104.4596483479947</c:v>
                      </c:pt>
                      <c:pt idx="14">
                        <c:v>1169.8187400989862</c:v>
                      </c:pt>
                      <c:pt idx="15">
                        <c:v>1240.0883720905426</c:v>
                      </c:pt>
                      <c:pt idx="16">
                        <c:v>1314.5747094932244</c:v>
                      </c:pt>
                      <c:pt idx="17">
                        <c:v>1392.4862020461123</c:v>
                      </c:pt>
                      <c:pt idx="18">
                        <c:v>1472.9601108276647</c:v>
                      </c:pt>
                      <c:pt idx="19">
                        <c:v>1555.0893459248969</c:v>
                      </c:pt>
                      <c:pt idx="20">
                        <c:v>1637.9484168622218</c:v>
                      </c:pt>
                      <c:pt idx="21">
                        <c:v>1720.6175420849074</c:v>
                      </c:pt>
                      <c:pt idx="22">
                        <c:v>1802.2042135206395</c:v>
                      </c:pt>
                      <c:pt idx="23">
                        <c:v>1881.8617497689982</c:v>
                      </c:pt>
                      <c:pt idx="24">
                        <c:v>1958.8045849078323</c:v>
                      </c:pt>
                      <c:pt idx="25">
                        <c:v>2032.3202222450448</c:v>
                      </c:pt>
                      <c:pt idx="26">
                        <c:v>2101.7779305221206</c:v>
                      </c:pt>
                      <c:pt idx="27">
                        <c:v>2166.6343740316406</c:v>
                      </c:pt>
                      <c:pt idx="28">
                        <c:v>2226.4364499035155</c:v>
                      </c:pt>
                      <c:pt idx="29">
                        <c:v>2280.8216588593718</c:v>
                      </c:pt>
                      <c:pt idx="30">
                        <c:v>2329.5163641850031</c:v>
                      </c:pt>
                      <c:pt idx="31">
                        <c:v>2372.3323019425629</c:v>
                      </c:pt>
                      <c:pt idx="32">
                        <c:v>2409.1616978713855</c:v>
                      </c:pt>
                      <c:pt idx="33">
                        <c:v>2439.9713270292605</c:v>
                      </c:pt>
                      <c:pt idx="34">
                        <c:v>2464.7958245738546</c:v>
                      </c:pt>
                      <c:pt idx="35">
                        <c:v>2483.7305232244971</c:v>
                      </c:pt>
                      <c:pt idx="36">
                        <c:v>2496.9240573897114</c:v>
                      </c:pt>
                      <c:pt idx="37">
                        <c:v>2504.5709376912009</c:v>
                      </c:pt>
                      <c:pt idx="38">
                        <c:v>2506.9042641829215</c:v>
                      </c:pt>
                      <c:pt idx="39">
                        <c:v>2504.1887130607583</c:v>
                      </c:pt>
                      <c:pt idx="40">
                        <c:v>2496.7139008350541</c:v>
                      </c:pt>
                      <c:pt idx="41">
                        <c:v>2484.7882022537187</c:v>
                      </c:pt>
                      <c:pt idx="42">
                        <c:v>2468.7330739417148</c:v>
                      </c:pt>
                      <c:pt idx="43">
                        <c:v>2448.877914806656</c:v>
                      </c:pt>
                      <c:pt idx="44">
                        <c:v>2425.5554766579789</c:v>
                      </c:pt>
                      <c:pt idx="45">
                        <c:v>2399.0978240112199</c:v>
                      </c:pt>
                      <c:pt idx="46">
                        <c:v>2369.8328304488441</c:v>
                      </c:pt>
                      <c:pt idx="47">
                        <c:v>2338.0811898971051</c:v>
                      </c:pt>
                      <c:pt idx="48">
                        <c:v>2304.1539144504195</c:v>
                      </c:pt>
                      <c:pt idx="49">
                        <c:v>2268.3502856252494</c:v>
                      </c:pt>
                      <c:pt idx="50">
                        <c:v>2230.956222858822</c:v>
                      </c:pt>
                      <c:pt idx="51">
                        <c:v>2192.2430314067356</c:v>
                      </c:pt>
                      <c:pt idx="52">
                        <c:v>2152.4664912820508</c:v>
                      </c:pt>
                      <c:pt idx="53">
                        <c:v>2111.8662492877284</c:v>
                      </c:pt>
                      <c:pt idx="54">
                        <c:v>2070.6654773208102</c:v>
                      </c:pt>
                      <c:pt idx="55">
                        <c:v>2029.0707617940416</c:v>
                      </c:pt>
                      <c:pt idx="56">
                        <c:v>1987.2721910775717</c:v>
                      </c:pt>
                      <c:pt idx="57">
                        <c:v>1945.4436101822673</c:v>
                      </c:pt>
                      <c:pt idx="58">
                        <c:v>1903.743014381429</c:v>
                      </c:pt>
                      <c:pt idx="59">
                        <c:v>1862.3130560132067</c:v>
                      </c:pt>
                      <c:pt idx="60">
                        <c:v>1821.2816412527538</c:v>
                      </c:pt>
                      <c:pt idx="61">
                        <c:v>1780.7625961378178</c:v>
                      </c:pt>
                      <c:pt idx="62">
                        <c:v>1740.8563835328246</c:v>
                      </c:pt>
                      <c:pt idx="63">
                        <c:v>1701.6508549952657</c:v>
                      </c:pt>
                      <c:pt idx="64">
                        <c:v>1663.2220236436669</c:v>
                      </c:pt>
                      <c:pt idx="65">
                        <c:v>1625.634846105791</c:v>
                      </c:pt>
                      <c:pt idx="66">
                        <c:v>1588.9440034421177</c:v>
                      </c:pt>
                      <c:pt idx="67">
                        <c:v>1553.1946725915091</c:v>
                      </c:pt>
                      <c:pt idx="68">
                        <c:v>1518.4232813750396</c:v>
                      </c:pt>
                      <c:pt idx="69">
                        <c:v>1484.6582414254458</c:v>
                      </c:pt>
                      <c:pt idx="70">
                        <c:v>1451.9206545904456</c:v>
                      </c:pt>
                      <c:pt idx="71">
                        <c:v>1420.224989396977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72D2-4346-8DCD-ABBA25EACD7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 - LNorm'!$Z$7</c15:sqref>
                        </c15:formulaRef>
                      </c:ext>
                    </c:extLst>
                    <c:strCache>
                      <c:ptCount val="1"/>
                      <c:pt idx="0">
                        <c:v>Lower CI_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 - LNorm'!$C$55:$C$281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48</c:v>
                      </c:pt>
                      <c:pt idx="1">
                        <c:v>49</c:v>
                      </c:pt>
                      <c:pt idx="2">
                        <c:v>50</c:v>
                      </c:pt>
                      <c:pt idx="3">
                        <c:v>51</c:v>
                      </c:pt>
                      <c:pt idx="4">
                        <c:v>52</c:v>
                      </c:pt>
                      <c:pt idx="5">
                        <c:v>53</c:v>
                      </c:pt>
                      <c:pt idx="6">
                        <c:v>54</c:v>
                      </c:pt>
                      <c:pt idx="7">
                        <c:v>55</c:v>
                      </c:pt>
                      <c:pt idx="8">
                        <c:v>56</c:v>
                      </c:pt>
                      <c:pt idx="9">
                        <c:v>57</c:v>
                      </c:pt>
                      <c:pt idx="10">
                        <c:v>58</c:v>
                      </c:pt>
                      <c:pt idx="11">
                        <c:v>59</c:v>
                      </c:pt>
                      <c:pt idx="12">
                        <c:v>60</c:v>
                      </c:pt>
                      <c:pt idx="13">
                        <c:v>61</c:v>
                      </c:pt>
                      <c:pt idx="14">
                        <c:v>62</c:v>
                      </c:pt>
                      <c:pt idx="15">
                        <c:v>63</c:v>
                      </c:pt>
                      <c:pt idx="16">
                        <c:v>64</c:v>
                      </c:pt>
                      <c:pt idx="17">
                        <c:v>65</c:v>
                      </c:pt>
                      <c:pt idx="18">
                        <c:v>66</c:v>
                      </c:pt>
                      <c:pt idx="19">
                        <c:v>67</c:v>
                      </c:pt>
                      <c:pt idx="20">
                        <c:v>68</c:v>
                      </c:pt>
                      <c:pt idx="21">
                        <c:v>69</c:v>
                      </c:pt>
                      <c:pt idx="22">
                        <c:v>70</c:v>
                      </c:pt>
                      <c:pt idx="23">
                        <c:v>71</c:v>
                      </c:pt>
                      <c:pt idx="24">
                        <c:v>72</c:v>
                      </c:pt>
                      <c:pt idx="25">
                        <c:v>73</c:v>
                      </c:pt>
                      <c:pt idx="26">
                        <c:v>74</c:v>
                      </c:pt>
                      <c:pt idx="27">
                        <c:v>75</c:v>
                      </c:pt>
                      <c:pt idx="28">
                        <c:v>76</c:v>
                      </c:pt>
                      <c:pt idx="29">
                        <c:v>77</c:v>
                      </c:pt>
                      <c:pt idx="30">
                        <c:v>78</c:v>
                      </c:pt>
                      <c:pt idx="31">
                        <c:v>79</c:v>
                      </c:pt>
                      <c:pt idx="32">
                        <c:v>80</c:v>
                      </c:pt>
                      <c:pt idx="33">
                        <c:v>81</c:v>
                      </c:pt>
                      <c:pt idx="34">
                        <c:v>82</c:v>
                      </c:pt>
                      <c:pt idx="35">
                        <c:v>83</c:v>
                      </c:pt>
                      <c:pt idx="36">
                        <c:v>84</c:v>
                      </c:pt>
                      <c:pt idx="37">
                        <c:v>85</c:v>
                      </c:pt>
                      <c:pt idx="38">
                        <c:v>86</c:v>
                      </c:pt>
                      <c:pt idx="39">
                        <c:v>87</c:v>
                      </c:pt>
                      <c:pt idx="40">
                        <c:v>88</c:v>
                      </c:pt>
                      <c:pt idx="41">
                        <c:v>89</c:v>
                      </c:pt>
                      <c:pt idx="42">
                        <c:v>90</c:v>
                      </c:pt>
                      <c:pt idx="43">
                        <c:v>91</c:v>
                      </c:pt>
                      <c:pt idx="44">
                        <c:v>92</c:v>
                      </c:pt>
                      <c:pt idx="45">
                        <c:v>93</c:v>
                      </c:pt>
                      <c:pt idx="46">
                        <c:v>94</c:v>
                      </c:pt>
                      <c:pt idx="47">
                        <c:v>95</c:v>
                      </c:pt>
                      <c:pt idx="48">
                        <c:v>96</c:v>
                      </c:pt>
                      <c:pt idx="49">
                        <c:v>97</c:v>
                      </c:pt>
                      <c:pt idx="50">
                        <c:v>98</c:v>
                      </c:pt>
                      <c:pt idx="51">
                        <c:v>99</c:v>
                      </c:pt>
                      <c:pt idx="52">
                        <c:v>100</c:v>
                      </c:pt>
                      <c:pt idx="53">
                        <c:v>101</c:v>
                      </c:pt>
                      <c:pt idx="54">
                        <c:v>102</c:v>
                      </c:pt>
                      <c:pt idx="55">
                        <c:v>103</c:v>
                      </c:pt>
                      <c:pt idx="56">
                        <c:v>104</c:v>
                      </c:pt>
                      <c:pt idx="57">
                        <c:v>105</c:v>
                      </c:pt>
                      <c:pt idx="58">
                        <c:v>106</c:v>
                      </c:pt>
                      <c:pt idx="59">
                        <c:v>107</c:v>
                      </c:pt>
                      <c:pt idx="60">
                        <c:v>108</c:v>
                      </c:pt>
                      <c:pt idx="61">
                        <c:v>109</c:v>
                      </c:pt>
                      <c:pt idx="62">
                        <c:v>110</c:v>
                      </c:pt>
                      <c:pt idx="63">
                        <c:v>111</c:v>
                      </c:pt>
                      <c:pt idx="64">
                        <c:v>112</c:v>
                      </c:pt>
                      <c:pt idx="65">
                        <c:v>113</c:v>
                      </c:pt>
                      <c:pt idx="66">
                        <c:v>114</c:v>
                      </c:pt>
                      <c:pt idx="67">
                        <c:v>115</c:v>
                      </c:pt>
                      <c:pt idx="68">
                        <c:v>116</c:v>
                      </c:pt>
                      <c:pt idx="69">
                        <c:v>117</c:v>
                      </c:pt>
                      <c:pt idx="70">
                        <c:v>118</c:v>
                      </c:pt>
                      <c:pt idx="71">
                        <c:v>119</c:v>
                      </c:pt>
                      <c:pt idx="72">
                        <c:v>120</c:v>
                      </c:pt>
                      <c:pt idx="73">
                        <c:v>121</c:v>
                      </c:pt>
                      <c:pt idx="74">
                        <c:v>122</c:v>
                      </c:pt>
                      <c:pt idx="75">
                        <c:v>123</c:v>
                      </c:pt>
                      <c:pt idx="76">
                        <c:v>124</c:v>
                      </c:pt>
                      <c:pt idx="77">
                        <c:v>125</c:v>
                      </c:pt>
                      <c:pt idx="78">
                        <c:v>126</c:v>
                      </c:pt>
                      <c:pt idx="79">
                        <c:v>127</c:v>
                      </c:pt>
                      <c:pt idx="80">
                        <c:v>128</c:v>
                      </c:pt>
                      <c:pt idx="81">
                        <c:v>129</c:v>
                      </c:pt>
                      <c:pt idx="82">
                        <c:v>130</c:v>
                      </c:pt>
                      <c:pt idx="83">
                        <c:v>131</c:v>
                      </c:pt>
                      <c:pt idx="84">
                        <c:v>132</c:v>
                      </c:pt>
                      <c:pt idx="85">
                        <c:v>133</c:v>
                      </c:pt>
                      <c:pt idx="86">
                        <c:v>134</c:v>
                      </c:pt>
                      <c:pt idx="87">
                        <c:v>135</c:v>
                      </c:pt>
                      <c:pt idx="88">
                        <c:v>136</c:v>
                      </c:pt>
                      <c:pt idx="89">
                        <c:v>137</c:v>
                      </c:pt>
                      <c:pt idx="90">
                        <c:v>138</c:v>
                      </c:pt>
                      <c:pt idx="91">
                        <c:v>139</c:v>
                      </c:pt>
                      <c:pt idx="92">
                        <c:v>140</c:v>
                      </c:pt>
                      <c:pt idx="93">
                        <c:v>141</c:v>
                      </c:pt>
                      <c:pt idx="94">
                        <c:v>142</c:v>
                      </c:pt>
                      <c:pt idx="95">
                        <c:v>143</c:v>
                      </c:pt>
                      <c:pt idx="96">
                        <c:v>144</c:v>
                      </c:pt>
                      <c:pt idx="97">
                        <c:v>145</c:v>
                      </c:pt>
                      <c:pt idx="98">
                        <c:v>146</c:v>
                      </c:pt>
                      <c:pt idx="99">
                        <c:v>147</c:v>
                      </c:pt>
                      <c:pt idx="100">
                        <c:v>148</c:v>
                      </c:pt>
                      <c:pt idx="101">
                        <c:v>149</c:v>
                      </c:pt>
                      <c:pt idx="102">
                        <c:v>150</c:v>
                      </c:pt>
                      <c:pt idx="103">
                        <c:v>151</c:v>
                      </c:pt>
                      <c:pt idx="104">
                        <c:v>152</c:v>
                      </c:pt>
                      <c:pt idx="105">
                        <c:v>153</c:v>
                      </c:pt>
                      <c:pt idx="106">
                        <c:v>154</c:v>
                      </c:pt>
                      <c:pt idx="107">
                        <c:v>155</c:v>
                      </c:pt>
                      <c:pt idx="108">
                        <c:v>156</c:v>
                      </c:pt>
                      <c:pt idx="109">
                        <c:v>157</c:v>
                      </c:pt>
                      <c:pt idx="110">
                        <c:v>158</c:v>
                      </c:pt>
                      <c:pt idx="111">
                        <c:v>159</c:v>
                      </c:pt>
                      <c:pt idx="112">
                        <c:v>160</c:v>
                      </c:pt>
                      <c:pt idx="113">
                        <c:v>161</c:v>
                      </c:pt>
                      <c:pt idx="114">
                        <c:v>162</c:v>
                      </c:pt>
                      <c:pt idx="115">
                        <c:v>163</c:v>
                      </c:pt>
                      <c:pt idx="116">
                        <c:v>164</c:v>
                      </c:pt>
                      <c:pt idx="117">
                        <c:v>165</c:v>
                      </c:pt>
                      <c:pt idx="118">
                        <c:v>166</c:v>
                      </c:pt>
                      <c:pt idx="119">
                        <c:v>167</c:v>
                      </c:pt>
                      <c:pt idx="120">
                        <c:v>168</c:v>
                      </c:pt>
                      <c:pt idx="121">
                        <c:v>169</c:v>
                      </c:pt>
                      <c:pt idx="122">
                        <c:v>170</c:v>
                      </c:pt>
                      <c:pt idx="123">
                        <c:v>171</c:v>
                      </c:pt>
                      <c:pt idx="124">
                        <c:v>172</c:v>
                      </c:pt>
                      <c:pt idx="125">
                        <c:v>173</c:v>
                      </c:pt>
                      <c:pt idx="126">
                        <c:v>174</c:v>
                      </c:pt>
                      <c:pt idx="127">
                        <c:v>175</c:v>
                      </c:pt>
                      <c:pt idx="128">
                        <c:v>176</c:v>
                      </c:pt>
                      <c:pt idx="129">
                        <c:v>177</c:v>
                      </c:pt>
                      <c:pt idx="130">
                        <c:v>178</c:v>
                      </c:pt>
                      <c:pt idx="131">
                        <c:v>179</c:v>
                      </c:pt>
                      <c:pt idx="132">
                        <c:v>180</c:v>
                      </c:pt>
                      <c:pt idx="133">
                        <c:v>181</c:v>
                      </c:pt>
                      <c:pt idx="134">
                        <c:v>182</c:v>
                      </c:pt>
                      <c:pt idx="135">
                        <c:v>183</c:v>
                      </c:pt>
                      <c:pt idx="136">
                        <c:v>184</c:v>
                      </c:pt>
                      <c:pt idx="137">
                        <c:v>185</c:v>
                      </c:pt>
                      <c:pt idx="138">
                        <c:v>186</c:v>
                      </c:pt>
                      <c:pt idx="139">
                        <c:v>187</c:v>
                      </c:pt>
                      <c:pt idx="140">
                        <c:v>188</c:v>
                      </c:pt>
                      <c:pt idx="141">
                        <c:v>189</c:v>
                      </c:pt>
                      <c:pt idx="142">
                        <c:v>190</c:v>
                      </c:pt>
                      <c:pt idx="143">
                        <c:v>191</c:v>
                      </c:pt>
                      <c:pt idx="144">
                        <c:v>192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195</c:v>
                      </c:pt>
                      <c:pt idx="148">
                        <c:v>196</c:v>
                      </c:pt>
                      <c:pt idx="149">
                        <c:v>197</c:v>
                      </c:pt>
                      <c:pt idx="150">
                        <c:v>198</c:v>
                      </c:pt>
                      <c:pt idx="151">
                        <c:v>199</c:v>
                      </c:pt>
                      <c:pt idx="152">
                        <c:v>200</c:v>
                      </c:pt>
                      <c:pt idx="153">
                        <c:v>201</c:v>
                      </c:pt>
                      <c:pt idx="154">
                        <c:v>202</c:v>
                      </c:pt>
                      <c:pt idx="155">
                        <c:v>203</c:v>
                      </c:pt>
                      <c:pt idx="156">
                        <c:v>204</c:v>
                      </c:pt>
                      <c:pt idx="157">
                        <c:v>205</c:v>
                      </c:pt>
                      <c:pt idx="158">
                        <c:v>206</c:v>
                      </c:pt>
                      <c:pt idx="159">
                        <c:v>207</c:v>
                      </c:pt>
                      <c:pt idx="160">
                        <c:v>208</c:v>
                      </c:pt>
                      <c:pt idx="161">
                        <c:v>209</c:v>
                      </c:pt>
                      <c:pt idx="162">
                        <c:v>210</c:v>
                      </c:pt>
                      <c:pt idx="163">
                        <c:v>211</c:v>
                      </c:pt>
                      <c:pt idx="164">
                        <c:v>212</c:v>
                      </c:pt>
                      <c:pt idx="165">
                        <c:v>213</c:v>
                      </c:pt>
                      <c:pt idx="166">
                        <c:v>214</c:v>
                      </c:pt>
                      <c:pt idx="167">
                        <c:v>215</c:v>
                      </c:pt>
                      <c:pt idx="168">
                        <c:v>216</c:v>
                      </c:pt>
                      <c:pt idx="169">
                        <c:v>217</c:v>
                      </c:pt>
                      <c:pt idx="170">
                        <c:v>218</c:v>
                      </c:pt>
                      <c:pt idx="171">
                        <c:v>219</c:v>
                      </c:pt>
                      <c:pt idx="172">
                        <c:v>220</c:v>
                      </c:pt>
                      <c:pt idx="173">
                        <c:v>221</c:v>
                      </c:pt>
                      <c:pt idx="174">
                        <c:v>222</c:v>
                      </c:pt>
                      <c:pt idx="175">
                        <c:v>223</c:v>
                      </c:pt>
                      <c:pt idx="176">
                        <c:v>224</c:v>
                      </c:pt>
                      <c:pt idx="177">
                        <c:v>225</c:v>
                      </c:pt>
                      <c:pt idx="178">
                        <c:v>226</c:v>
                      </c:pt>
                      <c:pt idx="179">
                        <c:v>227</c:v>
                      </c:pt>
                      <c:pt idx="180">
                        <c:v>228</c:v>
                      </c:pt>
                      <c:pt idx="181">
                        <c:v>229</c:v>
                      </c:pt>
                      <c:pt idx="182">
                        <c:v>230</c:v>
                      </c:pt>
                      <c:pt idx="183">
                        <c:v>231</c:v>
                      </c:pt>
                      <c:pt idx="184">
                        <c:v>232</c:v>
                      </c:pt>
                      <c:pt idx="185">
                        <c:v>233</c:v>
                      </c:pt>
                      <c:pt idx="186">
                        <c:v>234</c:v>
                      </c:pt>
                      <c:pt idx="187">
                        <c:v>235</c:v>
                      </c:pt>
                      <c:pt idx="188">
                        <c:v>236</c:v>
                      </c:pt>
                      <c:pt idx="189">
                        <c:v>237</c:v>
                      </c:pt>
                      <c:pt idx="190">
                        <c:v>238</c:v>
                      </c:pt>
                      <c:pt idx="191">
                        <c:v>239</c:v>
                      </c:pt>
                      <c:pt idx="192">
                        <c:v>240</c:v>
                      </c:pt>
                      <c:pt idx="193">
                        <c:v>241</c:v>
                      </c:pt>
                      <c:pt idx="194">
                        <c:v>242</c:v>
                      </c:pt>
                      <c:pt idx="195">
                        <c:v>243</c:v>
                      </c:pt>
                      <c:pt idx="196">
                        <c:v>244</c:v>
                      </c:pt>
                      <c:pt idx="197">
                        <c:v>245</c:v>
                      </c:pt>
                      <c:pt idx="198">
                        <c:v>246</c:v>
                      </c:pt>
                      <c:pt idx="199">
                        <c:v>247</c:v>
                      </c:pt>
                      <c:pt idx="200">
                        <c:v>248</c:v>
                      </c:pt>
                      <c:pt idx="201">
                        <c:v>249</c:v>
                      </c:pt>
                      <c:pt idx="202">
                        <c:v>250</c:v>
                      </c:pt>
                      <c:pt idx="203">
                        <c:v>251</c:v>
                      </c:pt>
                      <c:pt idx="204">
                        <c:v>252</c:v>
                      </c:pt>
                      <c:pt idx="205">
                        <c:v>253</c:v>
                      </c:pt>
                      <c:pt idx="206">
                        <c:v>254</c:v>
                      </c:pt>
                      <c:pt idx="207">
                        <c:v>255</c:v>
                      </c:pt>
                      <c:pt idx="208">
                        <c:v>256</c:v>
                      </c:pt>
                      <c:pt idx="209">
                        <c:v>257</c:v>
                      </c:pt>
                      <c:pt idx="210">
                        <c:v>258</c:v>
                      </c:pt>
                      <c:pt idx="211">
                        <c:v>259</c:v>
                      </c:pt>
                      <c:pt idx="212">
                        <c:v>260</c:v>
                      </c:pt>
                      <c:pt idx="213">
                        <c:v>261</c:v>
                      </c:pt>
                      <c:pt idx="214">
                        <c:v>262</c:v>
                      </c:pt>
                      <c:pt idx="215">
                        <c:v>263</c:v>
                      </c:pt>
                      <c:pt idx="216">
                        <c:v>264</c:v>
                      </c:pt>
                      <c:pt idx="217">
                        <c:v>265</c:v>
                      </c:pt>
                      <c:pt idx="218">
                        <c:v>266</c:v>
                      </c:pt>
                      <c:pt idx="219">
                        <c:v>267</c:v>
                      </c:pt>
                      <c:pt idx="220">
                        <c:v>268</c:v>
                      </c:pt>
                      <c:pt idx="221">
                        <c:v>269</c:v>
                      </c:pt>
                      <c:pt idx="222">
                        <c:v>270</c:v>
                      </c:pt>
                      <c:pt idx="223">
                        <c:v>271</c:v>
                      </c:pt>
                      <c:pt idx="224">
                        <c:v>272</c:v>
                      </c:pt>
                      <c:pt idx="225">
                        <c:v>273</c:v>
                      </c:pt>
                      <c:pt idx="226">
                        <c:v>274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 - LNorm'!$Z$55:$Z$281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57.178602317649506</c:v>
                      </c:pt>
                      <c:pt idx="20">
                        <c:v>140.03767325497461</c:v>
                      </c:pt>
                      <c:pt idx="21">
                        <c:v>222.70679847766019</c:v>
                      </c:pt>
                      <c:pt idx="22">
                        <c:v>304.2934699133923</c:v>
                      </c:pt>
                      <c:pt idx="23">
                        <c:v>383.95100616175091</c:v>
                      </c:pt>
                      <c:pt idx="24">
                        <c:v>460.89384130058511</c:v>
                      </c:pt>
                      <c:pt idx="25">
                        <c:v>534.40947863779752</c:v>
                      </c:pt>
                      <c:pt idx="26">
                        <c:v>603.8671869148734</c:v>
                      </c:pt>
                      <c:pt idx="27">
                        <c:v>668.72363042439338</c:v>
                      </c:pt>
                      <c:pt idx="28">
                        <c:v>728.52570629626825</c:v>
                      </c:pt>
                      <c:pt idx="29">
                        <c:v>782.9109152521246</c:v>
                      </c:pt>
                      <c:pt idx="30">
                        <c:v>831.60562057775587</c:v>
                      </c:pt>
                      <c:pt idx="31">
                        <c:v>874.42155833531569</c:v>
                      </c:pt>
                      <c:pt idx="32">
                        <c:v>911.25095426413827</c:v>
                      </c:pt>
                      <c:pt idx="33">
                        <c:v>942.06058342201322</c:v>
                      </c:pt>
                      <c:pt idx="34">
                        <c:v>966.88508096660735</c:v>
                      </c:pt>
                      <c:pt idx="35">
                        <c:v>985.81977961724988</c:v>
                      </c:pt>
                      <c:pt idx="36">
                        <c:v>999.01331378246437</c:v>
                      </c:pt>
                      <c:pt idx="37">
                        <c:v>1006.6601940839537</c:v>
                      </c:pt>
                      <c:pt idx="38">
                        <c:v>1008.9935205756742</c:v>
                      </c:pt>
                      <c:pt idx="39">
                        <c:v>1006.2779694535109</c:v>
                      </c:pt>
                      <c:pt idx="40">
                        <c:v>998.80315722780711</c:v>
                      </c:pt>
                      <c:pt idx="41">
                        <c:v>986.87745864647172</c:v>
                      </c:pt>
                      <c:pt idx="42">
                        <c:v>970.82233033446755</c:v>
                      </c:pt>
                      <c:pt idx="43">
                        <c:v>950.96717119940877</c:v>
                      </c:pt>
                      <c:pt idx="44">
                        <c:v>927.64473305073193</c:v>
                      </c:pt>
                      <c:pt idx="45">
                        <c:v>901.18708040397269</c:v>
                      </c:pt>
                      <c:pt idx="46">
                        <c:v>871.92208684159709</c:v>
                      </c:pt>
                      <c:pt idx="47">
                        <c:v>840.17044628985809</c:v>
                      </c:pt>
                      <c:pt idx="48">
                        <c:v>806.24317084317227</c:v>
                      </c:pt>
                      <c:pt idx="49">
                        <c:v>770.43954201800216</c:v>
                      </c:pt>
                      <c:pt idx="50">
                        <c:v>733.04547925157499</c:v>
                      </c:pt>
                      <c:pt idx="51">
                        <c:v>694.33228779948831</c:v>
                      </c:pt>
                      <c:pt idx="52">
                        <c:v>654.55574767480357</c:v>
                      </c:pt>
                      <c:pt idx="53">
                        <c:v>613.95550568048088</c:v>
                      </c:pt>
                      <c:pt idx="54">
                        <c:v>572.75473371356316</c:v>
                      </c:pt>
                      <c:pt idx="55">
                        <c:v>531.16001818679433</c:v>
                      </c:pt>
                      <c:pt idx="56">
                        <c:v>489.36144747032449</c:v>
                      </c:pt>
                      <c:pt idx="57">
                        <c:v>447.53286657502008</c:v>
                      </c:pt>
                      <c:pt idx="58">
                        <c:v>405.83227077418178</c:v>
                      </c:pt>
                      <c:pt idx="59">
                        <c:v>364.40231240595949</c:v>
                      </c:pt>
                      <c:pt idx="60">
                        <c:v>323.3708976455066</c:v>
                      </c:pt>
                      <c:pt idx="61">
                        <c:v>282.85185253057057</c:v>
                      </c:pt>
                      <c:pt idx="62">
                        <c:v>242.94563992557721</c:v>
                      </c:pt>
                      <c:pt idx="63">
                        <c:v>203.74011138801848</c:v>
                      </c:pt>
                      <c:pt idx="64">
                        <c:v>165.31128003641959</c:v>
                      </c:pt>
                      <c:pt idx="65">
                        <c:v>127.72410249854363</c:v>
                      </c:pt>
                      <c:pt idx="66">
                        <c:v>91.033259834870364</c:v>
                      </c:pt>
                      <c:pt idx="67">
                        <c:v>55.283928984261934</c:v>
                      </c:pt>
                      <c:pt idx="68">
                        <c:v>20.512537767792196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2D2-4346-8DCD-ABBA25EACD7C}"/>
                  </c:ext>
                </c:extLst>
              </c15:ser>
            </c15:filteredScatterSeries>
          </c:ext>
        </c:extLst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kern="1200" baseline="0">
                    <a:solidFill>
                      <a:srgbClr val="595959"/>
                    </a:solidFill>
                    <a:effectLst/>
                  </a:rPr>
                  <a:t>Days from </a:t>
                </a:r>
                <a:endParaRPr lang="it-IT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Dayly new cases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559432029216846"/>
          <c:y val="0.29995932162913086"/>
          <c:w val="0.17309550729317555"/>
          <c:h val="0.190973589801624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B050"/>
                </a:solidFill>
              </a:rPr>
              <a:t>rest of Italy outside Lombardy </a:t>
            </a:r>
            <a:r>
              <a:rPr lang="it-IT" sz="1400" b="0" i="0" u="none" strike="noStrike" baseline="0">
                <a:solidFill>
                  <a:srgbClr val="00B050"/>
                </a:solidFill>
                <a:effectLst/>
              </a:rPr>
              <a:t>- Daily new cases (velocity) - Lognormal</a:t>
            </a:r>
            <a:endParaRPr lang="it-IT">
              <a:solidFill>
                <a:srgbClr val="00B05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'New_cases - LNorm'!$AB$7</c:f>
              <c:strCache>
                <c:ptCount val="1"/>
                <c:pt idx="0">
                  <c:v>rest of Italy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LNorm'!$AB$8:$AB$281</c:f>
              <c:numCache>
                <c:formatCode>General</c:formatCode>
                <c:ptCount val="274"/>
                <c:pt idx="55" formatCode="0">
                  <c:v>25</c:v>
                </c:pt>
                <c:pt idx="56" formatCode="0">
                  <c:v>60</c:v>
                </c:pt>
                <c:pt idx="57" formatCode="0">
                  <c:v>105</c:v>
                </c:pt>
                <c:pt idx="58" formatCode="0">
                  <c:v>110</c:v>
                </c:pt>
                <c:pt idx="59" formatCode="0">
                  <c:v>156</c:v>
                </c:pt>
                <c:pt idx="60" formatCode="0">
                  <c:v>197</c:v>
                </c:pt>
                <c:pt idx="61" formatCode="0">
                  <c:v>72</c:v>
                </c:pt>
                <c:pt idx="62" formatCode="0">
                  <c:v>200</c:v>
                </c:pt>
                <c:pt idx="63" formatCode="0">
                  <c:v>287</c:v>
                </c:pt>
                <c:pt idx="64" formatCode="0">
                  <c:v>338</c:v>
                </c:pt>
                <c:pt idx="65" formatCode="0">
                  <c:v>417</c:v>
                </c:pt>
                <c:pt idx="66" formatCode="0">
                  <c:v>439</c:v>
                </c:pt>
                <c:pt idx="67" formatCode="0">
                  <c:v>723</c:v>
                </c:pt>
                <c:pt idx="68" formatCode="0">
                  <c:v>517</c:v>
                </c:pt>
                <c:pt idx="69" formatCode="0">
                  <c:v>655</c:v>
                </c:pt>
                <c:pt idx="70" formatCode="0">
                  <c:v>824</c:v>
                </c:pt>
                <c:pt idx="71" formatCode="0">
                  <c:v>1206</c:v>
                </c:pt>
                <c:pt idx="72" formatCode="0">
                  <c:v>1452</c:v>
                </c:pt>
                <c:pt idx="73" formatCode="0">
                  <c:v>1632</c:v>
                </c:pt>
                <c:pt idx="74" formatCode="0">
                  <c:v>2003</c:v>
                </c:pt>
                <c:pt idx="75" formatCode="0">
                  <c:v>1856</c:v>
                </c:pt>
                <c:pt idx="76" formatCode="0">
                  <c:v>1955</c:v>
                </c:pt>
                <c:pt idx="77" formatCode="0">
                  <c:v>2714</c:v>
                </c:pt>
                <c:pt idx="78" formatCode="0">
                  <c:v>3151</c:v>
                </c:pt>
                <c:pt idx="79" formatCode="0">
                  <c:v>3606</c:v>
                </c:pt>
                <c:pt idx="80" formatCode="0">
                  <c:v>3306</c:v>
                </c:pt>
                <c:pt idx="81" formatCode="0">
                  <c:v>3869</c:v>
                </c:pt>
                <c:pt idx="82" formatCode="0">
                  <c:v>3234</c:v>
                </c:pt>
                <c:pt idx="83" formatCode="0">
                  <c:v>3307</c:v>
                </c:pt>
                <c:pt idx="84" formatCode="0">
                  <c:v>3567</c:v>
                </c:pt>
                <c:pt idx="85" formatCode="0">
                  <c:v>3610</c:v>
                </c:pt>
                <c:pt idx="86" formatCode="0">
                  <c:v>3550</c:v>
                </c:pt>
                <c:pt idx="87" formatCode="0">
                  <c:v>3857</c:v>
                </c:pt>
                <c:pt idx="88" formatCode="0">
                  <c:v>3625</c:v>
                </c:pt>
                <c:pt idx="89" formatCode="0">
                  <c:v>2896</c:v>
                </c:pt>
                <c:pt idx="90" formatCode="0">
                  <c:v>3006</c:v>
                </c:pt>
                <c:pt idx="91" formatCode="0">
                  <c:v>3217</c:v>
                </c:pt>
                <c:pt idx="92" formatCode="0">
                  <c:v>3376</c:v>
                </c:pt>
                <c:pt idx="93" formatCode="0">
                  <c:v>3130</c:v>
                </c:pt>
                <c:pt idx="94" formatCode="0">
                  <c:v>3207</c:v>
                </c:pt>
                <c:pt idx="95" formatCode="0">
                  <c:v>2979</c:v>
                </c:pt>
                <c:pt idx="96" formatCode="0">
                  <c:v>2520</c:v>
                </c:pt>
                <c:pt idx="97" formatCode="0">
                  <c:v>2248</c:v>
                </c:pt>
                <c:pt idx="98" formatCode="0">
                  <c:v>2747</c:v>
                </c:pt>
                <c:pt idx="99" formatCode="0">
                  <c:v>2816</c:v>
                </c:pt>
                <c:pt idx="100" formatCode="0">
                  <c:v>2705</c:v>
                </c:pt>
                <c:pt idx="101" formatCode="0">
                  <c:v>3150</c:v>
                </c:pt>
                <c:pt idx="102" formatCode="0">
                  <c:v>2632</c:v>
                </c:pt>
                <c:pt idx="103" formatCode="0">
                  <c:v>1891</c:v>
                </c:pt>
                <c:pt idx="104" formatCode="0">
                  <c:v>1960</c:v>
                </c:pt>
                <c:pt idx="105" formatCode="0">
                  <c:v>1840</c:v>
                </c:pt>
                <c:pt idx="106" formatCode="0">
                  <c:v>2845</c:v>
                </c:pt>
                <c:pt idx="107" formatCode="0">
                  <c:v>2452</c:v>
                </c:pt>
                <c:pt idx="108" formatCode="0">
                  <c:v>2245</c:v>
                </c:pt>
                <c:pt idx="109" formatCode="0">
                  <c:v>2192</c:v>
                </c:pt>
                <c:pt idx="110" formatCode="0">
                  <c:v>1521</c:v>
                </c:pt>
                <c:pt idx="111" formatCode="0">
                  <c:v>1769</c:v>
                </c:pt>
                <c:pt idx="112" formatCode="0">
                  <c:v>2209</c:v>
                </c:pt>
                <c:pt idx="113" formatCode="0">
                  <c:v>1573</c:v>
                </c:pt>
                <c:pt idx="114" formatCode="0">
                  <c:v>1930</c:v>
                </c:pt>
                <c:pt idx="115" formatCode="0">
                  <c:v>1644</c:v>
                </c:pt>
                <c:pt idx="116" formatCode="0">
                  <c:v>1404</c:v>
                </c:pt>
                <c:pt idx="117" formatCode="0">
                  <c:v>1149</c:v>
                </c:pt>
                <c:pt idx="118" formatCode="0">
                  <c:v>1222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5D-4DF7-941B-58ED2F347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'New_cases - LNorm'!$AF$7</c:f>
              <c:strCache>
                <c:ptCount val="1"/>
                <c:pt idx="0">
                  <c:v>rest of Italy fit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'New_cases - LNorm'!$AF$62:$AF$281</c:f>
              <c:numCache>
                <c:formatCode>General</c:formatCode>
                <c:ptCount val="220"/>
                <c:pt idx="0">
                  <c:v>10.325132476591177</c:v>
                </c:pt>
                <c:pt idx="1">
                  <c:v>18.443627571700961</c:v>
                </c:pt>
                <c:pt idx="2">
                  <c:v>31.054503010317745</c:v>
                </c:pt>
                <c:pt idx="3">
                  <c:v>49.651415984551527</c:v>
                </c:pt>
                <c:pt idx="4">
                  <c:v>75.848938488127814</c:v>
                </c:pt>
                <c:pt idx="5">
                  <c:v>111.28688876154665</c:v>
                </c:pt>
                <c:pt idx="6">
                  <c:v>157.52296613712468</c:v>
                </c:pt>
                <c:pt idx="7">
                  <c:v>215.92471211240581</c:v>
                </c:pt>
                <c:pt idx="8">
                  <c:v>287.57118773992391</c:v>
                </c:pt>
                <c:pt idx="9">
                  <c:v>373.17284739564866</c:v>
                </c:pt>
                <c:pt idx="10">
                  <c:v>473.01542232477493</c:v>
                </c:pt>
                <c:pt idx="11">
                  <c:v>586.9307141643676</c:v>
                </c:pt>
                <c:pt idx="12">
                  <c:v>714.29445601251996</c:v>
                </c:pt>
                <c:pt idx="13">
                  <c:v>854.04911286766855</c:v>
                </c:pt>
                <c:pt idx="14">
                  <c:v>1004.7478170397067</c:v>
                </c:pt>
                <c:pt idx="15">
                  <c:v>1164.6146057079882</c:v>
                </c:pt>
                <c:pt idx="16">
                  <c:v>1331.6157009039941</c:v>
                </c:pt>
                <c:pt idx="17">
                  <c:v>1503.53664763659</c:v>
                </c:pt>
                <c:pt idx="18">
                  <c:v>1678.0605794728556</c:v>
                </c:pt>
                <c:pt idx="19">
                  <c:v>1852.8435850697485</c:v>
                </c:pt>
                <c:pt idx="20">
                  <c:v>2025.5839876535661</c:v>
                </c:pt>
                <c:pt idx="21">
                  <c:v>2194.0832257012048</c:v>
                </c:pt>
                <c:pt idx="22">
                  <c:v>2356.2968636267587</c:v>
                </c:pt>
                <c:pt idx="23">
                  <c:v>2510.3750155728749</c:v>
                </c:pt>
                <c:pt idx="24">
                  <c:v>2654.692103379326</c:v>
                </c:pt>
                <c:pt idx="25">
                  <c:v>2787.8663782449853</c:v>
                </c:pt>
                <c:pt idx="26">
                  <c:v>2908.7700141799401</c:v>
                </c:pt>
                <c:pt idx="27">
                  <c:v>3016.5308387721075</c:v>
                </c:pt>
                <c:pt idx="28">
                  <c:v>3110.5269174635955</c:v>
                </c:pt>
                <c:pt idx="29">
                  <c:v>3190.3752687921292</c:v>
                </c:pt>
                <c:pt idx="30">
                  <c:v>3255.9159781051599</c:v>
                </c:pt>
                <c:pt idx="31">
                  <c:v>3307.192913674166</c:v>
                </c:pt>
                <c:pt idx="32">
                  <c:v>3344.4321479038872</c:v>
                </c:pt>
                <c:pt idx="33">
                  <c:v>3368.0190612821943</c:v>
                </c:pt>
                <c:pt idx="34">
                  <c:v>3378.4749693188419</c:v>
                </c:pt>
                <c:pt idx="35">
                  <c:v>3376.4339720750772</c:v>
                </c:pt>
                <c:pt idx="36">
                  <c:v>3362.6205888789086</c:v>
                </c:pt>
                <c:pt idx="37">
                  <c:v>3337.828612374286</c:v>
                </c:pt>
                <c:pt idx="38">
                  <c:v>3302.901499412304</c:v>
                </c:pt>
                <c:pt idx="39">
                  <c:v>3258.7145133293802</c:v>
                </c:pt>
                <c:pt idx="40">
                  <c:v>3206.1587436562982</c:v>
                </c:pt>
                <c:pt idx="41">
                  <c:v>3146.127055224069</c:v>
                </c:pt>
                <c:pt idx="42">
                  <c:v>3079.5019583444746</c:v>
                </c:pt>
                <c:pt idx="43">
                  <c:v>3007.145344209152</c:v>
                </c:pt>
                <c:pt idx="44">
                  <c:v>2929.8899935897552</c:v>
                </c:pt>
                <c:pt idx="45">
                  <c:v>2848.5327409277602</c:v>
                </c:pt>
                <c:pt idx="46">
                  <c:v>2763.8291585423817</c:v>
                </c:pt>
                <c:pt idx="47">
                  <c:v>2676.4896155606684</c:v>
                </c:pt>
                <c:pt idx="48">
                  <c:v>2587.1765619750977</c:v>
                </c:pt>
                <c:pt idx="49">
                  <c:v>2496.5028887607327</c:v>
                </c:pt>
                <c:pt idx="50">
                  <c:v>2405.0312191711232</c:v>
                </c:pt>
                <c:pt idx="51">
                  <c:v>2313.2739932466784</c:v>
                </c:pt>
                <c:pt idx="52">
                  <c:v>2221.6942164173033</c:v>
                </c:pt>
                <c:pt idx="53">
                  <c:v>2130.7067531950643</c:v>
                </c:pt>
                <c:pt idx="54">
                  <c:v>2040.6800577859933</c:v>
                </c:pt>
                <c:pt idx="55">
                  <c:v>1951.938244562695</c:v>
                </c:pt>
                <c:pt idx="56">
                  <c:v>1864.7634123870196</c:v>
                </c:pt>
                <c:pt idx="57">
                  <c:v>1779.3981474922105</c:v>
                </c:pt>
                <c:pt idx="58">
                  <c:v>1696.0481398345469</c:v>
                </c:pt>
                <c:pt idx="59">
                  <c:v>1614.8848573725725</c:v>
                </c:pt>
                <c:pt idx="60">
                  <c:v>1536.0482315417205</c:v>
                </c:pt>
                <c:pt idx="61">
                  <c:v>1459.6493152180863</c:v>
                </c:pt>
                <c:pt idx="62">
                  <c:v>1385.7728816909639</c:v>
                </c:pt>
                <c:pt idx="63">
                  <c:v>1314.4799395985358</c:v>
                </c:pt>
                <c:pt idx="64">
                  <c:v>1245.8101444502865</c:v>
                </c:pt>
                <c:pt idx="65">
                  <c:v>1179.7840923022191</c:v>
                </c:pt>
                <c:pt idx="66">
                  <c:v>1116.4054854142355</c:v>
                </c:pt>
                <c:pt idx="67">
                  <c:v>1055.6631633557765</c:v>
                </c:pt>
                <c:pt idx="68">
                  <c:v>997.53299609153396</c:v>
                </c:pt>
                <c:pt idx="69">
                  <c:v>941.97963812968112</c:v>
                </c:pt>
                <c:pt idx="70">
                  <c:v>888.95814490617602</c:v>
                </c:pt>
                <c:pt idx="71">
                  <c:v>838.41545426304185</c:v>
                </c:pt>
                <c:pt idx="72">
                  <c:v>790.29173720672065</c:v>
                </c:pt>
                <c:pt idx="73">
                  <c:v>744.52162315135365</c:v>
                </c:pt>
                <c:pt idx="74">
                  <c:v>701.03530560469312</c:v>
                </c:pt>
                <c:pt idx="75">
                  <c:v>659.75953478016152</c:v>
                </c:pt>
                <c:pt idx="76">
                  <c:v>620.61850395336728</c:v>
                </c:pt>
                <c:pt idx="77">
                  <c:v>583.53463655676308</c:v>
                </c:pt>
                <c:pt idx="78">
                  <c:v>548.42928104988653</c:v>
                </c:pt>
                <c:pt idx="79">
                  <c:v>515.22332054014612</c:v>
                </c:pt>
                <c:pt idx="80">
                  <c:v>483.83770398131725</c:v>
                </c:pt>
                <c:pt idx="81">
                  <c:v>454.19390556290517</c:v>
                </c:pt>
                <c:pt idx="82">
                  <c:v>426.21431863905917</c:v>
                </c:pt>
                <c:pt idx="83">
                  <c:v>399.82259024460336</c:v>
                </c:pt>
                <c:pt idx="84">
                  <c:v>374.94390191921877</c:v>
                </c:pt>
                <c:pt idx="85">
                  <c:v>351.50520221873751</c:v>
                </c:pt>
                <c:pt idx="86">
                  <c:v>329.43539594258692</c:v>
                </c:pt>
                <c:pt idx="87">
                  <c:v>308.66549475520475</c:v>
                </c:pt>
                <c:pt idx="88">
                  <c:v>289.12873353190429</c:v>
                </c:pt>
                <c:pt idx="89">
                  <c:v>270.76065642037685</c:v>
                </c:pt>
                <c:pt idx="90">
                  <c:v>253.49917628072163</c:v>
                </c:pt>
                <c:pt idx="91">
                  <c:v>237.28461085228838</c:v>
                </c:pt>
                <c:pt idx="92">
                  <c:v>222.05969869605568</c:v>
                </c:pt>
                <c:pt idx="93">
                  <c:v>207.76959767821637</c:v>
                </c:pt>
                <c:pt idx="94">
                  <c:v>194.36186849445971</c:v>
                </c:pt>
                <c:pt idx="95">
                  <c:v>181.78644548575426</c:v>
                </c:pt>
                <c:pt idx="96">
                  <c:v>169.99559676494684</c:v>
                </c:pt>
                <c:pt idx="97">
                  <c:v>158.94387545912204</c:v>
                </c:pt>
                <c:pt idx="98">
                  <c:v>148.58806367499781</c:v>
                </c:pt>
                <c:pt idx="99">
                  <c:v>138.88711061289575</c:v>
                </c:pt>
                <c:pt idx="100">
                  <c:v>129.80206608856005</c:v>
                </c:pt>
                <c:pt idx="101">
                  <c:v>121.29601057036058</c:v>
                </c:pt>
                <c:pt idx="102">
                  <c:v>113.33398270149605</c:v>
                </c:pt>
                <c:pt idx="103">
                  <c:v>105.88290515183097</c:v>
                </c:pt>
                <c:pt idx="104">
                  <c:v>98.911509531068333</c:v>
                </c:pt>
                <c:pt idx="105">
                  <c:v>92.390260993342054</c:v>
                </c:pt>
                <c:pt idx="106">
                  <c:v>86.291283072030623</c:v>
                </c:pt>
                <c:pt idx="107">
                  <c:v>80.588283201970967</c:v>
                </c:pt>
                <c:pt idx="108">
                  <c:v>75.256479313439783</c:v>
                </c:pt>
                <c:pt idx="109">
                  <c:v>70.272527817534595</c:v>
                </c:pt>
                <c:pt idx="110">
                  <c:v>65.61445324525765</c:v>
                </c:pt>
                <c:pt idx="111">
                  <c:v>61.261579751984854</c:v>
                </c:pt>
                <c:pt idx="112">
                  <c:v>57.194464654495931</c:v>
                </c:pt>
                <c:pt idx="113">
                  <c:v>53.39483412874759</c:v>
                </c:pt>
                <c:pt idx="114">
                  <c:v>49.845521162565966</c:v>
                </c:pt>
                <c:pt idx="115">
                  <c:v>46.530405827922699</c:v>
                </c:pt>
                <c:pt idx="116">
                  <c:v>43.434357911955068</c:v>
                </c:pt>
                <c:pt idx="117">
                  <c:v>40.543181924016729</c:v>
                </c:pt>
                <c:pt idx="118">
                  <c:v>37.843564477361163</c:v>
                </c:pt>
                <c:pt idx="119">
                  <c:v>35.323024028259177</c:v>
                </c:pt>
                <c:pt idx="120">
                  <c:v>32.969862942080226</c:v>
                </c:pt>
                <c:pt idx="121">
                  <c:v>30.773121844849612</c:v>
                </c:pt>
                <c:pt idx="122">
                  <c:v>28.72253620975799</c:v>
                </c:pt>
                <c:pt idx="123">
                  <c:v>26.808495120800671</c:v>
                </c:pt>
                <c:pt idx="124">
                  <c:v>25.022002149969296</c:v>
                </c:pt>
                <c:pt idx="125">
                  <c:v>23.354638279968487</c:v>
                </c:pt>
                <c:pt idx="126">
                  <c:v>21.798526801170439</c:v>
                </c:pt>
                <c:pt idx="127">
                  <c:v>20.346300109235695</c:v>
                </c:pt>
                <c:pt idx="128">
                  <c:v>18.991068328425126</c:v>
                </c:pt>
                <c:pt idx="129">
                  <c:v>17.726389684947989</c:v>
                </c:pt>
                <c:pt idx="130">
                  <c:v>16.546242554653691</c:v>
                </c:pt>
                <c:pt idx="131">
                  <c:v>15.444999109857786</c:v>
                </c:pt>
                <c:pt idx="132">
                  <c:v>14.417400491022027</c:v>
                </c:pt>
                <c:pt idx="133">
                  <c:v>13.458533430308405</c:v>
                </c:pt>
                <c:pt idx="134">
                  <c:v>12.563808255622892</c:v>
                </c:pt>
                <c:pt idx="135">
                  <c:v>11.728938205609783</c:v>
                </c:pt>
                <c:pt idx="136">
                  <c:v>10.949919988086478</c:v>
                </c:pt>
                <c:pt idx="137">
                  <c:v>10.223015516586869</c:v>
                </c:pt>
                <c:pt idx="138">
                  <c:v>9.5447347619737481</c:v>
                </c:pt>
                <c:pt idx="139">
                  <c:v>8.9118196584353946</c:v>
                </c:pt>
                <c:pt idx="140">
                  <c:v>8.3212290055956153</c:v>
                </c:pt>
                <c:pt idx="141">
                  <c:v>7.7701243108940767</c:v>
                </c:pt>
                <c:pt idx="142">
                  <c:v>7.2558565188256035</c:v>
                </c:pt>
                <c:pt idx="143">
                  <c:v>6.7759535760435847</c:v>
                </c:pt>
                <c:pt idx="144">
                  <c:v>6.328108783717787</c:v>
                </c:pt>
                <c:pt idx="145">
                  <c:v>5.9101698908789926</c:v>
                </c:pt>
                <c:pt idx="146">
                  <c:v>5.5201288847735404</c:v>
                </c:pt>
                <c:pt idx="147">
                  <c:v>5.1561124364827862</c:v>
                </c:pt>
                <c:pt idx="148">
                  <c:v>4.8163729622247082</c:v>
                </c:pt>
                <c:pt idx="149">
                  <c:v>4.4992802628504176</c:v>
                </c:pt>
                <c:pt idx="150">
                  <c:v>4.2033137060657424</c:v>
                </c:pt>
                <c:pt idx="151">
                  <c:v>3.9270549178529928</c:v>
                </c:pt>
                <c:pt idx="152">
                  <c:v>3.6691809514300835</c:v>
                </c:pt>
                <c:pt idx="153">
                  <c:v>3.4284579038724243</c:v>
                </c:pt>
                <c:pt idx="154">
                  <c:v>3.2037349522287442</c:v>
                </c:pt>
                <c:pt idx="155">
                  <c:v>2.9939387825922967</c:v>
                </c:pt>
                <c:pt idx="156">
                  <c:v>2.7980683871407384</c:v>
                </c:pt>
                <c:pt idx="157">
                  <c:v>2.6151902056350362</c:v>
                </c:pt>
                <c:pt idx="158">
                  <c:v>2.4444335892707545</c:v>
                </c:pt>
                <c:pt idx="159">
                  <c:v>2.2849865661061091</c:v>
                </c:pt>
                <c:pt idx="160">
                  <c:v>2.1360918885530822</c:v>
                </c:pt>
                <c:pt idx="161">
                  <c:v>1.9970433446124605</c:v>
                </c:pt>
                <c:pt idx="162">
                  <c:v>1.8671823156621152</c:v>
                </c:pt>
                <c:pt idx="163">
                  <c:v>1.7458945646766422</c:v>
                </c:pt>
                <c:pt idx="164">
                  <c:v>1.6326072397624227</c:v>
                </c:pt>
                <c:pt idx="165">
                  <c:v>1.5267860788432863</c:v>
                </c:pt>
                <c:pt idx="166">
                  <c:v>1.4279328022269551</c:v>
                </c:pt>
                <c:pt idx="167">
                  <c:v>1.3355826806260067</c:v>
                </c:pt>
                <c:pt idx="168">
                  <c:v>1.2493022670008072</c:v>
                </c:pt>
                <c:pt idx="169">
                  <c:v>1.16868728133835</c:v>
                </c:pt>
                <c:pt idx="170">
                  <c:v>1.0933606381825307</c:v>
                </c:pt>
                <c:pt idx="171">
                  <c:v>1.022970607390824</c:v>
                </c:pt>
                <c:pt idx="172">
                  <c:v>0.95718909921094275</c:v>
                </c:pt>
                <c:pt idx="173">
                  <c:v>0.89571006535222097</c:v>
                </c:pt>
                <c:pt idx="174">
                  <c:v>0.83824800827094559</c:v>
                </c:pt>
                <c:pt idx="175">
                  <c:v>0.78453659140013077</c:v>
                </c:pt>
                <c:pt idx="176">
                  <c:v>0.7343273435325578</c:v>
                </c:pt>
                <c:pt idx="177">
                  <c:v>0.68738845101461243</c:v>
                </c:pt>
                <c:pt idx="178">
                  <c:v>0.64350363182859471</c:v>
                </c:pt>
                <c:pt idx="179">
                  <c:v>0.60247108603400246</c:v>
                </c:pt>
                <c:pt idx="180">
                  <c:v>0.56410251740668005</c:v>
                </c:pt>
                <c:pt idx="181">
                  <c:v>0.52822222145863951</c:v>
                </c:pt>
                <c:pt idx="182">
                  <c:v>0.49466623534351584</c:v>
                </c:pt>
                <c:pt idx="183">
                  <c:v>0.46328154545346967</c:v>
                </c:pt>
                <c:pt idx="184">
                  <c:v>0.43392534879496003</c:v>
                </c:pt>
                <c:pt idx="185">
                  <c:v>0.40646436449356915</c:v>
                </c:pt>
                <c:pt idx="186">
                  <c:v>0.380774192023767</c:v>
                </c:pt>
                <c:pt idx="187">
                  <c:v>0.35673871298912757</c:v>
                </c:pt>
                <c:pt idx="188">
                  <c:v>0.33424953349259295</c:v>
                </c:pt>
                <c:pt idx="189">
                  <c:v>0.31320546433671753</c:v>
                </c:pt>
                <c:pt idx="190">
                  <c:v>0.29351203648040042</c:v>
                </c:pt>
                <c:pt idx="191">
                  <c:v>0.27508104935314132</c:v>
                </c:pt>
                <c:pt idx="192">
                  <c:v>0.25783014979044461</c:v>
                </c:pt>
                <c:pt idx="193">
                  <c:v>0.24168243950584764</c:v>
                </c:pt>
                <c:pt idx="194">
                  <c:v>0.22656610915671305</c:v>
                </c:pt>
                <c:pt idx="195">
                  <c:v>0.21241409719294341</c:v>
                </c:pt>
                <c:pt idx="196">
                  <c:v>0.19916377180109829</c:v>
                </c:pt>
                <c:pt idx="197">
                  <c:v>0.18675663437118439</c:v>
                </c:pt>
                <c:pt idx="198">
                  <c:v>0.17513804302067645</c:v>
                </c:pt>
                <c:pt idx="199">
                  <c:v>0.16425695481006308</c:v>
                </c:pt>
                <c:pt idx="200">
                  <c:v>0.1540656853774465</c:v>
                </c:pt>
                <c:pt idx="201">
                  <c:v>0.14451968480654503</c:v>
                </c:pt>
                <c:pt idx="202">
                  <c:v>0.1355773286232658</c:v>
                </c:pt>
                <c:pt idx="203">
                  <c:v>0.12719972289154682</c:v>
                </c:pt>
                <c:pt idx="204">
                  <c:v>0.11935052244938478</c:v>
                </c:pt>
                <c:pt idx="205">
                  <c:v>0.11199576139147817</c:v>
                </c:pt>
                <c:pt idx="206">
                  <c:v>0.10510369496597585</c:v>
                </c:pt>
                <c:pt idx="207">
                  <c:v>9.8644652109643641E-2</c:v>
                </c:pt>
                <c:pt idx="208">
                  <c:v>9.2590897898796334E-2</c:v>
                </c:pt>
                <c:pt idx="209">
                  <c:v>8.6916505242683836E-2</c:v>
                </c:pt>
                <c:pt idx="210">
                  <c:v>8.1597235192033657E-2</c:v>
                </c:pt>
                <c:pt idx="211">
                  <c:v>7.6610425278280159E-2</c:v>
                </c:pt>
                <c:pt idx="212">
                  <c:v>7.1934885338941851E-2</c:v>
                </c:pt>
                <c:pt idx="213">
                  <c:v>6.7550800321809129E-2</c:v>
                </c:pt>
                <c:pt idx="214">
                  <c:v>6.3439639595204197E-2</c:v>
                </c:pt>
                <c:pt idx="215">
                  <c:v>5.9584072323898604E-2</c:v>
                </c:pt>
                <c:pt idx="216">
                  <c:v>5.5967888500273393E-2</c:v>
                </c:pt>
                <c:pt idx="217">
                  <c:v>5.2575925248355283E-2</c:v>
                </c:pt>
                <c:pt idx="218">
                  <c:v>4.9393998044415605E-2</c:v>
                </c:pt>
                <c:pt idx="219">
                  <c:v>4.6408836522111627E-2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E5D-4DF7-941B-58ED2F347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'New_cases - LNorm'!$AI$7</c15:sqref>
                        </c15:formulaRef>
                      </c:ext>
                    </c:extLst>
                    <c:strCache>
                      <c:ptCount val="1"/>
                      <c:pt idx="0">
                        <c:v>Upper CI__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'New_cases - LNorm'!$C$55:$C$281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48</c:v>
                      </c:pt>
                      <c:pt idx="1">
                        <c:v>49</c:v>
                      </c:pt>
                      <c:pt idx="2">
                        <c:v>50</c:v>
                      </c:pt>
                      <c:pt idx="3">
                        <c:v>51</c:v>
                      </c:pt>
                      <c:pt idx="4">
                        <c:v>52</c:v>
                      </c:pt>
                      <c:pt idx="5">
                        <c:v>53</c:v>
                      </c:pt>
                      <c:pt idx="6">
                        <c:v>54</c:v>
                      </c:pt>
                      <c:pt idx="7">
                        <c:v>55</c:v>
                      </c:pt>
                      <c:pt idx="8">
                        <c:v>56</c:v>
                      </c:pt>
                      <c:pt idx="9">
                        <c:v>57</c:v>
                      </c:pt>
                      <c:pt idx="10">
                        <c:v>58</c:v>
                      </c:pt>
                      <c:pt idx="11">
                        <c:v>59</c:v>
                      </c:pt>
                      <c:pt idx="12">
                        <c:v>60</c:v>
                      </c:pt>
                      <c:pt idx="13">
                        <c:v>61</c:v>
                      </c:pt>
                      <c:pt idx="14">
                        <c:v>62</c:v>
                      </c:pt>
                      <c:pt idx="15">
                        <c:v>63</c:v>
                      </c:pt>
                      <c:pt idx="16">
                        <c:v>64</c:v>
                      </c:pt>
                      <c:pt idx="17">
                        <c:v>65</c:v>
                      </c:pt>
                      <c:pt idx="18">
                        <c:v>66</c:v>
                      </c:pt>
                      <c:pt idx="19">
                        <c:v>67</c:v>
                      </c:pt>
                      <c:pt idx="20">
                        <c:v>68</c:v>
                      </c:pt>
                      <c:pt idx="21">
                        <c:v>69</c:v>
                      </c:pt>
                      <c:pt idx="22">
                        <c:v>70</c:v>
                      </c:pt>
                      <c:pt idx="23">
                        <c:v>71</c:v>
                      </c:pt>
                      <c:pt idx="24">
                        <c:v>72</c:v>
                      </c:pt>
                      <c:pt idx="25">
                        <c:v>73</c:v>
                      </c:pt>
                      <c:pt idx="26">
                        <c:v>74</c:v>
                      </c:pt>
                      <c:pt idx="27">
                        <c:v>75</c:v>
                      </c:pt>
                      <c:pt idx="28">
                        <c:v>76</c:v>
                      </c:pt>
                      <c:pt idx="29">
                        <c:v>77</c:v>
                      </c:pt>
                      <c:pt idx="30">
                        <c:v>78</c:v>
                      </c:pt>
                      <c:pt idx="31">
                        <c:v>79</c:v>
                      </c:pt>
                      <c:pt idx="32">
                        <c:v>80</c:v>
                      </c:pt>
                      <c:pt idx="33">
                        <c:v>81</c:v>
                      </c:pt>
                      <c:pt idx="34">
                        <c:v>82</c:v>
                      </c:pt>
                      <c:pt idx="35">
                        <c:v>83</c:v>
                      </c:pt>
                      <c:pt idx="36">
                        <c:v>84</c:v>
                      </c:pt>
                      <c:pt idx="37">
                        <c:v>85</c:v>
                      </c:pt>
                      <c:pt idx="38">
                        <c:v>86</c:v>
                      </c:pt>
                      <c:pt idx="39">
                        <c:v>87</c:v>
                      </c:pt>
                      <c:pt idx="40">
                        <c:v>88</c:v>
                      </c:pt>
                      <c:pt idx="41">
                        <c:v>89</c:v>
                      </c:pt>
                      <c:pt idx="42">
                        <c:v>90</c:v>
                      </c:pt>
                      <c:pt idx="43">
                        <c:v>91</c:v>
                      </c:pt>
                      <c:pt idx="44">
                        <c:v>92</c:v>
                      </c:pt>
                      <c:pt idx="45">
                        <c:v>93</c:v>
                      </c:pt>
                      <c:pt idx="46">
                        <c:v>94</c:v>
                      </c:pt>
                      <c:pt idx="47">
                        <c:v>95</c:v>
                      </c:pt>
                      <c:pt idx="48">
                        <c:v>96</c:v>
                      </c:pt>
                      <c:pt idx="49">
                        <c:v>97</c:v>
                      </c:pt>
                      <c:pt idx="50">
                        <c:v>98</c:v>
                      </c:pt>
                      <c:pt idx="51">
                        <c:v>99</c:v>
                      </c:pt>
                      <c:pt idx="52">
                        <c:v>100</c:v>
                      </c:pt>
                      <c:pt idx="53">
                        <c:v>101</c:v>
                      </c:pt>
                      <c:pt idx="54">
                        <c:v>102</c:v>
                      </c:pt>
                      <c:pt idx="55">
                        <c:v>103</c:v>
                      </c:pt>
                      <c:pt idx="56">
                        <c:v>104</c:v>
                      </c:pt>
                      <c:pt idx="57">
                        <c:v>105</c:v>
                      </c:pt>
                      <c:pt idx="58">
                        <c:v>106</c:v>
                      </c:pt>
                      <c:pt idx="59">
                        <c:v>107</c:v>
                      </c:pt>
                      <c:pt idx="60">
                        <c:v>108</c:v>
                      </c:pt>
                      <c:pt idx="61">
                        <c:v>109</c:v>
                      </c:pt>
                      <c:pt idx="62">
                        <c:v>110</c:v>
                      </c:pt>
                      <c:pt idx="63">
                        <c:v>111</c:v>
                      </c:pt>
                      <c:pt idx="64">
                        <c:v>112</c:v>
                      </c:pt>
                      <c:pt idx="65">
                        <c:v>113</c:v>
                      </c:pt>
                      <c:pt idx="66">
                        <c:v>114</c:v>
                      </c:pt>
                      <c:pt idx="67">
                        <c:v>115</c:v>
                      </c:pt>
                      <c:pt idx="68">
                        <c:v>116</c:v>
                      </c:pt>
                      <c:pt idx="69">
                        <c:v>117</c:v>
                      </c:pt>
                      <c:pt idx="70">
                        <c:v>118</c:v>
                      </c:pt>
                      <c:pt idx="71">
                        <c:v>119</c:v>
                      </c:pt>
                      <c:pt idx="72">
                        <c:v>120</c:v>
                      </c:pt>
                      <c:pt idx="73">
                        <c:v>121</c:v>
                      </c:pt>
                      <c:pt idx="74">
                        <c:v>122</c:v>
                      </c:pt>
                      <c:pt idx="75">
                        <c:v>123</c:v>
                      </c:pt>
                      <c:pt idx="76">
                        <c:v>124</c:v>
                      </c:pt>
                      <c:pt idx="77">
                        <c:v>125</c:v>
                      </c:pt>
                      <c:pt idx="78">
                        <c:v>126</c:v>
                      </c:pt>
                      <c:pt idx="79">
                        <c:v>127</c:v>
                      </c:pt>
                      <c:pt idx="80">
                        <c:v>128</c:v>
                      </c:pt>
                      <c:pt idx="81">
                        <c:v>129</c:v>
                      </c:pt>
                      <c:pt idx="82">
                        <c:v>130</c:v>
                      </c:pt>
                      <c:pt idx="83">
                        <c:v>131</c:v>
                      </c:pt>
                      <c:pt idx="84">
                        <c:v>132</c:v>
                      </c:pt>
                      <c:pt idx="85">
                        <c:v>133</c:v>
                      </c:pt>
                      <c:pt idx="86">
                        <c:v>134</c:v>
                      </c:pt>
                      <c:pt idx="87">
                        <c:v>135</c:v>
                      </c:pt>
                      <c:pt idx="88">
                        <c:v>136</c:v>
                      </c:pt>
                      <c:pt idx="89">
                        <c:v>137</c:v>
                      </c:pt>
                      <c:pt idx="90">
                        <c:v>138</c:v>
                      </c:pt>
                      <c:pt idx="91">
                        <c:v>139</c:v>
                      </c:pt>
                      <c:pt idx="92">
                        <c:v>140</c:v>
                      </c:pt>
                      <c:pt idx="93">
                        <c:v>141</c:v>
                      </c:pt>
                      <c:pt idx="94">
                        <c:v>142</c:v>
                      </c:pt>
                      <c:pt idx="95">
                        <c:v>143</c:v>
                      </c:pt>
                      <c:pt idx="96">
                        <c:v>144</c:v>
                      </c:pt>
                      <c:pt idx="97">
                        <c:v>145</c:v>
                      </c:pt>
                      <c:pt idx="98">
                        <c:v>146</c:v>
                      </c:pt>
                      <c:pt idx="99">
                        <c:v>147</c:v>
                      </c:pt>
                      <c:pt idx="100">
                        <c:v>148</c:v>
                      </c:pt>
                      <c:pt idx="101">
                        <c:v>149</c:v>
                      </c:pt>
                      <c:pt idx="102">
                        <c:v>150</c:v>
                      </c:pt>
                      <c:pt idx="103">
                        <c:v>151</c:v>
                      </c:pt>
                      <c:pt idx="104">
                        <c:v>152</c:v>
                      </c:pt>
                      <c:pt idx="105">
                        <c:v>153</c:v>
                      </c:pt>
                      <c:pt idx="106">
                        <c:v>154</c:v>
                      </c:pt>
                      <c:pt idx="107">
                        <c:v>155</c:v>
                      </c:pt>
                      <c:pt idx="108">
                        <c:v>156</c:v>
                      </c:pt>
                      <c:pt idx="109">
                        <c:v>157</c:v>
                      </c:pt>
                      <c:pt idx="110">
                        <c:v>158</c:v>
                      </c:pt>
                      <c:pt idx="111">
                        <c:v>159</c:v>
                      </c:pt>
                      <c:pt idx="112">
                        <c:v>160</c:v>
                      </c:pt>
                      <c:pt idx="113">
                        <c:v>161</c:v>
                      </c:pt>
                      <c:pt idx="114">
                        <c:v>162</c:v>
                      </c:pt>
                      <c:pt idx="115">
                        <c:v>163</c:v>
                      </c:pt>
                      <c:pt idx="116">
                        <c:v>164</c:v>
                      </c:pt>
                      <c:pt idx="117">
                        <c:v>165</c:v>
                      </c:pt>
                      <c:pt idx="118">
                        <c:v>166</c:v>
                      </c:pt>
                      <c:pt idx="119">
                        <c:v>167</c:v>
                      </c:pt>
                      <c:pt idx="120">
                        <c:v>168</c:v>
                      </c:pt>
                      <c:pt idx="121">
                        <c:v>169</c:v>
                      </c:pt>
                      <c:pt idx="122">
                        <c:v>170</c:v>
                      </c:pt>
                      <c:pt idx="123">
                        <c:v>171</c:v>
                      </c:pt>
                      <c:pt idx="124">
                        <c:v>172</c:v>
                      </c:pt>
                      <c:pt idx="125">
                        <c:v>173</c:v>
                      </c:pt>
                      <c:pt idx="126">
                        <c:v>174</c:v>
                      </c:pt>
                      <c:pt idx="127">
                        <c:v>175</c:v>
                      </c:pt>
                      <c:pt idx="128">
                        <c:v>176</c:v>
                      </c:pt>
                      <c:pt idx="129">
                        <c:v>177</c:v>
                      </c:pt>
                      <c:pt idx="130">
                        <c:v>178</c:v>
                      </c:pt>
                      <c:pt idx="131">
                        <c:v>179</c:v>
                      </c:pt>
                      <c:pt idx="132">
                        <c:v>180</c:v>
                      </c:pt>
                      <c:pt idx="133">
                        <c:v>181</c:v>
                      </c:pt>
                      <c:pt idx="134">
                        <c:v>182</c:v>
                      </c:pt>
                      <c:pt idx="135">
                        <c:v>183</c:v>
                      </c:pt>
                      <c:pt idx="136">
                        <c:v>184</c:v>
                      </c:pt>
                      <c:pt idx="137">
                        <c:v>185</c:v>
                      </c:pt>
                      <c:pt idx="138">
                        <c:v>186</c:v>
                      </c:pt>
                      <c:pt idx="139">
                        <c:v>187</c:v>
                      </c:pt>
                      <c:pt idx="140">
                        <c:v>188</c:v>
                      </c:pt>
                      <c:pt idx="141">
                        <c:v>189</c:v>
                      </c:pt>
                      <c:pt idx="142">
                        <c:v>190</c:v>
                      </c:pt>
                      <c:pt idx="143">
                        <c:v>191</c:v>
                      </c:pt>
                      <c:pt idx="144">
                        <c:v>192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195</c:v>
                      </c:pt>
                      <c:pt idx="148">
                        <c:v>196</c:v>
                      </c:pt>
                      <c:pt idx="149">
                        <c:v>197</c:v>
                      </c:pt>
                      <c:pt idx="150">
                        <c:v>198</c:v>
                      </c:pt>
                      <c:pt idx="151">
                        <c:v>199</c:v>
                      </c:pt>
                      <c:pt idx="152">
                        <c:v>200</c:v>
                      </c:pt>
                      <c:pt idx="153">
                        <c:v>201</c:v>
                      </c:pt>
                      <c:pt idx="154">
                        <c:v>202</c:v>
                      </c:pt>
                      <c:pt idx="155">
                        <c:v>203</c:v>
                      </c:pt>
                      <c:pt idx="156">
                        <c:v>204</c:v>
                      </c:pt>
                      <c:pt idx="157">
                        <c:v>205</c:v>
                      </c:pt>
                      <c:pt idx="158">
                        <c:v>206</c:v>
                      </c:pt>
                      <c:pt idx="159">
                        <c:v>207</c:v>
                      </c:pt>
                      <c:pt idx="160">
                        <c:v>208</c:v>
                      </c:pt>
                      <c:pt idx="161">
                        <c:v>209</c:v>
                      </c:pt>
                      <c:pt idx="162">
                        <c:v>210</c:v>
                      </c:pt>
                      <c:pt idx="163">
                        <c:v>211</c:v>
                      </c:pt>
                      <c:pt idx="164">
                        <c:v>212</c:v>
                      </c:pt>
                      <c:pt idx="165">
                        <c:v>213</c:v>
                      </c:pt>
                      <c:pt idx="166">
                        <c:v>214</c:v>
                      </c:pt>
                      <c:pt idx="167">
                        <c:v>215</c:v>
                      </c:pt>
                      <c:pt idx="168">
                        <c:v>216</c:v>
                      </c:pt>
                      <c:pt idx="169">
                        <c:v>217</c:v>
                      </c:pt>
                      <c:pt idx="170">
                        <c:v>218</c:v>
                      </c:pt>
                      <c:pt idx="171">
                        <c:v>219</c:v>
                      </c:pt>
                      <c:pt idx="172">
                        <c:v>220</c:v>
                      </c:pt>
                      <c:pt idx="173">
                        <c:v>221</c:v>
                      </c:pt>
                      <c:pt idx="174">
                        <c:v>222</c:v>
                      </c:pt>
                      <c:pt idx="175">
                        <c:v>223</c:v>
                      </c:pt>
                      <c:pt idx="176">
                        <c:v>224</c:v>
                      </c:pt>
                      <c:pt idx="177">
                        <c:v>225</c:v>
                      </c:pt>
                      <c:pt idx="178">
                        <c:v>226</c:v>
                      </c:pt>
                      <c:pt idx="179">
                        <c:v>227</c:v>
                      </c:pt>
                      <c:pt idx="180">
                        <c:v>228</c:v>
                      </c:pt>
                      <c:pt idx="181">
                        <c:v>229</c:v>
                      </c:pt>
                      <c:pt idx="182">
                        <c:v>230</c:v>
                      </c:pt>
                      <c:pt idx="183">
                        <c:v>231</c:v>
                      </c:pt>
                      <c:pt idx="184">
                        <c:v>232</c:v>
                      </c:pt>
                      <c:pt idx="185">
                        <c:v>233</c:v>
                      </c:pt>
                      <c:pt idx="186">
                        <c:v>234</c:v>
                      </c:pt>
                      <c:pt idx="187">
                        <c:v>235</c:v>
                      </c:pt>
                      <c:pt idx="188">
                        <c:v>236</c:v>
                      </c:pt>
                      <c:pt idx="189">
                        <c:v>237</c:v>
                      </c:pt>
                      <c:pt idx="190">
                        <c:v>238</c:v>
                      </c:pt>
                      <c:pt idx="191">
                        <c:v>239</c:v>
                      </c:pt>
                      <c:pt idx="192">
                        <c:v>240</c:v>
                      </c:pt>
                      <c:pt idx="193">
                        <c:v>241</c:v>
                      </c:pt>
                      <c:pt idx="194">
                        <c:v>242</c:v>
                      </c:pt>
                      <c:pt idx="195">
                        <c:v>243</c:v>
                      </c:pt>
                      <c:pt idx="196">
                        <c:v>244</c:v>
                      </c:pt>
                      <c:pt idx="197">
                        <c:v>245</c:v>
                      </c:pt>
                      <c:pt idx="198">
                        <c:v>246</c:v>
                      </c:pt>
                      <c:pt idx="199">
                        <c:v>247</c:v>
                      </c:pt>
                      <c:pt idx="200">
                        <c:v>248</c:v>
                      </c:pt>
                      <c:pt idx="201">
                        <c:v>249</c:v>
                      </c:pt>
                      <c:pt idx="202">
                        <c:v>250</c:v>
                      </c:pt>
                      <c:pt idx="203">
                        <c:v>251</c:v>
                      </c:pt>
                      <c:pt idx="204">
                        <c:v>252</c:v>
                      </c:pt>
                      <c:pt idx="205">
                        <c:v>253</c:v>
                      </c:pt>
                      <c:pt idx="206">
                        <c:v>254</c:v>
                      </c:pt>
                      <c:pt idx="207">
                        <c:v>255</c:v>
                      </c:pt>
                      <c:pt idx="208">
                        <c:v>256</c:v>
                      </c:pt>
                      <c:pt idx="209">
                        <c:v>257</c:v>
                      </c:pt>
                      <c:pt idx="210">
                        <c:v>258</c:v>
                      </c:pt>
                      <c:pt idx="211">
                        <c:v>259</c:v>
                      </c:pt>
                      <c:pt idx="212">
                        <c:v>260</c:v>
                      </c:pt>
                      <c:pt idx="213">
                        <c:v>261</c:v>
                      </c:pt>
                      <c:pt idx="214">
                        <c:v>262</c:v>
                      </c:pt>
                      <c:pt idx="215">
                        <c:v>263</c:v>
                      </c:pt>
                      <c:pt idx="216">
                        <c:v>264</c:v>
                      </c:pt>
                      <c:pt idx="217">
                        <c:v>265</c:v>
                      </c:pt>
                      <c:pt idx="218">
                        <c:v>266</c:v>
                      </c:pt>
                      <c:pt idx="219">
                        <c:v>267</c:v>
                      </c:pt>
                      <c:pt idx="220">
                        <c:v>268</c:v>
                      </c:pt>
                      <c:pt idx="221">
                        <c:v>269</c:v>
                      </c:pt>
                      <c:pt idx="222">
                        <c:v>270</c:v>
                      </c:pt>
                      <c:pt idx="223">
                        <c:v>271</c:v>
                      </c:pt>
                      <c:pt idx="224">
                        <c:v>272</c:v>
                      </c:pt>
                      <c:pt idx="225">
                        <c:v>273</c:v>
                      </c:pt>
                      <c:pt idx="226">
                        <c:v>274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'New_cases - LNorm'!$AI$55:$AI$281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694.66352445731673</c:v>
                      </c:pt>
                      <c:pt idx="1">
                        <c:v>694.69895411699315</c:v>
                      </c:pt>
                      <c:pt idx="2">
                        <c:v>694.81007976406579</c:v>
                      </c:pt>
                      <c:pt idx="3">
                        <c:v>695.10709780576792</c:v>
                      </c:pt>
                      <c:pt idx="4">
                        <c:v>695.80284082492699</c:v>
                      </c:pt>
                      <c:pt idx="5">
                        <c:v>697.26246377077575</c:v>
                      </c:pt>
                      <c:pt idx="6">
                        <c:v>700.05230859949313</c:v>
                      </c:pt>
                      <c:pt idx="7">
                        <c:v>704.97716834018854</c:v>
                      </c:pt>
                      <c:pt idx="8">
                        <c:v>713.09566343529832</c:v>
                      </c:pt>
                      <c:pt idx="9">
                        <c:v>725.70653887391506</c:v>
                      </c:pt>
                      <c:pt idx="10">
                        <c:v>744.30345184814882</c:v>
                      </c:pt>
                      <c:pt idx="11">
                        <c:v>770.50097435172518</c:v>
                      </c:pt>
                      <c:pt idx="12">
                        <c:v>805.93892462514395</c:v>
                      </c:pt>
                      <c:pt idx="13">
                        <c:v>852.17500200072209</c:v>
                      </c:pt>
                      <c:pt idx="14">
                        <c:v>910.57674797600316</c:v>
                      </c:pt>
                      <c:pt idx="15">
                        <c:v>982.22322360352132</c:v>
                      </c:pt>
                      <c:pt idx="16">
                        <c:v>1067.824883259246</c:v>
                      </c:pt>
                      <c:pt idx="17">
                        <c:v>1167.6674581883722</c:v>
                      </c:pt>
                      <c:pt idx="18">
                        <c:v>1281.5827500279649</c:v>
                      </c:pt>
                      <c:pt idx="19">
                        <c:v>1408.9464918761173</c:v>
                      </c:pt>
                      <c:pt idx="20">
                        <c:v>1548.7011487312659</c:v>
                      </c:pt>
                      <c:pt idx="21">
                        <c:v>1699.399852903304</c:v>
                      </c:pt>
                      <c:pt idx="22">
                        <c:v>1859.2666415715855</c:v>
                      </c:pt>
                      <c:pt idx="23">
                        <c:v>2026.2677367675915</c:v>
                      </c:pt>
                      <c:pt idx="24">
                        <c:v>2198.1886835001874</c:v>
                      </c:pt>
                      <c:pt idx="25">
                        <c:v>2372.7126153364529</c:v>
                      </c:pt>
                      <c:pt idx="26">
                        <c:v>2547.4956209333459</c:v>
                      </c:pt>
                      <c:pt idx="27">
                        <c:v>2720.2360235171636</c:v>
                      </c:pt>
                      <c:pt idx="28">
                        <c:v>2888.7352615648024</c:v>
                      </c:pt>
                      <c:pt idx="29">
                        <c:v>3050.9488994903559</c:v>
                      </c:pt>
                      <c:pt idx="30">
                        <c:v>3205.027051436472</c:v>
                      </c:pt>
                      <c:pt idx="31">
                        <c:v>3349.3441392429231</c:v>
                      </c:pt>
                      <c:pt idx="32">
                        <c:v>3482.5184141085829</c:v>
                      </c:pt>
                      <c:pt idx="33">
                        <c:v>3603.4220500435376</c:v>
                      </c:pt>
                      <c:pt idx="34">
                        <c:v>3711.182874635705</c:v>
                      </c:pt>
                      <c:pt idx="35">
                        <c:v>3805.1789533271931</c:v>
                      </c:pt>
                      <c:pt idx="36">
                        <c:v>3885.0273046557268</c:v>
                      </c:pt>
                      <c:pt idx="37">
                        <c:v>3950.5680139687574</c:v>
                      </c:pt>
                      <c:pt idx="38">
                        <c:v>4001.8449495377636</c:v>
                      </c:pt>
                      <c:pt idx="39">
                        <c:v>4039.0841837674843</c:v>
                      </c:pt>
                      <c:pt idx="40">
                        <c:v>4062.6710971457915</c:v>
                      </c:pt>
                      <c:pt idx="41">
                        <c:v>4073.1270051824395</c:v>
                      </c:pt>
                      <c:pt idx="42">
                        <c:v>4071.0860079386748</c:v>
                      </c:pt>
                      <c:pt idx="43">
                        <c:v>4057.2726247425062</c:v>
                      </c:pt>
                      <c:pt idx="44">
                        <c:v>4032.4806482378835</c:v>
                      </c:pt>
                      <c:pt idx="45">
                        <c:v>3997.5535352759016</c:v>
                      </c:pt>
                      <c:pt idx="46">
                        <c:v>3953.3665491929778</c:v>
                      </c:pt>
                      <c:pt idx="47">
                        <c:v>3900.8107795198957</c:v>
                      </c:pt>
                      <c:pt idx="48">
                        <c:v>3840.7790910876665</c:v>
                      </c:pt>
                      <c:pt idx="49">
                        <c:v>3774.1539942080717</c:v>
                      </c:pt>
                      <c:pt idx="50">
                        <c:v>3701.7973800727495</c:v>
                      </c:pt>
                      <c:pt idx="51">
                        <c:v>3624.5420294533524</c:v>
                      </c:pt>
                      <c:pt idx="52">
                        <c:v>3543.1847767913578</c:v>
                      </c:pt>
                      <c:pt idx="53">
                        <c:v>3458.4811944059793</c:v>
                      </c:pt>
                      <c:pt idx="54">
                        <c:v>3371.1416514242655</c:v>
                      </c:pt>
                      <c:pt idx="55">
                        <c:v>3281.8285978386948</c:v>
                      </c:pt>
                      <c:pt idx="56">
                        <c:v>3191.1549246243303</c:v>
                      </c:pt>
                      <c:pt idx="57">
                        <c:v>3099.6832550347208</c:v>
                      </c:pt>
                      <c:pt idx="58">
                        <c:v>3007.9260291102755</c:v>
                      </c:pt>
                      <c:pt idx="59">
                        <c:v>2916.3462522809004</c:v>
                      </c:pt>
                      <c:pt idx="60">
                        <c:v>2825.3587890586614</c:v>
                      </c:pt>
                      <c:pt idx="61">
                        <c:v>2735.3320936495907</c:v>
                      </c:pt>
                      <c:pt idx="62">
                        <c:v>2646.5902804262923</c:v>
                      </c:pt>
                      <c:pt idx="63">
                        <c:v>2559.4154482506169</c:v>
                      </c:pt>
                      <c:pt idx="64">
                        <c:v>2474.0501833558078</c:v>
                      </c:pt>
                      <c:pt idx="65">
                        <c:v>2390.7001756981444</c:v>
                      </c:pt>
                      <c:pt idx="66">
                        <c:v>2309.5368932361698</c:v>
                      </c:pt>
                      <c:pt idx="67">
                        <c:v>2230.7002674053178</c:v>
                      </c:pt>
                      <c:pt idx="68">
                        <c:v>2154.3013510816836</c:v>
                      </c:pt>
                      <c:pt idx="69">
                        <c:v>2080.424917554561</c:v>
                      </c:pt>
                      <c:pt idx="70">
                        <c:v>2009.1319754621331</c:v>
                      </c:pt>
                      <c:pt idx="71">
                        <c:v>1940.4621803138839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BE5D-4DF7-941B-58ED2F3476B6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 - LNorm'!$AJ$7</c15:sqref>
                        </c15:formulaRef>
                      </c:ext>
                    </c:extLst>
                    <c:strCache>
                      <c:ptCount val="1"/>
                      <c:pt idx="0">
                        <c:v>Lower CI__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 - LNorm'!$C$55:$C$281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48</c:v>
                      </c:pt>
                      <c:pt idx="1">
                        <c:v>49</c:v>
                      </c:pt>
                      <c:pt idx="2">
                        <c:v>50</c:v>
                      </c:pt>
                      <c:pt idx="3">
                        <c:v>51</c:v>
                      </c:pt>
                      <c:pt idx="4">
                        <c:v>52</c:v>
                      </c:pt>
                      <c:pt idx="5">
                        <c:v>53</c:v>
                      </c:pt>
                      <c:pt idx="6">
                        <c:v>54</c:v>
                      </c:pt>
                      <c:pt idx="7">
                        <c:v>55</c:v>
                      </c:pt>
                      <c:pt idx="8">
                        <c:v>56</c:v>
                      </c:pt>
                      <c:pt idx="9">
                        <c:v>57</c:v>
                      </c:pt>
                      <c:pt idx="10">
                        <c:v>58</c:v>
                      </c:pt>
                      <c:pt idx="11">
                        <c:v>59</c:v>
                      </c:pt>
                      <c:pt idx="12">
                        <c:v>60</c:v>
                      </c:pt>
                      <c:pt idx="13">
                        <c:v>61</c:v>
                      </c:pt>
                      <c:pt idx="14">
                        <c:v>62</c:v>
                      </c:pt>
                      <c:pt idx="15">
                        <c:v>63</c:v>
                      </c:pt>
                      <c:pt idx="16">
                        <c:v>64</c:v>
                      </c:pt>
                      <c:pt idx="17">
                        <c:v>65</c:v>
                      </c:pt>
                      <c:pt idx="18">
                        <c:v>66</c:v>
                      </c:pt>
                      <c:pt idx="19">
                        <c:v>67</c:v>
                      </c:pt>
                      <c:pt idx="20">
                        <c:v>68</c:v>
                      </c:pt>
                      <c:pt idx="21">
                        <c:v>69</c:v>
                      </c:pt>
                      <c:pt idx="22">
                        <c:v>70</c:v>
                      </c:pt>
                      <c:pt idx="23">
                        <c:v>71</c:v>
                      </c:pt>
                      <c:pt idx="24">
                        <c:v>72</c:v>
                      </c:pt>
                      <c:pt idx="25">
                        <c:v>73</c:v>
                      </c:pt>
                      <c:pt idx="26">
                        <c:v>74</c:v>
                      </c:pt>
                      <c:pt idx="27">
                        <c:v>75</c:v>
                      </c:pt>
                      <c:pt idx="28">
                        <c:v>76</c:v>
                      </c:pt>
                      <c:pt idx="29">
                        <c:v>77</c:v>
                      </c:pt>
                      <c:pt idx="30">
                        <c:v>78</c:v>
                      </c:pt>
                      <c:pt idx="31">
                        <c:v>79</c:v>
                      </c:pt>
                      <c:pt idx="32">
                        <c:v>80</c:v>
                      </c:pt>
                      <c:pt idx="33">
                        <c:v>81</c:v>
                      </c:pt>
                      <c:pt idx="34">
                        <c:v>82</c:v>
                      </c:pt>
                      <c:pt idx="35">
                        <c:v>83</c:v>
                      </c:pt>
                      <c:pt idx="36">
                        <c:v>84</c:v>
                      </c:pt>
                      <c:pt idx="37">
                        <c:v>85</c:v>
                      </c:pt>
                      <c:pt idx="38">
                        <c:v>86</c:v>
                      </c:pt>
                      <c:pt idx="39">
                        <c:v>87</c:v>
                      </c:pt>
                      <c:pt idx="40">
                        <c:v>88</c:v>
                      </c:pt>
                      <c:pt idx="41">
                        <c:v>89</c:v>
                      </c:pt>
                      <c:pt idx="42">
                        <c:v>90</c:v>
                      </c:pt>
                      <c:pt idx="43">
                        <c:v>91</c:v>
                      </c:pt>
                      <c:pt idx="44">
                        <c:v>92</c:v>
                      </c:pt>
                      <c:pt idx="45">
                        <c:v>93</c:v>
                      </c:pt>
                      <c:pt idx="46">
                        <c:v>94</c:v>
                      </c:pt>
                      <c:pt idx="47">
                        <c:v>95</c:v>
                      </c:pt>
                      <c:pt idx="48">
                        <c:v>96</c:v>
                      </c:pt>
                      <c:pt idx="49">
                        <c:v>97</c:v>
                      </c:pt>
                      <c:pt idx="50">
                        <c:v>98</c:v>
                      </c:pt>
                      <c:pt idx="51">
                        <c:v>99</c:v>
                      </c:pt>
                      <c:pt idx="52">
                        <c:v>100</c:v>
                      </c:pt>
                      <c:pt idx="53">
                        <c:v>101</c:v>
                      </c:pt>
                      <c:pt idx="54">
                        <c:v>102</c:v>
                      </c:pt>
                      <c:pt idx="55">
                        <c:v>103</c:v>
                      </c:pt>
                      <c:pt idx="56">
                        <c:v>104</c:v>
                      </c:pt>
                      <c:pt idx="57">
                        <c:v>105</c:v>
                      </c:pt>
                      <c:pt idx="58">
                        <c:v>106</c:v>
                      </c:pt>
                      <c:pt idx="59">
                        <c:v>107</c:v>
                      </c:pt>
                      <c:pt idx="60">
                        <c:v>108</c:v>
                      </c:pt>
                      <c:pt idx="61">
                        <c:v>109</c:v>
                      </c:pt>
                      <c:pt idx="62">
                        <c:v>110</c:v>
                      </c:pt>
                      <c:pt idx="63">
                        <c:v>111</c:v>
                      </c:pt>
                      <c:pt idx="64">
                        <c:v>112</c:v>
                      </c:pt>
                      <c:pt idx="65">
                        <c:v>113</c:v>
                      </c:pt>
                      <c:pt idx="66">
                        <c:v>114</c:v>
                      </c:pt>
                      <c:pt idx="67">
                        <c:v>115</c:v>
                      </c:pt>
                      <c:pt idx="68">
                        <c:v>116</c:v>
                      </c:pt>
                      <c:pt idx="69">
                        <c:v>117</c:v>
                      </c:pt>
                      <c:pt idx="70">
                        <c:v>118</c:v>
                      </c:pt>
                      <c:pt idx="71">
                        <c:v>119</c:v>
                      </c:pt>
                      <c:pt idx="72">
                        <c:v>120</c:v>
                      </c:pt>
                      <c:pt idx="73">
                        <c:v>121</c:v>
                      </c:pt>
                      <c:pt idx="74">
                        <c:v>122</c:v>
                      </c:pt>
                      <c:pt idx="75">
                        <c:v>123</c:v>
                      </c:pt>
                      <c:pt idx="76">
                        <c:v>124</c:v>
                      </c:pt>
                      <c:pt idx="77">
                        <c:v>125</c:v>
                      </c:pt>
                      <c:pt idx="78">
                        <c:v>126</c:v>
                      </c:pt>
                      <c:pt idx="79">
                        <c:v>127</c:v>
                      </c:pt>
                      <c:pt idx="80">
                        <c:v>128</c:v>
                      </c:pt>
                      <c:pt idx="81">
                        <c:v>129</c:v>
                      </c:pt>
                      <c:pt idx="82">
                        <c:v>130</c:v>
                      </c:pt>
                      <c:pt idx="83">
                        <c:v>131</c:v>
                      </c:pt>
                      <c:pt idx="84">
                        <c:v>132</c:v>
                      </c:pt>
                      <c:pt idx="85">
                        <c:v>133</c:v>
                      </c:pt>
                      <c:pt idx="86">
                        <c:v>134</c:v>
                      </c:pt>
                      <c:pt idx="87">
                        <c:v>135</c:v>
                      </c:pt>
                      <c:pt idx="88">
                        <c:v>136</c:v>
                      </c:pt>
                      <c:pt idx="89">
                        <c:v>137</c:v>
                      </c:pt>
                      <c:pt idx="90">
                        <c:v>138</c:v>
                      </c:pt>
                      <c:pt idx="91">
                        <c:v>139</c:v>
                      </c:pt>
                      <c:pt idx="92">
                        <c:v>140</c:v>
                      </c:pt>
                      <c:pt idx="93">
                        <c:v>141</c:v>
                      </c:pt>
                      <c:pt idx="94">
                        <c:v>142</c:v>
                      </c:pt>
                      <c:pt idx="95">
                        <c:v>143</c:v>
                      </c:pt>
                      <c:pt idx="96">
                        <c:v>144</c:v>
                      </c:pt>
                      <c:pt idx="97">
                        <c:v>145</c:v>
                      </c:pt>
                      <c:pt idx="98">
                        <c:v>146</c:v>
                      </c:pt>
                      <c:pt idx="99">
                        <c:v>147</c:v>
                      </c:pt>
                      <c:pt idx="100">
                        <c:v>148</c:v>
                      </c:pt>
                      <c:pt idx="101">
                        <c:v>149</c:v>
                      </c:pt>
                      <c:pt idx="102">
                        <c:v>150</c:v>
                      </c:pt>
                      <c:pt idx="103">
                        <c:v>151</c:v>
                      </c:pt>
                      <c:pt idx="104">
                        <c:v>152</c:v>
                      </c:pt>
                      <c:pt idx="105">
                        <c:v>153</c:v>
                      </c:pt>
                      <c:pt idx="106">
                        <c:v>154</c:v>
                      </c:pt>
                      <c:pt idx="107">
                        <c:v>155</c:v>
                      </c:pt>
                      <c:pt idx="108">
                        <c:v>156</c:v>
                      </c:pt>
                      <c:pt idx="109">
                        <c:v>157</c:v>
                      </c:pt>
                      <c:pt idx="110">
                        <c:v>158</c:v>
                      </c:pt>
                      <c:pt idx="111">
                        <c:v>159</c:v>
                      </c:pt>
                      <c:pt idx="112">
                        <c:v>160</c:v>
                      </c:pt>
                      <c:pt idx="113">
                        <c:v>161</c:v>
                      </c:pt>
                      <c:pt idx="114">
                        <c:v>162</c:v>
                      </c:pt>
                      <c:pt idx="115">
                        <c:v>163</c:v>
                      </c:pt>
                      <c:pt idx="116">
                        <c:v>164</c:v>
                      </c:pt>
                      <c:pt idx="117">
                        <c:v>165</c:v>
                      </c:pt>
                      <c:pt idx="118">
                        <c:v>166</c:v>
                      </c:pt>
                      <c:pt idx="119">
                        <c:v>167</c:v>
                      </c:pt>
                      <c:pt idx="120">
                        <c:v>168</c:v>
                      </c:pt>
                      <c:pt idx="121">
                        <c:v>169</c:v>
                      </c:pt>
                      <c:pt idx="122">
                        <c:v>170</c:v>
                      </c:pt>
                      <c:pt idx="123">
                        <c:v>171</c:v>
                      </c:pt>
                      <c:pt idx="124">
                        <c:v>172</c:v>
                      </c:pt>
                      <c:pt idx="125">
                        <c:v>173</c:v>
                      </c:pt>
                      <c:pt idx="126">
                        <c:v>174</c:v>
                      </c:pt>
                      <c:pt idx="127">
                        <c:v>175</c:v>
                      </c:pt>
                      <c:pt idx="128">
                        <c:v>176</c:v>
                      </c:pt>
                      <c:pt idx="129">
                        <c:v>177</c:v>
                      </c:pt>
                      <c:pt idx="130">
                        <c:v>178</c:v>
                      </c:pt>
                      <c:pt idx="131">
                        <c:v>179</c:v>
                      </c:pt>
                      <c:pt idx="132">
                        <c:v>180</c:v>
                      </c:pt>
                      <c:pt idx="133">
                        <c:v>181</c:v>
                      </c:pt>
                      <c:pt idx="134">
                        <c:v>182</c:v>
                      </c:pt>
                      <c:pt idx="135">
                        <c:v>183</c:v>
                      </c:pt>
                      <c:pt idx="136">
                        <c:v>184</c:v>
                      </c:pt>
                      <c:pt idx="137">
                        <c:v>185</c:v>
                      </c:pt>
                      <c:pt idx="138">
                        <c:v>186</c:v>
                      </c:pt>
                      <c:pt idx="139">
                        <c:v>187</c:v>
                      </c:pt>
                      <c:pt idx="140">
                        <c:v>188</c:v>
                      </c:pt>
                      <c:pt idx="141">
                        <c:v>189</c:v>
                      </c:pt>
                      <c:pt idx="142">
                        <c:v>190</c:v>
                      </c:pt>
                      <c:pt idx="143">
                        <c:v>191</c:v>
                      </c:pt>
                      <c:pt idx="144">
                        <c:v>192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195</c:v>
                      </c:pt>
                      <c:pt idx="148">
                        <c:v>196</c:v>
                      </c:pt>
                      <c:pt idx="149">
                        <c:v>197</c:v>
                      </c:pt>
                      <c:pt idx="150">
                        <c:v>198</c:v>
                      </c:pt>
                      <c:pt idx="151">
                        <c:v>199</c:v>
                      </c:pt>
                      <c:pt idx="152">
                        <c:v>200</c:v>
                      </c:pt>
                      <c:pt idx="153">
                        <c:v>201</c:v>
                      </c:pt>
                      <c:pt idx="154">
                        <c:v>202</c:v>
                      </c:pt>
                      <c:pt idx="155">
                        <c:v>203</c:v>
                      </c:pt>
                      <c:pt idx="156">
                        <c:v>204</c:v>
                      </c:pt>
                      <c:pt idx="157">
                        <c:v>205</c:v>
                      </c:pt>
                      <c:pt idx="158">
                        <c:v>206</c:v>
                      </c:pt>
                      <c:pt idx="159">
                        <c:v>207</c:v>
                      </c:pt>
                      <c:pt idx="160">
                        <c:v>208</c:v>
                      </c:pt>
                      <c:pt idx="161">
                        <c:v>209</c:v>
                      </c:pt>
                      <c:pt idx="162">
                        <c:v>210</c:v>
                      </c:pt>
                      <c:pt idx="163">
                        <c:v>211</c:v>
                      </c:pt>
                      <c:pt idx="164">
                        <c:v>212</c:v>
                      </c:pt>
                      <c:pt idx="165">
                        <c:v>213</c:v>
                      </c:pt>
                      <c:pt idx="166">
                        <c:v>214</c:v>
                      </c:pt>
                      <c:pt idx="167">
                        <c:v>215</c:v>
                      </c:pt>
                      <c:pt idx="168">
                        <c:v>216</c:v>
                      </c:pt>
                      <c:pt idx="169">
                        <c:v>217</c:v>
                      </c:pt>
                      <c:pt idx="170">
                        <c:v>218</c:v>
                      </c:pt>
                      <c:pt idx="171">
                        <c:v>219</c:v>
                      </c:pt>
                      <c:pt idx="172">
                        <c:v>220</c:v>
                      </c:pt>
                      <c:pt idx="173">
                        <c:v>221</c:v>
                      </c:pt>
                      <c:pt idx="174">
                        <c:v>222</c:v>
                      </c:pt>
                      <c:pt idx="175">
                        <c:v>223</c:v>
                      </c:pt>
                      <c:pt idx="176">
                        <c:v>224</c:v>
                      </c:pt>
                      <c:pt idx="177">
                        <c:v>225</c:v>
                      </c:pt>
                      <c:pt idx="178">
                        <c:v>226</c:v>
                      </c:pt>
                      <c:pt idx="179">
                        <c:v>227</c:v>
                      </c:pt>
                      <c:pt idx="180">
                        <c:v>228</c:v>
                      </c:pt>
                      <c:pt idx="181">
                        <c:v>229</c:v>
                      </c:pt>
                      <c:pt idx="182">
                        <c:v>230</c:v>
                      </c:pt>
                      <c:pt idx="183">
                        <c:v>231</c:v>
                      </c:pt>
                      <c:pt idx="184">
                        <c:v>232</c:v>
                      </c:pt>
                      <c:pt idx="185">
                        <c:v>233</c:v>
                      </c:pt>
                      <c:pt idx="186">
                        <c:v>234</c:v>
                      </c:pt>
                      <c:pt idx="187">
                        <c:v>235</c:v>
                      </c:pt>
                      <c:pt idx="188">
                        <c:v>236</c:v>
                      </c:pt>
                      <c:pt idx="189">
                        <c:v>237</c:v>
                      </c:pt>
                      <c:pt idx="190">
                        <c:v>238</c:v>
                      </c:pt>
                      <c:pt idx="191">
                        <c:v>239</c:v>
                      </c:pt>
                      <c:pt idx="192">
                        <c:v>240</c:v>
                      </c:pt>
                      <c:pt idx="193">
                        <c:v>241</c:v>
                      </c:pt>
                      <c:pt idx="194">
                        <c:v>242</c:v>
                      </c:pt>
                      <c:pt idx="195">
                        <c:v>243</c:v>
                      </c:pt>
                      <c:pt idx="196">
                        <c:v>244</c:v>
                      </c:pt>
                      <c:pt idx="197">
                        <c:v>245</c:v>
                      </c:pt>
                      <c:pt idx="198">
                        <c:v>246</c:v>
                      </c:pt>
                      <c:pt idx="199">
                        <c:v>247</c:v>
                      </c:pt>
                      <c:pt idx="200">
                        <c:v>248</c:v>
                      </c:pt>
                      <c:pt idx="201">
                        <c:v>249</c:v>
                      </c:pt>
                      <c:pt idx="202">
                        <c:v>250</c:v>
                      </c:pt>
                      <c:pt idx="203">
                        <c:v>251</c:v>
                      </c:pt>
                      <c:pt idx="204">
                        <c:v>252</c:v>
                      </c:pt>
                      <c:pt idx="205">
                        <c:v>253</c:v>
                      </c:pt>
                      <c:pt idx="206">
                        <c:v>254</c:v>
                      </c:pt>
                      <c:pt idx="207">
                        <c:v>255</c:v>
                      </c:pt>
                      <c:pt idx="208">
                        <c:v>256</c:v>
                      </c:pt>
                      <c:pt idx="209">
                        <c:v>257</c:v>
                      </c:pt>
                      <c:pt idx="210">
                        <c:v>258</c:v>
                      </c:pt>
                      <c:pt idx="211">
                        <c:v>259</c:v>
                      </c:pt>
                      <c:pt idx="212">
                        <c:v>260</c:v>
                      </c:pt>
                      <c:pt idx="213">
                        <c:v>261</c:v>
                      </c:pt>
                      <c:pt idx="214">
                        <c:v>262</c:v>
                      </c:pt>
                      <c:pt idx="215">
                        <c:v>263</c:v>
                      </c:pt>
                      <c:pt idx="216">
                        <c:v>264</c:v>
                      </c:pt>
                      <c:pt idx="217">
                        <c:v>265</c:v>
                      </c:pt>
                      <c:pt idx="218">
                        <c:v>266</c:v>
                      </c:pt>
                      <c:pt idx="219">
                        <c:v>267</c:v>
                      </c:pt>
                      <c:pt idx="220">
                        <c:v>268</c:v>
                      </c:pt>
                      <c:pt idx="221">
                        <c:v>269</c:v>
                      </c:pt>
                      <c:pt idx="222">
                        <c:v>270</c:v>
                      </c:pt>
                      <c:pt idx="223">
                        <c:v>271</c:v>
                      </c:pt>
                      <c:pt idx="224">
                        <c:v>272</c:v>
                      </c:pt>
                      <c:pt idx="225">
                        <c:v>273</c:v>
                      </c:pt>
                      <c:pt idx="226">
                        <c:v>274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 - LNorm'!$AJ$55:$AJ$281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19.642420148922611</c:v>
                      </c:pt>
                      <c:pt idx="20">
                        <c:v>159.39707700407121</c:v>
                      </c:pt>
                      <c:pt idx="21">
                        <c:v>310.09578117610931</c:v>
                      </c:pt>
                      <c:pt idx="22">
                        <c:v>469.96256984439083</c:v>
                      </c:pt>
                      <c:pt idx="23">
                        <c:v>636.96366504039679</c:v>
                      </c:pt>
                      <c:pt idx="24">
                        <c:v>808.88461177299268</c:v>
                      </c:pt>
                      <c:pt idx="25">
                        <c:v>983.40854360925823</c:v>
                      </c:pt>
                      <c:pt idx="26">
                        <c:v>1158.1915492061512</c:v>
                      </c:pt>
                      <c:pt idx="27">
                        <c:v>1330.9319517899687</c:v>
                      </c:pt>
                      <c:pt idx="28">
                        <c:v>1499.4311898376075</c:v>
                      </c:pt>
                      <c:pt idx="29">
                        <c:v>1661.6448277631614</c:v>
                      </c:pt>
                      <c:pt idx="30">
                        <c:v>1815.7229797092775</c:v>
                      </c:pt>
                      <c:pt idx="31">
                        <c:v>1960.0400675157287</c:v>
                      </c:pt>
                      <c:pt idx="32">
                        <c:v>2093.2143423813877</c:v>
                      </c:pt>
                      <c:pt idx="33">
                        <c:v>2214.1179783163425</c:v>
                      </c:pt>
                      <c:pt idx="34">
                        <c:v>2321.8788029085099</c:v>
                      </c:pt>
                      <c:pt idx="35">
                        <c:v>2415.8748815999979</c:v>
                      </c:pt>
                      <c:pt idx="36">
                        <c:v>2495.7232329285316</c:v>
                      </c:pt>
                      <c:pt idx="37">
                        <c:v>2561.2639422415623</c:v>
                      </c:pt>
                      <c:pt idx="38">
                        <c:v>2612.5408778105684</c:v>
                      </c:pt>
                      <c:pt idx="39">
                        <c:v>2649.7801120402901</c:v>
                      </c:pt>
                      <c:pt idx="40">
                        <c:v>2673.3670254185972</c:v>
                      </c:pt>
                      <c:pt idx="41">
                        <c:v>2683.8229334552443</c:v>
                      </c:pt>
                      <c:pt idx="42">
                        <c:v>2681.7819362114797</c:v>
                      </c:pt>
                      <c:pt idx="43">
                        <c:v>2667.968553015311</c:v>
                      </c:pt>
                      <c:pt idx="44">
                        <c:v>2643.1765765106884</c:v>
                      </c:pt>
                      <c:pt idx="45">
                        <c:v>2608.2494635487064</c:v>
                      </c:pt>
                      <c:pt idx="46">
                        <c:v>2564.0624774657826</c:v>
                      </c:pt>
                      <c:pt idx="47">
                        <c:v>2511.5067077927006</c:v>
                      </c:pt>
                      <c:pt idx="48">
                        <c:v>2451.4750193604714</c:v>
                      </c:pt>
                      <c:pt idx="49">
                        <c:v>2384.8499224808775</c:v>
                      </c:pt>
                      <c:pt idx="50">
                        <c:v>2312.4933083455544</c:v>
                      </c:pt>
                      <c:pt idx="51">
                        <c:v>2235.2379577261581</c:v>
                      </c:pt>
                      <c:pt idx="52">
                        <c:v>2153.8807050641626</c:v>
                      </c:pt>
                      <c:pt idx="53">
                        <c:v>2069.1771226787841</c:v>
                      </c:pt>
                      <c:pt idx="54">
                        <c:v>1981.8375796970711</c:v>
                      </c:pt>
                      <c:pt idx="55">
                        <c:v>1892.5245261115003</c:v>
                      </c:pt>
                      <c:pt idx="56">
                        <c:v>1801.8508528971354</c:v>
                      </c:pt>
                      <c:pt idx="57">
                        <c:v>1710.3791833075259</c:v>
                      </c:pt>
                      <c:pt idx="58">
                        <c:v>1618.6219573830811</c:v>
                      </c:pt>
                      <c:pt idx="59">
                        <c:v>1527.042180553706</c:v>
                      </c:pt>
                      <c:pt idx="60">
                        <c:v>1436.0547173314669</c:v>
                      </c:pt>
                      <c:pt idx="61">
                        <c:v>1346.028021922396</c:v>
                      </c:pt>
                      <c:pt idx="62">
                        <c:v>1257.2862086990976</c:v>
                      </c:pt>
                      <c:pt idx="63">
                        <c:v>1170.1113765234222</c:v>
                      </c:pt>
                      <c:pt idx="64">
                        <c:v>1084.7461116286131</c:v>
                      </c:pt>
                      <c:pt idx="65">
                        <c:v>1001.3961039709495</c:v>
                      </c:pt>
                      <c:pt idx="66">
                        <c:v>920.23282150897512</c:v>
                      </c:pt>
                      <c:pt idx="67">
                        <c:v>841.39619567812315</c:v>
                      </c:pt>
                      <c:pt idx="68">
                        <c:v>764.99727935448891</c:v>
                      </c:pt>
                      <c:pt idx="69">
                        <c:v>691.12084582736657</c:v>
                      </c:pt>
                      <c:pt idx="70">
                        <c:v>619.82790373493845</c:v>
                      </c:pt>
                      <c:pt idx="71">
                        <c:v>551.1581085866892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E5D-4DF7-941B-58ED2F3476B6}"/>
                  </c:ext>
                </c:extLst>
              </c15:ser>
            </c15:filteredScatterSeries>
          </c:ext>
        </c:extLst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kern="1200" baseline="0">
                    <a:solidFill>
                      <a:srgbClr val="595959"/>
                    </a:solidFill>
                    <a:effectLst/>
                  </a:rPr>
                  <a:t>Days from </a:t>
                </a:r>
                <a:endParaRPr lang="it-IT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Dayly new cases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70C0"/>
                </a:solidFill>
              </a:rPr>
              <a:t>Italy - rate of new cases per day (acceleration) - Lognormal fit</a:t>
            </a:r>
          </a:p>
          <a:p>
            <a:pPr>
              <a:defRPr/>
            </a:pPr>
            <a:r>
              <a:rPr lang="it-IT">
                <a:solidFill>
                  <a:srgbClr val="0070C0"/>
                </a:solidFill>
              </a:rPr>
              <a:t>Italy and sum of regions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'New_cases_rates - LNorm'!$F$7</c:f>
              <c:strCache>
                <c:ptCount val="1"/>
                <c:pt idx="0">
                  <c:v>Italy acc.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'New_cases_rates - LNorm'!$F$8:$F$184</c:f>
              <c:numCache>
                <c:formatCode>General</c:formatCode>
                <c:ptCount val="177"/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-2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-1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17</c:v>
                </c:pt>
                <c:pt idx="52">
                  <c:v>25</c:v>
                </c:pt>
                <c:pt idx="53">
                  <c:v>51</c:v>
                </c:pt>
                <c:pt idx="54">
                  <c:v>-19</c:v>
                </c:pt>
                <c:pt idx="55">
                  <c:v>19</c:v>
                </c:pt>
                <c:pt idx="56">
                  <c:v>-15</c:v>
                </c:pt>
                <c:pt idx="57">
                  <c:v>172</c:v>
                </c:pt>
                <c:pt idx="58">
                  <c:v>-12</c:v>
                </c:pt>
                <c:pt idx="59">
                  <c:v>2</c:v>
                </c:pt>
                <c:pt idx="60">
                  <c:v>326</c:v>
                </c:pt>
                <c:pt idx="61">
                  <c:v>-224</c:v>
                </c:pt>
                <c:pt idx="62">
                  <c:v>124</c:v>
                </c:pt>
                <c:pt idx="63">
                  <c:v>121</c:v>
                </c:pt>
                <c:pt idx="64">
                  <c:v>182</c:v>
                </c:pt>
                <c:pt idx="65">
                  <c:v>9</c:v>
                </c:pt>
                <c:pt idx="66">
                  <c:v>469</c:v>
                </c:pt>
                <c:pt idx="67">
                  <c:v>245</c:v>
                </c:pt>
                <c:pt idx="68">
                  <c:v>305</c:v>
                </c:pt>
                <c:pt idx="69">
                  <c:v>-820</c:v>
                </c:pt>
                <c:pt idx="70">
                  <c:v>1336</c:v>
                </c:pt>
                <c:pt idx="71">
                  <c:v>338</c:v>
                </c:pt>
                <c:pt idx="72">
                  <c:v>-104</c:v>
                </c:pt>
                <c:pt idx="73">
                  <c:v>950</c:v>
                </c:pt>
                <c:pt idx="74">
                  <c:v>93</c:v>
                </c:pt>
                <c:pt idx="75">
                  <c:v>-357</c:v>
                </c:pt>
                <c:pt idx="76">
                  <c:v>293</c:v>
                </c:pt>
                <c:pt idx="77">
                  <c:v>681</c:v>
                </c:pt>
                <c:pt idx="78">
                  <c:v>1115</c:v>
                </c:pt>
                <c:pt idx="79">
                  <c:v>664</c:v>
                </c:pt>
                <c:pt idx="80">
                  <c:v>571</c:v>
                </c:pt>
                <c:pt idx="81">
                  <c:v>-997</c:v>
                </c:pt>
                <c:pt idx="82">
                  <c:v>-771</c:v>
                </c:pt>
                <c:pt idx="83">
                  <c:v>460</c:v>
                </c:pt>
                <c:pt idx="84">
                  <c:v>-39</c:v>
                </c:pt>
                <c:pt idx="85">
                  <c:v>943</c:v>
                </c:pt>
                <c:pt idx="86">
                  <c:v>-194</c:v>
                </c:pt>
                <c:pt idx="87">
                  <c:v>15</c:v>
                </c:pt>
                <c:pt idx="88">
                  <c:v>-757</c:v>
                </c:pt>
                <c:pt idx="89">
                  <c:v>-1167</c:v>
                </c:pt>
                <c:pt idx="90">
                  <c:v>3</c:v>
                </c:pt>
                <c:pt idx="91">
                  <c:v>729</c:v>
                </c:pt>
                <c:pt idx="92">
                  <c:v>-114</c:v>
                </c:pt>
                <c:pt idx="93">
                  <c:v>-83</c:v>
                </c:pt>
                <c:pt idx="94">
                  <c:v>220</c:v>
                </c:pt>
                <c:pt idx="95">
                  <c:v>-489</c:v>
                </c:pt>
                <c:pt idx="96">
                  <c:v>-717</c:v>
                </c:pt>
                <c:pt idx="97">
                  <c:v>-560</c:v>
                </c:pt>
                <c:pt idx="98">
                  <c:v>797</c:v>
                </c:pt>
                <c:pt idx="99">
                  <c:v>368</c:v>
                </c:pt>
                <c:pt idx="100">
                  <c:v>-253</c:v>
                </c:pt>
                <c:pt idx="101">
                  <c:v>743</c:v>
                </c:pt>
                <c:pt idx="102">
                  <c:v>-602</c:v>
                </c:pt>
                <c:pt idx="103">
                  <c:v>-939</c:v>
                </c:pt>
                <c:pt idx="104">
                  <c:v>-181</c:v>
                </c:pt>
                <c:pt idx="105">
                  <c:v>-305</c:v>
                </c:pt>
                <c:pt idx="106">
                  <c:v>1119</c:v>
                </c:pt>
                <c:pt idx="107">
                  <c:v>-293</c:v>
                </c:pt>
                <c:pt idx="108">
                  <c:v>-2</c:v>
                </c:pt>
                <c:pt idx="109">
                  <c:v>-444</c:v>
                </c:pt>
                <c:pt idx="110">
                  <c:v>-791</c:v>
                </c:pt>
                <c:pt idx="111">
                  <c:v>473</c:v>
                </c:pt>
                <c:pt idx="112">
                  <c:v>641</c:v>
                </c:pt>
                <c:pt idx="113">
                  <c:v>-724</c:v>
                </c:pt>
                <c:pt idx="114">
                  <c:v>375</c:v>
                </c:pt>
                <c:pt idx="115">
                  <c:v>-664</c:v>
                </c:pt>
                <c:pt idx="116">
                  <c:v>-33</c:v>
                </c:pt>
                <c:pt idx="117">
                  <c:v>-585</c:v>
                </c:pt>
                <c:pt idx="118">
                  <c:v>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E8D-459A-841F-BE1B280B1827}"/>
            </c:ext>
          </c:extLst>
        </c:ser>
        <c:ser>
          <c:idx val="2"/>
          <c:order val="1"/>
          <c:tx>
            <c:strRef>
              <c:f>'New_cases_rates - LNorm'!$Z$7</c:f>
              <c:strCache>
                <c:ptCount val="1"/>
                <c:pt idx="0">
                  <c:v>Italy acc. fit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'New_cases_rates - LNorm'!$Z$8:$Z$184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1.1916651186556433E-45</c:v>
                </c:pt>
                <c:pt idx="32">
                  <c:v>1.5073830458547226E-25</c:v>
                </c:pt>
                <c:pt idx="33">
                  <c:v>4.9456222030967268E-18</c:v>
                </c:pt>
                <c:pt idx="34">
                  <c:v>9.9912914411155875E-14</c:v>
                </c:pt>
                <c:pt idx="35">
                  <c:v>7.5666632585476062E-11</c:v>
                </c:pt>
                <c:pt idx="36">
                  <c:v>9.3426242047404205E-9</c:v>
                </c:pt>
                <c:pt idx="37">
                  <c:v>3.7204270462232379E-7</c:v>
                </c:pt>
                <c:pt idx="38">
                  <c:v>6.9025748651528966E-6</c:v>
                </c:pt>
                <c:pt idx="39">
                  <c:v>7.426767069937699E-5</c:v>
                </c:pt>
                <c:pt idx="40">
                  <c:v>5.3295656658149744E-4</c:v>
                </c:pt>
                <c:pt idx="41">
                  <c:v>2.8028522412002037E-3</c:v>
                </c:pt>
                <c:pt idx="42">
                  <c:v>1.1541289457756296E-2</c:v>
                </c:pt>
                <c:pt idx="43">
                  <c:v>3.9040221523069393E-2</c:v>
                </c:pt>
                <c:pt idx="44">
                  <c:v>0.11244443031126916</c:v>
                </c:pt>
                <c:pt idx="45">
                  <c:v>0.28340923188035044</c:v>
                </c:pt>
                <c:pt idx="46">
                  <c:v>0.63854356114405575</c:v>
                </c:pt>
                <c:pt idx="47">
                  <c:v>1.307945322509503</c:v>
                </c:pt>
                <c:pt idx="48">
                  <c:v>2.468831939309744</c:v>
                </c:pt>
                <c:pt idx="49">
                  <c:v>4.3418925908823836</c:v>
                </c:pt>
                <c:pt idx="50">
                  <c:v>7.1793619266242432</c:v>
                </c:pt>
                <c:pt idx="51">
                  <c:v>11.245510809411634</c:v>
                </c:pt>
                <c:pt idx="52">
                  <c:v>16.791787808075156</c:v>
                </c:pt>
                <c:pt idx="53">
                  <c:v>24.029860203770458</c:v>
                </c:pt>
                <c:pt idx="54">
                  <c:v>33.106127579223184</c:v>
                </c:pt>
                <c:pt idx="55">
                  <c:v>44.080943250687589</c:v>
                </c:pt>
                <c:pt idx="56">
                  <c:v>56.91494687788115</c:v>
                </c:pt>
                <c:pt idx="57">
                  <c:v>71.463817107091486</c:v>
                </c:pt>
                <c:pt idx="58">
                  <c:v>87.481623991348556</c:v>
                </c:pt>
                <c:pt idx="59">
                  <c:v>104.63197684763253</c:v>
                </c:pt>
                <c:pt idx="60">
                  <c:v>122.50543578030504</c:v>
                </c:pt>
                <c:pt idx="61">
                  <c:v>140.64122819685704</c:v>
                </c:pt>
                <c:pt idx="62">
                  <c:v>158.55117420245645</c:v>
                </c:pt>
                <c:pt idx="63">
                  <c:v>175.74382893065138</c:v>
                </c:pt>
                <c:pt idx="64">
                  <c:v>191.74712913069516</c:v>
                </c:pt>
                <c:pt idx="65">
                  <c:v>206.12821542670176</c:v>
                </c:pt>
                <c:pt idx="66">
                  <c:v>218.50952701435034</c:v>
                </c:pt>
                <c:pt idx="67">
                  <c:v>228.58068122836551</c:v>
                </c:pt>
                <c:pt idx="68">
                  <c:v>236.10602033449027</c:v>
                </c:pt>
                <c:pt idx="69">
                  <c:v>240.92801045738867</c:v>
                </c:pt>
                <c:pt idx="70">
                  <c:v>242.9669035285747</c:v>
                </c:pt>
                <c:pt idx="71">
                  <c:v>242.21722288010722</c:v>
                </c:pt>
                <c:pt idx="72">
                  <c:v>238.74171360018968</c:v>
                </c:pt>
                <c:pt idx="73">
                  <c:v>232.66342093123816</c:v>
                </c:pt>
                <c:pt idx="74">
                  <c:v>224.15653650106316</c:v>
                </c:pt>
                <c:pt idx="75">
                  <c:v>213.43659580506943</c:v>
                </c:pt>
                <c:pt idx="76">
                  <c:v>200.75053285798234</c:v>
                </c:pt>
                <c:pt idx="77">
                  <c:v>186.36700939086495</c:v>
                </c:pt>
                <c:pt idx="78">
                  <c:v>170.56734449762615</c:v>
                </c:pt>
                <c:pt idx="79">
                  <c:v>153.63728234860443</c:v>
                </c:pt>
                <c:pt idx="80">
                  <c:v>135.85975474304595</c:v>
                </c:pt>
                <c:pt idx="81">
                  <c:v>117.50872451069387</c:v>
                </c:pt>
                <c:pt idx="82">
                  <c:v>98.844136417177793</c:v>
                </c:pt>
                <c:pt idx="83">
                  <c:v>80.107954576759781</c:v>
                </c:pt>
                <c:pt idx="84">
                  <c:v>61.521228981663768</c:v>
                </c:pt>
                <c:pt idx="85">
                  <c:v>43.282107669666971</c:v>
                </c:pt>
                <c:pt idx="86">
                  <c:v>25.56469401991124</c:v>
                </c:pt>
                <c:pt idx="87">
                  <c:v>8.5186392985251018</c:v>
                </c:pt>
                <c:pt idx="88">
                  <c:v>-7.7306425439410038</c:v>
                </c:pt>
                <c:pt idx="89">
                  <c:v>-23.081249044341472</c:v>
                </c:pt>
                <c:pt idx="90">
                  <c:v>-37.453658150625778</c:v>
                </c:pt>
                <c:pt idx="91">
                  <c:v>-50.789289665678716</c:v>
                </c:pt>
                <c:pt idx="92">
                  <c:v>-63.048847312580911</c:v>
                </c:pt>
                <c:pt idx="93">
                  <c:v>-74.210518962500558</c:v>
                </c:pt>
                <c:pt idx="94">
                  <c:v>-84.268101717960405</c:v>
                </c:pt>
                <c:pt idx="95">
                  <c:v>-93.229107870988969</c:v>
                </c:pt>
                <c:pt idx="96">
                  <c:v>-101.11289759756619</c:v>
                </c:pt>
                <c:pt idx="97">
                  <c:v>-107.94887484103965</c:v>
                </c:pt>
                <c:pt idx="98">
                  <c:v>-113.77477432495735</c:v>
                </c:pt>
                <c:pt idx="99">
                  <c:v>-118.6350600967974</c:v>
                </c:pt>
                <c:pt idx="100">
                  <c:v>-122.57944946053537</c:v>
                </c:pt>
                <c:pt idx="101">
                  <c:v>-125.66157058887941</c:v>
                </c:pt>
                <c:pt idx="102">
                  <c:v>-127.93775746670485</c:v>
                </c:pt>
                <c:pt idx="103">
                  <c:v>-129.46598203725304</c:v>
                </c:pt>
                <c:pt idx="104">
                  <c:v>-130.30492042124035</c:v>
                </c:pt>
                <c:pt idx="105">
                  <c:v>-130.51314776939901</c:v>
                </c:pt>
                <c:pt idx="106">
                  <c:v>-130.14845460298747</c:v>
                </c:pt>
                <c:pt idx="107">
                  <c:v>-129.26727630836768</c:v>
                </c:pt>
                <c:pt idx="108">
                  <c:v>-127.9242266993448</c:v>
                </c:pt>
                <c:pt idx="109">
                  <c:v>-126.17172616916486</c:v>
                </c:pt>
                <c:pt idx="110">
                  <c:v>-124.05971485459392</c:v>
                </c:pt>
                <c:pt idx="111">
                  <c:v>-121.63544136654021</c:v>
                </c:pt>
                <c:pt idx="112">
                  <c:v>-118.94331795205844</c:v>
                </c:pt>
                <c:pt idx="113">
                  <c:v>-116.02483339545543</c:v>
                </c:pt>
                <c:pt idx="114">
                  <c:v>-112.91851550269546</c:v>
                </c:pt>
                <c:pt idx="115">
                  <c:v>-109.65993561094564</c:v>
                </c:pt>
                <c:pt idx="116">
                  <c:v>-106.2817481971887</c:v>
                </c:pt>
                <c:pt idx="117">
                  <c:v>-102.81375930489058</c:v>
                </c:pt>
                <c:pt idx="118">
                  <c:v>-99.283018148726271</c:v>
                </c:pt>
                <c:pt idx="119">
                  <c:v>-95.713926881290234</c:v>
                </c:pt>
                <c:pt idx="120">
                  <c:v>-92.128364102779841</c:v>
                </c:pt>
                <c:pt idx="121">
                  <c:v>-88.545818257929326</c:v>
                </c:pt>
                <c:pt idx="122">
                  <c:v>-84.983527589338237</c:v>
                </c:pt>
                <c:pt idx="123">
                  <c:v>-81.456623800095585</c:v>
                </c:pt>
                <c:pt idx="124">
                  <c:v>-77.978277020020215</c:v>
                </c:pt>
                <c:pt idx="125">
                  <c:v>-74.559840068933184</c:v>
                </c:pt>
                <c:pt idx="126">
                  <c:v>-71.210990368059768</c:v>
                </c:pt>
                <c:pt idx="127">
                  <c:v>-67.939868168543953</c:v>
                </c:pt>
                <c:pt idx="128">
                  <c:v>-64.753210046220062</c:v>
                </c:pt>
                <c:pt idx="129">
                  <c:v>-61.656476856682175</c:v>
                </c:pt>
                <c:pt idx="130">
                  <c:v>-58.653975556922667</c:v>
                </c:pt>
                <c:pt idx="131">
                  <c:v>-55.7489744821142</c:v>
                </c:pt>
                <c:pt idx="132">
                  <c:v>-52.943811821223029</c:v>
                </c:pt>
                <c:pt idx="133">
                  <c:v>-50.239997165745656</c:v>
                </c:pt>
                <c:pt idx="134">
                  <c:v>-47.638306114563058</c:v>
                </c:pt>
                <c:pt idx="135">
                  <c:v>-45.13886800715175</c:v>
                </c:pt>
                <c:pt idx="136">
                  <c:v>-42.741246929526554</c:v>
                </c:pt>
                <c:pt idx="137">
                  <c:v>-40.444516194419627</c:v>
                </c:pt>
                <c:pt idx="138">
                  <c:v>-38.24732654134516</c:v>
                </c:pt>
                <c:pt idx="139">
                  <c:v>-36.14796833512068</c:v>
                </c:pt>
                <c:pt idx="140">
                  <c:v>-34.144428064779916</c:v>
                </c:pt>
                <c:pt idx="141">
                  <c:v>-32.234439460047611</c:v>
                </c:pt>
                <c:pt idx="142">
                  <c:v>-30.415529550988332</c:v>
                </c:pt>
                <c:pt idx="143">
                  <c:v>-28.685059999228539</c:v>
                </c:pt>
                <c:pt idx="144">
                  <c:v>-27.040264027302168</c:v>
                </c:pt>
                <c:pt idx="145">
                  <c:v>-25.478279267090855</c:v>
                </c:pt>
                <c:pt idx="146">
                  <c:v>-23.996176839767053</c:v>
                </c:pt>
                <c:pt idx="147">
                  <c:v>-22.590986968800859</c:v>
                </c:pt>
                <c:pt idx="148">
                  <c:v>-21.259721415003174</c:v>
                </c:pt>
                <c:pt idx="149">
                  <c:v>-19.999393008752644</c:v>
                </c:pt>
                <c:pt idx="150">
                  <c:v>-18.807032539899716</c:v>
                </c:pt>
                <c:pt idx="151">
                  <c:v>-17.67970325069205</c:v>
                </c:pt>
                <c:pt idx="152">
                  <c:v>-16.614513161721447</c:v>
                </c:pt>
                <c:pt idx="153">
                  <c:v>-15.608625445567407</c:v>
                </c:pt>
                <c:pt idx="154">
                  <c:v>-14.659267047713554</c:v>
                </c:pt>
                <c:pt idx="155">
                  <c:v>-13.763735739571468</c:v>
                </c:pt>
                <c:pt idx="156">
                  <c:v>-12.91940577419153</c:v>
                </c:pt>
                <c:pt idx="157">
                  <c:v>-12.123732301546571</c:v>
                </c:pt>
                <c:pt idx="158">
                  <c:v>-11.374254687220839</c:v>
                </c:pt>
                <c:pt idx="159">
                  <c:v>-10.668598865946334</c:v>
                </c:pt>
                <c:pt idx="160">
                  <c:v>-10.004478849745702</c:v>
                </c:pt>
                <c:pt idx="161">
                  <c:v>-9.3796974994662961</c:v>
                </c:pt>
                <c:pt idx="162">
                  <c:v>-8.7921466582276366</c:v>
                </c:pt>
                <c:pt idx="163">
                  <c:v>-8.2398067357463614</c:v>
                </c:pt>
                <c:pt idx="164">
                  <c:v>-7.7207458236330249</c:v>
                </c:pt>
                <c:pt idx="165">
                  <c:v>-7.2331184135505175</c:v>
                </c:pt>
                <c:pt idx="166">
                  <c:v>-6.7751637825607194</c:v>
                </c:pt>
                <c:pt idx="167">
                  <c:v>-6.3452041030360764</c:v>
                </c:pt>
                <c:pt idx="168">
                  <c:v>-5.9416423281411932</c:v>
                </c:pt>
                <c:pt idx="169">
                  <c:v>-5.562959898070611</c:v>
                </c:pt>
                <c:pt idx="170">
                  <c:v>-5.2077143069223109</c:v>
                </c:pt>
                <c:pt idx="171">
                  <c:v>-4.8745365652668262</c:v>
                </c:pt>
                <c:pt idx="172">
                  <c:v>-4.5621285891005376</c:v>
                </c:pt>
                <c:pt idx="173">
                  <c:v>-4.2692605419197331</c:v>
                </c:pt>
                <c:pt idx="174">
                  <c:v>-3.9947681530893213</c:v>
                </c:pt>
                <c:pt idx="175">
                  <c:v>-3.7375500324739397</c:v>
                </c:pt>
                <c:pt idx="176">
                  <c:v>-3.4965649984246951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E8D-459A-841F-BE1B280B1827}"/>
            </c:ext>
          </c:extLst>
        </c:ser>
        <c:ser>
          <c:idx val="0"/>
          <c:order val="2"/>
          <c:tx>
            <c:strRef>
              <c:f>'New_cases_rates - LNorm'!$L$7</c:f>
              <c:strCache>
                <c:ptCount val="1"/>
                <c:pt idx="0">
                  <c:v>Italy (fitted Lombardy + fitted sum of the other regions)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'New_cases_rates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'New_cases_rates - LNorm'!$L$8:$L$184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1.0357459388113259E-29</c:v>
                </c:pt>
                <c:pt idx="32">
                  <c:v>2.8814628352738055E-18</c:v>
                </c:pt>
                <c:pt idx="33">
                  <c:v>3.6604532127729472E-13</c:v>
                </c:pt>
                <c:pt idx="34">
                  <c:v>4.3676335556564761E-10</c:v>
                </c:pt>
                <c:pt idx="35">
                  <c:v>5.5925767239256224E-8</c:v>
                </c:pt>
                <c:pt idx="36">
                  <c:v>1.989643440667207E-6</c:v>
                </c:pt>
                <c:pt idx="37">
                  <c:v>3.1241245058196413E-5</c:v>
                </c:pt>
                <c:pt idx="38">
                  <c:v>2.7997160474704661E-4</c:v>
                </c:pt>
                <c:pt idx="39">
                  <c:v>1.6740471067883548E-3</c:v>
                </c:pt>
                <c:pt idx="40">
                  <c:v>7.3906161672003812E-3</c:v>
                </c:pt>
                <c:pt idx="41">
                  <c:v>2.5812518417631328E-2</c:v>
                </c:pt>
                <c:pt idx="42">
                  <c:v>7.4895977165212471E-2</c:v>
                </c:pt>
                <c:pt idx="43">
                  <c:v>0.18711429314676623</c:v>
                </c:pt>
                <c:pt idx="44">
                  <c:v>0.41350545616788048</c:v>
                </c:pt>
                <c:pt idx="45">
                  <c:v>0.82541035375797234</c:v>
                </c:pt>
                <c:pt idx="46">
                  <c:v>1.513467468142605</c:v>
                </c:pt>
                <c:pt idx="47">
                  <c:v>2.5849295686724281</c:v>
                </c:pt>
                <c:pt idx="48">
                  <c:v>4.1613599193905513</c:v>
                </c:pt>
                <c:pt idx="49">
                  <c:v>6.3783299184902429</c:v>
                </c:pt>
                <c:pt idx="50">
                  <c:v>9.3869428745934727</c:v>
                </c:pt>
                <c:pt idx="51">
                  <c:v>13.354937727885725</c:v>
                </c:pt>
                <c:pt idx="52">
                  <c:v>18.464065414292538</c:v>
                </c:pt>
                <c:pt idx="53">
                  <c:v>24.900998466106898</c:v>
                </c:pt>
                <c:pt idx="54">
                  <c:v>32.840934149319715</c:v>
                </c:pt>
                <c:pt idx="55">
                  <c:v>42.425408412576608</c:v>
                </c:pt>
                <c:pt idx="56">
                  <c:v>53.73773710185587</c:v>
                </c:pt>
                <c:pt idx="57">
                  <c:v>66.780373211662607</c:v>
                </c:pt>
                <c:pt idx="58">
                  <c:v>81.458205778306962</c:v>
                </c:pt>
                <c:pt idx="59">
                  <c:v>97.570681086380404</c:v>
                </c:pt>
                <c:pt idx="60">
                  <c:v>114.8140290749748</c:v>
                </c:pt>
                <c:pt idx="61">
                  <c:v>132.79325731906457</c:v>
                </c:pt>
                <c:pt idx="62">
                  <c:v>151.04225279971106</c:v>
                </c:pt>
                <c:pt idx="63">
                  <c:v>169.04947960464403</c:v>
                </c:pt>
                <c:pt idx="64">
                  <c:v>186.28641265195134</c:v>
                </c:pt>
                <c:pt idx="65">
                  <c:v>202.23593834639738</c:v>
                </c:pt>
                <c:pt idx="66">
                  <c:v>216.41836379653176</c:v>
                </c:pt>
                <c:pt idx="67">
                  <c:v>228.41327305407043</c:v>
                </c:pt>
                <c:pt idx="68">
                  <c:v>237.87613028349674</c:v>
                </c:pt>
                <c:pt idx="69">
                  <c:v>244.54916139761366</c:v>
                </c:pt>
                <c:pt idx="70">
                  <c:v>248.26658490956783</c:v>
                </c:pt>
                <c:pt idx="71">
                  <c:v>248.95467679850617</c:v>
                </c:pt>
                <c:pt idx="72">
                  <c:v>246.62743446200327</c:v>
                </c:pt>
                <c:pt idx="73">
                  <c:v>241.3787598925112</c:v>
                </c:pt>
                <c:pt idx="74">
                  <c:v>233.37213106440132</c:v>
                </c:pt>
                <c:pt idx="75">
                  <c:v>222.82869698618438</c:v>
                </c:pt>
                <c:pt idx="76">
                  <c:v>210.01464047083181</c:v>
                </c:pt>
                <c:pt idx="77">
                  <c:v>195.22852585614601</c:v>
                </c:pt>
                <c:pt idx="78">
                  <c:v>178.78920552586263</c:v>
                </c:pt>
                <c:pt idx="79">
                  <c:v>161.02471380359552</c:v>
                </c:pt>
                <c:pt idx="80">
                  <c:v>142.26244011876562</c:v>
                </c:pt>
                <c:pt idx="81">
                  <c:v>122.8207520492702</c:v>
                </c:pt>
                <c:pt idx="82">
                  <c:v>103.00213660325727</c:v>
                </c:pt>
                <c:pt idx="83">
                  <c:v>83.087846178141035</c:v>
                </c:pt>
                <c:pt idx="84">
                  <c:v>63.333973551899675</c:v>
                </c:pt>
                <c:pt idx="85">
                  <c:v>43.968836382962223</c:v>
                </c:pt>
                <c:pt idx="86">
                  <c:v>25.191523703991297</c:v>
                </c:pt>
                <c:pt idx="87">
                  <c:v>7.1714421666050452</c:v>
                </c:pt>
                <c:pt idx="88">
                  <c:v>-9.9513043339522333</c:v>
                </c:pt>
                <c:pt idx="89">
                  <c:v>-26.064864069246148</c:v>
                </c:pt>
                <c:pt idx="90">
                  <c:v>-41.084068555310438</c:v>
                </c:pt>
                <c:pt idx="91">
                  <c:v>-54.948484258927166</c:v>
                </c:pt>
                <c:pt idx="92">
                  <c:v>-67.620207938604125</c:v>
                </c:pt>
                <c:pt idx="93">
                  <c:v>-79.081511662403827</c:v>
                </c:pt>
                <c:pt idx="94">
                  <c:v>-89.332426547837954</c:v>
                </c:pt>
                <c:pt idx="95">
                  <c:v>-98.388337950324711</c:v>
                </c:pt>
                <c:pt idx="96">
                  <c:v>-106.27764967354771</c:v>
                </c:pt>
                <c:pt idx="97">
                  <c:v>-113.03956109146085</c:v>
                </c:pt>
                <c:pt idx="98">
                  <c:v>-118.72198901616484</c:v>
                </c:pt>
                <c:pt idx="99">
                  <c:v>-123.37965576596542</c:v>
                </c:pt>
                <c:pt idx="100">
                  <c:v>-127.07235614935165</c:v>
                </c:pt>
                <c:pt idx="101">
                  <c:v>-129.86340889238502</c:v>
                </c:pt>
                <c:pt idx="102">
                  <c:v>-131.81829227107619</c:v>
                </c:pt>
                <c:pt idx="103">
                  <c:v>-133.0034592179392</c:v>
                </c:pt>
                <c:pt idx="104">
                  <c:v>-133.48532379522283</c:v>
                </c:pt>
                <c:pt idx="105">
                  <c:v>-133.32940850868698</c:v>
                </c:pt>
                <c:pt idx="106">
                  <c:v>-132.59964032388055</c:v>
                </c:pt>
                <c:pt idx="107">
                  <c:v>-131.35778230092768</c:v>
                </c:pt>
                <c:pt idx="108">
                  <c:v>-129.66298735615095</c:v>
                </c:pt>
                <c:pt idx="109">
                  <c:v>-127.5714606760768</c:v>
                </c:pt>
                <c:pt idx="110">
                  <c:v>-125.13621765270142</c:v>
                </c:pt>
                <c:pt idx="111">
                  <c:v>-122.40692479383563</c:v>
                </c:pt>
                <c:pt idx="112">
                  <c:v>-119.42981181776648</c:v>
                </c:pt>
                <c:pt idx="113">
                  <c:v>-116.24764400859695</c:v>
                </c:pt>
                <c:pt idx="114">
                  <c:v>-112.89974483969783</c:v>
                </c:pt>
                <c:pt idx="115">
                  <c:v>-109.42205982973708</c:v>
                </c:pt>
                <c:pt idx="116">
                  <c:v>-105.84725354917235</c:v>
                </c:pt>
                <c:pt idx="117">
                  <c:v>-102.20483262253913</c:v>
                </c:pt>
                <c:pt idx="118">
                  <c:v>-98.521288457015388</c:v>
                </c:pt>
                <c:pt idx="119">
                  <c:v>-94.820254259269291</c:v>
                </c:pt>
                <c:pt idx="120">
                  <c:v>-91.122671673254814</c:v>
                </c:pt>
                <c:pt idx="121">
                  <c:v>-87.446963077405442</c:v>
                </c:pt>
                <c:pt idx="122">
                  <c:v>-83.80920621917862</c:v>
                </c:pt>
                <c:pt idx="123">
                  <c:v>-80.223308438618773</c:v>
                </c:pt>
                <c:pt idx="124">
                  <c:v>-76.70117824257332</c:v>
                </c:pt>
                <c:pt idx="125">
                  <c:v>-73.252892440422045</c:v>
                </c:pt>
                <c:pt idx="126">
                  <c:v>-69.886857444456609</c:v>
                </c:pt>
                <c:pt idx="127">
                  <c:v>-66.609963677565531</c:v>
                </c:pt>
                <c:pt idx="128">
                  <c:v>-63.427732322096105</c:v>
                </c:pt>
                <c:pt idx="129">
                  <c:v>-60.344453891163106</c:v>
                </c:pt>
                <c:pt idx="130">
                  <c:v>-57.363318311719176</c:v>
                </c:pt>
                <c:pt idx="131">
                  <c:v>-54.486536381679215</c:v>
                </c:pt>
                <c:pt idx="132">
                  <c:v>-51.715452605363886</c:v>
                </c:pt>
                <c:pt idx="133">
                  <c:v>-49.050649526334098</c:v>
                </c:pt>
                <c:pt idx="134">
                  <c:v>-46.492043767830019</c:v>
                </c:pt>
                <c:pt idx="135">
                  <c:v>-44.038974061751958</c:v>
                </c:pt>
                <c:pt idx="136">
                  <c:v>-41.690281600338309</c:v>
                </c:pt>
                <c:pt idx="137">
                  <c:v>-39.444383083055378</c:v>
                </c:pt>
                <c:pt idx="138">
                  <c:v>-37.299336857039542</c:v>
                </c:pt>
                <c:pt idx="139">
                  <c:v>-35.25290256482792</c:v>
                </c:pt>
                <c:pt idx="140">
                  <c:v>-33.302594719888248</c:v>
                </c:pt>
                <c:pt idx="141">
                  <c:v>-31.445730630216936</c:v>
                </c:pt>
                <c:pt idx="142">
                  <c:v>-29.679473084398069</c:v>
                </c:pt>
                <c:pt idx="143">
                  <c:v>-28.000868204206384</c:v>
                </c:pt>
                <c:pt idx="144">
                  <c:v>-26.406878854098885</c:v>
                </c:pt>
                <c:pt idx="145">
                  <c:v>-24.894413981660698</c:v>
                </c:pt>
                <c:pt idx="146">
                  <c:v>-23.460354244962282</c:v>
                </c:pt>
                <c:pt idx="147">
                  <c:v>-22.101574263474404</c:v>
                </c:pt>
                <c:pt idx="148">
                  <c:v>-20.814961809164025</c:v>
                </c:pt>
                <c:pt idx="149">
                  <c:v>-19.597434234090944</c:v>
                </c:pt>
                <c:pt idx="150">
                  <c:v>-18.44595241055621</c:v>
                </c:pt>
                <c:pt idx="151">
                  <c:v>-17.357532439901199</c:v>
                </c:pt>
                <c:pt idx="152">
                  <c:v>-16.329255366625731</c:v>
                </c:pt>
                <c:pt idx="153">
                  <c:v>-15.358275115735676</c:v>
                </c:pt>
                <c:pt idx="154">
                  <c:v>-14.44182485327544</c:v>
                </c:pt>
                <c:pt idx="155">
                  <c:v>-13.577221952920702</c:v>
                </c:pt>
                <c:pt idx="156">
                  <c:v>-12.761871735362163</c:v>
                </c:pt>
                <c:pt idx="157">
                  <c:v>-11.993270132028538</c:v>
                </c:pt>
                <c:pt idx="158">
                  <c:v>-11.269005410487118</c:v>
                </c:pt>
                <c:pt idx="159">
                  <c:v>-10.586759085621935</c:v>
                </c:pt>
                <c:pt idx="160">
                  <c:v>-9.9443061283992407</c:v>
                </c:pt>
                <c:pt idx="161">
                  <c:v>-9.3395145726688042</c:v>
                </c:pt>
                <c:pt idx="162">
                  <c:v>-8.7703446099765632</c:v>
                </c:pt>
                <c:pt idx="163">
                  <c:v>-8.2348472527451104</c:v>
                </c:pt>
                <c:pt idx="164">
                  <c:v>-7.7311626373687279</c:v>
                </c:pt>
                <c:pt idx="165">
                  <c:v>-7.2575180307248175</c:v>
                </c:pt>
                <c:pt idx="166">
                  <c:v>-6.8122255962777647</c:v>
                </c:pt>
                <c:pt idx="167">
                  <c:v>-6.3936799692970085</c:v>
                </c:pt>
                <c:pt idx="168">
                  <c:v>-6.0003556846842203</c:v>
                </c:pt>
                <c:pt idx="169">
                  <c:v>-5.6308044954578875</c:v>
                </c:pt>
                <c:pt idx="170">
                  <c:v>-5.2836526150356562</c:v>
                </c:pt>
                <c:pt idx="171">
                  <c:v>-4.9575979120417264</c:v>
                </c:pt>
                <c:pt idx="172">
                  <c:v>-4.6514070824093938</c:v>
                </c:pt>
                <c:pt idx="173">
                  <c:v>-4.3639128200091397</c:v>
                </c:pt>
                <c:pt idx="174">
                  <c:v>-4.0940110038743578</c:v>
                </c:pt>
                <c:pt idx="175">
                  <c:v>-3.8406579172869719</c:v>
                </c:pt>
                <c:pt idx="176">
                  <c:v>-3.602867511491294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E8D-459A-841F-BE1B280B1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'New_cases_rates - LNorm'!$AI$7</c15:sqref>
                        </c15:formulaRef>
                      </c:ext>
                    </c:extLst>
                    <c:strCache>
                      <c:ptCount val="1"/>
                      <c:pt idx="0">
                        <c:v>Lombardy acc.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'New_cases_rates - LNorm'!$AI$8:$AI$184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56" formatCode="General">
                        <c:v>-50</c:v>
                      </c:pt>
                      <c:pt idx="57" formatCode="General">
                        <c:v>127</c:v>
                      </c:pt>
                      <c:pt idx="58" formatCode="General">
                        <c:v>-17</c:v>
                      </c:pt>
                      <c:pt idx="59" formatCode="General">
                        <c:v>-44</c:v>
                      </c:pt>
                      <c:pt idx="60" formatCode="General">
                        <c:v>285</c:v>
                      </c:pt>
                      <c:pt idx="61" formatCode="General">
                        <c:v>-99</c:v>
                      </c:pt>
                      <c:pt idx="62" formatCode="General">
                        <c:v>-4</c:v>
                      </c:pt>
                      <c:pt idx="63" formatCode="General">
                        <c:v>34</c:v>
                      </c:pt>
                      <c:pt idx="64" formatCode="General">
                        <c:v>131</c:v>
                      </c:pt>
                      <c:pt idx="65" formatCode="General">
                        <c:v>-70</c:v>
                      </c:pt>
                      <c:pt idx="66" formatCode="General">
                        <c:v>447</c:v>
                      </c:pt>
                      <c:pt idx="67" formatCode="General">
                        <c:v>-39</c:v>
                      </c:pt>
                      <c:pt idx="68" formatCode="General">
                        <c:v>511</c:v>
                      </c:pt>
                      <c:pt idx="69" formatCode="General">
                        <c:v>-958</c:v>
                      </c:pt>
                      <c:pt idx="70" formatCode="General">
                        <c:v>1167</c:v>
                      </c:pt>
                      <c:pt idx="71" formatCode="General">
                        <c:v>-44</c:v>
                      </c:pt>
                      <c:pt idx="72" formatCode="General">
                        <c:v>-350</c:v>
                      </c:pt>
                      <c:pt idx="73" formatCode="General">
                        <c:v>770</c:v>
                      </c:pt>
                      <c:pt idx="74" formatCode="General">
                        <c:v>-278</c:v>
                      </c:pt>
                      <c:pt idx="75" formatCode="General">
                        <c:v>-210</c:v>
                      </c:pt>
                      <c:pt idx="76" formatCode="General">
                        <c:v>194</c:v>
                      </c:pt>
                      <c:pt idx="77" formatCode="General">
                        <c:v>-78</c:v>
                      </c:pt>
                      <c:pt idx="78" formatCode="General">
                        <c:v>678</c:v>
                      </c:pt>
                      <c:pt idx="79" formatCode="General">
                        <c:v>209</c:v>
                      </c:pt>
                      <c:pt idx="80" formatCode="General">
                        <c:v>871</c:v>
                      </c:pt>
                      <c:pt idx="81" formatCode="General">
                        <c:v>-1560</c:v>
                      </c:pt>
                      <c:pt idx="82" formatCode="General">
                        <c:v>-136</c:v>
                      </c:pt>
                      <c:pt idx="83" formatCode="General">
                        <c:v>387</c:v>
                      </c:pt>
                      <c:pt idx="84" formatCode="General">
                        <c:v>-299</c:v>
                      </c:pt>
                      <c:pt idx="85" formatCode="General">
                        <c:v>900</c:v>
                      </c:pt>
                      <c:pt idx="86" formatCode="General">
                        <c:v>-134</c:v>
                      </c:pt>
                      <c:pt idx="87" formatCode="General">
                        <c:v>-292</c:v>
                      </c:pt>
                      <c:pt idx="88" formatCode="General">
                        <c:v>-525</c:v>
                      </c:pt>
                      <c:pt idx="89" formatCode="General">
                        <c:v>-438</c:v>
                      </c:pt>
                      <c:pt idx="90" formatCode="General">
                        <c:v>-107</c:v>
                      </c:pt>
                      <c:pt idx="91" formatCode="General">
                        <c:v>518</c:v>
                      </c:pt>
                      <c:pt idx="92" formatCode="General">
                        <c:v>-273</c:v>
                      </c:pt>
                      <c:pt idx="93" formatCode="General">
                        <c:v>163</c:v>
                      </c:pt>
                      <c:pt idx="94" formatCode="General">
                        <c:v>143</c:v>
                      </c:pt>
                      <c:pt idx="95" formatCode="General">
                        <c:v>-261</c:v>
                      </c:pt>
                      <c:pt idx="96" formatCode="General">
                        <c:v>-258</c:v>
                      </c:pt>
                      <c:pt idx="97" formatCode="General">
                        <c:v>-288</c:v>
                      </c:pt>
                      <c:pt idx="98" formatCode="General">
                        <c:v>298</c:v>
                      </c:pt>
                      <c:pt idx="99" formatCode="General">
                        <c:v>299</c:v>
                      </c:pt>
                      <c:pt idx="100" formatCode="General">
                        <c:v>-142</c:v>
                      </c:pt>
                      <c:pt idx="101" formatCode="General">
                        <c:v>298</c:v>
                      </c:pt>
                      <c:pt idx="102" formatCode="General">
                        <c:v>-84</c:v>
                      </c:pt>
                      <c:pt idx="103" formatCode="General">
                        <c:v>-198</c:v>
                      </c:pt>
                      <c:pt idx="104" formatCode="General">
                        <c:v>-250</c:v>
                      </c:pt>
                      <c:pt idx="105" formatCode="General">
                        <c:v>-185</c:v>
                      </c:pt>
                      <c:pt idx="106" formatCode="General">
                        <c:v>114</c:v>
                      </c:pt>
                      <c:pt idx="107" formatCode="General">
                        <c:v>100</c:v>
                      </c:pt>
                      <c:pt idx="108" formatCode="General">
                        <c:v>205</c:v>
                      </c:pt>
                      <c:pt idx="109" formatCode="General">
                        <c:v>-391</c:v>
                      </c:pt>
                      <c:pt idx="110" formatCode="General">
                        <c:v>-120</c:v>
                      </c:pt>
                      <c:pt idx="111" formatCode="General">
                        <c:v>225</c:v>
                      </c:pt>
                      <c:pt idx="112" formatCode="General">
                        <c:v>201</c:v>
                      </c:pt>
                      <c:pt idx="113" formatCode="General">
                        <c:v>-88</c:v>
                      </c:pt>
                      <c:pt idx="114" formatCode="General">
                        <c:v>18</c:v>
                      </c:pt>
                      <c:pt idx="115" formatCode="General">
                        <c:v>-378</c:v>
                      </c:pt>
                      <c:pt idx="116" formatCode="General">
                        <c:v>207</c:v>
                      </c:pt>
                      <c:pt idx="117" formatCode="General">
                        <c:v>-330</c:v>
                      </c:pt>
                      <c:pt idx="118" formatCode="General">
                        <c:v>279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4E8D-459A-841F-BE1B280B1827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LNorm'!$AW$7</c15:sqref>
                        </c15:formulaRef>
                      </c:ext>
                    </c:extLst>
                    <c:strCache>
                      <c:ptCount val="1"/>
                      <c:pt idx="0">
                        <c:v>Lombardy acc. fit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LNorm'!$AW$8:$AW$184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1.0357459388113259E-29</c:v>
                      </c:pt>
                      <c:pt idx="32">
                        <c:v>2.8814628352738055E-18</c:v>
                      </c:pt>
                      <c:pt idx="33">
                        <c:v>3.6604532127729472E-13</c:v>
                      </c:pt>
                      <c:pt idx="34">
                        <c:v>4.3676335556564761E-10</c:v>
                      </c:pt>
                      <c:pt idx="35">
                        <c:v>5.5925767239256224E-8</c:v>
                      </c:pt>
                      <c:pt idx="36">
                        <c:v>1.989643440667207E-6</c:v>
                      </c:pt>
                      <c:pt idx="37">
                        <c:v>3.1241245058196413E-5</c:v>
                      </c:pt>
                      <c:pt idx="38">
                        <c:v>2.7997160474704661E-4</c:v>
                      </c:pt>
                      <c:pt idx="39">
                        <c:v>1.6740471067881895E-3</c:v>
                      </c:pt>
                      <c:pt idx="40">
                        <c:v>7.3906161641102428E-3</c:v>
                      </c:pt>
                      <c:pt idx="41">
                        <c:v>2.5812516595785134E-2</c:v>
                      </c:pt>
                      <c:pt idx="42">
                        <c:v>7.4895805899814663E-2</c:v>
                      </c:pt>
                      <c:pt idx="43">
                        <c:v>0.1871090285506507</c:v>
                      </c:pt>
                      <c:pt idx="44">
                        <c:v>0.413428382823192</c:v>
                      </c:pt>
                      <c:pt idx="45">
                        <c:v>0.82474121383413956</c:v>
                      </c:pt>
                      <c:pt idx="46">
                        <c:v>1.5095127957912009</c:v>
                      </c:pt>
                      <c:pt idx="47">
                        <c:v>2.5674889867270139</c:v>
                      </c:pt>
                      <c:pt idx="48">
                        <c:v>4.1001814313513281</c:v>
                      </c:pt>
                      <c:pt idx="49">
                        <c:v>6.1996013340029643</c:v>
                      </c:pt>
                      <c:pt idx="50">
                        <c:v>8.9370124839382257</c:v>
                      </c:pt>
                      <c:pt idx="51">
                        <c:v>12.353364167517679</c:v>
                      </c:pt>
                      <c:pt idx="52">
                        <c:v>16.452649411897646</c:v>
                      </c:pt>
                      <c:pt idx="53">
                        <c:v>21.198866718914537</c:v>
                      </c:pt>
                      <c:pt idx="54">
                        <c:v>26.516687225262309</c:v>
                      </c:pt>
                      <c:pt idx="55">
                        <c:v>32.295447287359494</c:v>
                      </c:pt>
                      <c:pt idx="56">
                        <c:v>38.395753613130509</c:v>
                      </c:pt>
                      <c:pt idx="57">
                        <c:v>44.657816444615015</c:v>
                      </c:pt>
                      <c:pt idx="58">
                        <c:v>50.91059814721217</c:v>
                      </c:pt>
                      <c:pt idx="59">
                        <c:v>56.980945713333803</c:v>
                      </c:pt>
                      <c:pt idx="60">
                        <c:v>62.702026914326709</c:v>
                      </c:pt>
                      <c:pt idx="61">
                        <c:v>67.920574651300242</c:v>
                      </c:pt>
                      <c:pt idx="62">
                        <c:v>72.502633047918863</c:v>
                      </c:pt>
                      <c:pt idx="63">
                        <c:v>76.337671212250299</c:v>
                      </c:pt>
                      <c:pt idx="64">
                        <c:v>79.341073915082191</c:v>
                      </c:pt>
                      <c:pt idx="65">
                        <c:v>81.455127216322992</c:v>
                      </c:pt>
                      <c:pt idx="66">
                        <c:v>82.648691069935524</c:v>
                      </c:pt>
                      <c:pt idx="67">
                        <c:v>82.915793368882433</c:v>
                      </c:pt>
                      <c:pt idx="68">
                        <c:v>82.273395921496956</c:v>
                      </c:pt>
                      <c:pt idx="69">
                        <c:v>80.758578415298345</c:v>
                      </c:pt>
                      <c:pt idx="70">
                        <c:v>78.425367396800439</c:v>
                      </c:pt>
                      <c:pt idx="71">
                        <c:v>75.341408964180644</c:v>
                      </c:pt>
                      <c:pt idx="72">
                        <c:v>71.584650660600403</c:v>
                      </c:pt>
                      <c:pt idx="73">
                        <c:v>67.240163440892744</c:v>
                      </c:pt>
                      <c:pt idx="74">
                        <c:v>62.397201106535142</c:v>
                      </c:pt>
                      <c:pt idx="75">
                        <c:v>57.146563978544599</c:v>
                      </c:pt>
                      <c:pt idx="76">
                        <c:v>51.578306828231305</c:v>
                      </c:pt>
                      <c:pt idx="77">
                        <c:v>45.779808688402092</c:v>
                      </c:pt>
                      <c:pt idx="78">
                        <c:v>39.834204192229926</c:v>
                      </c:pt>
                      <c:pt idx="79">
                        <c:v>33.819162319102674</c:v>
                      </c:pt>
                      <c:pt idx="80">
                        <c:v>27.805988470199658</c:v>
                      </c:pt>
                      <c:pt idx="81">
                        <c:v>21.859019154803104</c:v>
                      </c:pt>
                      <c:pt idx="82">
                        <c:v>16.035274705755985</c:v>
                      </c:pt>
                      <c:pt idx="83">
                        <c:v>10.384333827829417</c:v>
                      </c:pt>
                      <c:pt idx="84">
                        <c:v>4.9483939186029984</c:v>
                      </c:pt>
                      <c:pt idx="85">
                        <c:v>-0.23751745843241842</c:v>
                      </c:pt>
                      <c:pt idx="86">
                        <c:v>-5.1452122105212963</c:v>
                      </c:pt>
                      <c:pt idx="87">
                        <c:v>-9.7529217709528435</c:v>
                      </c:pt>
                      <c:pt idx="88">
                        <c:v>-14.044813596877981</c:v>
                      </c:pt>
                      <c:pt idx="89">
                        <c:v>-18.010466723107886</c:v>
                      </c:pt>
                      <c:pt idx="90">
                        <c:v>-21.644325606604944</c:v>
                      </c:pt>
                      <c:pt idx="91">
                        <c:v>-24.945148263272305</c:v>
                      </c:pt>
                      <c:pt idx="92">
                        <c:v>-27.915461689443593</c:v>
                      </c:pt>
                      <c:pt idx="93">
                        <c:v>-30.561034824189441</c:v>
                      </c:pt>
                      <c:pt idx="94">
                        <c:v>-32.890376871160946</c:v>
                      </c:pt>
                      <c:pt idx="95">
                        <c:v>-34.914266668341909</c:v>
                      </c:pt>
                      <c:pt idx="96">
                        <c:v>-36.645316965780012</c:v>
                      </c:pt>
                      <c:pt idx="97">
                        <c:v>-38.097575930760819</c:v>
                      </c:pt>
                      <c:pt idx="98">
                        <c:v>-39.286166926325279</c:v>
                      </c:pt>
                      <c:pt idx="99">
                        <c:v>-40.226966578142893</c:v>
                      </c:pt>
                      <c:pt idx="100">
                        <c:v>-40.936320330259704</c:v>
                      </c:pt>
                      <c:pt idx="101">
                        <c:v>-41.430794065487923</c:v>
                      </c:pt>
                      <c:pt idx="102">
                        <c:v>-41.726959905161195</c:v>
                      </c:pt>
                      <c:pt idx="103">
                        <c:v>-41.841213980991569</c:v>
                      </c:pt>
                      <c:pt idx="104">
                        <c:v>-41.7896237660187</c:v>
                      </c:pt>
                      <c:pt idx="105">
                        <c:v>-41.587802441452652</c:v>
                      </c:pt>
                      <c:pt idx="106">
                        <c:v>-41.250807743118685</c:v>
                      </c:pt>
                      <c:pt idx="107">
                        <c:v>-40.793062759024679</c:v>
                      </c:pt>
                      <c:pt idx="108">
                        <c:v>-40.228296224249831</c:v>
                      </c:pt>
                      <c:pt idx="109">
                        <c:v>-39.569499968936469</c:v>
                      </c:pt>
                      <c:pt idx="110">
                        <c:v>-38.828901309557644</c:v>
                      </c:pt>
                      <c:pt idx="111">
                        <c:v>-38.017948324466445</c:v>
                      </c:pt>
                      <c:pt idx="112">
                        <c:v>-37.147306115152809</c:v>
                      </c:pt>
                      <c:pt idx="113">
                        <c:v>-36.226862319130966</c:v>
                      </c:pt>
                      <c:pt idx="114">
                        <c:v>-35.265740304606901</c:v>
                      </c:pt>
                      <c:pt idx="115">
                        <c:v>-34.272318637670665</c:v>
                      </c:pt>
                      <c:pt idx="116">
                        <c:v>-33.254255567219786</c:v>
                      </c:pt>
                      <c:pt idx="117">
                        <c:v>-32.218517419327846</c:v>
                      </c:pt>
                      <c:pt idx="118">
                        <c:v>-31.171409930109657</c:v>
                      </c:pt>
                      <c:pt idx="119">
                        <c:v>-30.118611673543604</c:v>
                      </c:pt>
                      <c:pt idx="120">
                        <c:v>-29.065208857820355</c:v>
                      </c:pt>
                      <c:pt idx="121">
                        <c:v>-28.015730870524134</c:v>
                      </c:pt>
                      <c:pt idx="122">
                        <c:v>-26.974186049477773</c:v>
                      </c:pt>
                      <c:pt idx="123">
                        <c:v>-25.944097242721867</c:v>
                      </c:pt>
                      <c:pt idx="124">
                        <c:v>-24.928536798321485</c:v>
                      </c:pt>
                      <c:pt idx="125">
                        <c:v>-23.930160693036999</c:v>
                      </c:pt>
                      <c:pt idx="126">
                        <c:v>-22.951241568968133</c:v>
                      </c:pt>
                      <c:pt idx="127">
                        <c:v>-21.993700499707469</c:v>
                      </c:pt>
                      <c:pt idx="128">
                        <c:v>-21.059137352968424</c:v>
                      </c:pt>
                      <c:pt idx="129">
                        <c:v>-20.148859655713835</c:v>
                      </c:pt>
                      <c:pt idx="130">
                        <c:v>-19.263909901126588</c:v>
                      </c:pt>
                      <c:pt idx="131">
                        <c:v>-18.40509126492115</c:v>
                      </c:pt>
                      <c:pt idx="132">
                        <c:v>-17.572991722059733</c:v>
                      </c:pt>
                      <c:pt idx="133">
                        <c:v>-16.768006574426934</c:v>
                      </c:pt>
                      <c:pt idx="134">
                        <c:v>-15.990359415924694</c:v>
                      </c:pt>
                      <c:pt idx="135">
                        <c:v>-15.240121574217195</c:v>
                      </c:pt>
                      <c:pt idx="136">
                        <c:v>-14.517230078392585</c:v>
                      </c:pt>
                      <c:pt idx="137">
                        <c:v>-13.82150420948942</c:v>
                      </c:pt>
                      <c:pt idx="138">
                        <c:v>-13.152660696485565</c:v>
                      </c:pt>
                      <c:pt idx="139">
                        <c:v>-12.510327624274115</c:v>
                      </c:pt>
                      <c:pt idx="140">
                        <c:v>-11.89405712261615</c:v>
                      </c:pt>
                      <c:pt idx="141">
                        <c:v>-11.303336906300101</c:v>
                      </c:pt>
                      <c:pt idx="142">
                        <c:v>-10.737600736961605</c:v>
                      </c:pt>
                      <c:pt idx="143">
                        <c:v>-10.196237876409175</c:v>
                      </c:pt>
                      <c:pt idx="144">
                        <c:v>-9.6786016000166608</c:v>
                      </c:pt>
                      <c:pt idx="145">
                        <c:v>-9.1840168369236554</c:v>
                      </c:pt>
                      <c:pt idx="146">
                        <c:v>-8.7117870015480143</c:v>
                      </c:pt>
                      <c:pt idx="147">
                        <c:v>-8.2612000783621458</c:v>
                      </c:pt>
                      <c:pt idx="148">
                        <c:v>-7.8315340191043958</c:v>
                      </c:pt>
                      <c:pt idx="149">
                        <c:v>-7.422061508663786</c:v>
                      </c:pt>
                      <c:pt idx="150">
                        <c:v>-7.032054152847282</c:v>
                      </c:pt>
                      <c:pt idx="151">
                        <c:v>-6.6607861381723907</c:v>
                      </c:pt>
                      <c:pt idx="152">
                        <c:v>-6.3075374107600348</c:v>
                      </c:pt>
                      <c:pt idx="153">
                        <c:v>-5.9715964183716927</c:v>
                      </c:pt>
                      <c:pt idx="154">
                        <c:v>-5.6522624566664277</c:v>
                      </c:pt>
                      <c:pt idx="155">
                        <c:v>-5.3488476578705031</c:v>
                      </c:pt>
                      <c:pt idx="156">
                        <c:v>-5.0606786572708176</c:v>
                      </c:pt>
                      <c:pt idx="157">
                        <c:v>-4.7870979702756422</c:v>
                      </c:pt>
                      <c:pt idx="158">
                        <c:v>-4.5274651102420895</c:v>
                      </c:pt>
                      <c:pt idx="159">
                        <c:v>-4.2811574748531438</c:v>
                      </c:pt>
                      <c:pt idx="160">
                        <c:v>-4.0475710265428066</c:v>
                      </c:pt>
                      <c:pt idx="161">
                        <c:v>-3.8261207903171881</c:v>
                      </c:pt>
                      <c:pt idx="162">
                        <c:v>-3.6162411902989624</c:v>
                      </c:pt>
                      <c:pt idx="163">
                        <c:v>-3.4173862444345571</c:v>
                      </c:pt>
                      <c:pt idx="164">
                        <c:v>-3.2290296350408356</c:v>
                      </c:pt>
                      <c:pt idx="165">
                        <c:v>-3.0506646712296752</c:v>
                      </c:pt>
                      <c:pt idx="166">
                        <c:v>-2.8818041577284772</c:v>
                      </c:pt>
                      <c:pt idx="167">
                        <c:v>-2.7219801832077586</c:v>
                      </c:pt>
                      <c:pt idx="168">
                        <c:v>-2.5707438399288631</c:v>
                      </c:pt>
                      <c:pt idx="169">
                        <c:v>-2.4276648853277516</c:v>
                      </c:pt>
                      <c:pt idx="170">
                        <c:v>-2.2923313550527409</c:v>
                      </c:pt>
                      <c:pt idx="171">
                        <c:v>-2.1643491359646867</c:v>
                      </c:pt>
                      <c:pt idx="172">
                        <c:v>-2.0433415066861755</c:v>
                      </c:pt>
                      <c:pt idx="173">
                        <c:v>-1.9289486524430557</c:v>
                      </c:pt>
                      <c:pt idx="174">
                        <c:v>-1.8208271601732986</c:v>
                      </c:pt>
                      <c:pt idx="175">
                        <c:v>-1.7186494991794115</c:v>
                      </c:pt>
                      <c:pt idx="176">
                        <c:v>-1.6221034919655621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E8D-459A-841F-BE1B280B1827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LNorm'!$BD$7</c15:sqref>
                        </c15:formulaRef>
                      </c:ext>
                    </c:extLst>
                    <c:strCache>
                      <c:ptCount val="1"/>
                      <c:pt idx="0">
                        <c:v>rest of Italy acc.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LNorm'!$BD$8:$BD$184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56">
                        <c:v>35</c:v>
                      </c:pt>
                      <c:pt idx="57">
                        <c:v>45</c:v>
                      </c:pt>
                      <c:pt idx="58">
                        <c:v>5</c:v>
                      </c:pt>
                      <c:pt idx="59">
                        <c:v>46</c:v>
                      </c:pt>
                      <c:pt idx="60">
                        <c:v>41</c:v>
                      </c:pt>
                      <c:pt idx="61">
                        <c:v>-125</c:v>
                      </c:pt>
                      <c:pt idx="62">
                        <c:v>128</c:v>
                      </c:pt>
                      <c:pt idx="63">
                        <c:v>87</c:v>
                      </c:pt>
                      <c:pt idx="64">
                        <c:v>51</c:v>
                      </c:pt>
                      <c:pt idx="65">
                        <c:v>79</c:v>
                      </c:pt>
                      <c:pt idx="66">
                        <c:v>22</c:v>
                      </c:pt>
                      <c:pt idx="67">
                        <c:v>284</c:v>
                      </c:pt>
                      <c:pt idx="68">
                        <c:v>-206</c:v>
                      </c:pt>
                      <c:pt idx="69">
                        <c:v>138</c:v>
                      </c:pt>
                      <c:pt idx="70">
                        <c:v>169</c:v>
                      </c:pt>
                      <c:pt idx="71">
                        <c:v>382</c:v>
                      </c:pt>
                      <c:pt idx="72">
                        <c:v>246</c:v>
                      </c:pt>
                      <c:pt idx="73">
                        <c:v>180</c:v>
                      </c:pt>
                      <c:pt idx="74">
                        <c:v>371</c:v>
                      </c:pt>
                      <c:pt idx="75">
                        <c:v>-147</c:v>
                      </c:pt>
                      <c:pt idx="76">
                        <c:v>99</c:v>
                      </c:pt>
                      <c:pt idx="77">
                        <c:v>759</c:v>
                      </c:pt>
                      <c:pt idx="78">
                        <c:v>437</c:v>
                      </c:pt>
                      <c:pt idx="79">
                        <c:v>455</c:v>
                      </c:pt>
                      <c:pt idx="80">
                        <c:v>-300</c:v>
                      </c:pt>
                      <c:pt idx="81">
                        <c:v>563</c:v>
                      </c:pt>
                      <c:pt idx="82">
                        <c:v>-635</c:v>
                      </c:pt>
                      <c:pt idx="83">
                        <c:v>73</c:v>
                      </c:pt>
                      <c:pt idx="84">
                        <c:v>260</c:v>
                      </c:pt>
                      <c:pt idx="85">
                        <c:v>43</c:v>
                      </c:pt>
                      <c:pt idx="86">
                        <c:v>-60</c:v>
                      </c:pt>
                      <c:pt idx="87">
                        <c:v>307</c:v>
                      </c:pt>
                      <c:pt idx="88">
                        <c:v>-232</c:v>
                      </c:pt>
                      <c:pt idx="89">
                        <c:v>-729</c:v>
                      </c:pt>
                      <c:pt idx="90">
                        <c:v>110</c:v>
                      </c:pt>
                      <c:pt idx="91">
                        <c:v>211</c:v>
                      </c:pt>
                      <c:pt idx="92">
                        <c:v>159</c:v>
                      </c:pt>
                      <c:pt idx="93">
                        <c:v>-246</c:v>
                      </c:pt>
                      <c:pt idx="94">
                        <c:v>77</c:v>
                      </c:pt>
                      <c:pt idx="95">
                        <c:v>-228</c:v>
                      </c:pt>
                      <c:pt idx="96">
                        <c:v>-459</c:v>
                      </c:pt>
                      <c:pt idx="97">
                        <c:v>-272</c:v>
                      </c:pt>
                      <c:pt idx="98">
                        <c:v>499</c:v>
                      </c:pt>
                      <c:pt idx="99">
                        <c:v>69</c:v>
                      </c:pt>
                      <c:pt idx="100">
                        <c:v>-111</c:v>
                      </c:pt>
                      <c:pt idx="101">
                        <c:v>445</c:v>
                      </c:pt>
                      <c:pt idx="102">
                        <c:v>-518</c:v>
                      </c:pt>
                      <c:pt idx="103">
                        <c:v>-741</c:v>
                      </c:pt>
                      <c:pt idx="104">
                        <c:v>69</c:v>
                      </c:pt>
                      <c:pt idx="105">
                        <c:v>-120</c:v>
                      </c:pt>
                      <c:pt idx="106">
                        <c:v>1005</c:v>
                      </c:pt>
                      <c:pt idx="107">
                        <c:v>-393</c:v>
                      </c:pt>
                      <c:pt idx="108">
                        <c:v>-207</c:v>
                      </c:pt>
                      <c:pt idx="109">
                        <c:v>-53</c:v>
                      </c:pt>
                      <c:pt idx="110">
                        <c:v>-671</c:v>
                      </c:pt>
                      <c:pt idx="111">
                        <c:v>248</c:v>
                      </c:pt>
                      <c:pt idx="112">
                        <c:v>440</c:v>
                      </c:pt>
                      <c:pt idx="113">
                        <c:v>-636</c:v>
                      </c:pt>
                      <c:pt idx="114">
                        <c:v>357</c:v>
                      </c:pt>
                      <c:pt idx="115">
                        <c:v>-286</c:v>
                      </c:pt>
                      <c:pt idx="116">
                        <c:v>-240</c:v>
                      </c:pt>
                      <c:pt idx="117">
                        <c:v>-255</c:v>
                      </c:pt>
                      <c:pt idx="118">
                        <c:v>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4E8D-459A-841F-BE1B280B1827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LNorm'!$BR$7</c15:sqref>
                        </c15:formulaRef>
                      </c:ext>
                    </c:extLst>
                    <c:strCache>
                      <c:ptCount val="1"/>
                      <c:pt idx="0">
                        <c:v>rest of Italy acc. fit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LNorm'!$BR$8:$BR$184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6.348426818434302E-52</c:v>
                      </c:pt>
                      <c:pt idx="38">
                        <c:v>1.9511492919272573E-24</c:v>
                      </c:pt>
                      <c:pt idx="39">
                        <c:v>1.6517557707556378E-16</c:v>
                      </c:pt>
                      <c:pt idx="40">
                        <c:v>3.0901386225569382E-12</c:v>
                      </c:pt>
                      <c:pt idx="41">
                        <c:v>1.8218461942811726E-9</c:v>
                      </c:pt>
                      <c:pt idx="42">
                        <c:v>1.7126539780957474E-7</c:v>
                      </c:pt>
                      <c:pt idx="43">
                        <c:v>5.2645961155145335E-6</c:v>
                      </c:pt>
                      <c:pt idx="44">
                        <c:v>7.707334468850613E-5</c:v>
                      </c:pt>
                      <c:pt idx="45">
                        <c:v>6.6913992383279923E-4</c:v>
                      </c:pt>
                      <c:pt idx="46">
                        <c:v>3.9546723514040458E-3</c:v>
                      </c:pt>
                      <c:pt idx="47">
                        <c:v>1.7440581945414365E-2</c:v>
                      </c:pt>
                      <c:pt idx="48">
                        <c:v>6.1178488039223364E-2</c:v>
                      </c:pt>
                      <c:pt idx="49">
                        <c:v>0.17872858448727882</c:v>
                      </c:pt>
                      <c:pt idx="50">
                        <c:v>0.44993039065524787</c:v>
                      </c:pt>
                      <c:pt idx="51">
                        <c:v>1.0015735603680451</c:v>
                      </c:pt>
                      <c:pt idx="52">
                        <c:v>2.011416002394891</c:v>
                      </c:pt>
                      <c:pt idx="53">
                        <c:v>3.7021317471923627</c:v>
                      </c:pt>
                      <c:pt idx="54">
                        <c:v>6.3242469240574071</c:v>
                      </c:pt>
                      <c:pt idx="55">
                        <c:v>10.129961125217116</c:v>
                      </c:pt>
                      <c:pt idx="56">
                        <c:v>15.341983488725358</c:v>
                      </c:pt>
                      <c:pt idx="57">
                        <c:v>22.122556767047598</c:v>
                      </c:pt>
                      <c:pt idx="58">
                        <c:v>30.547607631094792</c:v>
                      </c:pt>
                      <c:pt idx="59">
                        <c:v>40.589735373046594</c:v>
                      </c:pt>
                      <c:pt idx="60">
                        <c:v>52.112002160648089</c:v>
                      </c:pt>
                      <c:pt idx="61">
                        <c:v>64.872682667764323</c:v>
                      </c:pt>
                      <c:pt idx="62">
                        <c:v>78.539619751792202</c:v>
                      </c:pt>
                      <c:pt idx="63">
                        <c:v>92.711808392393735</c:v>
                      </c:pt>
                      <c:pt idx="64">
                        <c:v>106.94533873686915</c:v>
                      </c:pt>
                      <c:pt idx="65">
                        <c:v>120.78081113007438</c:v>
                      </c:pt>
                      <c:pt idx="66">
                        <c:v>133.76967272659624</c:v>
                      </c:pt>
                      <c:pt idx="67">
                        <c:v>145.49747968518801</c:v>
                      </c:pt>
                      <c:pt idx="68">
                        <c:v>155.60273436199978</c:v>
                      </c:pt>
                      <c:pt idx="69">
                        <c:v>163.7905829823153</c:v>
                      </c:pt>
                      <c:pt idx="70">
                        <c:v>169.84121751276737</c:v>
                      </c:pt>
                      <c:pt idx="71">
                        <c:v>173.61326783432554</c:v>
                      </c:pt>
                      <c:pt idx="72">
                        <c:v>175.04278380140286</c:v>
                      </c:pt>
                      <c:pt idx="73">
                        <c:v>174.13859645161847</c:v>
                      </c:pt>
                      <c:pt idx="74">
                        <c:v>170.97492995786618</c:v>
                      </c:pt>
                      <c:pt idx="75">
                        <c:v>165.68213300763978</c:v>
                      </c:pt>
                      <c:pt idx="76">
                        <c:v>158.43633364260052</c:v>
                      </c:pt>
                      <c:pt idx="77">
                        <c:v>149.44871716774392</c:v>
                      </c:pt>
                      <c:pt idx="78">
                        <c:v>138.95500133363271</c:v>
                      </c:pt>
                      <c:pt idx="79">
                        <c:v>127.20555148449284</c:v>
                      </c:pt>
                      <c:pt idx="80">
                        <c:v>114.45645164856597</c:v>
                      </c:pt>
                      <c:pt idx="81">
                        <c:v>100.96173289446709</c:v>
                      </c:pt>
                      <c:pt idx="82">
                        <c:v>86.966861897501289</c:v>
                      </c:pt>
                      <c:pt idx="83">
                        <c:v>72.703512350311613</c:v>
                      </c:pt>
                      <c:pt idx="84">
                        <c:v>58.385579633296679</c:v>
                      </c:pt>
                      <c:pt idx="85">
                        <c:v>44.206353841394645</c:v>
                      </c:pt>
                      <c:pt idx="86">
                        <c:v>30.336735914512595</c:v>
                      </c:pt>
                      <c:pt idx="87">
                        <c:v>16.924363937557889</c:v>
                      </c:pt>
                      <c:pt idx="88">
                        <c:v>4.0935092629257488</c:v>
                      </c:pt>
                      <c:pt idx="89">
                        <c:v>-8.0543973461382627</c:v>
                      </c:pt>
                      <c:pt idx="90">
                        <c:v>-19.439742948705497</c:v>
                      </c:pt>
                      <c:pt idx="91">
                        <c:v>-30.003335995654862</c:v>
                      </c:pt>
                      <c:pt idx="92">
                        <c:v>-39.704746249160529</c:v>
                      </c:pt>
                      <c:pt idx="93">
                        <c:v>-48.520476838214385</c:v>
                      </c:pt>
                      <c:pt idx="94">
                        <c:v>-56.442049676677009</c:v>
                      </c:pt>
                      <c:pt idx="95">
                        <c:v>-63.474071281982802</c:v>
                      </c:pt>
                      <c:pt idx="96">
                        <c:v>-69.632332707767702</c:v>
                      </c:pt>
                      <c:pt idx="97">
                        <c:v>-74.941985160700028</c:v>
                      </c:pt>
                      <c:pt idx="98">
                        <c:v>-79.435822089839561</c:v>
                      </c:pt>
                      <c:pt idx="99">
                        <c:v>-83.152689187822531</c:v>
                      </c:pt>
                      <c:pt idx="100">
                        <c:v>-86.136035819091944</c:v>
                      </c:pt>
                      <c:pt idx="101">
                        <c:v>-88.432614826897094</c:v>
                      </c:pt>
                      <c:pt idx="102">
                        <c:v>-90.09133236591498</c:v>
                      </c:pt>
                      <c:pt idx="103">
                        <c:v>-91.162245236947626</c:v>
                      </c:pt>
                      <c:pt idx="104">
                        <c:v>-91.695700029204119</c:v>
                      </c:pt>
                      <c:pt idx="105">
                        <c:v>-91.741606067234315</c:v>
                      </c:pt>
                      <c:pt idx="106">
                        <c:v>-91.348832580761865</c:v>
                      </c:pt>
                      <c:pt idx="107">
                        <c:v>-90.564719541903017</c:v>
                      </c:pt>
                      <c:pt idx="108">
                        <c:v>-89.434691131901118</c:v>
                      </c:pt>
                      <c:pt idx="109">
                        <c:v>-88.001960707140327</c:v>
                      </c:pt>
                      <c:pt idx="110">
                        <c:v>-86.307316343143768</c:v>
                      </c:pt>
                      <c:pt idx="111">
                        <c:v>-84.388976469369183</c:v>
                      </c:pt>
                      <c:pt idx="112">
                        <c:v>-82.282505702613676</c:v>
                      </c:pt>
                      <c:pt idx="113">
                        <c:v>-80.020781689465977</c:v>
                      </c:pt>
                      <c:pt idx="114">
                        <c:v>-77.634004535090924</c:v>
                      </c:pt>
                      <c:pt idx="115">
                        <c:v>-75.149741192066415</c:v>
                      </c:pt>
                      <c:pt idx="116">
                        <c:v>-72.592997981952564</c:v>
                      </c:pt>
                      <c:pt idx="117">
                        <c:v>-69.986315203211291</c:v>
                      </c:pt>
                      <c:pt idx="118">
                        <c:v>-67.349878526905727</c:v>
                      </c:pt>
                      <c:pt idx="119">
                        <c:v>-64.701642585725679</c:v>
                      </c:pt>
                      <c:pt idx="120">
                        <c:v>-62.057462815434455</c:v>
                      </c:pt>
                      <c:pt idx="121">
                        <c:v>-59.431232206881305</c:v>
                      </c:pt>
                      <c:pt idx="122">
                        <c:v>-56.835020169700847</c:v>
                      </c:pt>
                      <c:pt idx="123">
                        <c:v>-54.279211195896906</c:v>
                      </c:pt>
                      <c:pt idx="124">
                        <c:v>-51.772641444251839</c:v>
                      </c:pt>
                      <c:pt idx="125">
                        <c:v>-49.322731747385042</c:v>
                      </c:pt>
                      <c:pt idx="126">
                        <c:v>-46.93561587548848</c:v>
                      </c:pt>
                      <c:pt idx="127">
                        <c:v>-44.616263177858059</c:v>
                      </c:pt>
                      <c:pt idx="128">
                        <c:v>-42.368594969127678</c:v>
                      </c:pt>
                      <c:pt idx="129">
                        <c:v>-40.195594235449271</c:v>
                      </c:pt>
                      <c:pt idx="130">
                        <c:v>-38.099408410592588</c:v>
                      </c:pt>
                      <c:pt idx="131">
                        <c:v>-36.081445116758061</c:v>
                      </c:pt>
                      <c:pt idx="132">
                        <c:v>-34.142460883304153</c:v>
                      </c:pt>
                      <c:pt idx="133">
                        <c:v>-32.282642951907164</c:v>
                      </c:pt>
                      <c:pt idx="134">
                        <c:v>-30.501684351905325</c:v>
                      </c:pt>
                      <c:pt idx="135">
                        <c:v>-28.798852487534759</c:v>
                      </c:pt>
                      <c:pt idx="136">
                        <c:v>-27.173051521945727</c:v>
                      </c:pt>
                      <c:pt idx="137">
                        <c:v>-25.622878873565956</c:v>
                      </c:pt>
                      <c:pt idx="138">
                        <c:v>-24.146676160553977</c:v>
                      </c:pt>
                      <c:pt idx="139">
                        <c:v>-22.742574940553805</c:v>
                      </c:pt>
                      <c:pt idx="140">
                        <c:v>-21.408537597272094</c:v>
                      </c:pt>
                      <c:pt idx="141">
                        <c:v>-20.142393723916836</c:v>
                      </c:pt>
                      <c:pt idx="142">
                        <c:v>-18.941872347436465</c:v>
                      </c:pt>
                      <c:pt idx="143">
                        <c:v>-17.804630327797209</c:v>
                      </c:pt>
                      <c:pt idx="144">
                        <c:v>-16.728277254082222</c:v>
                      </c:pt>
                      <c:pt idx="145">
                        <c:v>-15.710397144737044</c:v>
                      </c:pt>
                      <c:pt idx="146">
                        <c:v>-14.748567243414268</c:v>
                      </c:pt>
                      <c:pt idx="147">
                        <c:v>-13.84037418511226</c:v>
                      </c:pt>
                      <c:pt idx="148">
                        <c:v>-12.983427790059627</c:v>
                      </c:pt>
                      <c:pt idx="149">
                        <c:v>-12.175372725427158</c:v>
                      </c:pt>
                      <c:pt idx="150">
                        <c:v>-11.413898257708926</c:v>
                      </c:pt>
                      <c:pt idx="151">
                        <c:v>-10.696746301728808</c:v>
                      </c:pt>
                      <c:pt idx="152">
                        <c:v>-10.021717955865695</c:v>
                      </c:pt>
                      <c:pt idx="153">
                        <c:v>-9.3866786973639833</c:v>
                      </c:pt>
                      <c:pt idx="154">
                        <c:v>-8.7895623966090124</c:v>
                      </c:pt>
                      <c:pt idx="155">
                        <c:v>-8.2283742950501981</c:v>
                      </c:pt>
                      <c:pt idx="156">
                        <c:v>-7.7011930780913449</c:v>
                      </c:pt>
                      <c:pt idx="157">
                        <c:v>-7.2061721617528951</c:v>
                      </c:pt>
                      <c:pt idx="158">
                        <c:v>-6.7415403002450294</c:v>
                      </c:pt>
                      <c:pt idx="159">
                        <c:v>-6.3056016107687922</c:v>
                      </c:pt>
                      <c:pt idx="160">
                        <c:v>-5.8967351018564331</c:v>
                      </c:pt>
                      <c:pt idx="161">
                        <c:v>-5.5133937823516161</c:v>
                      </c:pt>
                      <c:pt idx="162">
                        <c:v>-5.1541034196776003</c:v>
                      </c:pt>
                      <c:pt idx="163">
                        <c:v>-4.8174610083105529</c:v>
                      </c:pt>
                      <c:pt idx="164">
                        <c:v>-4.5021330023278923</c:v>
                      </c:pt>
                      <c:pt idx="165">
                        <c:v>-4.2068533594951427</c:v>
                      </c:pt>
                      <c:pt idx="166">
                        <c:v>-3.9304214385492879</c:v>
                      </c:pt>
                      <c:pt idx="167">
                        <c:v>-3.67169978608925</c:v>
                      </c:pt>
                      <c:pt idx="168">
                        <c:v>-3.4296118447553572</c:v>
                      </c:pt>
                      <c:pt idx="169">
                        <c:v>-3.2031396101301364</c:v>
                      </c:pt>
                      <c:pt idx="170">
                        <c:v>-2.9913212599829158</c:v>
                      </c:pt>
                      <c:pt idx="171">
                        <c:v>-2.7932487760770397</c:v>
                      </c:pt>
                      <c:pt idx="172">
                        <c:v>-2.6080655757232183</c:v>
                      </c:pt>
                      <c:pt idx="173">
                        <c:v>-2.434964167566084</c:v>
                      </c:pt>
                      <c:pt idx="174">
                        <c:v>-2.2731838437010592</c:v>
                      </c:pt>
                      <c:pt idx="175">
                        <c:v>-2.1220084181075602</c:v>
                      </c:pt>
                      <c:pt idx="176">
                        <c:v>-1.9807640195257319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4E8D-459A-841F-BE1B280B1827}"/>
                  </c:ext>
                </c:extLst>
              </c15:ser>
            </c15:filteredScatterSeries>
          </c:ext>
        </c:extLst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Days from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Rate of new cases per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399713820119715"/>
          <c:y val="0.377933419424057"/>
          <c:w val="0.25718062167529426"/>
          <c:h val="0.1149736282331409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B050"/>
                </a:solidFill>
              </a:rPr>
              <a:t>Italy - rate of new cases per day (acceleration) - Lognormal fit</a:t>
            </a:r>
          </a:p>
          <a:p>
            <a:pPr>
              <a:defRPr/>
            </a:pPr>
            <a:r>
              <a:rPr lang="it-IT">
                <a:solidFill>
                  <a:srgbClr val="00B050"/>
                </a:solidFill>
              </a:rPr>
              <a:t>Italy regions outside Lombardy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5"/>
          <c:order val="5"/>
          <c:tx>
            <c:strRef>
              <c:f>'New_cases_rates - LNorm'!$BD$7</c:f>
              <c:strCache>
                <c:ptCount val="1"/>
                <c:pt idx="0">
                  <c:v>rest of Italy acc.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  <c:extLst xmlns:c15="http://schemas.microsoft.com/office/drawing/2012/chart"/>
            </c:numRef>
          </c:xVal>
          <c:yVal>
            <c:numRef>
              <c:f>'New_cases_rates - LNorm'!$BD$8:$BD$184</c:f>
              <c:numCache>
                <c:formatCode>0</c:formatCode>
                <c:ptCount val="177"/>
                <c:pt idx="56">
                  <c:v>35</c:v>
                </c:pt>
                <c:pt idx="57">
                  <c:v>45</c:v>
                </c:pt>
                <c:pt idx="58">
                  <c:v>5</c:v>
                </c:pt>
                <c:pt idx="59">
                  <c:v>46</c:v>
                </c:pt>
                <c:pt idx="60">
                  <c:v>41</c:v>
                </c:pt>
                <c:pt idx="61">
                  <c:v>-125</c:v>
                </c:pt>
                <c:pt idx="62">
                  <c:v>128</c:v>
                </c:pt>
                <c:pt idx="63">
                  <c:v>87</c:v>
                </c:pt>
                <c:pt idx="64">
                  <c:v>51</c:v>
                </c:pt>
                <c:pt idx="65">
                  <c:v>79</c:v>
                </c:pt>
                <c:pt idx="66">
                  <c:v>22</c:v>
                </c:pt>
                <c:pt idx="67">
                  <c:v>284</c:v>
                </c:pt>
                <c:pt idx="68">
                  <c:v>-206</c:v>
                </c:pt>
                <c:pt idx="69">
                  <c:v>138</c:v>
                </c:pt>
                <c:pt idx="70">
                  <c:v>169</c:v>
                </c:pt>
                <c:pt idx="71">
                  <c:v>382</c:v>
                </c:pt>
                <c:pt idx="72">
                  <c:v>246</c:v>
                </c:pt>
                <c:pt idx="73">
                  <c:v>180</c:v>
                </c:pt>
                <c:pt idx="74">
                  <c:v>371</c:v>
                </c:pt>
                <c:pt idx="75">
                  <c:v>-147</c:v>
                </c:pt>
                <c:pt idx="76">
                  <c:v>99</c:v>
                </c:pt>
                <c:pt idx="77">
                  <c:v>759</c:v>
                </c:pt>
                <c:pt idx="78">
                  <c:v>437</c:v>
                </c:pt>
                <c:pt idx="79">
                  <c:v>455</c:v>
                </c:pt>
                <c:pt idx="80">
                  <c:v>-300</c:v>
                </c:pt>
                <c:pt idx="81">
                  <c:v>563</c:v>
                </c:pt>
                <c:pt idx="82">
                  <c:v>-635</c:v>
                </c:pt>
                <c:pt idx="83">
                  <c:v>73</c:v>
                </c:pt>
                <c:pt idx="84">
                  <c:v>260</c:v>
                </c:pt>
                <c:pt idx="85">
                  <c:v>43</c:v>
                </c:pt>
                <c:pt idx="86">
                  <c:v>-60</c:v>
                </c:pt>
                <c:pt idx="87">
                  <c:v>307</c:v>
                </c:pt>
                <c:pt idx="88">
                  <c:v>-232</c:v>
                </c:pt>
                <c:pt idx="89">
                  <c:v>-729</c:v>
                </c:pt>
                <c:pt idx="90">
                  <c:v>110</c:v>
                </c:pt>
                <c:pt idx="91">
                  <c:v>211</c:v>
                </c:pt>
                <c:pt idx="92">
                  <c:v>159</c:v>
                </c:pt>
                <c:pt idx="93">
                  <c:v>-246</c:v>
                </c:pt>
                <c:pt idx="94">
                  <c:v>77</c:v>
                </c:pt>
                <c:pt idx="95">
                  <c:v>-228</c:v>
                </c:pt>
                <c:pt idx="96">
                  <c:v>-459</c:v>
                </c:pt>
                <c:pt idx="97">
                  <c:v>-272</c:v>
                </c:pt>
                <c:pt idx="98">
                  <c:v>499</c:v>
                </c:pt>
                <c:pt idx="99">
                  <c:v>69</c:v>
                </c:pt>
                <c:pt idx="100">
                  <c:v>-111</c:v>
                </c:pt>
                <c:pt idx="101">
                  <c:v>445</c:v>
                </c:pt>
                <c:pt idx="102">
                  <c:v>-518</c:v>
                </c:pt>
                <c:pt idx="103">
                  <c:v>-741</c:v>
                </c:pt>
                <c:pt idx="104">
                  <c:v>69</c:v>
                </c:pt>
                <c:pt idx="105">
                  <c:v>-120</c:v>
                </c:pt>
                <c:pt idx="106">
                  <c:v>1005</c:v>
                </c:pt>
                <c:pt idx="107">
                  <c:v>-393</c:v>
                </c:pt>
                <c:pt idx="108">
                  <c:v>-207</c:v>
                </c:pt>
                <c:pt idx="109">
                  <c:v>-53</c:v>
                </c:pt>
                <c:pt idx="110">
                  <c:v>-671</c:v>
                </c:pt>
                <c:pt idx="111">
                  <c:v>248</c:v>
                </c:pt>
                <c:pt idx="112">
                  <c:v>440</c:v>
                </c:pt>
                <c:pt idx="113">
                  <c:v>-636</c:v>
                </c:pt>
                <c:pt idx="114">
                  <c:v>357</c:v>
                </c:pt>
                <c:pt idx="115">
                  <c:v>-286</c:v>
                </c:pt>
                <c:pt idx="116">
                  <c:v>-240</c:v>
                </c:pt>
                <c:pt idx="117">
                  <c:v>-255</c:v>
                </c:pt>
                <c:pt idx="118">
                  <c:v>73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5-2C00-4C28-951D-B4BE550B5B7A}"/>
            </c:ext>
          </c:extLst>
        </c:ser>
        <c:ser>
          <c:idx val="6"/>
          <c:order val="6"/>
          <c:tx>
            <c:strRef>
              <c:f>'New_cases_rates - LNorm'!$BR$7</c:f>
              <c:strCache>
                <c:ptCount val="1"/>
                <c:pt idx="0">
                  <c:v>rest of Italy acc. fit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  <c:extLst xmlns:c15="http://schemas.microsoft.com/office/drawing/2012/chart"/>
            </c:numRef>
          </c:xVal>
          <c:yVal>
            <c:numRef>
              <c:f>'New_cases_rates - LNorm'!$BR$8:$BR$184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6.348426818434302E-52</c:v>
                </c:pt>
                <c:pt idx="38">
                  <c:v>1.9511492919272573E-24</c:v>
                </c:pt>
                <c:pt idx="39">
                  <c:v>1.6517557707556378E-16</c:v>
                </c:pt>
                <c:pt idx="40">
                  <c:v>3.0901386225569382E-12</c:v>
                </c:pt>
                <c:pt idx="41">
                  <c:v>1.8218461942811726E-9</c:v>
                </c:pt>
                <c:pt idx="42">
                  <c:v>1.7126539780957474E-7</c:v>
                </c:pt>
                <c:pt idx="43">
                  <c:v>5.2645961155145335E-6</c:v>
                </c:pt>
                <c:pt idx="44">
                  <c:v>7.707334468850613E-5</c:v>
                </c:pt>
                <c:pt idx="45">
                  <c:v>6.6913992383279923E-4</c:v>
                </c:pt>
                <c:pt idx="46">
                  <c:v>3.9546723514040458E-3</c:v>
                </c:pt>
                <c:pt idx="47">
                  <c:v>1.7440581945414365E-2</c:v>
                </c:pt>
                <c:pt idx="48">
                  <c:v>6.1178488039223364E-2</c:v>
                </c:pt>
                <c:pt idx="49">
                  <c:v>0.17872858448727882</c:v>
                </c:pt>
                <c:pt idx="50">
                  <c:v>0.44993039065524787</c:v>
                </c:pt>
                <c:pt idx="51">
                  <c:v>1.0015735603680451</c:v>
                </c:pt>
                <c:pt idx="52">
                  <c:v>2.011416002394891</c:v>
                </c:pt>
                <c:pt idx="53">
                  <c:v>3.7021317471923627</c:v>
                </c:pt>
                <c:pt idx="54">
                  <c:v>6.3242469240574071</c:v>
                </c:pt>
                <c:pt idx="55">
                  <c:v>10.129961125217116</c:v>
                </c:pt>
                <c:pt idx="56">
                  <c:v>15.341983488725358</c:v>
                </c:pt>
                <c:pt idx="57">
                  <c:v>22.122556767047598</c:v>
                </c:pt>
                <c:pt idx="58">
                  <c:v>30.547607631094792</c:v>
                </c:pt>
                <c:pt idx="59">
                  <c:v>40.589735373046594</c:v>
                </c:pt>
                <c:pt idx="60">
                  <c:v>52.112002160648089</c:v>
                </c:pt>
                <c:pt idx="61">
                  <c:v>64.872682667764323</c:v>
                </c:pt>
                <c:pt idx="62">
                  <c:v>78.539619751792202</c:v>
                </c:pt>
                <c:pt idx="63">
                  <c:v>92.711808392393735</c:v>
                </c:pt>
                <c:pt idx="64">
                  <c:v>106.94533873686915</c:v>
                </c:pt>
                <c:pt idx="65">
                  <c:v>120.78081113007438</c:v>
                </c:pt>
                <c:pt idx="66">
                  <c:v>133.76967272659624</c:v>
                </c:pt>
                <c:pt idx="67">
                  <c:v>145.49747968518801</c:v>
                </c:pt>
                <c:pt idx="68">
                  <c:v>155.60273436199978</c:v>
                </c:pt>
                <c:pt idx="69">
                  <c:v>163.7905829823153</c:v>
                </c:pt>
                <c:pt idx="70">
                  <c:v>169.84121751276737</c:v>
                </c:pt>
                <c:pt idx="71">
                  <c:v>173.61326783432554</c:v>
                </c:pt>
                <c:pt idx="72">
                  <c:v>175.04278380140286</c:v>
                </c:pt>
                <c:pt idx="73">
                  <c:v>174.13859645161847</c:v>
                </c:pt>
                <c:pt idx="74">
                  <c:v>170.97492995786618</c:v>
                </c:pt>
                <c:pt idx="75">
                  <c:v>165.68213300763978</c:v>
                </c:pt>
                <c:pt idx="76">
                  <c:v>158.43633364260052</c:v>
                </c:pt>
                <c:pt idx="77">
                  <c:v>149.44871716774392</c:v>
                </c:pt>
                <c:pt idx="78">
                  <c:v>138.95500133363271</c:v>
                </c:pt>
                <c:pt idx="79">
                  <c:v>127.20555148449284</c:v>
                </c:pt>
                <c:pt idx="80">
                  <c:v>114.45645164856597</c:v>
                </c:pt>
                <c:pt idx="81">
                  <c:v>100.96173289446709</c:v>
                </c:pt>
                <c:pt idx="82">
                  <c:v>86.966861897501289</c:v>
                </c:pt>
                <c:pt idx="83">
                  <c:v>72.703512350311613</c:v>
                </c:pt>
                <c:pt idx="84">
                  <c:v>58.385579633296679</c:v>
                </c:pt>
                <c:pt idx="85">
                  <c:v>44.206353841394645</c:v>
                </c:pt>
                <c:pt idx="86">
                  <c:v>30.336735914512595</c:v>
                </c:pt>
                <c:pt idx="87">
                  <c:v>16.924363937557889</c:v>
                </c:pt>
                <c:pt idx="88">
                  <c:v>4.0935092629257488</c:v>
                </c:pt>
                <c:pt idx="89">
                  <c:v>-8.0543973461382627</c:v>
                </c:pt>
                <c:pt idx="90">
                  <c:v>-19.439742948705497</c:v>
                </c:pt>
                <c:pt idx="91">
                  <c:v>-30.003335995654862</c:v>
                </c:pt>
                <c:pt idx="92">
                  <c:v>-39.704746249160529</c:v>
                </c:pt>
                <c:pt idx="93">
                  <c:v>-48.520476838214385</c:v>
                </c:pt>
                <c:pt idx="94">
                  <c:v>-56.442049676677009</c:v>
                </c:pt>
                <c:pt idx="95">
                  <c:v>-63.474071281982802</c:v>
                </c:pt>
                <c:pt idx="96">
                  <c:v>-69.632332707767702</c:v>
                </c:pt>
                <c:pt idx="97">
                  <c:v>-74.941985160700028</c:v>
                </c:pt>
                <c:pt idx="98">
                  <c:v>-79.435822089839561</c:v>
                </c:pt>
                <c:pt idx="99">
                  <c:v>-83.152689187822531</c:v>
                </c:pt>
                <c:pt idx="100">
                  <c:v>-86.136035819091944</c:v>
                </c:pt>
                <c:pt idx="101">
                  <c:v>-88.432614826897094</c:v>
                </c:pt>
                <c:pt idx="102">
                  <c:v>-90.09133236591498</c:v>
                </c:pt>
                <c:pt idx="103">
                  <c:v>-91.162245236947626</c:v>
                </c:pt>
                <c:pt idx="104">
                  <c:v>-91.695700029204119</c:v>
                </c:pt>
                <c:pt idx="105">
                  <c:v>-91.741606067234315</c:v>
                </c:pt>
                <c:pt idx="106">
                  <c:v>-91.348832580761865</c:v>
                </c:pt>
                <c:pt idx="107">
                  <c:v>-90.564719541903017</c:v>
                </c:pt>
                <c:pt idx="108">
                  <c:v>-89.434691131901118</c:v>
                </c:pt>
                <c:pt idx="109">
                  <c:v>-88.001960707140327</c:v>
                </c:pt>
                <c:pt idx="110">
                  <c:v>-86.307316343143768</c:v>
                </c:pt>
                <c:pt idx="111">
                  <c:v>-84.388976469369183</c:v>
                </c:pt>
                <c:pt idx="112">
                  <c:v>-82.282505702613676</c:v>
                </c:pt>
                <c:pt idx="113">
                  <c:v>-80.020781689465977</c:v>
                </c:pt>
                <c:pt idx="114">
                  <c:v>-77.634004535090924</c:v>
                </c:pt>
                <c:pt idx="115">
                  <c:v>-75.149741192066415</c:v>
                </c:pt>
                <c:pt idx="116">
                  <c:v>-72.592997981952564</c:v>
                </c:pt>
                <c:pt idx="117">
                  <c:v>-69.986315203211291</c:v>
                </c:pt>
                <c:pt idx="118">
                  <c:v>-67.349878526905727</c:v>
                </c:pt>
                <c:pt idx="119">
                  <c:v>-64.701642585725679</c:v>
                </c:pt>
                <c:pt idx="120">
                  <c:v>-62.057462815434455</c:v>
                </c:pt>
                <c:pt idx="121">
                  <c:v>-59.431232206881305</c:v>
                </c:pt>
                <c:pt idx="122">
                  <c:v>-56.835020169700847</c:v>
                </c:pt>
                <c:pt idx="123">
                  <c:v>-54.279211195896906</c:v>
                </c:pt>
                <c:pt idx="124">
                  <c:v>-51.772641444251839</c:v>
                </c:pt>
                <c:pt idx="125">
                  <c:v>-49.322731747385042</c:v>
                </c:pt>
                <c:pt idx="126">
                  <c:v>-46.93561587548848</c:v>
                </c:pt>
                <c:pt idx="127">
                  <c:v>-44.616263177858059</c:v>
                </c:pt>
                <c:pt idx="128">
                  <c:v>-42.368594969127678</c:v>
                </c:pt>
                <c:pt idx="129">
                  <c:v>-40.195594235449271</c:v>
                </c:pt>
                <c:pt idx="130">
                  <c:v>-38.099408410592588</c:v>
                </c:pt>
                <c:pt idx="131">
                  <c:v>-36.081445116758061</c:v>
                </c:pt>
                <c:pt idx="132">
                  <c:v>-34.142460883304153</c:v>
                </c:pt>
                <c:pt idx="133">
                  <c:v>-32.282642951907164</c:v>
                </c:pt>
                <c:pt idx="134">
                  <c:v>-30.501684351905325</c:v>
                </c:pt>
                <c:pt idx="135">
                  <c:v>-28.798852487534759</c:v>
                </c:pt>
                <c:pt idx="136">
                  <c:v>-27.173051521945727</c:v>
                </c:pt>
                <c:pt idx="137">
                  <c:v>-25.622878873565956</c:v>
                </c:pt>
                <c:pt idx="138">
                  <c:v>-24.146676160553977</c:v>
                </c:pt>
                <c:pt idx="139">
                  <c:v>-22.742574940553805</c:v>
                </c:pt>
                <c:pt idx="140">
                  <c:v>-21.408537597272094</c:v>
                </c:pt>
                <c:pt idx="141">
                  <c:v>-20.142393723916836</c:v>
                </c:pt>
                <c:pt idx="142">
                  <c:v>-18.941872347436465</c:v>
                </c:pt>
                <c:pt idx="143">
                  <c:v>-17.804630327797209</c:v>
                </c:pt>
                <c:pt idx="144">
                  <c:v>-16.728277254082222</c:v>
                </c:pt>
                <c:pt idx="145">
                  <c:v>-15.710397144737044</c:v>
                </c:pt>
                <c:pt idx="146">
                  <c:v>-14.748567243414268</c:v>
                </c:pt>
                <c:pt idx="147">
                  <c:v>-13.84037418511226</c:v>
                </c:pt>
                <c:pt idx="148">
                  <c:v>-12.983427790059627</c:v>
                </c:pt>
                <c:pt idx="149">
                  <c:v>-12.175372725427158</c:v>
                </c:pt>
                <c:pt idx="150">
                  <c:v>-11.413898257708926</c:v>
                </c:pt>
                <c:pt idx="151">
                  <c:v>-10.696746301728808</c:v>
                </c:pt>
                <c:pt idx="152">
                  <c:v>-10.021717955865695</c:v>
                </c:pt>
                <c:pt idx="153">
                  <c:v>-9.3866786973639833</c:v>
                </c:pt>
                <c:pt idx="154">
                  <c:v>-8.7895623966090124</c:v>
                </c:pt>
                <c:pt idx="155">
                  <c:v>-8.2283742950501981</c:v>
                </c:pt>
                <c:pt idx="156">
                  <c:v>-7.7011930780913449</c:v>
                </c:pt>
                <c:pt idx="157">
                  <c:v>-7.2061721617528951</c:v>
                </c:pt>
                <c:pt idx="158">
                  <c:v>-6.7415403002450294</c:v>
                </c:pt>
                <c:pt idx="159">
                  <c:v>-6.3056016107687922</c:v>
                </c:pt>
                <c:pt idx="160">
                  <c:v>-5.8967351018564331</c:v>
                </c:pt>
                <c:pt idx="161">
                  <c:v>-5.5133937823516161</c:v>
                </c:pt>
                <c:pt idx="162">
                  <c:v>-5.1541034196776003</c:v>
                </c:pt>
                <c:pt idx="163">
                  <c:v>-4.8174610083105529</c:v>
                </c:pt>
                <c:pt idx="164">
                  <c:v>-4.5021330023278923</c:v>
                </c:pt>
                <c:pt idx="165">
                  <c:v>-4.2068533594951427</c:v>
                </c:pt>
                <c:pt idx="166">
                  <c:v>-3.9304214385492879</c:v>
                </c:pt>
                <c:pt idx="167">
                  <c:v>-3.67169978608925</c:v>
                </c:pt>
                <c:pt idx="168">
                  <c:v>-3.4296118447553572</c:v>
                </c:pt>
                <c:pt idx="169">
                  <c:v>-3.2031396101301364</c:v>
                </c:pt>
                <c:pt idx="170">
                  <c:v>-2.9913212599829158</c:v>
                </c:pt>
                <c:pt idx="171">
                  <c:v>-2.7932487760770397</c:v>
                </c:pt>
                <c:pt idx="172">
                  <c:v>-2.6080655757232183</c:v>
                </c:pt>
                <c:pt idx="173">
                  <c:v>-2.434964167566084</c:v>
                </c:pt>
                <c:pt idx="174">
                  <c:v>-2.2731838437010592</c:v>
                </c:pt>
                <c:pt idx="175">
                  <c:v>-2.1220084181075602</c:v>
                </c:pt>
                <c:pt idx="176">
                  <c:v>-1.9807640195257319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6-2C00-4C28-951D-B4BE550B5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'New_cases_rates - LNorm'!$F$7</c15:sqref>
                        </c15:formulaRef>
                      </c:ext>
                    </c:extLst>
                    <c:strCache>
                      <c:ptCount val="1"/>
                      <c:pt idx="0">
                        <c:v>Italy acc.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'New_cases_rates - LNorm'!$F$8:$F$184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</c:v>
                      </c:pt>
                      <c:pt idx="31">
                        <c:v>-2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-1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17</c:v>
                      </c:pt>
                      <c:pt idx="52">
                        <c:v>25</c:v>
                      </c:pt>
                      <c:pt idx="53">
                        <c:v>51</c:v>
                      </c:pt>
                      <c:pt idx="54">
                        <c:v>-19</c:v>
                      </c:pt>
                      <c:pt idx="55">
                        <c:v>19</c:v>
                      </c:pt>
                      <c:pt idx="56">
                        <c:v>-15</c:v>
                      </c:pt>
                      <c:pt idx="57">
                        <c:v>172</c:v>
                      </c:pt>
                      <c:pt idx="58">
                        <c:v>-12</c:v>
                      </c:pt>
                      <c:pt idx="59">
                        <c:v>2</c:v>
                      </c:pt>
                      <c:pt idx="60">
                        <c:v>326</c:v>
                      </c:pt>
                      <c:pt idx="61">
                        <c:v>-224</c:v>
                      </c:pt>
                      <c:pt idx="62">
                        <c:v>124</c:v>
                      </c:pt>
                      <c:pt idx="63">
                        <c:v>121</c:v>
                      </c:pt>
                      <c:pt idx="64">
                        <c:v>182</c:v>
                      </c:pt>
                      <c:pt idx="65">
                        <c:v>9</c:v>
                      </c:pt>
                      <c:pt idx="66">
                        <c:v>469</c:v>
                      </c:pt>
                      <c:pt idx="67">
                        <c:v>245</c:v>
                      </c:pt>
                      <c:pt idx="68">
                        <c:v>305</c:v>
                      </c:pt>
                      <c:pt idx="69">
                        <c:v>-820</c:v>
                      </c:pt>
                      <c:pt idx="70">
                        <c:v>1336</c:v>
                      </c:pt>
                      <c:pt idx="71">
                        <c:v>338</c:v>
                      </c:pt>
                      <c:pt idx="72">
                        <c:v>-104</c:v>
                      </c:pt>
                      <c:pt idx="73">
                        <c:v>950</c:v>
                      </c:pt>
                      <c:pt idx="74">
                        <c:v>93</c:v>
                      </c:pt>
                      <c:pt idx="75">
                        <c:v>-357</c:v>
                      </c:pt>
                      <c:pt idx="76">
                        <c:v>293</c:v>
                      </c:pt>
                      <c:pt idx="77">
                        <c:v>681</c:v>
                      </c:pt>
                      <c:pt idx="78">
                        <c:v>1115</c:v>
                      </c:pt>
                      <c:pt idx="79">
                        <c:v>664</c:v>
                      </c:pt>
                      <c:pt idx="80">
                        <c:v>571</c:v>
                      </c:pt>
                      <c:pt idx="81">
                        <c:v>-997</c:v>
                      </c:pt>
                      <c:pt idx="82">
                        <c:v>-771</c:v>
                      </c:pt>
                      <c:pt idx="83">
                        <c:v>460</c:v>
                      </c:pt>
                      <c:pt idx="84">
                        <c:v>-39</c:v>
                      </c:pt>
                      <c:pt idx="85">
                        <c:v>943</c:v>
                      </c:pt>
                      <c:pt idx="86">
                        <c:v>-194</c:v>
                      </c:pt>
                      <c:pt idx="87">
                        <c:v>15</c:v>
                      </c:pt>
                      <c:pt idx="88">
                        <c:v>-757</c:v>
                      </c:pt>
                      <c:pt idx="89">
                        <c:v>-1167</c:v>
                      </c:pt>
                      <c:pt idx="90">
                        <c:v>3</c:v>
                      </c:pt>
                      <c:pt idx="91">
                        <c:v>729</c:v>
                      </c:pt>
                      <c:pt idx="92">
                        <c:v>-114</c:v>
                      </c:pt>
                      <c:pt idx="93">
                        <c:v>-83</c:v>
                      </c:pt>
                      <c:pt idx="94">
                        <c:v>220</c:v>
                      </c:pt>
                      <c:pt idx="95">
                        <c:v>-489</c:v>
                      </c:pt>
                      <c:pt idx="96">
                        <c:v>-717</c:v>
                      </c:pt>
                      <c:pt idx="97">
                        <c:v>-560</c:v>
                      </c:pt>
                      <c:pt idx="98">
                        <c:v>797</c:v>
                      </c:pt>
                      <c:pt idx="99">
                        <c:v>368</c:v>
                      </c:pt>
                      <c:pt idx="100">
                        <c:v>-253</c:v>
                      </c:pt>
                      <c:pt idx="101">
                        <c:v>743</c:v>
                      </c:pt>
                      <c:pt idx="102">
                        <c:v>-602</c:v>
                      </c:pt>
                      <c:pt idx="103">
                        <c:v>-939</c:v>
                      </c:pt>
                      <c:pt idx="104">
                        <c:v>-181</c:v>
                      </c:pt>
                      <c:pt idx="105">
                        <c:v>-305</c:v>
                      </c:pt>
                      <c:pt idx="106">
                        <c:v>1119</c:v>
                      </c:pt>
                      <c:pt idx="107">
                        <c:v>-293</c:v>
                      </c:pt>
                      <c:pt idx="108">
                        <c:v>-2</c:v>
                      </c:pt>
                      <c:pt idx="109">
                        <c:v>-444</c:v>
                      </c:pt>
                      <c:pt idx="110">
                        <c:v>-791</c:v>
                      </c:pt>
                      <c:pt idx="111">
                        <c:v>473</c:v>
                      </c:pt>
                      <c:pt idx="112">
                        <c:v>641</c:v>
                      </c:pt>
                      <c:pt idx="113">
                        <c:v>-724</c:v>
                      </c:pt>
                      <c:pt idx="114">
                        <c:v>375</c:v>
                      </c:pt>
                      <c:pt idx="115">
                        <c:v>-664</c:v>
                      </c:pt>
                      <c:pt idx="116">
                        <c:v>-33</c:v>
                      </c:pt>
                      <c:pt idx="117">
                        <c:v>-585</c:v>
                      </c:pt>
                      <c:pt idx="118">
                        <c:v>352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2C00-4C28-951D-B4BE550B5B7A}"/>
                  </c:ext>
                </c:extLst>
              </c15:ser>
            </c15:filteredScatterSeries>
            <c15:filteredScatterSeries>
              <c15:ser>
                <c:idx val="2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LNorm'!$Z$7</c15:sqref>
                        </c15:formulaRef>
                      </c:ext>
                    </c:extLst>
                    <c:strCache>
                      <c:ptCount val="1"/>
                      <c:pt idx="0">
                        <c:v>Italy acc. fit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LNorm'!$Z$8:$Z$184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1.1916651186556433E-45</c:v>
                      </c:pt>
                      <c:pt idx="32">
                        <c:v>1.5073830458547226E-25</c:v>
                      </c:pt>
                      <c:pt idx="33">
                        <c:v>4.9456222030967268E-18</c:v>
                      </c:pt>
                      <c:pt idx="34">
                        <c:v>9.9912914411155875E-14</c:v>
                      </c:pt>
                      <c:pt idx="35">
                        <c:v>7.5666632585476062E-11</c:v>
                      </c:pt>
                      <c:pt idx="36">
                        <c:v>9.3426242047404205E-9</c:v>
                      </c:pt>
                      <c:pt idx="37">
                        <c:v>3.7204270462232379E-7</c:v>
                      </c:pt>
                      <c:pt idx="38">
                        <c:v>6.9025748651528966E-6</c:v>
                      </c:pt>
                      <c:pt idx="39">
                        <c:v>7.426767069937699E-5</c:v>
                      </c:pt>
                      <c:pt idx="40">
                        <c:v>5.3295656658149744E-4</c:v>
                      </c:pt>
                      <c:pt idx="41">
                        <c:v>2.8028522412002037E-3</c:v>
                      </c:pt>
                      <c:pt idx="42">
                        <c:v>1.1541289457756296E-2</c:v>
                      </c:pt>
                      <c:pt idx="43">
                        <c:v>3.9040221523069393E-2</c:v>
                      </c:pt>
                      <c:pt idx="44">
                        <c:v>0.11244443031126916</c:v>
                      </c:pt>
                      <c:pt idx="45">
                        <c:v>0.28340923188035044</c:v>
                      </c:pt>
                      <c:pt idx="46">
                        <c:v>0.63854356114405575</c:v>
                      </c:pt>
                      <c:pt idx="47">
                        <c:v>1.307945322509503</c:v>
                      </c:pt>
                      <c:pt idx="48">
                        <c:v>2.468831939309744</c:v>
                      </c:pt>
                      <c:pt idx="49">
                        <c:v>4.3418925908823836</c:v>
                      </c:pt>
                      <c:pt idx="50">
                        <c:v>7.1793619266242432</c:v>
                      </c:pt>
                      <c:pt idx="51">
                        <c:v>11.245510809411634</c:v>
                      </c:pt>
                      <c:pt idx="52">
                        <c:v>16.791787808075156</c:v>
                      </c:pt>
                      <c:pt idx="53">
                        <c:v>24.029860203770458</c:v>
                      </c:pt>
                      <c:pt idx="54">
                        <c:v>33.106127579223184</c:v>
                      </c:pt>
                      <c:pt idx="55">
                        <c:v>44.080943250687589</c:v>
                      </c:pt>
                      <c:pt idx="56">
                        <c:v>56.91494687788115</c:v>
                      </c:pt>
                      <c:pt idx="57">
                        <c:v>71.463817107091486</c:v>
                      </c:pt>
                      <c:pt idx="58">
                        <c:v>87.481623991348556</c:v>
                      </c:pt>
                      <c:pt idx="59">
                        <c:v>104.63197684763253</c:v>
                      </c:pt>
                      <c:pt idx="60">
                        <c:v>122.50543578030504</c:v>
                      </c:pt>
                      <c:pt idx="61">
                        <c:v>140.64122819685704</c:v>
                      </c:pt>
                      <c:pt idx="62">
                        <c:v>158.55117420245645</c:v>
                      </c:pt>
                      <c:pt idx="63">
                        <c:v>175.74382893065138</c:v>
                      </c:pt>
                      <c:pt idx="64">
                        <c:v>191.74712913069516</c:v>
                      </c:pt>
                      <c:pt idx="65">
                        <c:v>206.12821542670176</c:v>
                      </c:pt>
                      <c:pt idx="66">
                        <c:v>218.50952701435034</c:v>
                      </c:pt>
                      <c:pt idx="67">
                        <c:v>228.58068122836551</c:v>
                      </c:pt>
                      <c:pt idx="68">
                        <c:v>236.10602033449027</c:v>
                      </c:pt>
                      <c:pt idx="69">
                        <c:v>240.92801045738867</c:v>
                      </c:pt>
                      <c:pt idx="70">
                        <c:v>242.9669035285747</c:v>
                      </c:pt>
                      <c:pt idx="71">
                        <c:v>242.21722288010722</c:v>
                      </c:pt>
                      <c:pt idx="72">
                        <c:v>238.74171360018968</c:v>
                      </c:pt>
                      <c:pt idx="73">
                        <c:v>232.66342093123816</c:v>
                      </c:pt>
                      <c:pt idx="74">
                        <c:v>224.15653650106316</c:v>
                      </c:pt>
                      <c:pt idx="75">
                        <c:v>213.43659580506943</c:v>
                      </c:pt>
                      <c:pt idx="76">
                        <c:v>200.75053285798234</c:v>
                      </c:pt>
                      <c:pt idx="77">
                        <c:v>186.36700939086495</c:v>
                      </c:pt>
                      <c:pt idx="78">
                        <c:v>170.56734449762615</c:v>
                      </c:pt>
                      <c:pt idx="79">
                        <c:v>153.63728234860443</c:v>
                      </c:pt>
                      <c:pt idx="80">
                        <c:v>135.85975474304595</c:v>
                      </c:pt>
                      <c:pt idx="81">
                        <c:v>117.50872451069387</c:v>
                      </c:pt>
                      <c:pt idx="82">
                        <c:v>98.844136417177793</c:v>
                      </c:pt>
                      <c:pt idx="83">
                        <c:v>80.107954576759781</c:v>
                      </c:pt>
                      <c:pt idx="84">
                        <c:v>61.521228981663768</c:v>
                      </c:pt>
                      <c:pt idx="85">
                        <c:v>43.282107669666971</c:v>
                      </c:pt>
                      <c:pt idx="86">
                        <c:v>25.56469401991124</c:v>
                      </c:pt>
                      <c:pt idx="87">
                        <c:v>8.5186392985251018</c:v>
                      </c:pt>
                      <c:pt idx="88">
                        <c:v>-7.7306425439410038</c:v>
                      </c:pt>
                      <c:pt idx="89">
                        <c:v>-23.081249044341472</c:v>
                      </c:pt>
                      <c:pt idx="90">
                        <c:v>-37.453658150625778</c:v>
                      </c:pt>
                      <c:pt idx="91">
                        <c:v>-50.789289665678716</c:v>
                      </c:pt>
                      <c:pt idx="92">
                        <c:v>-63.048847312580911</c:v>
                      </c:pt>
                      <c:pt idx="93">
                        <c:v>-74.210518962500558</c:v>
                      </c:pt>
                      <c:pt idx="94">
                        <c:v>-84.268101717960405</c:v>
                      </c:pt>
                      <c:pt idx="95">
                        <c:v>-93.229107870988969</c:v>
                      </c:pt>
                      <c:pt idx="96">
                        <c:v>-101.11289759756619</c:v>
                      </c:pt>
                      <c:pt idx="97">
                        <c:v>-107.94887484103965</c:v>
                      </c:pt>
                      <c:pt idx="98">
                        <c:v>-113.77477432495735</c:v>
                      </c:pt>
                      <c:pt idx="99">
                        <c:v>-118.6350600967974</c:v>
                      </c:pt>
                      <c:pt idx="100">
                        <c:v>-122.57944946053537</c:v>
                      </c:pt>
                      <c:pt idx="101">
                        <c:v>-125.66157058887941</c:v>
                      </c:pt>
                      <c:pt idx="102">
                        <c:v>-127.93775746670485</c:v>
                      </c:pt>
                      <c:pt idx="103">
                        <c:v>-129.46598203725304</c:v>
                      </c:pt>
                      <c:pt idx="104">
                        <c:v>-130.30492042124035</c:v>
                      </c:pt>
                      <c:pt idx="105">
                        <c:v>-130.51314776939901</c:v>
                      </c:pt>
                      <c:pt idx="106">
                        <c:v>-130.14845460298747</c:v>
                      </c:pt>
                      <c:pt idx="107">
                        <c:v>-129.26727630836768</c:v>
                      </c:pt>
                      <c:pt idx="108">
                        <c:v>-127.9242266993448</c:v>
                      </c:pt>
                      <c:pt idx="109">
                        <c:v>-126.17172616916486</c:v>
                      </c:pt>
                      <c:pt idx="110">
                        <c:v>-124.05971485459392</c:v>
                      </c:pt>
                      <c:pt idx="111">
                        <c:v>-121.63544136654021</c:v>
                      </c:pt>
                      <c:pt idx="112">
                        <c:v>-118.94331795205844</c:v>
                      </c:pt>
                      <c:pt idx="113">
                        <c:v>-116.02483339545543</c:v>
                      </c:pt>
                      <c:pt idx="114">
                        <c:v>-112.91851550269546</c:v>
                      </c:pt>
                      <c:pt idx="115">
                        <c:v>-109.65993561094564</c:v>
                      </c:pt>
                      <c:pt idx="116">
                        <c:v>-106.2817481971887</c:v>
                      </c:pt>
                      <c:pt idx="117">
                        <c:v>-102.81375930489058</c:v>
                      </c:pt>
                      <c:pt idx="118">
                        <c:v>-99.283018148726271</c:v>
                      </c:pt>
                      <c:pt idx="119">
                        <c:v>-95.713926881290234</c:v>
                      </c:pt>
                      <c:pt idx="120">
                        <c:v>-92.128364102779841</c:v>
                      </c:pt>
                      <c:pt idx="121">
                        <c:v>-88.545818257929326</c:v>
                      </c:pt>
                      <c:pt idx="122">
                        <c:v>-84.983527589338237</c:v>
                      </c:pt>
                      <c:pt idx="123">
                        <c:v>-81.456623800095585</c:v>
                      </c:pt>
                      <c:pt idx="124">
                        <c:v>-77.978277020020215</c:v>
                      </c:pt>
                      <c:pt idx="125">
                        <c:v>-74.559840068933184</c:v>
                      </c:pt>
                      <c:pt idx="126">
                        <c:v>-71.210990368059768</c:v>
                      </c:pt>
                      <c:pt idx="127">
                        <c:v>-67.939868168543953</c:v>
                      </c:pt>
                      <c:pt idx="128">
                        <c:v>-64.753210046220062</c:v>
                      </c:pt>
                      <c:pt idx="129">
                        <c:v>-61.656476856682175</c:v>
                      </c:pt>
                      <c:pt idx="130">
                        <c:v>-58.653975556922667</c:v>
                      </c:pt>
                      <c:pt idx="131">
                        <c:v>-55.7489744821142</c:v>
                      </c:pt>
                      <c:pt idx="132">
                        <c:v>-52.943811821223029</c:v>
                      </c:pt>
                      <c:pt idx="133">
                        <c:v>-50.239997165745656</c:v>
                      </c:pt>
                      <c:pt idx="134">
                        <c:v>-47.638306114563058</c:v>
                      </c:pt>
                      <c:pt idx="135">
                        <c:v>-45.13886800715175</c:v>
                      </c:pt>
                      <c:pt idx="136">
                        <c:v>-42.741246929526554</c:v>
                      </c:pt>
                      <c:pt idx="137">
                        <c:v>-40.444516194419627</c:v>
                      </c:pt>
                      <c:pt idx="138">
                        <c:v>-38.24732654134516</c:v>
                      </c:pt>
                      <c:pt idx="139">
                        <c:v>-36.14796833512068</c:v>
                      </c:pt>
                      <c:pt idx="140">
                        <c:v>-34.144428064779916</c:v>
                      </c:pt>
                      <c:pt idx="141">
                        <c:v>-32.234439460047611</c:v>
                      </c:pt>
                      <c:pt idx="142">
                        <c:v>-30.415529550988332</c:v>
                      </c:pt>
                      <c:pt idx="143">
                        <c:v>-28.685059999228539</c:v>
                      </c:pt>
                      <c:pt idx="144">
                        <c:v>-27.040264027302168</c:v>
                      </c:pt>
                      <c:pt idx="145">
                        <c:v>-25.478279267090855</c:v>
                      </c:pt>
                      <c:pt idx="146">
                        <c:v>-23.996176839767053</c:v>
                      </c:pt>
                      <c:pt idx="147">
                        <c:v>-22.590986968800859</c:v>
                      </c:pt>
                      <c:pt idx="148">
                        <c:v>-21.259721415003174</c:v>
                      </c:pt>
                      <c:pt idx="149">
                        <c:v>-19.999393008752644</c:v>
                      </c:pt>
                      <c:pt idx="150">
                        <c:v>-18.807032539899716</c:v>
                      </c:pt>
                      <c:pt idx="151">
                        <c:v>-17.67970325069205</c:v>
                      </c:pt>
                      <c:pt idx="152">
                        <c:v>-16.614513161721447</c:v>
                      </c:pt>
                      <c:pt idx="153">
                        <c:v>-15.608625445567407</c:v>
                      </c:pt>
                      <c:pt idx="154">
                        <c:v>-14.659267047713554</c:v>
                      </c:pt>
                      <c:pt idx="155">
                        <c:v>-13.763735739571468</c:v>
                      </c:pt>
                      <c:pt idx="156">
                        <c:v>-12.91940577419153</c:v>
                      </c:pt>
                      <c:pt idx="157">
                        <c:v>-12.123732301546571</c:v>
                      </c:pt>
                      <c:pt idx="158">
                        <c:v>-11.374254687220839</c:v>
                      </c:pt>
                      <c:pt idx="159">
                        <c:v>-10.668598865946334</c:v>
                      </c:pt>
                      <c:pt idx="160">
                        <c:v>-10.004478849745702</c:v>
                      </c:pt>
                      <c:pt idx="161">
                        <c:v>-9.3796974994662961</c:v>
                      </c:pt>
                      <c:pt idx="162">
                        <c:v>-8.7921466582276366</c:v>
                      </c:pt>
                      <c:pt idx="163">
                        <c:v>-8.2398067357463614</c:v>
                      </c:pt>
                      <c:pt idx="164">
                        <c:v>-7.7207458236330249</c:v>
                      </c:pt>
                      <c:pt idx="165">
                        <c:v>-7.2331184135505175</c:v>
                      </c:pt>
                      <c:pt idx="166">
                        <c:v>-6.7751637825607194</c:v>
                      </c:pt>
                      <c:pt idx="167">
                        <c:v>-6.3452041030360764</c:v>
                      </c:pt>
                      <c:pt idx="168">
                        <c:v>-5.9416423281411932</c:v>
                      </c:pt>
                      <c:pt idx="169">
                        <c:v>-5.562959898070611</c:v>
                      </c:pt>
                      <c:pt idx="170">
                        <c:v>-5.2077143069223109</c:v>
                      </c:pt>
                      <c:pt idx="171">
                        <c:v>-4.8745365652668262</c:v>
                      </c:pt>
                      <c:pt idx="172">
                        <c:v>-4.5621285891005376</c:v>
                      </c:pt>
                      <c:pt idx="173">
                        <c:v>-4.2692605419197331</c:v>
                      </c:pt>
                      <c:pt idx="174">
                        <c:v>-3.9947681530893213</c:v>
                      </c:pt>
                      <c:pt idx="175">
                        <c:v>-3.7375500324739397</c:v>
                      </c:pt>
                      <c:pt idx="176">
                        <c:v>-3.4965649984246951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C00-4C28-951D-B4BE550B5B7A}"/>
                  </c:ext>
                </c:extLst>
              </c15:ser>
            </c15:filteredScatterSeries>
            <c15:filteredScatterSeries>
              <c15:ser>
                <c:idx val="0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LNorm'!$L$7</c15:sqref>
                        </c15:formulaRef>
                      </c:ext>
                    </c:extLst>
                    <c:strCache>
                      <c:ptCount val="1"/>
                      <c:pt idx="0">
                        <c:v>Italy (fitted Lombardy + fitted sum of the other regions)</c:v>
                      </c:pt>
                    </c:strCache>
                  </c:strRef>
                </c:tx>
                <c:spPr>
                  <a:ln w="19050" cap="rnd">
                    <a:solidFill>
                      <a:schemeClr val="tx1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LNorm'!$L$8:$L$184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1.0357459388113259E-29</c:v>
                      </c:pt>
                      <c:pt idx="32">
                        <c:v>2.8814628352738055E-18</c:v>
                      </c:pt>
                      <c:pt idx="33">
                        <c:v>3.6604532127729472E-13</c:v>
                      </c:pt>
                      <c:pt idx="34">
                        <c:v>4.3676335556564761E-10</c:v>
                      </c:pt>
                      <c:pt idx="35">
                        <c:v>5.5925767239256224E-8</c:v>
                      </c:pt>
                      <c:pt idx="36">
                        <c:v>1.989643440667207E-6</c:v>
                      </c:pt>
                      <c:pt idx="37">
                        <c:v>3.1241245058196413E-5</c:v>
                      </c:pt>
                      <c:pt idx="38">
                        <c:v>2.7997160474704661E-4</c:v>
                      </c:pt>
                      <c:pt idx="39">
                        <c:v>1.6740471067883548E-3</c:v>
                      </c:pt>
                      <c:pt idx="40">
                        <c:v>7.3906161672003812E-3</c:v>
                      </c:pt>
                      <c:pt idx="41">
                        <c:v>2.5812518417631328E-2</c:v>
                      </c:pt>
                      <c:pt idx="42">
                        <c:v>7.4895977165212471E-2</c:v>
                      </c:pt>
                      <c:pt idx="43">
                        <c:v>0.18711429314676623</c:v>
                      </c:pt>
                      <c:pt idx="44">
                        <c:v>0.41350545616788048</c:v>
                      </c:pt>
                      <c:pt idx="45">
                        <c:v>0.82541035375797234</c:v>
                      </c:pt>
                      <c:pt idx="46">
                        <c:v>1.513467468142605</c:v>
                      </c:pt>
                      <c:pt idx="47">
                        <c:v>2.5849295686724281</c:v>
                      </c:pt>
                      <c:pt idx="48">
                        <c:v>4.1613599193905513</c:v>
                      </c:pt>
                      <c:pt idx="49">
                        <c:v>6.3783299184902429</c:v>
                      </c:pt>
                      <c:pt idx="50">
                        <c:v>9.3869428745934727</c:v>
                      </c:pt>
                      <c:pt idx="51">
                        <c:v>13.354937727885725</c:v>
                      </c:pt>
                      <c:pt idx="52">
                        <c:v>18.464065414292538</c:v>
                      </c:pt>
                      <c:pt idx="53">
                        <c:v>24.900998466106898</c:v>
                      </c:pt>
                      <c:pt idx="54">
                        <c:v>32.840934149319715</c:v>
                      </c:pt>
                      <c:pt idx="55">
                        <c:v>42.425408412576608</c:v>
                      </c:pt>
                      <c:pt idx="56">
                        <c:v>53.73773710185587</c:v>
                      </c:pt>
                      <c:pt idx="57">
                        <c:v>66.780373211662607</c:v>
                      </c:pt>
                      <c:pt idx="58">
                        <c:v>81.458205778306962</c:v>
                      </c:pt>
                      <c:pt idx="59">
                        <c:v>97.570681086380404</c:v>
                      </c:pt>
                      <c:pt idx="60">
                        <c:v>114.8140290749748</c:v>
                      </c:pt>
                      <c:pt idx="61">
                        <c:v>132.79325731906457</c:v>
                      </c:pt>
                      <c:pt idx="62">
                        <c:v>151.04225279971106</c:v>
                      </c:pt>
                      <c:pt idx="63">
                        <c:v>169.04947960464403</c:v>
                      </c:pt>
                      <c:pt idx="64">
                        <c:v>186.28641265195134</c:v>
                      </c:pt>
                      <c:pt idx="65">
                        <c:v>202.23593834639738</c:v>
                      </c:pt>
                      <c:pt idx="66">
                        <c:v>216.41836379653176</c:v>
                      </c:pt>
                      <c:pt idx="67">
                        <c:v>228.41327305407043</c:v>
                      </c:pt>
                      <c:pt idx="68">
                        <c:v>237.87613028349674</c:v>
                      </c:pt>
                      <c:pt idx="69">
                        <c:v>244.54916139761366</c:v>
                      </c:pt>
                      <c:pt idx="70">
                        <c:v>248.26658490956783</c:v>
                      </c:pt>
                      <c:pt idx="71">
                        <c:v>248.95467679850617</c:v>
                      </c:pt>
                      <c:pt idx="72">
                        <c:v>246.62743446200327</c:v>
                      </c:pt>
                      <c:pt idx="73">
                        <c:v>241.3787598925112</c:v>
                      </c:pt>
                      <c:pt idx="74">
                        <c:v>233.37213106440132</c:v>
                      </c:pt>
                      <c:pt idx="75">
                        <c:v>222.82869698618438</c:v>
                      </c:pt>
                      <c:pt idx="76">
                        <c:v>210.01464047083181</c:v>
                      </c:pt>
                      <c:pt idx="77">
                        <c:v>195.22852585614601</c:v>
                      </c:pt>
                      <c:pt idx="78">
                        <c:v>178.78920552586263</c:v>
                      </c:pt>
                      <c:pt idx="79">
                        <c:v>161.02471380359552</c:v>
                      </c:pt>
                      <c:pt idx="80">
                        <c:v>142.26244011876562</c:v>
                      </c:pt>
                      <c:pt idx="81">
                        <c:v>122.8207520492702</c:v>
                      </c:pt>
                      <c:pt idx="82">
                        <c:v>103.00213660325727</c:v>
                      </c:pt>
                      <c:pt idx="83">
                        <c:v>83.087846178141035</c:v>
                      </c:pt>
                      <c:pt idx="84">
                        <c:v>63.333973551899675</c:v>
                      </c:pt>
                      <c:pt idx="85">
                        <c:v>43.968836382962223</c:v>
                      </c:pt>
                      <c:pt idx="86">
                        <c:v>25.191523703991297</c:v>
                      </c:pt>
                      <c:pt idx="87">
                        <c:v>7.1714421666050452</c:v>
                      </c:pt>
                      <c:pt idx="88">
                        <c:v>-9.9513043339522333</c:v>
                      </c:pt>
                      <c:pt idx="89">
                        <c:v>-26.064864069246148</c:v>
                      </c:pt>
                      <c:pt idx="90">
                        <c:v>-41.084068555310438</c:v>
                      </c:pt>
                      <c:pt idx="91">
                        <c:v>-54.948484258927166</c:v>
                      </c:pt>
                      <c:pt idx="92">
                        <c:v>-67.620207938604125</c:v>
                      </c:pt>
                      <c:pt idx="93">
                        <c:v>-79.081511662403827</c:v>
                      </c:pt>
                      <c:pt idx="94">
                        <c:v>-89.332426547837954</c:v>
                      </c:pt>
                      <c:pt idx="95">
                        <c:v>-98.388337950324711</c:v>
                      </c:pt>
                      <c:pt idx="96">
                        <c:v>-106.27764967354771</c:v>
                      </c:pt>
                      <c:pt idx="97">
                        <c:v>-113.03956109146085</c:v>
                      </c:pt>
                      <c:pt idx="98">
                        <c:v>-118.72198901616484</c:v>
                      </c:pt>
                      <c:pt idx="99">
                        <c:v>-123.37965576596542</c:v>
                      </c:pt>
                      <c:pt idx="100">
                        <c:v>-127.07235614935165</c:v>
                      </c:pt>
                      <c:pt idx="101">
                        <c:v>-129.86340889238502</c:v>
                      </c:pt>
                      <c:pt idx="102">
                        <c:v>-131.81829227107619</c:v>
                      </c:pt>
                      <c:pt idx="103">
                        <c:v>-133.0034592179392</c:v>
                      </c:pt>
                      <c:pt idx="104">
                        <c:v>-133.48532379522283</c:v>
                      </c:pt>
                      <c:pt idx="105">
                        <c:v>-133.32940850868698</c:v>
                      </c:pt>
                      <c:pt idx="106">
                        <c:v>-132.59964032388055</c:v>
                      </c:pt>
                      <c:pt idx="107">
                        <c:v>-131.35778230092768</c:v>
                      </c:pt>
                      <c:pt idx="108">
                        <c:v>-129.66298735615095</c:v>
                      </c:pt>
                      <c:pt idx="109">
                        <c:v>-127.5714606760768</c:v>
                      </c:pt>
                      <c:pt idx="110">
                        <c:v>-125.13621765270142</c:v>
                      </c:pt>
                      <c:pt idx="111">
                        <c:v>-122.40692479383563</c:v>
                      </c:pt>
                      <c:pt idx="112">
                        <c:v>-119.42981181776648</c:v>
                      </c:pt>
                      <c:pt idx="113">
                        <c:v>-116.24764400859695</c:v>
                      </c:pt>
                      <c:pt idx="114">
                        <c:v>-112.89974483969783</c:v>
                      </c:pt>
                      <c:pt idx="115">
                        <c:v>-109.42205982973708</c:v>
                      </c:pt>
                      <c:pt idx="116">
                        <c:v>-105.84725354917235</c:v>
                      </c:pt>
                      <c:pt idx="117">
                        <c:v>-102.20483262253913</c:v>
                      </c:pt>
                      <c:pt idx="118">
                        <c:v>-98.521288457015388</c:v>
                      </c:pt>
                      <c:pt idx="119">
                        <c:v>-94.820254259269291</c:v>
                      </c:pt>
                      <c:pt idx="120">
                        <c:v>-91.122671673254814</c:v>
                      </c:pt>
                      <c:pt idx="121">
                        <c:v>-87.446963077405442</c:v>
                      </c:pt>
                      <c:pt idx="122">
                        <c:v>-83.80920621917862</c:v>
                      </c:pt>
                      <c:pt idx="123">
                        <c:v>-80.223308438618773</c:v>
                      </c:pt>
                      <c:pt idx="124">
                        <c:v>-76.70117824257332</c:v>
                      </c:pt>
                      <c:pt idx="125">
                        <c:v>-73.252892440422045</c:v>
                      </c:pt>
                      <c:pt idx="126">
                        <c:v>-69.886857444456609</c:v>
                      </c:pt>
                      <c:pt idx="127">
                        <c:v>-66.609963677565531</c:v>
                      </c:pt>
                      <c:pt idx="128">
                        <c:v>-63.427732322096105</c:v>
                      </c:pt>
                      <c:pt idx="129">
                        <c:v>-60.344453891163106</c:v>
                      </c:pt>
                      <c:pt idx="130">
                        <c:v>-57.363318311719176</c:v>
                      </c:pt>
                      <c:pt idx="131">
                        <c:v>-54.486536381679215</c:v>
                      </c:pt>
                      <c:pt idx="132">
                        <c:v>-51.715452605363886</c:v>
                      </c:pt>
                      <c:pt idx="133">
                        <c:v>-49.050649526334098</c:v>
                      </c:pt>
                      <c:pt idx="134">
                        <c:v>-46.492043767830019</c:v>
                      </c:pt>
                      <c:pt idx="135">
                        <c:v>-44.038974061751958</c:v>
                      </c:pt>
                      <c:pt idx="136">
                        <c:v>-41.690281600338309</c:v>
                      </c:pt>
                      <c:pt idx="137">
                        <c:v>-39.444383083055378</c:v>
                      </c:pt>
                      <c:pt idx="138">
                        <c:v>-37.299336857039542</c:v>
                      </c:pt>
                      <c:pt idx="139">
                        <c:v>-35.25290256482792</c:v>
                      </c:pt>
                      <c:pt idx="140">
                        <c:v>-33.302594719888248</c:v>
                      </c:pt>
                      <c:pt idx="141">
                        <c:v>-31.445730630216936</c:v>
                      </c:pt>
                      <c:pt idx="142">
                        <c:v>-29.679473084398069</c:v>
                      </c:pt>
                      <c:pt idx="143">
                        <c:v>-28.000868204206384</c:v>
                      </c:pt>
                      <c:pt idx="144">
                        <c:v>-26.406878854098885</c:v>
                      </c:pt>
                      <c:pt idx="145">
                        <c:v>-24.894413981660698</c:v>
                      </c:pt>
                      <c:pt idx="146">
                        <c:v>-23.460354244962282</c:v>
                      </c:pt>
                      <c:pt idx="147">
                        <c:v>-22.101574263474404</c:v>
                      </c:pt>
                      <c:pt idx="148">
                        <c:v>-20.814961809164025</c:v>
                      </c:pt>
                      <c:pt idx="149">
                        <c:v>-19.597434234090944</c:v>
                      </c:pt>
                      <c:pt idx="150">
                        <c:v>-18.44595241055621</c:v>
                      </c:pt>
                      <c:pt idx="151">
                        <c:v>-17.357532439901199</c:v>
                      </c:pt>
                      <c:pt idx="152">
                        <c:v>-16.329255366625731</c:v>
                      </c:pt>
                      <c:pt idx="153">
                        <c:v>-15.358275115735676</c:v>
                      </c:pt>
                      <c:pt idx="154">
                        <c:v>-14.44182485327544</c:v>
                      </c:pt>
                      <c:pt idx="155">
                        <c:v>-13.577221952920702</c:v>
                      </c:pt>
                      <c:pt idx="156">
                        <c:v>-12.761871735362163</c:v>
                      </c:pt>
                      <c:pt idx="157">
                        <c:v>-11.993270132028538</c:v>
                      </c:pt>
                      <c:pt idx="158">
                        <c:v>-11.269005410487118</c:v>
                      </c:pt>
                      <c:pt idx="159">
                        <c:v>-10.586759085621935</c:v>
                      </c:pt>
                      <c:pt idx="160">
                        <c:v>-9.9443061283992407</c:v>
                      </c:pt>
                      <c:pt idx="161">
                        <c:v>-9.3395145726688042</c:v>
                      </c:pt>
                      <c:pt idx="162">
                        <c:v>-8.7703446099765632</c:v>
                      </c:pt>
                      <c:pt idx="163">
                        <c:v>-8.2348472527451104</c:v>
                      </c:pt>
                      <c:pt idx="164">
                        <c:v>-7.7311626373687279</c:v>
                      </c:pt>
                      <c:pt idx="165">
                        <c:v>-7.2575180307248175</c:v>
                      </c:pt>
                      <c:pt idx="166">
                        <c:v>-6.8122255962777647</c:v>
                      </c:pt>
                      <c:pt idx="167">
                        <c:v>-6.3936799692970085</c:v>
                      </c:pt>
                      <c:pt idx="168">
                        <c:v>-6.0003556846842203</c:v>
                      </c:pt>
                      <c:pt idx="169">
                        <c:v>-5.6308044954578875</c:v>
                      </c:pt>
                      <c:pt idx="170">
                        <c:v>-5.2836526150356562</c:v>
                      </c:pt>
                      <c:pt idx="171">
                        <c:v>-4.9575979120417264</c:v>
                      </c:pt>
                      <c:pt idx="172">
                        <c:v>-4.6514070824093938</c:v>
                      </c:pt>
                      <c:pt idx="173">
                        <c:v>-4.3639128200091397</c:v>
                      </c:pt>
                      <c:pt idx="174">
                        <c:v>-4.0940110038743578</c:v>
                      </c:pt>
                      <c:pt idx="175">
                        <c:v>-3.8406579172869719</c:v>
                      </c:pt>
                      <c:pt idx="176">
                        <c:v>-3.602867511491294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C00-4C28-951D-B4BE550B5B7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LNorm'!$AI$7</c15:sqref>
                        </c15:formulaRef>
                      </c:ext>
                    </c:extLst>
                    <c:strCache>
                      <c:ptCount val="1"/>
                      <c:pt idx="0">
                        <c:v>Lombardy acc.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LNorm'!$AI$8:$AI$184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56" formatCode="General">
                        <c:v>-50</c:v>
                      </c:pt>
                      <c:pt idx="57" formatCode="General">
                        <c:v>127</c:v>
                      </c:pt>
                      <c:pt idx="58" formatCode="General">
                        <c:v>-17</c:v>
                      </c:pt>
                      <c:pt idx="59" formatCode="General">
                        <c:v>-44</c:v>
                      </c:pt>
                      <c:pt idx="60" formatCode="General">
                        <c:v>285</c:v>
                      </c:pt>
                      <c:pt idx="61" formatCode="General">
                        <c:v>-99</c:v>
                      </c:pt>
                      <c:pt idx="62" formatCode="General">
                        <c:v>-4</c:v>
                      </c:pt>
                      <c:pt idx="63" formatCode="General">
                        <c:v>34</c:v>
                      </c:pt>
                      <c:pt idx="64" formatCode="General">
                        <c:v>131</c:v>
                      </c:pt>
                      <c:pt idx="65" formatCode="General">
                        <c:v>-70</c:v>
                      </c:pt>
                      <c:pt idx="66" formatCode="General">
                        <c:v>447</c:v>
                      </c:pt>
                      <c:pt idx="67" formatCode="General">
                        <c:v>-39</c:v>
                      </c:pt>
                      <c:pt idx="68" formatCode="General">
                        <c:v>511</c:v>
                      </c:pt>
                      <c:pt idx="69" formatCode="General">
                        <c:v>-958</c:v>
                      </c:pt>
                      <c:pt idx="70" formatCode="General">
                        <c:v>1167</c:v>
                      </c:pt>
                      <c:pt idx="71" formatCode="General">
                        <c:v>-44</c:v>
                      </c:pt>
                      <c:pt idx="72" formatCode="General">
                        <c:v>-350</c:v>
                      </c:pt>
                      <c:pt idx="73" formatCode="General">
                        <c:v>770</c:v>
                      </c:pt>
                      <c:pt idx="74" formatCode="General">
                        <c:v>-278</c:v>
                      </c:pt>
                      <c:pt idx="75" formatCode="General">
                        <c:v>-210</c:v>
                      </c:pt>
                      <c:pt idx="76" formatCode="General">
                        <c:v>194</c:v>
                      </c:pt>
                      <c:pt idx="77" formatCode="General">
                        <c:v>-78</c:v>
                      </c:pt>
                      <c:pt idx="78" formatCode="General">
                        <c:v>678</c:v>
                      </c:pt>
                      <c:pt idx="79" formatCode="General">
                        <c:v>209</c:v>
                      </c:pt>
                      <c:pt idx="80" formatCode="General">
                        <c:v>871</c:v>
                      </c:pt>
                      <c:pt idx="81" formatCode="General">
                        <c:v>-1560</c:v>
                      </c:pt>
                      <c:pt idx="82" formatCode="General">
                        <c:v>-136</c:v>
                      </c:pt>
                      <c:pt idx="83" formatCode="General">
                        <c:v>387</c:v>
                      </c:pt>
                      <c:pt idx="84" formatCode="General">
                        <c:v>-299</c:v>
                      </c:pt>
                      <c:pt idx="85" formatCode="General">
                        <c:v>900</c:v>
                      </c:pt>
                      <c:pt idx="86" formatCode="General">
                        <c:v>-134</c:v>
                      </c:pt>
                      <c:pt idx="87" formatCode="General">
                        <c:v>-292</c:v>
                      </c:pt>
                      <c:pt idx="88" formatCode="General">
                        <c:v>-525</c:v>
                      </c:pt>
                      <c:pt idx="89" formatCode="General">
                        <c:v>-438</c:v>
                      </c:pt>
                      <c:pt idx="90" formatCode="General">
                        <c:v>-107</c:v>
                      </c:pt>
                      <c:pt idx="91" formatCode="General">
                        <c:v>518</c:v>
                      </c:pt>
                      <c:pt idx="92" formatCode="General">
                        <c:v>-273</c:v>
                      </c:pt>
                      <c:pt idx="93" formatCode="General">
                        <c:v>163</c:v>
                      </c:pt>
                      <c:pt idx="94" formatCode="General">
                        <c:v>143</c:v>
                      </c:pt>
                      <c:pt idx="95" formatCode="General">
                        <c:v>-261</c:v>
                      </c:pt>
                      <c:pt idx="96" formatCode="General">
                        <c:v>-258</c:v>
                      </c:pt>
                      <c:pt idx="97" formatCode="General">
                        <c:v>-288</c:v>
                      </c:pt>
                      <c:pt idx="98" formatCode="General">
                        <c:v>298</c:v>
                      </c:pt>
                      <c:pt idx="99" formatCode="General">
                        <c:v>299</c:v>
                      </c:pt>
                      <c:pt idx="100" formatCode="General">
                        <c:v>-142</c:v>
                      </c:pt>
                      <c:pt idx="101" formatCode="General">
                        <c:v>298</c:v>
                      </c:pt>
                      <c:pt idx="102" formatCode="General">
                        <c:v>-84</c:v>
                      </c:pt>
                      <c:pt idx="103" formatCode="General">
                        <c:v>-198</c:v>
                      </c:pt>
                      <c:pt idx="104" formatCode="General">
                        <c:v>-250</c:v>
                      </c:pt>
                      <c:pt idx="105" formatCode="General">
                        <c:v>-185</c:v>
                      </c:pt>
                      <c:pt idx="106" formatCode="General">
                        <c:v>114</c:v>
                      </c:pt>
                      <c:pt idx="107" formatCode="General">
                        <c:v>100</c:v>
                      </c:pt>
                      <c:pt idx="108" formatCode="General">
                        <c:v>205</c:v>
                      </c:pt>
                      <c:pt idx="109" formatCode="General">
                        <c:v>-391</c:v>
                      </c:pt>
                      <c:pt idx="110" formatCode="General">
                        <c:v>-120</c:v>
                      </c:pt>
                      <c:pt idx="111" formatCode="General">
                        <c:v>225</c:v>
                      </c:pt>
                      <c:pt idx="112" formatCode="General">
                        <c:v>201</c:v>
                      </c:pt>
                      <c:pt idx="113" formatCode="General">
                        <c:v>-88</c:v>
                      </c:pt>
                      <c:pt idx="114" formatCode="General">
                        <c:v>18</c:v>
                      </c:pt>
                      <c:pt idx="115" formatCode="General">
                        <c:v>-378</c:v>
                      </c:pt>
                      <c:pt idx="116" formatCode="General">
                        <c:v>207</c:v>
                      </c:pt>
                      <c:pt idx="117" formatCode="General">
                        <c:v>-330</c:v>
                      </c:pt>
                      <c:pt idx="118" formatCode="General">
                        <c:v>279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2C00-4C28-951D-B4BE550B5B7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LNorm'!$AW$7</c15:sqref>
                        </c15:formulaRef>
                      </c:ext>
                    </c:extLst>
                    <c:strCache>
                      <c:ptCount val="1"/>
                      <c:pt idx="0">
                        <c:v>Lombardy acc. fit</c:v>
                      </c:pt>
                    </c:strCache>
                  </c:strRef>
                </c:tx>
                <c:spPr>
                  <a:ln w="1905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LNorm'!$AW$8:$AW$184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1.0357459388113259E-29</c:v>
                      </c:pt>
                      <c:pt idx="32">
                        <c:v>2.8814628352738055E-18</c:v>
                      </c:pt>
                      <c:pt idx="33">
                        <c:v>3.6604532127729472E-13</c:v>
                      </c:pt>
                      <c:pt idx="34">
                        <c:v>4.3676335556564761E-10</c:v>
                      </c:pt>
                      <c:pt idx="35">
                        <c:v>5.5925767239256224E-8</c:v>
                      </c:pt>
                      <c:pt idx="36">
                        <c:v>1.989643440667207E-6</c:v>
                      </c:pt>
                      <c:pt idx="37">
                        <c:v>3.1241245058196413E-5</c:v>
                      </c:pt>
                      <c:pt idx="38">
                        <c:v>2.7997160474704661E-4</c:v>
                      </c:pt>
                      <c:pt idx="39">
                        <c:v>1.6740471067881895E-3</c:v>
                      </c:pt>
                      <c:pt idx="40">
                        <c:v>7.3906161641102428E-3</c:v>
                      </c:pt>
                      <c:pt idx="41">
                        <c:v>2.5812516595785134E-2</c:v>
                      </c:pt>
                      <c:pt idx="42">
                        <c:v>7.4895805899814663E-2</c:v>
                      </c:pt>
                      <c:pt idx="43">
                        <c:v>0.1871090285506507</c:v>
                      </c:pt>
                      <c:pt idx="44">
                        <c:v>0.413428382823192</c:v>
                      </c:pt>
                      <c:pt idx="45">
                        <c:v>0.82474121383413956</c:v>
                      </c:pt>
                      <c:pt idx="46">
                        <c:v>1.5095127957912009</c:v>
                      </c:pt>
                      <c:pt idx="47">
                        <c:v>2.5674889867270139</c:v>
                      </c:pt>
                      <c:pt idx="48">
                        <c:v>4.1001814313513281</c:v>
                      </c:pt>
                      <c:pt idx="49">
                        <c:v>6.1996013340029643</c:v>
                      </c:pt>
                      <c:pt idx="50">
                        <c:v>8.9370124839382257</c:v>
                      </c:pt>
                      <c:pt idx="51">
                        <c:v>12.353364167517679</c:v>
                      </c:pt>
                      <c:pt idx="52">
                        <c:v>16.452649411897646</c:v>
                      </c:pt>
                      <c:pt idx="53">
                        <c:v>21.198866718914537</c:v>
                      </c:pt>
                      <c:pt idx="54">
                        <c:v>26.516687225262309</c:v>
                      </c:pt>
                      <c:pt idx="55">
                        <c:v>32.295447287359494</c:v>
                      </c:pt>
                      <c:pt idx="56">
                        <c:v>38.395753613130509</c:v>
                      </c:pt>
                      <c:pt idx="57">
                        <c:v>44.657816444615015</c:v>
                      </c:pt>
                      <c:pt idx="58">
                        <c:v>50.91059814721217</c:v>
                      </c:pt>
                      <c:pt idx="59">
                        <c:v>56.980945713333803</c:v>
                      </c:pt>
                      <c:pt idx="60">
                        <c:v>62.702026914326709</c:v>
                      </c:pt>
                      <c:pt idx="61">
                        <c:v>67.920574651300242</c:v>
                      </c:pt>
                      <c:pt idx="62">
                        <c:v>72.502633047918863</c:v>
                      </c:pt>
                      <c:pt idx="63">
                        <c:v>76.337671212250299</c:v>
                      </c:pt>
                      <c:pt idx="64">
                        <c:v>79.341073915082191</c:v>
                      </c:pt>
                      <c:pt idx="65">
                        <c:v>81.455127216322992</c:v>
                      </c:pt>
                      <c:pt idx="66">
                        <c:v>82.648691069935524</c:v>
                      </c:pt>
                      <c:pt idx="67">
                        <c:v>82.915793368882433</c:v>
                      </c:pt>
                      <c:pt idx="68">
                        <c:v>82.273395921496956</c:v>
                      </c:pt>
                      <c:pt idx="69">
                        <c:v>80.758578415298345</c:v>
                      </c:pt>
                      <c:pt idx="70">
                        <c:v>78.425367396800439</c:v>
                      </c:pt>
                      <c:pt idx="71">
                        <c:v>75.341408964180644</c:v>
                      </c:pt>
                      <c:pt idx="72">
                        <c:v>71.584650660600403</c:v>
                      </c:pt>
                      <c:pt idx="73">
                        <c:v>67.240163440892744</c:v>
                      </c:pt>
                      <c:pt idx="74">
                        <c:v>62.397201106535142</c:v>
                      </c:pt>
                      <c:pt idx="75">
                        <c:v>57.146563978544599</c:v>
                      </c:pt>
                      <c:pt idx="76">
                        <c:v>51.578306828231305</c:v>
                      </c:pt>
                      <c:pt idx="77">
                        <c:v>45.779808688402092</c:v>
                      </c:pt>
                      <c:pt idx="78">
                        <c:v>39.834204192229926</c:v>
                      </c:pt>
                      <c:pt idx="79">
                        <c:v>33.819162319102674</c:v>
                      </c:pt>
                      <c:pt idx="80">
                        <c:v>27.805988470199658</c:v>
                      </c:pt>
                      <c:pt idx="81">
                        <c:v>21.859019154803104</c:v>
                      </c:pt>
                      <c:pt idx="82">
                        <c:v>16.035274705755985</c:v>
                      </c:pt>
                      <c:pt idx="83">
                        <c:v>10.384333827829417</c:v>
                      </c:pt>
                      <c:pt idx="84">
                        <c:v>4.9483939186029984</c:v>
                      </c:pt>
                      <c:pt idx="85">
                        <c:v>-0.23751745843241842</c:v>
                      </c:pt>
                      <c:pt idx="86">
                        <c:v>-5.1452122105212963</c:v>
                      </c:pt>
                      <c:pt idx="87">
                        <c:v>-9.7529217709528435</c:v>
                      </c:pt>
                      <c:pt idx="88">
                        <c:v>-14.044813596877981</c:v>
                      </c:pt>
                      <c:pt idx="89">
                        <c:v>-18.010466723107886</c:v>
                      </c:pt>
                      <c:pt idx="90">
                        <c:v>-21.644325606604944</c:v>
                      </c:pt>
                      <c:pt idx="91">
                        <c:v>-24.945148263272305</c:v>
                      </c:pt>
                      <c:pt idx="92">
                        <c:v>-27.915461689443593</c:v>
                      </c:pt>
                      <c:pt idx="93">
                        <c:v>-30.561034824189441</c:v>
                      </c:pt>
                      <c:pt idx="94">
                        <c:v>-32.890376871160946</c:v>
                      </c:pt>
                      <c:pt idx="95">
                        <c:v>-34.914266668341909</c:v>
                      </c:pt>
                      <c:pt idx="96">
                        <c:v>-36.645316965780012</c:v>
                      </c:pt>
                      <c:pt idx="97">
                        <c:v>-38.097575930760819</c:v>
                      </c:pt>
                      <c:pt idx="98">
                        <c:v>-39.286166926325279</c:v>
                      </c:pt>
                      <c:pt idx="99">
                        <c:v>-40.226966578142893</c:v>
                      </c:pt>
                      <c:pt idx="100">
                        <c:v>-40.936320330259704</c:v>
                      </c:pt>
                      <c:pt idx="101">
                        <c:v>-41.430794065487923</c:v>
                      </c:pt>
                      <c:pt idx="102">
                        <c:v>-41.726959905161195</c:v>
                      </c:pt>
                      <c:pt idx="103">
                        <c:v>-41.841213980991569</c:v>
                      </c:pt>
                      <c:pt idx="104">
                        <c:v>-41.7896237660187</c:v>
                      </c:pt>
                      <c:pt idx="105">
                        <c:v>-41.587802441452652</c:v>
                      </c:pt>
                      <c:pt idx="106">
                        <c:v>-41.250807743118685</c:v>
                      </c:pt>
                      <c:pt idx="107">
                        <c:v>-40.793062759024679</c:v>
                      </c:pt>
                      <c:pt idx="108">
                        <c:v>-40.228296224249831</c:v>
                      </c:pt>
                      <c:pt idx="109">
                        <c:v>-39.569499968936469</c:v>
                      </c:pt>
                      <c:pt idx="110">
                        <c:v>-38.828901309557644</c:v>
                      </c:pt>
                      <c:pt idx="111">
                        <c:v>-38.017948324466445</c:v>
                      </c:pt>
                      <c:pt idx="112">
                        <c:v>-37.147306115152809</c:v>
                      </c:pt>
                      <c:pt idx="113">
                        <c:v>-36.226862319130966</c:v>
                      </c:pt>
                      <c:pt idx="114">
                        <c:v>-35.265740304606901</c:v>
                      </c:pt>
                      <c:pt idx="115">
                        <c:v>-34.272318637670665</c:v>
                      </c:pt>
                      <c:pt idx="116">
                        <c:v>-33.254255567219786</c:v>
                      </c:pt>
                      <c:pt idx="117">
                        <c:v>-32.218517419327846</c:v>
                      </c:pt>
                      <c:pt idx="118">
                        <c:v>-31.171409930109657</c:v>
                      </c:pt>
                      <c:pt idx="119">
                        <c:v>-30.118611673543604</c:v>
                      </c:pt>
                      <c:pt idx="120">
                        <c:v>-29.065208857820355</c:v>
                      </c:pt>
                      <c:pt idx="121">
                        <c:v>-28.015730870524134</c:v>
                      </c:pt>
                      <c:pt idx="122">
                        <c:v>-26.974186049477773</c:v>
                      </c:pt>
                      <c:pt idx="123">
                        <c:v>-25.944097242721867</c:v>
                      </c:pt>
                      <c:pt idx="124">
                        <c:v>-24.928536798321485</c:v>
                      </c:pt>
                      <c:pt idx="125">
                        <c:v>-23.930160693036999</c:v>
                      </c:pt>
                      <c:pt idx="126">
                        <c:v>-22.951241568968133</c:v>
                      </c:pt>
                      <c:pt idx="127">
                        <c:v>-21.993700499707469</c:v>
                      </c:pt>
                      <c:pt idx="128">
                        <c:v>-21.059137352968424</c:v>
                      </c:pt>
                      <c:pt idx="129">
                        <c:v>-20.148859655713835</c:v>
                      </c:pt>
                      <c:pt idx="130">
                        <c:v>-19.263909901126588</c:v>
                      </c:pt>
                      <c:pt idx="131">
                        <c:v>-18.40509126492115</c:v>
                      </c:pt>
                      <c:pt idx="132">
                        <c:v>-17.572991722059733</c:v>
                      </c:pt>
                      <c:pt idx="133">
                        <c:v>-16.768006574426934</c:v>
                      </c:pt>
                      <c:pt idx="134">
                        <c:v>-15.990359415924694</c:v>
                      </c:pt>
                      <c:pt idx="135">
                        <c:v>-15.240121574217195</c:v>
                      </c:pt>
                      <c:pt idx="136">
                        <c:v>-14.517230078392585</c:v>
                      </c:pt>
                      <c:pt idx="137">
                        <c:v>-13.82150420948942</c:v>
                      </c:pt>
                      <c:pt idx="138">
                        <c:v>-13.152660696485565</c:v>
                      </c:pt>
                      <c:pt idx="139">
                        <c:v>-12.510327624274115</c:v>
                      </c:pt>
                      <c:pt idx="140">
                        <c:v>-11.89405712261615</c:v>
                      </c:pt>
                      <c:pt idx="141">
                        <c:v>-11.303336906300101</c:v>
                      </c:pt>
                      <c:pt idx="142">
                        <c:v>-10.737600736961605</c:v>
                      </c:pt>
                      <c:pt idx="143">
                        <c:v>-10.196237876409175</c:v>
                      </c:pt>
                      <c:pt idx="144">
                        <c:v>-9.6786016000166608</c:v>
                      </c:pt>
                      <c:pt idx="145">
                        <c:v>-9.1840168369236554</c:v>
                      </c:pt>
                      <c:pt idx="146">
                        <c:v>-8.7117870015480143</c:v>
                      </c:pt>
                      <c:pt idx="147">
                        <c:v>-8.2612000783621458</c:v>
                      </c:pt>
                      <c:pt idx="148">
                        <c:v>-7.8315340191043958</c:v>
                      </c:pt>
                      <c:pt idx="149">
                        <c:v>-7.422061508663786</c:v>
                      </c:pt>
                      <c:pt idx="150">
                        <c:v>-7.032054152847282</c:v>
                      </c:pt>
                      <c:pt idx="151">
                        <c:v>-6.6607861381723907</c:v>
                      </c:pt>
                      <c:pt idx="152">
                        <c:v>-6.3075374107600348</c:v>
                      </c:pt>
                      <c:pt idx="153">
                        <c:v>-5.9715964183716927</c:v>
                      </c:pt>
                      <c:pt idx="154">
                        <c:v>-5.6522624566664277</c:v>
                      </c:pt>
                      <c:pt idx="155">
                        <c:v>-5.3488476578705031</c:v>
                      </c:pt>
                      <c:pt idx="156">
                        <c:v>-5.0606786572708176</c:v>
                      </c:pt>
                      <c:pt idx="157">
                        <c:v>-4.7870979702756422</c:v>
                      </c:pt>
                      <c:pt idx="158">
                        <c:v>-4.5274651102420895</c:v>
                      </c:pt>
                      <c:pt idx="159">
                        <c:v>-4.2811574748531438</c:v>
                      </c:pt>
                      <c:pt idx="160">
                        <c:v>-4.0475710265428066</c:v>
                      </c:pt>
                      <c:pt idx="161">
                        <c:v>-3.8261207903171881</c:v>
                      </c:pt>
                      <c:pt idx="162">
                        <c:v>-3.6162411902989624</c:v>
                      </c:pt>
                      <c:pt idx="163">
                        <c:v>-3.4173862444345571</c:v>
                      </c:pt>
                      <c:pt idx="164">
                        <c:v>-3.2290296350408356</c:v>
                      </c:pt>
                      <c:pt idx="165">
                        <c:v>-3.0506646712296752</c:v>
                      </c:pt>
                      <c:pt idx="166">
                        <c:v>-2.8818041577284772</c:v>
                      </c:pt>
                      <c:pt idx="167">
                        <c:v>-2.7219801832077586</c:v>
                      </c:pt>
                      <c:pt idx="168">
                        <c:v>-2.5707438399288631</c:v>
                      </c:pt>
                      <c:pt idx="169">
                        <c:v>-2.4276648853277516</c:v>
                      </c:pt>
                      <c:pt idx="170">
                        <c:v>-2.2923313550527409</c:v>
                      </c:pt>
                      <c:pt idx="171">
                        <c:v>-2.1643491359646867</c:v>
                      </c:pt>
                      <c:pt idx="172">
                        <c:v>-2.0433415066861755</c:v>
                      </c:pt>
                      <c:pt idx="173">
                        <c:v>-1.9289486524430557</c:v>
                      </c:pt>
                      <c:pt idx="174">
                        <c:v>-1.8208271601732986</c:v>
                      </c:pt>
                      <c:pt idx="175">
                        <c:v>-1.7186494991794115</c:v>
                      </c:pt>
                      <c:pt idx="176">
                        <c:v>-1.6221034919655621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C00-4C28-951D-B4BE550B5B7A}"/>
                  </c:ext>
                </c:extLst>
              </c15:ser>
            </c15:filteredScatterSeries>
          </c:ext>
        </c:extLst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Days from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Rate of</a:t>
                </a:r>
                <a:r>
                  <a:rPr lang="it-IT" baseline="0"/>
                  <a:t> new case</a:t>
                </a:r>
                <a:r>
                  <a:rPr lang="it-IT"/>
                  <a:t>s per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FF0000"/>
                </a:solidFill>
              </a:rPr>
              <a:t>Italy - rate of new cases per day (acceleration) - Lognormal fit</a:t>
            </a:r>
          </a:p>
          <a:p>
            <a:pPr>
              <a:defRPr/>
            </a:pPr>
            <a:r>
              <a:rPr lang="it-IT">
                <a:solidFill>
                  <a:srgbClr val="FF0000"/>
                </a:solidFill>
              </a:rPr>
              <a:t>Lombardy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3"/>
          <c:tx>
            <c:strRef>
              <c:f>'New_cases_rates - LNorm'!$AI$7</c:f>
              <c:strCache>
                <c:ptCount val="1"/>
                <c:pt idx="0">
                  <c:v>Lombardy acc.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  <c:extLst xmlns:c15="http://schemas.microsoft.com/office/drawing/2012/chart"/>
            </c:numRef>
          </c:xVal>
          <c:yVal>
            <c:numRef>
              <c:f>'New_cases_rates - LNorm'!$AI$8:$AI$184</c:f>
              <c:numCache>
                <c:formatCode>0</c:formatCode>
                <c:ptCount val="177"/>
                <c:pt idx="56" formatCode="General">
                  <c:v>-50</c:v>
                </c:pt>
                <c:pt idx="57" formatCode="General">
                  <c:v>127</c:v>
                </c:pt>
                <c:pt idx="58" formatCode="General">
                  <c:v>-17</c:v>
                </c:pt>
                <c:pt idx="59" formatCode="General">
                  <c:v>-44</c:v>
                </c:pt>
                <c:pt idx="60" formatCode="General">
                  <c:v>285</c:v>
                </c:pt>
                <c:pt idx="61" formatCode="General">
                  <c:v>-99</c:v>
                </c:pt>
                <c:pt idx="62" formatCode="General">
                  <c:v>-4</c:v>
                </c:pt>
                <c:pt idx="63" formatCode="General">
                  <c:v>34</c:v>
                </c:pt>
                <c:pt idx="64" formatCode="General">
                  <c:v>131</c:v>
                </c:pt>
                <c:pt idx="65" formatCode="General">
                  <c:v>-70</c:v>
                </c:pt>
                <c:pt idx="66" formatCode="General">
                  <c:v>447</c:v>
                </c:pt>
                <c:pt idx="67" formatCode="General">
                  <c:v>-39</c:v>
                </c:pt>
                <c:pt idx="68" formatCode="General">
                  <c:v>511</c:v>
                </c:pt>
                <c:pt idx="69" formatCode="General">
                  <c:v>-958</c:v>
                </c:pt>
                <c:pt idx="70" formatCode="General">
                  <c:v>1167</c:v>
                </c:pt>
                <c:pt idx="71" formatCode="General">
                  <c:v>-44</c:v>
                </c:pt>
                <c:pt idx="72" formatCode="General">
                  <c:v>-350</c:v>
                </c:pt>
                <c:pt idx="73" formatCode="General">
                  <c:v>770</c:v>
                </c:pt>
                <c:pt idx="74" formatCode="General">
                  <c:v>-278</c:v>
                </c:pt>
                <c:pt idx="75" formatCode="General">
                  <c:v>-210</c:v>
                </c:pt>
                <c:pt idx="76" formatCode="General">
                  <c:v>194</c:v>
                </c:pt>
                <c:pt idx="77" formatCode="General">
                  <c:v>-78</c:v>
                </c:pt>
                <c:pt idx="78" formatCode="General">
                  <c:v>678</c:v>
                </c:pt>
                <c:pt idx="79" formatCode="General">
                  <c:v>209</c:v>
                </c:pt>
                <c:pt idx="80" formatCode="General">
                  <c:v>871</c:v>
                </c:pt>
                <c:pt idx="81" formatCode="General">
                  <c:v>-1560</c:v>
                </c:pt>
                <c:pt idx="82" formatCode="General">
                  <c:v>-136</c:v>
                </c:pt>
                <c:pt idx="83" formatCode="General">
                  <c:v>387</c:v>
                </c:pt>
                <c:pt idx="84" formatCode="General">
                  <c:v>-299</c:v>
                </c:pt>
                <c:pt idx="85" formatCode="General">
                  <c:v>900</c:v>
                </c:pt>
                <c:pt idx="86" formatCode="General">
                  <c:v>-134</c:v>
                </c:pt>
                <c:pt idx="87" formatCode="General">
                  <c:v>-292</c:v>
                </c:pt>
                <c:pt idx="88" formatCode="General">
                  <c:v>-525</c:v>
                </c:pt>
                <c:pt idx="89" formatCode="General">
                  <c:v>-438</c:v>
                </c:pt>
                <c:pt idx="90" formatCode="General">
                  <c:v>-107</c:v>
                </c:pt>
                <c:pt idx="91" formatCode="General">
                  <c:v>518</c:v>
                </c:pt>
                <c:pt idx="92" formatCode="General">
                  <c:v>-273</c:v>
                </c:pt>
                <c:pt idx="93" formatCode="General">
                  <c:v>163</c:v>
                </c:pt>
                <c:pt idx="94" formatCode="General">
                  <c:v>143</c:v>
                </c:pt>
                <c:pt idx="95" formatCode="General">
                  <c:v>-261</c:v>
                </c:pt>
                <c:pt idx="96" formatCode="General">
                  <c:v>-258</c:v>
                </c:pt>
                <c:pt idx="97" formatCode="General">
                  <c:v>-288</c:v>
                </c:pt>
                <c:pt idx="98" formatCode="General">
                  <c:v>298</c:v>
                </c:pt>
                <c:pt idx="99" formatCode="General">
                  <c:v>299</c:v>
                </c:pt>
                <c:pt idx="100" formatCode="General">
                  <c:v>-142</c:v>
                </c:pt>
                <c:pt idx="101" formatCode="General">
                  <c:v>298</c:v>
                </c:pt>
                <c:pt idx="102" formatCode="General">
                  <c:v>-84</c:v>
                </c:pt>
                <c:pt idx="103" formatCode="General">
                  <c:v>-198</c:v>
                </c:pt>
                <c:pt idx="104" formatCode="General">
                  <c:v>-250</c:v>
                </c:pt>
                <c:pt idx="105" formatCode="General">
                  <c:v>-185</c:v>
                </c:pt>
                <c:pt idx="106" formatCode="General">
                  <c:v>114</c:v>
                </c:pt>
                <c:pt idx="107" formatCode="General">
                  <c:v>100</c:v>
                </c:pt>
                <c:pt idx="108" formatCode="General">
                  <c:v>205</c:v>
                </c:pt>
                <c:pt idx="109" formatCode="General">
                  <c:v>-391</c:v>
                </c:pt>
                <c:pt idx="110" formatCode="General">
                  <c:v>-120</c:v>
                </c:pt>
                <c:pt idx="111" formatCode="General">
                  <c:v>225</c:v>
                </c:pt>
                <c:pt idx="112" formatCode="General">
                  <c:v>201</c:v>
                </c:pt>
                <c:pt idx="113" formatCode="General">
                  <c:v>-88</c:v>
                </c:pt>
                <c:pt idx="114" formatCode="General">
                  <c:v>18</c:v>
                </c:pt>
                <c:pt idx="115" formatCode="General">
                  <c:v>-378</c:v>
                </c:pt>
                <c:pt idx="116" formatCode="General">
                  <c:v>207</c:v>
                </c:pt>
                <c:pt idx="117" formatCode="General">
                  <c:v>-330</c:v>
                </c:pt>
                <c:pt idx="118" formatCode="General">
                  <c:v>279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3-E0A0-4A36-B1E8-B5700649E747}"/>
            </c:ext>
          </c:extLst>
        </c:ser>
        <c:ser>
          <c:idx val="4"/>
          <c:order val="4"/>
          <c:tx>
            <c:strRef>
              <c:f>'New_cases_rates - LNorm'!$AW$7</c:f>
              <c:strCache>
                <c:ptCount val="1"/>
                <c:pt idx="0">
                  <c:v>Lombardy acc. fit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  <c:extLst xmlns:c15="http://schemas.microsoft.com/office/drawing/2012/chart"/>
            </c:numRef>
          </c:xVal>
          <c:yVal>
            <c:numRef>
              <c:f>'New_cases_rates - LNorm'!$AW$8:$AW$184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1.0357459388113259E-29</c:v>
                </c:pt>
                <c:pt idx="32">
                  <c:v>2.8814628352738055E-18</c:v>
                </c:pt>
                <c:pt idx="33">
                  <c:v>3.6604532127729472E-13</c:v>
                </c:pt>
                <c:pt idx="34">
                  <c:v>4.3676335556564761E-10</c:v>
                </c:pt>
                <c:pt idx="35">
                  <c:v>5.5925767239256224E-8</c:v>
                </c:pt>
                <c:pt idx="36">
                  <c:v>1.989643440667207E-6</c:v>
                </c:pt>
                <c:pt idx="37">
                  <c:v>3.1241245058196413E-5</c:v>
                </c:pt>
                <c:pt idx="38">
                  <c:v>2.7997160474704661E-4</c:v>
                </c:pt>
                <c:pt idx="39">
                  <c:v>1.6740471067881895E-3</c:v>
                </c:pt>
                <c:pt idx="40">
                  <c:v>7.3906161641102428E-3</c:v>
                </c:pt>
                <c:pt idx="41">
                  <c:v>2.5812516595785134E-2</c:v>
                </c:pt>
                <c:pt idx="42">
                  <c:v>7.4895805899814663E-2</c:v>
                </c:pt>
                <c:pt idx="43">
                  <c:v>0.1871090285506507</c:v>
                </c:pt>
                <c:pt idx="44">
                  <c:v>0.413428382823192</c:v>
                </c:pt>
                <c:pt idx="45">
                  <c:v>0.82474121383413956</c:v>
                </c:pt>
                <c:pt idx="46">
                  <c:v>1.5095127957912009</c:v>
                </c:pt>
                <c:pt idx="47">
                  <c:v>2.5674889867270139</c:v>
                </c:pt>
                <c:pt idx="48">
                  <c:v>4.1001814313513281</c:v>
                </c:pt>
                <c:pt idx="49">
                  <c:v>6.1996013340029643</c:v>
                </c:pt>
                <c:pt idx="50">
                  <c:v>8.9370124839382257</c:v>
                </c:pt>
                <c:pt idx="51">
                  <c:v>12.353364167517679</c:v>
                </c:pt>
                <c:pt idx="52">
                  <c:v>16.452649411897646</c:v>
                </c:pt>
                <c:pt idx="53">
                  <c:v>21.198866718914537</c:v>
                </c:pt>
                <c:pt idx="54">
                  <c:v>26.516687225262309</c:v>
                </c:pt>
                <c:pt idx="55">
                  <c:v>32.295447287359494</c:v>
                </c:pt>
                <c:pt idx="56">
                  <c:v>38.395753613130509</c:v>
                </c:pt>
                <c:pt idx="57">
                  <c:v>44.657816444615015</c:v>
                </c:pt>
                <c:pt idx="58">
                  <c:v>50.91059814721217</c:v>
                </c:pt>
                <c:pt idx="59">
                  <c:v>56.980945713333803</c:v>
                </c:pt>
                <c:pt idx="60">
                  <c:v>62.702026914326709</c:v>
                </c:pt>
                <c:pt idx="61">
                  <c:v>67.920574651300242</c:v>
                </c:pt>
                <c:pt idx="62">
                  <c:v>72.502633047918863</c:v>
                </c:pt>
                <c:pt idx="63">
                  <c:v>76.337671212250299</c:v>
                </c:pt>
                <c:pt idx="64">
                  <c:v>79.341073915082191</c:v>
                </c:pt>
                <c:pt idx="65">
                  <c:v>81.455127216322992</c:v>
                </c:pt>
                <c:pt idx="66">
                  <c:v>82.648691069935524</c:v>
                </c:pt>
                <c:pt idx="67">
                  <c:v>82.915793368882433</c:v>
                </c:pt>
                <c:pt idx="68">
                  <c:v>82.273395921496956</c:v>
                </c:pt>
                <c:pt idx="69">
                  <c:v>80.758578415298345</c:v>
                </c:pt>
                <c:pt idx="70">
                  <c:v>78.425367396800439</c:v>
                </c:pt>
                <c:pt idx="71">
                  <c:v>75.341408964180644</c:v>
                </c:pt>
                <c:pt idx="72">
                  <c:v>71.584650660600403</c:v>
                </c:pt>
                <c:pt idx="73">
                  <c:v>67.240163440892744</c:v>
                </c:pt>
                <c:pt idx="74">
                  <c:v>62.397201106535142</c:v>
                </c:pt>
                <c:pt idx="75">
                  <c:v>57.146563978544599</c:v>
                </c:pt>
                <c:pt idx="76">
                  <c:v>51.578306828231305</c:v>
                </c:pt>
                <c:pt idx="77">
                  <c:v>45.779808688402092</c:v>
                </c:pt>
                <c:pt idx="78">
                  <c:v>39.834204192229926</c:v>
                </c:pt>
                <c:pt idx="79">
                  <c:v>33.819162319102674</c:v>
                </c:pt>
                <c:pt idx="80">
                  <c:v>27.805988470199658</c:v>
                </c:pt>
                <c:pt idx="81">
                  <c:v>21.859019154803104</c:v>
                </c:pt>
                <c:pt idx="82">
                  <c:v>16.035274705755985</c:v>
                </c:pt>
                <c:pt idx="83">
                  <c:v>10.384333827829417</c:v>
                </c:pt>
                <c:pt idx="84">
                  <c:v>4.9483939186029984</c:v>
                </c:pt>
                <c:pt idx="85">
                  <c:v>-0.23751745843241842</c:v>
                </c:pt>
                <c:pt idx="86">
                  <c:v>-5.1452122105212963</c:v>
                </c:pt>
                <c:pt idx="87">
                  <c:v>-9.7529217709528435</c:v>
                </c:pt>
                <c:pt idx="88">
                  <c:v>-14.044813596877981</c:v>
                </c:pt>
                <c:pt idx="89">
                  <c:v>-18.010466723107886</c:v>
                </c:pt>
                <c:pt idx="90">
                  <c:v>-21.644325606604944</c:v>
                </c:pt>
                <c:pt idx="91">
                  <c:v>-24.945148263272305</c:v>
                </c:pt>
                <c:pt idx="92">
                  <c:v>-27.915461689443593</c:v>
                </c:pt>
                <c:pt idx="93">
                  <c:v>-30.561034824189441</c:v>
                </c:pt>
                <c:pt idx="94">
                  <c:v>-32.890376871160946</c:v>
                </c:pt>
                <c:pt idx="95">
                  <c:v>-34.914266668341909</c:v>
                </c:pt>
                <c:pt idx="96">
                  <c:v>-36.645316965780012</c:v>
                </c:pt>
                <c:pt idx="97">
                  <c:v>-38.097575930760819</c:v>
                </c:pt>
                <c:pt idx="98">
                  <c:v>-39.286166926325279</c:v>
                </c:pt>
                <c:pt idx="99">
                  <c:v>-40.226966578142893</c:v>
                </c:pt>
                <c:pt idx="100">
                  <c:v>-40.936320330259704</c:v>
                </c:pt>
                <c:pt idx="101">
                  <c:v>-41.430794065487923</c:v>
                </c:pt>
                <c:pt idx="102">
                  <c:v>-41.726959905161195</c:v>
                </c:pt>
                <c:pt idx="103">
                  <c:v>-41.841213980991569</c:v>
                </c:pt>
                <c:pt idx="104">
                  <c:v>-41.7896237660187</c:v>
                </c:pt>
                <c:pt idx="105">
                  <c:v>-41.587802441452652</c:v>
                </c:pt>
                <c:pt idx="106">
                  <c:v>-41.250807743118685</c:v>
                </c:pt>
                <c:pt idx="107">
                  <c:v>-40.793062759024679</c:v>
                </c:pt>
                <c:pt idx="108">
                  <c:v>-40.228296224249831</c:v>
                </c:pt>
                <c:pt idx="109">
                  <c:v>-39.569499968936469</c:v>
                </c:pt>
                <c:pt idx="110">
                  <c:v>-38.828901309557644</c:v>
                </c:pt>
                <c:pt idx="111">
                  <c:v>-38.017948324466445</c:v>
                </c:pt>
                <c:pt idx="112">
                  <c:v>-37.147306115152809</c:v>
                </c:pt>
                <c:pt idx="113">
                  <c:v>-36.226862319130966</c:v>
                </c:pt>
                <c:pt idx="114">
                  <c:v>-35.265740304606901</c:v>
                </c:pt>
                <c:pt idx="115">
                  <c:v>-34.272318637670665</c:v>
                </c:pt>
                <c:pt idx="116">
                  <c:v>-33.254255567219786</c:v>
                </c:pt>
                <c:pt idx="117">
                  <c:v>-32.218517419327846</c:v>
                </c:pt>
                <c:pt idx="118">
                  <c:v>-31.171409930109657</c:v>
                </c:pt>
                <c:pt idx="119">
                  <c:v>-30.118611673543604</c:v>
                </c:pt>
                <c:pt idx="120">
                  <c:v>-29.065208857820355</c:v>
                </c:pt>
                <c:pt idx="121">
                  <c:v>-28.015730870524134</c:v>
                </c:pt>
                <c:pt idx="122">
                  <c:v>-26.974186049477773</c:v>
                </c:pt>
                <c:pt idx="123">
                  <c:v>-25.944097242721867</c:v>
                </c:pt>
                <c:pt idx="124">
                  <c:v>-24.928536798321485</c:v>
                </c:pt>
                <c:pt idx="125">
                  <c:v>-23.930160693036999</c:v>
                </c:pt>
                <c:pt idx="126">
                  <c:v>-22.951241568968133</c:v>
                </c:pt>
                <c:pt idx="127">
                  <c:v>-21.993700499707469</c:v>
                </c:pt>
                <c:pt idx="128">
                  <c:v>-21.059137352968424</c:v>
                </c:pt>
                <c:pt idx="129">
                  <c:v>-20.148859655713835</c:v>
                </c:pt>
                <c:pt idx="130">
                  <c:v>-19.263909901126588</c:v>
                </c:pt>
                <c:pt idx="131">
                  <c:v>-18.40509126492115</c:v>
                </c:pt>
                <c:pt idx="132">
                  <c:v>-17.572991722059733</c:v>
                </c:pt>
                <c:pt idx="133">
                  <c:v>-16.768006574426934</c:v>
                </c:pt>
                <c:pt idx="134">
                  <c:v>-15.990359415924694</c:v>
                </c:pt>
                <c:pt idx="135">
                  <c:v>-15.240121574217195</c:v>
                </c:pt>
                <c:pt idx="136">
                  <c:v>-14.517230078392585</c:v>
                </c:pt>
                <c:pt idx="137">
                  <c:v>-13.82150420948942</c:v>
                </c:pt>
                <c:pt idx="138">
                  <c:v>-13.152660696485565</c:v>
                </c:pt>
                <c:pt idx="139">
                  <c:v>-12.510327624274115</c:v>
                </c:pt>
                <c:pt idx="140">
                  <c:v>-11.89405712261615</c:v>
                </c:pt>
                <c:pt idx="141">
                  <c:v>-11.303336906300101</c:v>
                </c:pt>
                <c:pt idx="142">
                  <c:v>-10.737600736961605</c:v>
                </c:pt>
                <c:pt idx="143">
                  <c:v>-10.196237876409175</c:v>
                </c:pt>
                <c:pt idx="144">
                  <c:v>-9.6786016000166608</c:v>
                </c:pt>
                <c:pt idx="145">
                  <c:v>-9.1840168369236554</c:v>
                </c:pt>
                <c:pt idx="146">
                  <c:v>-8.7117870015480143</c:v>
                </c:pt>
                <c:pt idx="147">
                  <c:v>-8.2612000783621458</c:v>
                </c:pt>
                <c:pt idx="148">
                  <c:v>-7.8315340191043958</c:v>
                </c:pt>
                <c:pt idx="149">
                  <c:v>-7.422061508663786</c:v>
                </c:pt>
                <c:pt idx="150">
                  <c:v>-7.032054152847282</c:v>
                </c:pt>
                <c:pt idx="151">
                  <c:v>-6.6607861381723907</c:v>
                </c:pt>
                <c:pt idx="152">
                  <c:v>-6.3075374107600348</c:v>
                </c:pt>
                <c:pt idx="153">
                  <c:v>-5.9715964183716927</c:v>
                </c:pt>
                <c:pt idx="154">
                  <c:v>-5.6522624566664277</c:v>
                </c:pt>
                <c:pt idx="155">
                  <c:v>-5.3488476578705031</c:v>
                </c:pt>
                <c:pt idx="156">
                  <c:v>-5.0606786572708176</c:v>
                </c:pt>
                <c:pt idx="157">
                  <c:v>-4.7870979702756422</c:v>
                </c:pt>
                <c:pt idx="158">
                  <c:v>-4.5274651102420895</c:v>
                </c:pt>
                <c:pt idx="159">
                  <c:v>-4.2811574748531438</c:v>
                </c:pt>
                <c:pt idx="160">
                  <c:v>-4.0475710265428066</c:v>
                </c:pt>
                <c:pt idx="161">
                  <c:v>-3.8261207903171881</c:v>
                </c:pt>
                <c:pt idx="162">
                  <c:v>-3.6162411902989624</c:v>
                </c:pt>
                <c:pt idx="163">
                  <c:v>-3.4173862444345571</c:v>
                </c:pt>
                <c:pt idx="164">
                  <c:v>-3.2290296350408356</c:v>
                </c:pt>
                <c:pt idx="165">
                  <c:v>-3.0506646712296752</c:v>
                </c:pt>
                <c:pt idx="166">
                  <c:v>-2.8818041577284772</c:v>
                </c:pt>
                <c:pt idx="167">
                  <c:v>-2.7219801832077586</c:v>
                </c:pt>
                <c:pt idx="168">
                  <c:v>-2.5707438399288631</c:v>
                </c:pt>
                <c:pt idx="169">
                  <c:v>-2.4276648853277516</c:v>
                </c:pt>
                <c:pt idx="170">
                  <c:v>-2.2923313550527409</c:v>
                </c:pt>
                <c:pt idx="171">
                  <c:v>-2.1643491359646867</c:v>
                </c:pt>
                <c:pt idx="172">
                  <c:v>-2.0433415066861755</c:v>
                </c:pt>
                <c:pt idx="173">
                  <c:v>-1.9289486524430557</c:v>
                </c:pt>
                <c:pt idx="174">
                  <c:v>-1.8208271601732986</c:v>
                </c:pt>
                <c:pt idx="175">
                  <c:v>-1.7186494991794115</c:v>
                </c:pt>
                <c:pt idx="176">
                  <c:v>-1.6221034919655621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4-E0A0-4A36-B1E8-B5700649E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'New_cases_rates - LNorm'!$F$7</c15:sqref>
                        </c15:formulaRef>
                      </c:ext>
                    </c:extLst>
                    <c:strCache>
                      <c:ptCount val="1"/>
                      <c:pt idx="0">
                        <c:v>Italy acc.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'New_cases_rates - LNorm'!$F$8:$F$184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</c:v>
                      </c:pt>
                      <c:pt idx="31">
                        <c:v>-2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-1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17</c:v>
                      </c:pt>
                      <c:pt idx="52">
                        <c:v>25</c:v>
                      </c:pt>
                      <c:pt idx="53">
                        <c:v>51</c:v>
                      </c:pt>
                      <c:pt idx="54">
                        <c:v>-19</c:v>
                      </c:pt>
                      <c:pt idx="55">
                        <c:v>19</c:v>
                      </c:pt>
                      <c:pt idx="56">
                        <c:v>-15</c:v>
                      </c:pt>
                      <c:pt idx="57">
                        <c:v>172</c:v>
                      </c:pt>
                      <c:pt idx="58">
                        <c:v>-12</c:v>
                      </c:pt>
                      <c:pt idx="59">
                        <c:v>2</c:v>
                      </c:pt>
                      <c:pt idx="60">
                        <c:v>326</c:v>
                      </c:pt>
                      <c:pt idx="61">
                        <c:v>-224</c:v>
                      </c:pt>
                      <c:pt idx="62">
                        <c:v>124</c:v>
                      </c:pt>
                      <c:pt idx="63">
                        <c:v>121</c:v>
                      </c:pt>
                      <c:pt idx="64">
                        <c:v>182</c:v>
                      </c:pt>
                      <c:pt idx="65">
                        <c:v>9</c:v>
                      </c:pt>
                      <c:pt idx="66">
                        <c:v>469</c:v>
                      </c:pt>
                      <c:pt idx="67">
                        <c:v>245</c:v>
                      </c:pt>
                      <c:pt idx="68">
                        <c:v>305</c:v>
                      </c:pt>
                      <c:pt idx="69">
                        <c:v>-820</c:v>
                      </c:pt>
                      <c:pt idx="70">
                        <c:v>1336</c:v>
                      </c:pt>
                      <c:pt idx="71">
                        <c:v>338</c:v>
                      </c:pt>
                      <c:pt idx="72">
                        <c:v>-104</c:v>
                      </c:pt>
                      <c:pt idx="73">
                        <c:v>950</c:v>
                      </c:pt>
                      <c:pt idx="74">
                        <c:v>93</c:v>
                      </c:pt>
                      <c:pt idx="75">
                        <c:v>-357</c:v>
                      </c:pt>
                      <c:pt idx="76">
                        <c:v>293</c:v>
                      </c:pt>
                      <c:pt idx="77">
                        <c:v>681</c:v>
                      </c:pt>
                      <c:pt idx="78">
                        <c:v>1115</c:v>
                      </c:pt>
                      <c:pt idx="79">
                        <c:v>664</c:v>
                      </c:pt>
                      <c:pt idx="80">
                        <c:v>571</c:v>
                      </c:pt>
                      <c:pt idx="81">
                        <c:v>-997</c:v>
                      </c:pt>
                      <c:pt idx="82">
                        <c:v>-771</c:v>
                      </c:pt>
                      <c:pt idx="83">
                        <c:v>460</c:v>
                      </c:pt>
                      <c:pt idx="84">
                        <c:v>-39</c:v>
                      </c:pt>
                      <c:pt idx="85">
                        <c:v>943</c:v>
                      </c:pt>
                      <c:pt idx="86">
                        <c:v>-194</c:v>
                      </c:pt>
                      <c:pt idx="87">
                        <c:v>15</c:v>
                      </c:pt>
                      <c:pt idx="88">
                        <c:v>-757</c:v>
                      </c:pt>
                      <c:pt idx="89">
                        <c:v>-1167</c:v>
                      </c:pt>
                      <c:pt idx="90">
                        <c:v>3</c:v>
                      </c:pt>
                      <c:pt idx="91">
                        <c:v>729</c:v>
                      </c:pt>
                      <c:pt idx="92">
                        <c:v>-114</c:v>
                      </c:pt>
                      <c:pt idx="93">
                        <c:v>-83</c:v>
                      </c:pt>
                      <c:pt idx="94">
                        <c:v>220</c:v>
                      </c:pt>
                      <c:pt idx="95">
                        <c:v>-489</c:v>
                      </c:pt>
                      <c:pt idx="96">
                        <c:v>-717</c:v>
                      </c:pt>
                      <c:pt idx="97">
                        <c:v>-560</c:v>
                      </c:pt>
                      <c:pt idx="98">
                        <c:v>797</c:v>
                      </c:pt>
                      <c:pt idx="99">
                        <c:v>368</c:v>
                      </c:pt>
                      <c:pt idx="100">
                        <c:v>-253</c:v>
                      </c:pt>
                      <c:pt idx="101">
                        <c:v>743</c:v>
                      </c:pt>
                      <c:pt idx="102">
                        <c:v>-602</c:v>
                      </c:pt>
                      <c:pt idx="103">
                        <c:v>-939</c:v>
                      </c:pt>
                      <c:pt idx="104">
                        <c:v>-181</c:v>
                      </c:pt>
                      <c:pt idx="105">
                        <c:v>-305</c:v>
                      </c:pt>
                      <c:pt idx="106">
                        <c:v>1119</c:v>
                      </c:pt>
                      <c:pt idx="107">
                        <c:v>-293</c:v>
                      </c:pt>
                      <c:pt idx="108">
                        <c:v>-2</c:v>
                      </c:pt>
                      <c:pt idx="109">
                        <c:v>-444</c:v>
                      </c:pt>
                      <c:pt idx="110">
                        <c:v>-791</c:v>
                      </c:pt>
                      <c:pt idx="111">
                        <c:v>473</c:v>
                      </c:pt>
                      <c:pt idx="112">
                        <c:v>641</c:v>
                      </c:pt>
                      <c:pt idx="113">
                        <c:v>-724</c:v>
                      </c:pt>
                      <c:pt idx="114">
                        <c:v>375</c:v>
                      </c:pt>
                      <c:pt idx="115">
                        <c:v>-664</c:v>
                      </c:pt>
                      <c:pt idx="116">
                        <c:v>-33</c:v>
                      </c:pt>
                      <c:pt idx="117">
                        <c:v>-585</c:v>
                      </c:pt>
                      <c:pt idx="118">
                        <c:v>352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E0A0-4A36-B1E8-B5700649E747}"/>
                  </c:ext>
                </c:extLst>
              </c15:ser>
            </c15:filteredScatterSeries>
            <c15:filteredScatterSeries>
              <c15:ser>
                <c:idx val="2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LNorm'!$Z$7</c15:sqref>
                        </c15:formulaRef>
                      </c:ext>
                    </c:extLst>
                    <c:strCache>
                      <c:ptCount val="1"/>
                      <c:pt idx="0">
                        <c:v>Italy acc. fit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LNorm'!$Z$8:$Z$184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1.1916651186556433E-45</c:v>
                      </c:pt>
                      <c:pt idx="32">
                        <c:v>1.5073830458547226E-25</c:v>
                      </c:pt>
                      <c:pt idx="33">
                        <c:v>4.9456222030967268E-18</c:v>
                      </c:pt>
                      <c:pt idx="34">
                        <c:v>9.9912914411155875E-14</c:v>
                      </c:pt>
                      <c:pt idx="35">
                        <c:v>7.5666632585476062E-11</c:v>
                      </c:pt>
                      <c:pt idx="36">
                        <c:v>9.3426242047404205E-9</c:v>
                      </c:pt>
                      <c:pt idx="37">
                        <c:v>3.7204270462232379E-7</c:v>
                      </c:pt>
                      <c:pt idx="38">
                        <c:v>6.9025748651528966E-6</c:v>
                      </c:pt>
                      <c:pt idx="39">
                        <c:v>7.426767069937699E-5</c:v>
                      </c:pt>
                      <c:pt idx="40">
                        <c:v>5.3295656658149744E-4</c:v>
                      </c:pt>
                      <c:pt idx="41">
                        <c:v>2.8028522412002037E-3</c:v>
                      </c:pt>
                      <c:pt idx="42">
                        <c:v>1.1541289457756296E-2</c:v>
                      </c:pt>
                      <c:pt idx="43">
                        <c:v>3.9040221523069393E-2</c:v>
                      </c:pt>
                      <c:pt idx="44">
                        <c:v>0.11244443031126916</c:v>
                      </c:pt>
                      <c:pt idx="45">
                        <c:v>0.28340923188035044</c:v>
                      </c:pt>
                      <c:pt idx="46">
                        <c:v>0.63854356114405575</c:v>
                      </c:pt>
                      <c:pt idx="47">
                        <c:v>1.307945322509503</c:v>
                      </c:pt>
                      <c:pt idx="48">
                        <c:v>2.468831939309744</c:v>
                      </c:pt>
                      <c:pt idx="49">
                        <c:v>4.3418925908823836</c:v>
                      </c:pt>
                      <c:pt idx="50">
                        <c:v>7.1793619266242432</c:v>
                      </c:pt>
                      <c:pt idx="51">
                        <c:v>11.245510809411634</c:v>
                      </c:pt>
                      <c:pt idx="52">
                        <c:v>16.791787808075156</c:v>
                      </c:pt>
                      <c:pt idx="53">
                        <c:v>24.029860203770458</c:v>
                      </c:pt>
                      <c:pt idx="54">
                        <c:v>33.106127579223184</c:v>
                      </c:pt>
                      <c:pt idx="55">
                        <c:v>44.080943250687589</c:v>
                      </c:pt>
                      <c:pt idx="56">
                        <c:v>56.91494687788115</c:v>
                      </c:pt>
                      <c:pt idx="57">
                        <c:v>71.463817107091486</c:v>
                      </c:pt>
                      <c:pt idx="58">
                        <c:v>87.481623991348556</c:v>
                      </c:pt>
                      <c:pt idx="59">
                        <c:v>104.63197684763253</c:v>
                      </c:pt>
                      <c:pt idx="60">
                        <c:v>122.50543578030504</c:v>
                      </c:pt>
                      <c:pt idx="61">
                        <c:v>140.64122819685704</c:v>
                      </c:pt>
                      <c:pt idx="62">
                        <c:v>158.55117420245645</c:v>
                      </c:pt>
                      <c:pt idx="63">
                        <c:v>175.74382893065138</c:v>
                      </c:pt>
                      <c:pt idx="64">
                        <c:v>191.74712913069516</c:v>
                      </c:pt>
                      <c:pt idx="65">
                        <c:v>206.12821542670176</c:v>
                      </c:pt>
                      <c:pt idx="66">
                        <c:v>218.50952701435034</c:v>
                      </c:pt>
                      <c:pt idx="67">
                        <c:v>228.58068122836551</c:v>
                      </c:pt>
                      <c:pt idx="68">
                        <c:v>236.10602033449027</c:v>
                      </c:pt>
                      <c:pt idx="69">
                        <c:v>240.92801045738867</c:v>
                      </c:pt>
                      <c:pt idx="70">
                        <c:v>242.9669035285747</c:v>
                      </c:pt>
                      <c:pt idx="71">
                        <c:v>242.21722288010722</c:v>
                      </c:pt>
                      <c:pt idx="72">
                        <c:v>238.74171360018968</c:v>
                      </c:pt>
                      <c:pt idx="73">
                        <c:v>232.66342093123816</c:v>
                      </c:pt>
                      <c:pt idx="74">
                        <c:v>224.15653650106316</c:v>
                      </c:pt>
                      <c:pt idx="75">
                        <c:v>213.43659580506943</c:v>
                      </c:pt>
                      <c:pt idx="76">
                        <c:v>200.75053285798234</c:v>
                      </c:pt>
                      <c:pt idx="77">
                        <c:v>186.36700939086495</c:v>
                      </c:pt>
                      <c:pt idx="78">
                        <c:v>170.56734449762615</c:v>
                      </c:pt>
                      <c:pt idx="79">
                        <c:v>153.63728234860443</c:v>
                      </c:pt>
                      <c:pt idx="80">
                        <c:v>135.85975474304595</c:v>
                      </c:pt>
                      <c:pt idx="81">
                        <c:v>117.50872451069387</c:v>
                      </c:pt>
                      <c:pt idx="82">
                        <c:v>98.844136417177793</c:v>
                      </c:pt>
                      <c:pt idx="83">
                        <c:v>80.107954576759781</c:v>
                      </c:pt>
                      <c:pt idx="84">
                        <c:v>61.521228981663768</c:v>
                      </c:pt>
                      <c:pt idx="85">
                        <c:v>43.282107669666971</c:v>
                      </c:pt>
                      <c:pt idx="86">
                        <c:v>25.56469401991124</c:v>
                      </c:pt>
                      <c:pt idx="87">
                        <c:v>8.5186392985251018</c:v>
                      </c:pt>
                      <c:pt idx="88">
                        <c:v>-7.7306425439410038</c:v>
                      </c:pt>
                      <c:pt idx="89">
                        <c:v>-23.081249044341472</c:v>
                      </c:pt>
                      <c:pt idx="90">
                        <c:v>-37.453658150625778</c:v>
                      </c:pt>
                      <c:pt idx="91">
                        <c:v>-50.789289665678716</c:v>
                      </c:pt>
                      <c:pt idx="92">
                        <c:v>-63.048847312580911</c:v>
                      </c:pt>
                      <c:pt idx="93">
                        <c:v>-74.210518962500558</c:v>
                      </c:pt>
                      <c:pt idx="94">
                        <c:v>-84.268101717960405</c:v>
                      </c:pt>
                      <c:pt idx="95">
                        <c:v>-93.229107870988969</c:v>
                      </c:pt>
                      <c:pt idx="96">
                        <c:v>-101.11289759756619</c:v>
                      </c:pt>
                      <c:pt idx="97">
                        <c:v>-107.94887484103965</c:v>
                      </c:pt>
                      <c:pt idx="98">
                        <c:v>-113.77477432495735</c:v>
                      </c:pt>
                      <c:pt idx="99">
                        <c:v>-118.6350600967974</c:v>
                      </c:pt>
                      <c:pt idx="100">
                        <c:v>-122.57944946053537</c:v>
                      </c:pt>
                      <c:pt idx="101">
                        <c:v>-125.66157058887941</c:v>
                      </c:pt>
                      <c:pt idx="102">
                        <c:v>-127.93775746670485</c:v>
                      </c:pt>
                      <c:pt idx="103">
                        <c:v>-129.46598203725304</c:v>
                      </c:pt>
                      <c:pt idx="104">
                        <c:v>-130.30492042124035</c:v>
                      </c:pt>
                      <c:pt idx="105">
                        <c:v>-130.51314776939901</c:v>
                      </c:pt>
                      <c:pt idx="106">
                        <c:v>-130.14845460298747</c:v>
                      </c:pt>
                      <c:pt idx="107">
                        <c:v>-129.26727630836768</c:v>
                      </c:pt>
                      <c:pt idx="108">
                        <c:v>-127.9242266993448</c:v>
                      </c:pt>
                      <c:pt idx="109">
                        <c:v>-126.17172616916486</c:v>
                      </c:pt>
                      <c:pt idx="110">
                        <c:v>-124.05971485459392</c:v>
                      </c:pt>
                      <c:pt idx="111">
                        <c:v>-121.63544136654021</c:v>
                      </c:pt>
                      <c:pt idx="112">
                        <c:v>-118.94331795205844</c:v>
                      </c:pt>
                      <c:pt idx="113">
                        <c:v>-116.02483339545543</c:v>
                      </c:pt>
                      <c:pt idx="114">
                        <c:v>-112.91851550269546</c:v>
                      </c:pt>
                      <c:pt idx="115">
                        <c:v>-109.65993561094564</c:v>
                      </c:pt>
                      <c:pt idx="116">
                        <c:v>-106.2817481971887</c:v>
                      </c:pt>
                      <c:pt idx="117">
                        <c:v>-102.81375930489058</c:v>
                      </c:pt>
                      <c:pt idx="118">
                        <c:v>-99.283018148726271</c:v>
                      </c:pt>
                      <c:pt idx="119">
                        <c:v>-95.713926881290234</c:v>
                      </c:pt>
                      <c:pt idx="120">
                        <c:v>-92.128364102779841</c:v>
                      </c:pt>
                      <c:pt idx="121">
                        <c:v>-88.545818257929326</c:v>
                      </c:pt>
                      <c:pt idx="122">
                        <c:v>-84.983527589338237</c:v>
                      </c:pt>
                      <c:pt idx="123">
                        <c:v>-81.456623800095585</c:v>
                      </c:pt>
                      <c:pt idx="124">
                        <c:v>-77.978277020020215</c:v>
                      </c:pt>
                      <c:pt idx="125">
                        <c:v>-74.559840068933184</c:v>
                      </c:pt>
                      <c:pt idx="126">
                        <c:v>-71.210990368059768</c:v>
                      </c:pt>
                      <c:pt idx="127">
                        <c:v>-67.939868168543953</c:v>
                      </c:pt>
                      <c:pt idx="128">
                        <c:v>-64.753210046220062</c:v>
                      </c:pt>
                      <c:pt idx="129">
                        <c:v>-61.656476856682175</c:v>
                      </c:pt>
                      <c:pt idx="130">
                        <c:v>-58.653975556922667</c:v>
                      </c:pt>
                      <c:pt idx="131">
                        <c:v>-55.7489744821142</c:v>
                      </c:pt>
                      <c:pt idx="132">
                        <c:v>-52.943811821223029</c:v>
                      </c:pt>
                      <c:pt idx="133">
                        <c:v>-50.239997165745656</c:v>
                      </c:pt>
                      <c:pt idx="134">
                        <c:v>-47.638306114563058</c:v>
                      </c:pt>
                      <c:pt idx="135">
                        <c:v>-45.13886800715175</c:v>
                      </c:pt>
                      <c:pt idx="136">
                        <c:v>-42.741246929526554</c:v>
                      </c:pt>
                      <c:pt idx="137">
                        <c:v>-40.444516194419627</c:v>
                      </c:pt>
                      <c:pt idx="138">
                        <c:v>-38.24732654134516</c:v>
                      </c:pt>
                      <c:pt idx="139">
                        <c:v>-36.14796833512068</c:v>
                      </c:pt>
                      <c:pt idx="140">
                        <c:v>-34.144428064779916</c:v>
                      </c:pt>
                      <c:pt idx="141">
                        <c:v>-32.234439460047611</c:v>
                      </c:pt>
                      <c:pt idx="142">
                        <c:v>-30.415529550988332</c:v>
                      </c:pt>
                      <c:pt idx="143">
                        <c:v>-28.685059999228539</c:v>
                      </c:pt>
                      <c:pt idx="144">
                        <c:v>-27.040264027302168</c:v>
                      </c:pt>
                      <c:pt idx="145">
                        <c:v>-25.478279267090855</c:v>
                      </c:pt>
                      <c:pt idx="146">
                        <c:v>-23.996176839767053</c:v>
                      </c:pt>
                      <c:pt idx="147">
                        <c:v>-22.590986968800859</c:v>
                      </c:pt>
                      <c:pt idx="148">
                        <c:v>-21.259721415003174</c:v>
                      </c:pt>
                      <c:pt idx="149">
                        <c:v>-19.999393008752644</c:v>
                      </c:pt>
                      <c:pt idx="150">
                        <c:v>-18.807032539899716</c:v>
                      </c:pt>
                      <c:pt idx="151">
                        <c:v>-17.67970325069205</c:v>
                      </c:pt>
                      <c:pt idx="152">
                        <c:v>-16.614513161721447</c:v>
                      </c:pt>
                      <c:pt idx="153">
                        <c:v>-15.608625445567407</c:v>
                      </c:pt>
                      <c:pt idx="154">
                        <c:v>-14.659267047713554</c:v>
                      </c:pt>
                      <c:pt idx="155">
                        <c:v>-13.763735739571468</c:v>
                      </c:pt>
                      <c:pt idx="156">
                        <c:v>-12.91940577419153</c:v>
                      </c:pt>
                      <c:pt idx="157">
                        <c:v>-12.123732301546571</c:v>
                      </c:pt>
                      <c:pt idx="158">
                        <c:v>-11.374254687220839</c:v>
                      </c:pt>
                      <c:pt idx="159">
                        <c:v>-10.668598865946334</c:v>
                      </c:pt>
                      <c:pt idx="160">
                        <c:v>-10.004478849745702</c:v>
                      </c:pt>
                      <c:pt idx="161">
                        <c:v>-9.3796974994662961</c:v>
                      </c:pt>
                      <c:pt idx="162">
                        <c:v>-8.7921466582276366</c:v>
                      </c:pt>
                      <c:pt idx="163">
                        <c:v>-8.2398067357463614</c:v>
                      </c:pt>
                      <c:pt idx="164">
                        <c:v>-7.7207458236330249</c:v>
                      </c:pt>
                      <c:pt idx="165">
                        <c:v>-7.2331184135505175</c:v>
                      </c:pt>
                      <c:pt idx="166">
                        <c:v>-6.7751637825607194</c:v>
                      </c:pt>
                      <c:pt idx="167">
                        <c:v>-6.3452041030360764</c:v>
                      </c:pt>
                      <c:pt idx="168">
                        <c:v>-5.9416423281411932</c:v>
                      </c:pt>
                      <c:pt idx="169">
                        <c:v>-5.562959898070611</c:v>
                      </c:pt>
                      <c:pt idx="170">
                        <c:v>-5.2077143069223109</c:v>
                      </c:pt>
                      <c:pt idx="171">
                        <c:v>-4.8745365652668262</c:v>
                      </c:pt>
                      <c:pt idx="172">
                        <c:v>-4.5621285891005376</c:v>
                      </c:pt>
                      <c:pt idx="173">
                        <c:v>-4.2692605419197331</c:v>
                      </c:pt>
                      <c:pt idx="174">
                        <c:v>-3.9947681530893213</c:v>
                      </c:pt>
                      <c:pt idx="175">
                        <c:v>-3.7375500324739397</c:v>
                      </c:pt>
                      <c:pt idx="176">
                        <c:v>-3.4965649984246951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0A0-4A36-B1E8-B5700649E747}"/>
                  </c:ext>
                </c:extLst>
              </c15:ser>
            </c15:filteredScatterSeries>
            <c15:filteredScatterSeries>
              <c15:ser>
                <c:idx val="0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LNorm'!$L$7</c15:sqref>
                        </c15:formulaRef>
                      </c:ext>
                    </c:extLst>
                    <c:strCache>
                      <c:ptCount val="1"/>
                      <c:pt idx="0">
                        <c:v>Italy (fitted Lombardy + fitted sum of the other regions)</c:v>
                      </c:pt>
                    </c:strCache>
                  </c:strRef>
                </c:tx>
                <c:spPr>
                  <a:ln w="19050" cap="rnd">
                    <a:solidFill>
                      <a:schemeClr val="tx1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LNorm'!$L$8:$L$184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1.0357459388113259E-29</c:v>
                      </c:pt>
                      <c:pt idx="32">
                        <c:v>2.8814628352738055E-18</c:v>
                      </c:pt>
                      <c:pt idx="33">
                        <c:v>3.6604532127729472E-13</c:v>
                      </c:pt>
                      <c:pt idx="34">
                        <c:v>4.3676335556564761E-10</c:v>
                      </c:pt>
                      <c:pt idx="35">
                        <c:v>5.5925767239256224E-8</c:v>
                      </c:pt>
                      <c:pt idx="36">
                        <c:v>1.989643440667207E-6</c:v>
                      </c:pt>
                      <c:pt idx="37">
                        <c:v>3.1241245058196413E-5</c:v>
                      </c:pt>
                      <c:pt idx="38">
                        <c:v>2.7997160474704661E-4</c:v>
                      </c:pt>
                      <c:pt idx="39">
                        <c:v>1.6740471067883548E-3</c:v>
                      </c:pt>
                      <c:pt idx="40">
                        <c:v>7.3906161672003812E-3</c:v>
                      </c:pt>
                      <c:pt idx="41">
                        <c:v>2.5812518417631328E-2</c:v>
                      </c:pt>
                      <c:pt idx="42">
                        <c:v>7.4895977165212471E-2</c:v>
                      </c:pt>
                      <c:pt idx="43">
                        <c:v>0.18711429314676623</c:v>
                      </c:pt>
                      <c:pt idx="44">
                        <c:v>0.41350545616788048</c:v>
                      </c:pt>
                      <c:pt idx="45">
                        <c:v>0.82541035375797234</c:v>
                      </c:pt>
                      <c:pt idx="46">
                        <c:v>1.513467468142605</c:v>
                      </c:pt>
                      <c:pt idx="47">
                        <c:v>2.5849295686724281</c:v>
                      </c:pt>
                      <c:pt idx="48">
                        <c:v>4.1613599193905513</c:v>
                      </c:pt>
                      <c:pt idx="49">
                        <c:v>6.3783299184902429</c:v>
                      </c:pt>
                      <c:pt idx="50">
                        <c:v>9.3869428745934727</c:v>
                      </c:pt>
                      <c:pt idx="51">
                        <c:v>13.354937727885725</c:v>
                      </c:pt>
                      <c:pt idx="52">
                        <c:v>18.464065414292538</c:v>
                      </c:pt>
                      <c:pt idx="53">
                        <c:v>24.900998466106898</c:v>
                      </c:pt>
                      <c:pt idx="54">
                        <c:v>32.840934149319715</c:v>
                      </c:pt>
                      <c:pt idx="55">
                        <c:v>42.425408412576608</c:v>
                      </c:pt>
                      <c:pt idx="56">
                        <c:v>53.73773710185587</c:v>
                      </c:pt>
                      <c:pt idx="57">
                        <c:v>66.780373211662607</c:v>
                      </c:pt>
                      <c:pt idx="58">
                        <c:v>81.458205778306962</c:v>
                      </c:pt>
                      <c:pt idx="59">
                        <c:v>97.570681086380404</c:v>
                      </c:pt>
                      <c:pt idx="60">
                        <c:v>114.8140290749748</c:v>
                      </c:pt>
                      <c:pt idx="61">
                        <c:v>132.79325731906457</c:v>
                      </c:pt>
                      <c:pt idx="62">
                        <c:v>151.04225279971106</c:v>
                      </c:pt>
                      <c:pt idx="63">
                        <c:v>169.04947960464403</c:v>
                      </c:pt>
                      <c:pt idx="64">
                        <c:v>186.28641265195134</c:v>
                      </c:pt>
                      <c:pt idx="65">
                        <c:v>202.23593834639738</c:v>
                      </c:pt>
                      <c:pt idx="66">
                        <c:v>216.41836379653176</c:v>
                      </c:pt>
                      <c:pt idx="67">
                        <c:v>228.41327305407043</c:v>
                      </c:pt>
                      <c:pt idx="68">
                        <c:v>237.87613028349674</c:v>
                      </c:pt>
                      <c:pt idx="69">
                        <c:v>244.54916139761366</c:v>
                      </c:pt>
                      <c:pt idx="70">
                        <c:v>248.26658490956783</c:v>
                      </c:pt>
                      <c:pt idx="71">
                        <c:v>248.95467679850617</c:v>
                      </c:pt>
                      <c:pt idx="72">
                        <c:v>246.62743446200327</c:v>
                      </c:pt>
                      <c:pt idx="73">
                        <c:v>241.3787598925112</c:v>
                      </c:pt>
                      <c:pt idx="74">
                        <c:v>233.37213106440132</c:v>
                      </c:pt>
                      <c:pt idx="75">
                        <c:v>222.82869698618438</c:v>
                      </c:pt>
                      <c:pt idx="76">
                        <c:v>210.01464047083181</c:v>
                      </c:pt>
                      <c:pt idx="77">
                        <c:v>195.22852585614601</c:v>
                      </c:pt>
                      <c:pt idx="78">
                        <c:v>178.78920552586263</c:v>
                      </c:pt>
                      <c:pt idx="79">
                        <c:v>161.02471380359552</c:v>
                      </c:pt>
                      <c:pt idx="80">
                        <c:v>142.26244011876562</c:v>
                      </c:pt>
                      <c:pt idx="81">
                        <c:v>122.8207520492702</c:v>
                      </c:pt>
                      <c:pt idx="82">
                        <c:v>103.00213660325727</c:v>
                      </c:pt>
                      <c:pt idx="83">
                        <c:v>83.087846178141035</c:v>
                      </c:pt>
                      <c:pt idx="84">
                        <c:v>63.333973551899675</c:v>
                      </c:pt>
                      <c:pt idx="85">
                        <c:v>43.968836382962223</c:v>
                      </c:pt>
                      <c:pt idx="86">
                        <c:v>25.191523703991297</c:v>
                      </c:pt>
                      <c:pt idx="87">
                        <c:v>7.1714421666050452</c:v>
                      </c:pt>
                      <c:pt idx="88">
                        <c:v>-9.9513043339522333</c:v>
                      </c:pt>
                      <c:pt idx="89">
                        <c:v>-26.064864069246148</c:v>
                      </c:pt>
                      <c:pt idx="90">
                        <c:v>-41.084068555310438</c:v>
                      </c:pt>
                      <c:pt idx="91">
                        <c:v>-54.948484258927166</c:v>
                      </c:pt>
                      <c:pt idx="92">
                        <c:v>-67.620207938604125</c:v>
                      </c:pt>
                      <c:pt idx="93">
                        <c:v>-79.081511662403827</c:v>
                      </c:pt>
                      <c:pt idx="94">
                        <c:v>-89.332426547837954</c:v>
                      </c:pt>
                      <c:pt idx="95">
                        <c:v>-98.388337950324711</c:v>
                      </c:pt>
                      <c:pt idx="96">
                        <c:v>-106.27764967354771</c:v>
                      </c:pt>
                      <c:pt idx="97">
                        <c:v>-113.03956109146085</c:v>
                      </c:pt>
                      <c:pt idx="98">
                        <c:v>-118.72198901616484</c:v>
                      </c:pt>
                      <c:pt idx="99">
                        <c:v>-123.37965576596542</c:v>
                      </c:pt>
                      <c:pt idx="100">
                        <c:v>-127.07235614935165</c:v>
                      </c:pt>
                      <c:pt idx="101">
                        <c:v>-129.86340889238502</c:v>
                      </c:pt>
                      <c:pt idx="102">
                        <c:v>-131.81829227107619</c:v>
                      </c:pt>
                      <c:pt idx="103">
                        <c:v>-133.0034592179392</c:v>
                      </c:pt>
                      <c:pt idx="104">
                        <c:v>-133.48532379522283</c:v>
                      </c:pt>
                      <c:pt idx="105">
                        <c:v>-133.32940850868698</c:v>
                      </c:pt>
                      <c:pt idx="106">
                        <c:v>-132.59964032388055</c:v>
                      </c:pt>
                      <c:pt idx="107">
                        <c:v>-131.35778230092768</c:v>
                      </c:pt>
                      <c:pt idx="108">
                        <c:v>-129.66298735615095</c:v>
                      </c:pt>
                      <c:pt idx="109">
                        <c:v>-127.5714606760768</c:v>
                      </c:pt>
                      <c:pt idx="110">
                        <c:v>-125.13621765270142</c:v>
                      </c:pt>
                      <c:pt idx="111">
                        <c:v>-122.40692479383563</c:v>
                      </c:pt>
                      <c:pt idx="112">
                        <c:v>-119.42981181776648</c:v>
                      </c:pt>
                      <c:pt idx="113">
                        <c:v>-116.24764400859695</c:v>
                      </c:pt>
                      <c:pt idx="114">
                        <c:v>-112.89974483969783</c:v>
                      </c:pt>
                      <c:pt idx="115">
                        <c:v>-109.42205982973708</c:v>
                      </c:pt>
                      <c:pt idx="116">
                        <c:v>-105.84725354917235</c:v>
                      </c:pt>
                      <c:pt idx="117">
                        <c:v>-102.20483262253913</c:v>
                      </c:pt>
                      <c:pt idx="118">
                        <c:v>-98.521288457015388</c:v>
                      </c:pt>
                      <c:pt idx="119">
                        <c:v>-94.820254259269291</c:v>
                      </c:pt>
                      <c:pt idx="120">
                        <c:v>-91.122671673254814</c:v>
                      </c:pt>
                      <c:pt idx="121">
                        <c:v>-87.446963077405442</c:v>
                      </c:pt>
                      <c:pt idx="122">
                        <c:v>-83.80920621917862</c:v>
                      </c:pt>
                      <c:pt idx="123">
                        <c:v>-80.223308438618773</c:v>
                      </c:pt>
                      <c:pt idx="124">
                        <c:v>-76.70117824257332</c:v>
                      </c:pt>
                      <c:pt idx="125">
                        <c:v>-73.252892440422045</c:v>
                      </c:pt>
                      <c:pt idx="126">
                        <c:v>-69.886857444456609</c:v>
                      </c:pt>
                      <c:pt idx="127">
                        <c:v>-66.609963677565531</c:v>
                      </c:pt>
                      <c:pt idx="128">
                        <c:v>-63.427732322096105</c:v>
                      </c:pt>
                      <c:pt idx="129">
                        <c:v>-60.344453891163106</c:v>
                      </c:pt>
                      <c:pt idx="130">
                        <c:v>-57.363318311719176</c:v>
                      </c:pt>
                      <c:pt idx="131">
                        <c:v>-54.486536381679215</c:v>
                      </c:pt>
                      <c:pt idx="132">
                        <c:v>-51.715452605363886</c:v>
                      </c:pt>
                      <c:pt idx="133">
                        <c:v>-49.050649526334098</c:v>
                      </c:pt>
                      <c:pt idx="134">
                        <c:v>-46.492043767830019</c:v>
                      </c:pt>
                      <c:pt idx="135">
                        <c:v>-44.038974061751958</c:v>
                      </c:pt>
                      <c:pt idx="136">
                        <c:v>-41.690281600338309</c:v>
                      </c:pt>
                      <c:pt idx="137">
                        <c:v>-39.444383083055378</c:v>
                      </c:pt>
                      <c:pt idx="138">
                        <c:v>-37.299336857039542</c:v>
                      </c:pt>
                      <c:pt idx="139">
                        <c:v>-35.25290256482792</c:v>
                      </c:pt>
                      <c:pt idx="140">
                        <c:v>-33.302594719888248</c:v>
                      </c:pt>
                      <c:pt idx="141">
                        <c:v>-31.445730630216936</c:v>
                      </c:pt>
                      <c:pt idx="142">
                        <c:v>-29.679473084398069</c:v>
                      </c:pt>
                      <c:pt idx="143">
                        <c:v>-28.000868204206384</c:v>
                      </c:pt>
                      <c:pt idx="144">
                        <c:v>-26.406878854098885</c:v>
                      </c:pt>
                      <c:pt idx="145">
                        <c:v>-24.894413981660698</c:v>
                      </c:pt>
                      <c:pt idx="146">
                        <c:v>-23.460354244962282</c:v>
                      </c:pt>
                      <c:pt idx="147">
                        <c:v>-22.101574263474404</c:v>
                      </c:pt>
                      <c:pt idx="148">
                        <c:v>-20.814961809164025</c:v>
                      </c:pt>
                      <c:pt idx="149">
                        <c:v>-19.597434234090944</c:v>
                      </c:pt>
                      <c:pt idx="150">
                        <c:v>-18.44595241055621</c:v>
                      </c:pt>
                      <c:pt idx="151">
                        <c:v>-17.357532439901199</c:v>
                      </c:pt>
                      <c:pt idx="152">
                        <c:v>-16.329255366625731</c:v>
                      </c:pt>
                      <c:pt idx="153">
                        <c:v>-15.358275115735676</c:v>
                      </c:pt>
                      <c:pt idx="154">
                        <c:v>-14.44182485327544</c:v>
                      </c:pt>
                      <c:pt idx="155">
                        <c:v>-13.577221952920702</c:v>
                      </c:pt>
                      <c:pt idx="156">
                        <c:v>-12.761871735362163</c:v>
                      </c:pt>
                      <c:pt idx="157">
                        <c:v>-11.993270132028538</c:v>
                      </c:pt>
                      <c:pt idx="158">
                        <c:v>-11.269005410487118</c:v>
                      </c:pt>
                      <c:pt idx="159">
                        <c:v>-10.586759085621935</c:v>
                      </c:pt>
                      <c:pt idx="160">
                        <c:v>-9.9443061283992407</c:v>
                      </c:pt>
                      <c:pt idx="161">
                        <c:v>-9.3395145726688042</c:v>
                      </c:pt>
                      <c:pt idx="162">
                        <c:v>-8.7703446099765632</c:v>
                      </c:pt>
                      <c:pt idx="163">
                        <c:v>-8.2348472527451104</c:v>
                      </c:pt>
                      <c:pt idx="164">
                        <c:v>-7.7311626373687279</c:v>
                      </c:pt>
                      <c:pt idx="165">
                        <c:v>-7.2575180307248175</c:v>
                      </c:pt>
                      <c:pt idx="166">
                        <c:v>-6.8122255962777647</c:v>
                      </c:pt>
                      <c:pt idx="167">
                        <c:v>-6.3936799692970085</c:v>
                      </c:pt>
                      <c:pt idx="168">
                        <c:v>-6.0003556846842203</c:v>
                      </c:pt>
                      <c:pt idx="169">
                        <c:v>-5.6308044954578875</c:v>
                      </c:pt>
                      <c:pt idx="170">
                        <c:v>-5.2836526150356562</c:v>
                      </c:pt>
                      <c:pt idx="171">
                        <c:v>-4.9575979120417264</c:v>
                      </c:pt>
                      <c:pt idx="172">
                        <c:v>-4.6514070824093938</c:v>
                      </c:pt>
                      <c:pt idx="173">
                        <c:v>-4.3639128200091397</c:v>
                      </c:pt>
                      <c:pt idx="174">
                        <c:v>-4.0940110038743578</c:v>
                      </c:pt>
                      <c:pt idx="175">
                        <c:v>-3.8406579172869719</c:v>
                      </c:pt>
                      <c:pt idx="176">
                        <c:v>-3.602867511491294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0A0-4A36-B1E8-B5700649E747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LNorm'!$BD$7</c15:sqref>
                        </c15:formulaRef>
                      </c:ext>
                    </c:extLst>
                    <c:strCache>
                      <c:ptCount val="1"/>
                      <c:pt idx="0">
                        <c:v>rest of Italy acc.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LNorm'!$BD$8:$BD$184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56">
                        <c:v>35</c:v>
                      </c:pt>
                      <c:pt idx="57">
                        <c:v>45</c:v>
                      </c:pt>
                      <c:pt idx="58">
                        <c:v>5</c:v>
                      </c:pt>
                      <c:pt idx="59">
                        <c:v>46</c:v>
                      </c:pt>
                      <c:pt idx="60">
                        <c:v>41</c:v>
                      </c:pt>
                      <c:pt idx="61">
                        <c:v>-125</c:v>
                      </c:pt>
                      <c:pt idx="62">
                        <c:v>128</c:v>
                      </c:pt>
                      <c:pt idx="63">
                        <c:v>87</c:v>
                      </c:pt>
                      <c:pt idx="64">
                        <c:v>51</c:v>
                      </c:pt>
                      <c:pt idx="65">
                        <c:v>79</c:v>
                      </c:pt>
                      <c:pt idx="66">
                        <c:v>22</c:v>
                      </c:pt>
                      <c:pt idx="67">
                        <c:v>284</c:v>
                      </c:pt>
                      <c:pt idx="68">
                        <c:v>-206</c:v>
                      </c:pt>
                      <c:pt idx="69">
                        <c:v>138</c:v>
                      </c:pt>
                      <c:pt idx="70">
                        <c:v>169</c:v>
                      </c:pt>
                      <c:pt idx="71">
                        <c:v>382</c:v>
                      </c:pt>
                      <c:pt idx="72">
                        <c:v>246</c:v>
                      </c:pt>
                      <c:pt idx="73">
                        <c:v>180</c:v>
                      </c:pt>
                      <c:pt idx="74">
                        <c:v>371</c:v>
                      </c:pt>
                      <c:pt idx="75">
                        <c:v>-147</c:v>
                      </c:pt>
                      <c:pt idx="76">
                        <c:v>99</c:v>
                      </c:pt>
                      <c:pt idx="77">
                        <c:v>759</c:v>
                      </c:pt>
                      <c:pt idx="78">
                        <c:v>437</c:v>
                      </c:pt>
                      <c:pt idx="79">
                        <c:v>455</c:v>
                      </c:pt>
                      <c:pt idx="80">
                        <c:v>-300</c:v>
                      </c:pt>
                      <c:pt idx="81">
                        <c:v>563</c:v>
                      </c:pt>
                      <c:pt idx="82">
                        <c:v>-635</c:v>
                      </c:pt>
                      <c:pt idx="83">
                        <c:v>73</c:v>
                      </c:pt>
                      <c:pt idx="84">
                        <c:v>260</c:v>
                      </c:pt>
                      <c:pt idx="85">
                        <c:v>43</c:v>
                      </c:pt>
                      <c:pt idx="86">
                        <c:v>-60</c:v>
                      </c:pt>
                      <c:pt idx="87">
                        <c:v>307</c:v>
                      </c:pt>
                      <c:pt idx="88">
                        <c:v>-232</c:v>
                      </c:pt>
                      <c:pt idx="89">
                        <c:v>-729</c:v>
                      </c:pt>
                      <c:pt idx="90">
                        <c:v>110</c:v>
                      </c:pt>
                      <c:pt idx="91">
                        <c:v>211</c:v>
                      </c:pt>
                      <c:pt idx="92">
                        <c:v>159</c:v>
                      </c:pt>
                      <c:pt idx="93">
                        <c:v>-246</c:v>
                      </c:pt>
                      <c:pt idx="94">
                        <c:v>77</c:v>
                      </c:pt>
                      <c:pt idx="95">
                        <c:v>-228</c:v>
                      </c:pt>
                      <c:pt idx="96">
                        <c:v>-459</c:v>
                      </c:pt>
                      <c:pt idx="97">
                        <c:v>-272</c:v>
                      </c:pt>
                      <c:pt idx="98">
                        <c:v>499</c:v>
                      </c:pt>
                      <c:pt idx="99">
                        <c:v>69</c:v>
                      </c:pt>
                      <c:pt idx="100">
                        <c:v>-111</c:v>
                      </c:pt>
                      <c:pt idx="101">
                        <c:v>445</c:v>
                      </c:pt>
                      <c:pt idx="102">
                        <c:v>-518</c:v>
                      </c:pt>
                      <c:pt idx="103">
                        <c:v>-741</c:v>
                      </c:pt>
                      <c:pt idx="104">
                        <c:v>69</c:v>
                      </c:pt>
                      <c:pt idx="105">
                        <c:v>-120</c:v>
                      </c:pt>
                      <c:pt idx="106">
                        <c:v>1005</c:v>
                      </c:pt>
                      <c:pt idx="107">
                        <c:v>-393</c:v>
                      </c:pt>
                      <c:pt idx="108">
                        <c:v>-207</c:v>
                      </c:pt>
                      <c:pt idx="109">
                        <c:v>-53</c:v>
                      </c:pt>
                      <c:pt idx="110">
                        <c:v>-671</c:v>
                      </c:pt>
                      <c:pt idx="111">
                        <c:v>248</c:v>
                      </c:pt>
                      <c:pt idx="112">
                        <c:v>440</c:v>
                      </c:pt>
                      <c:pt idx="113">
                        <c:v>-636</c:v>
                      </c:pt>
                      <c:pt idx="114">
                        <c:v>357</c:v>
                      </c:pt>
                      <c:pt idx="115">
                        <c:v>-286</c:v>
                      </c:pt>
                      <c:pt idx="116">
                        <c:v>-240</c:v>
                      </c:pt>
                      <c:pt idx="117">
                        <c:v>-255</c:v>
                      </c:pt>
                      <c:pt idx="118">
                        <c:v>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0A0-4A36-B1E8-B5700649E747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LNorm'!$BR$7</c15:sqref>
                        </c15:formulaRef>
                      </c:ext>
                    </c:extLst>
                    <c:strCache>
                      <c:ptCount val="1"/>
                      <c:pt idx="0">
                        <c:v>rest of Italy acc. fit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LNorm'!$BR$8:$BR$184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6.348426818434302E-52</c:v>
                      </c:pt>
                      <c:pt idx="38">
                        <c:v>1.9511492919272573E-24</c:v>
                      </c:pt>
                      <c:pt idx="39">
                        <c:v>1.6517557707556378E-16</c:v>
                      </c:pt>
                      <c:pt idx="40">
                        <c:v>3.0901386225569382E-12</c:v>
                      </c:pt>
                      <c:pt idx="41">
                        <c:v>1.8218461942811726E-9</c:v>
                      </c:pt>
                      <c:pt idx="42">
                        <c:v>1.7126539780957474E-7</c:v>
                      </c:pt>
                      <c:pt idx="43">
                        <c:v>5.2645961155145335E-6</c:v>
                      </c:pt>
                      <c:pt idx="44">
                        <c:v>7.707334468850613E-5</c:v>
                      </c:pt>
                      <c:pt idx="45">
                        <c:v>6.6913992383279923E-4</c:v>
                      </c:pt>
                      <c:pt idx="46">
                        <c:v>3.9546723514040458E-3</c:v>
                      </c:pt>
                      <c:pt idx="47">
                        <c:v>1.7440581945414365E-2</c:v>
                      </c:pt>
                      <c:pt idx="48">
                        <c:v>6.1178488039223364E-2</c:v>
                      </c:pt>
                      <c:pt idx="49">
                        <c:v>0.17872858448727882</c:v>
                      </c:pt>
                      <c:pt idx="50">
                        <c:v>0.44993039065524787</c:v>
                      </c:pt>
                      <c:pt idx="51">
                        <c:v>1.0015735603680451</c:v>
                      </c:pt>
                      <c:pt idx="52">
                        <c:v>2.011416002394891</c:v>
                      </c:pt>
                      <c:pt idx="53">
                        <c:v>3.7021317471923627</c:v>
                      </c:pt>
                      <c:pt idx="54">
                        <c:v>6.3242469240574071</c:v>
                      </c:pt>
                      <c:pt idx="55">
                        <c:v>10.129961125217116</c:v>
                      </c:pt>
                      <c:pt idx="56">
                        <c:v>15.341983488725358</c:v>
                      </c:pt>
                      <c:pt idx="57">
                        <c:v>22.122556767047598</c:v>
                      </c:pt>
                      <c:pt idx="58">
                        <c:v>30.547607631094792</c:v>
                      </c:pt>
                      <c:pt idx="59">
                        <c:v>40.589735373046594</c:v>
                      </c:pt>
                      <c:pt idx="60">
                        <c:v>52.112002160648089</c:v>
                      </c:pt>
                      <c:pt idx="61">
                        <c:v>64.872682667764323</c:v>
                      </c:pt>
                      <c:pt idx="62">
                        <c:v>78.539619751792202</c:v>
                      </c:pt>
                      <c:pt idx="63">
                        <c:v>92.711808392393735</c:v>
                      </c:pt>
                      <c:pt idx="64">
                        <c:v>106.94533873686915</c:v>
                      </c:pt>
                      <c:pt idx="65">
                        <c:v>120.78081113007438</c:v>
                      </c:pt>
                      <c:pt idx="66">
                        <c:v>133.76967272659624</c:v>
                      </c:pt>
                      <c:pt idx="67">
                        <c:v>145.49747968518801</c:v>
                      </c:pt>
                      <c:pt idx="68">
                        <c:v>155.60273436199978</c:v>
                      </c:pt>
                      <c:pt idx="69">
                        <c:v>163.7905829823153</c:v>
                      </c:pt>
                      <c:pt idx="70">
                        <c:v>169.84121751276737</c:v>
                      </c:pt>
                      <c:pt idx="71">
                        <c:v>173.61326783432554</c:v>
                      </c:pt>
                      <c:pt idx="72">
                        <c:v>175.04278380140286</c:v>
                      </c:pt>
                      <c:pt idx="73">
                        <c:v>174.13859645161847</c:v>
                      </c:pt>
                      <c:pt idx="74">
                        <c:v>170.97492995786618</c:v>
                      </c:pt>
                      <c:pt idx="75">
                        <c:v>165.68213300763978</c:v>
                      </c:pt>
                      <c:pt idx="76">
                        <c:v>158.43633364260052</c:v>
                      </c:pt>
                      <c:pt idx="77">
                        <c:v>149.44871716774392</c:v>
                      </c:pt>
                      <c:pt idx="78">
                        <c:v>138.95500133363271</c:v>
                      </c:pt>
                      <c:pt idx="79">
                        <c:v>127.20555148449284</c:v>
                      </c:pt>
                      <c:pt idx="80">
                        <c:v>114.45645164856597</c:v>
                      </c:pt>
                      <c:pt idx="81">
                        <c:v>100.96173289446709</c:v>
                      </c:pt>
                      <c:pt idx="82">
                        <c:v>86.966861897501289</c:v>
                      </c:pt>
                      <c:pt idx="83">
                        <c:v>72.703512350311613</c:v>
                      </c:pt>
                      <c:pt idx="84">
                        <c:v>58.385579633296679</c:v>
                      </c:pt>
                      <c:pt idx="85">
                        <c:v>44.206353841394645</c:v>
                      </c:pt>
                      <c:pt idx="86">
                        <c:v>30.336735914512595</c:v>
                      </c:pt>
                      <c:pt idx="87">
                        <c:v>16.924363937557889</c:v>
                      </c:pt>
                      <c:pt idx="88">
                        <c:v>4.0935092629257488</c:v>
                      </c:pt>
                      <c:pt idx="89">
                        <c:v>-8.0543973461382627</c:v>
                      </c:pt>
                      <c:pt idx="90">
                        <c:v>-19.439742948705497</c:v>
                      </c:pt>
                      <c:pt idx="91">
                        <c:v>-30.003335995654862</c:v>
                      </c:pt>
                      <c:pt idx="92">
                        <c:v>-39.704746249160529</c:v>
                      </c:pt>
                      <c:pt idx="93">
                        <c:v>-48.520476838214385</c:v>
                      </c:pt>
                      <c:pt idx="94">
                        <c:v>-56.442049676677009</c:v>
                      </c:pt>
                      <c:pt idx="95">
                        <c:v>-63.474071281982802</c:v>
                      </c:pt>
                      <c:pt idx="96">
                        <c:v>-69.632332707767702</c:v>
                      </c:pt>
                      <c:pt idx="97">
                        <c:v>-74.941985160700028</c:v>
                      </c:pt>
                      <c:pt idx="98">
                        <c:v>-79.435822089839561</c:v>
                      </c:pt>
                      <c:pt idx="99">
                        <c:v>-83.152689187822531</c:v>
                      </c:pt>
                      <c:pt idx="100">
                        <c:v>-86.136035819091944</c:v>
                      </c:pt>
                      <c:pt idx="101">
                        <c:v>-88.432614826897094</c:v>
                      </c:pt>
                      <c:pt idx="102">
                        <c:v>-90.09133236591498</c:v>
                      </c:pt>
                      <c:pt idx="103">
                        <c:v>-91.162245236947626</c:v>
                      </c:pt>
                      <c:pt idx="104">
                        <c:v>-91.695700029204119</c:v>
                      </c:pt>
                      <c:pt idx="105">
                        <c:v>-91.741606067234315</c:v>
                      </c:pt>
                      <c:pt idx="106">
                        <c:v>-91.348832580761865</c:v>
                      </c:pt>
                      <c:pt idx="107">
                        <c:v>-90.564719541903017</c:v>
                      </c:pt>
                      <c:pt idx="108">
                        <c:v>-89.434691131901118</c:v>
                      </c:pt>
                      <c:pt idx="109">
                        <c:v>-88.001960707140327</c:v>
                      </c:pt>
                      <c:pt idx="110">
                        <c:v>-86.307316343143768</c:v>
                      </c:pt>
                      <c:pt idx="111">
                        <c:v>-84.388976469369183</c:v>
                      </c:pt>
                      <c:pt idx="112">
                        <c:v>-82.282505702613676</c:v>
                      </c:pt>
                      <c:pt idx="113">
                        <c:v>-80.020781689465977</c:v>
                      </c:pt>
                      <c:pt idx="114">
                        <c:v>-77.634004535090924</c:v>
                      </c:pt>
                      <c:pt idx="115">
                        <c:v>-75.149741192066415</c:v>
                      </c:pt>
                      <c:pt idx="116">
                        <c:v>-72.592997981952564</c:v>
                      </c:pt>
                      <c:pt idx="117">
                        <c:v>-69.986315203211291</c:v>
                      </c:pt>
                      <c:pt idx="118">
                        <c:v>-67.349878526905727</c:v>
                      </c:pt>
                      <c:pt idx="119">
                        <c:v>-64.701642585725679</c:v>
                      </c:pt>
                      <c:pt idx="120">
                        <c:v>-62.057462815434455</c:v>
                      </c:pt>
                      <c:pt idx="121">
                        <c:v>-59.431232206881305</c:v>
                      </c:pt>
                      <c:pt idx="122">
                        <c:v>-56.835020169700847</c:v>
                      </c:pt>
                      <c:pt idx="123">
                        <c:v>-54.279211195896906</c:v>
                      </c:pt>
                      <c:pt idx="124">
                        <c:v>-51.772641444251839</c:v>
                      </c:pt>
                      <c:pt idx="125">
                        <c:v>-49.322731747385042</c:v>
                      </c:pt>
                      <c:pt idx="126">
                        <c:v>-46.93561587548848</c:v>
                      </c:pt>
                      <c:pt idx="127">
                        <c:v>-44.616263177858059</c:v>
                      </c:pt>
                      <c:pt idx="128">
                        <c:v>-42.368594969127678</c:v>
                      </c:pt>
                      <c:pt idx="129">
                        <c:v>-40.195594235449271</c:v>
                      </c:pt>
                      <c:pt idx="130">
                        <c:v>-38.099408410592588</c:v>
                      </c:pt>
                      <c:pt idx="131">
                        <c:v>-36.081445116758061</c:v>
                      </c:pt>
                      <c:pt idx="132">
                        <c:v>-34.142460883304153</c:v>
                      </c:pt>
                      <c:pt idx="133">
                        <c:v>-32.282642951907164</c:v>
                      </c:pt>
                      <c:pt idx="134">
                        <c:v>-30.501684351905325</c:v>
                      </c:pt>
                      <c:pt idx="135">
                        <c:v>-28.798852487534759</c:v>
                      </c:pt>
                      <c:pt idx="136">
                        <c:v>-27.173051521945727</c:v>
                      </c:pt>
                      <c:pt idx="137">
                        <c:v>-25.622878873565956</c:v>
                      </c:pt>
                      <c:pt idx="138">
                        <c:v>-24.146676160553977</c:v>
                      </c:pt>
                      <c:pt idx="139">
                        <c:v>-22.742574940553805</c:v>
                      </c:pt>
                      <c:pt idx="140">
                        <c:v>-21.408537597272094</c:v>
                      </c:pt>
                      <c:pt idx="141">
                        <c:v>-20.142393723916836</c:v>
                      </c:pt>
                      <c:pt idx="142">
                        <c:v>-18.941872347436465</c:v>
                      </c:pt>
                      <c:pt idx="143">
                        <c:v>-17.804630327797209</c:v>
                      </c:pt>
                      <c:pt idx="144">
                        <c:v>-16.728277254082222</c:v>
                      </c:pt>
                      <c:pt idx="145">
                        <c:v>-15.710397144737044</c:v>
                      </c:pt>
                      <c:pt idx="146">
                        <c:v>-14.748567243414268</c:v>
                      </c:pt>
                      <c:pt idx="147">
                        <c:v>-13.84037418511226</c:v>
                      </c:pt>
                      <c:pt idx="148">
                        <c:v>-12.983427790059627</c:v>
                      </c:pt>
                      <c:pt idx="149">
                        <c:v>-12.175372725427158</c:v>
                      </c:pt>
                      <c:pt idx="150">
                        <c:v>-11.413898257708926</c:v>
                      </c:pt>
                      <c:pt idx="151">
                        <c:v>-10.696746301728808</c:v>
                      </c:pt>
                      <c:pt idx="152">
                        <c:v>-10.021717955865695</c:v>
                      </c:pt>
                      <c:pt idx="153">
                        <c:v>-9.3866786973639833</c:v>
                      </c:pt>
                      <c:pt idx="154">
                        <c:v>-8.7895623966090124</c:v>
                      </c:pt>
                      <c:pt idx="155">
                        <c:v>-8.2283742950501981</c:v>
                      </c:pt>
                      <c:pt idx="156">
                        <c:v>-7.7011930780913449</c:v>
                      </c:pt>
                      <c:pt idx="157">
                        <c:v>-7.2061721617528951</c:v>
                      </c:pt>
                      <c:pt idx="158">
                        <c:v>-6.7415403002450294</c:v>
                      </c:pt>
                      <c:pt idx="159">
                        <c:v>-6.3056016107687922</c:v>
                      </c:pt>
                      <c:pt idx="160">
                        <c:v>-5.8967351018564331</c:v>
                      </c:pt>
                      <c:pt idx="161">
                        <c:v>-5.5133937823516161</c:v>
                      </c:pt>
                      <c:pt idx="162">
                        <c:v>-5.1541034196776003</c:v>
                      </c:pt>
                      <c:pt idx="163">
                        <c:v>-4.8174610083105529</c:v>
                      </c:pt>
                      <c:pt idx="164">
                        <c:v>-4.5021330023278923</c:v>
                      </c:pt>
                      <c:pt idx="165">
                        <c:v>-4.2068533594951427</c:v>
                      </c:pt>
                      <c:pt idx="166">
                        <c:v>-3.9304214385492879</c:v>
                      </c:pt>
                      <c:pt idx="167">
                        <c:v>-3.67169978608925</c:v>
                      </c:pt>
                      <c:pt idx="168">
                        <c:v>-3.4296118447553572</c:v>
                      </c:pt>
                      <c:pt idx="169">
                        <c:v>-3.2031396101301364</c:v>
                      </c:pt>
                      <c:pt idx="170">
                        <c:v>-2.9913212599829158</c:v>
                      </c:pt>
                      <c:pt idx="171">
                        <c:v>-2.7932487760770397</c:v>
                      </c:pt>
                      <c:pt idx="172">
                        <c:v>-2.6080655757232183</c:v>
                      </c:pt>
                      <c:pt idx="173">
                        <c:v>-2.434964167566084</c:v>
                      </c:pt>
                      <c:pt idx="174">
                        <c:v>-2.2731838437010592</c:v>
                      </c:pt>
                      <c:pt idx="175">
                        <c:v>-2.1220084181075602</c:v>
                      </c:pt>
                      <c:pt idx="176">
                        <c:v>-1.9807640195257319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0A0-4A36-B1E8-B5700649E747}"/>
                  </c:ext>
                </c:extLst>
              </c15:ser>
            </c15:filteredScatterSeries>
          </c:ext>
        </c:extLst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Days from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Rate of</a:t>
                </a:r>
                <a:r>
                  <a:rPr lang="it-IT" baseline="0"/>
                  <a:t> new case</a:t>
                </a:r>
                <a:r>
                  <a:rPr lang="it-IT"/>
                  <a:t>s per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0" i="0" baseline="0">
                <a:effectLst/>
              </a:rPr>
              <a:t>Italy - growth rates and dubling time - Lognormal fit</a:t>
            </a:r>
            <a:endParaRPr lang="it-IT">
              <a:effectLst/>
            </a:endParaRPr>
          </a:p>
          <a:p>
            <a:pPr>
              <a:defRPr/>
            </a:pPr>
            <a:r>
              <a:rPr lang="it-IT" sz="1800" b="0" i="0" baseline="0">
                <a:solidFill>
                  <a:srgbClr val="0070C0"/>
                </a:solidFill>
                <a:effectLst/>
              </a:rPr>
              <a:t>Italy</a:t>
            </a:r>
            <a:r>
              <a:rPr lang="it-IT" sz="1800" b="0" i="0" baseline="0">
                <a:effectLst/>
              </a:rPr>
              <a:t> </a:t>
            </a:r>
            <a:r>
              <a:rPr lang="it-IT" sz="1800" b="0" i="0" baseline="0">
                <a:solidFill>
                  <a:srgbClr val="FF0000"/>
                </a:solidFill>
                <a:effectLst/>
              </a:rPr>
              <a:t>Lombardy</a:t>
            </a:r>
            <a:r>
              <a:rPr lang="it-IT" sz="1800" b="0" i="0" baseline="0">
                <a:effectLst/>
              </a:rPr>
              <a:t> and </a:t>
            </a:r>
            <a:r>
              <a:rPr lang="it-IT" sz="1800" b="0" i="0" baseline="0">
                <a:solidFill>
                  <a:srgbClr val="00B050"/>
                </a:solidFill>
                <a:effectLst/>
              </a:rPr>
              <a:t>rest of Italy</a:t>
            </a:r>
            <a:endParaRPr lang="it-IT">
              <a:solidFill>
                <a:srgbClr val="00B050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3"/>
          <c:tx>
            <c:strRef>
              <c:f>'New_cases_rates - LNorm'!$P$7</c:f>
              <c:strCache>
                <c:ptCount val="1"/>
                <c:pt idx="0">
                  <c:v>Italy g.r.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LNorm'!$C$62:$C$130</c:f>
              <c:numCache>
                <c:formatCode>General</c:formatCode>
                <c:ptCount val="69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</c:numCache>
            </c:numRef>
          </c:xVal>
          <c:yVal>
            <c:numRef>
              <c:f>'New_cases_rates - LNorm'!$P$62:$P$130</c:f>
              <c:numCache>
                <c:formatCode>0%</c:formatCode>
                <c:ptCount val="69"/>
                <c:pt idx="0">
                  <c:v>0.47315757671086783</c:v>
                </c:pt>
                <c:pt idx="1">
                  <c:v>0.43730751355259367</c:v>
                </c:pt>
                <c:pt idx="2">
                  <c:v>0.40497081481079061</c:v>
                </c:pt>
                <c:pt idx="3">
                  <c:v>0.3757002053944461</c:v>
                </c:pt>
                <c:pt idx="4">
                  <c:v>0.34911883272957372</c:v>
                </c:pt>
                <c:pt idx="5">
                  <c:v>0.32490717175889727</c:v>
                </c:pt>
                <c:pt idx="6">
                  <c:v>0.30279271643542499</c:v>
                </c:pt>
                <c:pt idx="7">
                  <c:v>0.2825417943600414</c:v>
                </c:pt>
                <c:pt idx="8">
                  <c:v>0.26395301489343664</c:v>
                </c:pt>
                <c:pt idx="9">
                  <c:v>0.24685198539426745</c:v>
                </c:pt>
                <c:pt idx="10">
                  <c:v>0.23108702026630748</c:v>
                </c:pt>
                <c:pt idx="11">
                  <c:v>0.21652563340600886</c:v>
                </c:pt>
                <c:pt idx="12">
                  <c:v>0.20305165338215417</c:v>
                </c:pt>
                <c:pt idx="13">
                  <c:v>0.19056283706658655</c:v>
                </c:pt>
                <c:pt idx="14">
                  <c:v>0.17896888484266238</c:v>
                </c:pt>
                <c:pt idx="15">
                  <c:v>0.16818978133545573</c:v>
                </c:pt>
                <c:pt idx="16">
                  <c:v>0.15815440154444091</c:v>
                </c:pt>
                <c:pt idx="17">
                  <c:v>0.14879933455072766</c:v>
                </c:pt>
                <c:pt idx="18">
                  <c:v>0.14006788651752328</c:v>
                </c:pt>
                <c:pt idx="19">
                  <c:v>0.13190923216675851</c:v>
                </c:pt>
                <c:pt idx="20">
                  <c:v>0.12427768978784372</c:v>
                </c:pt>
                <c:pt idx="21">
                  <c:v>0.11713209948326105</c:v>
                </c:pt>
                <c:pt idx="22">
                  <c:v>0.1104352880563684</c:v>
                </c:pt>
                <c:pt idx="23">
                  <c:v>0.10415360690872605</c:v>
                </c:pt>
                <c:pt idx="24">
                  <c:v>9.8256531697189217E-2</c:v>
                </c:pt>
                <c:pt idx="25">
                  <c:v>9.2716314427582797E-2</c:v>
                </c:pt>
                <c:pt idx="26">
                  <c:v>8.7507680226716011E-2</c:v>
                </c:pt>
                <c:pt idx="27">
                  <c:v>8.2607562311422911E-2</c:v>
                </c:pt>
                <c:pt idx="28">
                  <c:v>7.7994869719700016E-2</c:v>
                </c:pt>
                <c:pt idx="29">
                  <c:v>7.3650283230040609E-2</c:v>
                </c:pt>
                <c:pt idx="30">
                  <c:v>6.9556075606339487E-2</c:v>
                </c:pt>
                <c:pt idx="31">
                  <c:v>6.5695952895561738E-2</c:v>
                </c:pt>
                <c:pt idx="32">
                  <c:v>6.2054913996231045E-2</c:v>
                </c:pt>
                <c:pt idx="33">
                  <c:v>5.8619126125736866E-2</c:v>
                </c:pt>
                <c:pt idx="34">
                  <c:v>5.5375814157965469E-2</c:v>
                </c:pt>
                <c:pt idx="35">
                  <c:v>5.2313162091537954E-2</c:v>
                </c:pt>
                <c:pt idx="36">
                  <c:v>4.942022515243643E-2</c:v>
                </c:pt>
                <c:pt idx="37">
                  <c:v>4.6686851240761183E-2</c:v>
                </c:pt>
                <c:pt idx="38">
                  <c:v>4.4103610606055575E-2</c:v>
                </c:pt>
                <c:pt idx="39">
                  <c:v>4.1661732784227003E-2</c:v>
                </c:pt>
                <c:pt idx="40">
                  <c:v>3.9353049955822554E-2</c:v>
                </c:pt>
                <c:pt idx="41">
                  <c:v>3.7169945993789463E-2</c:v>
                </c:pt>
                <c:pt idx="42">
                  <c:v>3.5105310561744679E-2</c:v>
                </c:pt>
                <c:pt idx="43">
                  <c:v>3.3152497703616321E-2</c:v>
                </c:pt>
                <c:pt idx="44">
                  <c:v>3.1305288434289071E-2</c:v>
                </c:pt>
                <c:pt idx="45">
                  <c:v>2.95578569002653E-2</c:v>
                </c:pt>
                <c:pt idx="46">
                  <c:v>2.790473973074319E-2</c:v>
                </c:pt>
                <c:pt idx="47">
                  <c:v>2.6340808244084312E-2</c:v>
                </c:pt>
                <c:pt idx="48">
                  <c:v>2.486124321339047E-2</c:v>
                </c:pt>
                <c:pt idx="49">
                  <c:v>2.3461511928663276E-2</c:v>
                </c:pt>
                <c:pt idx="50">
                  <c:v>2.2137347322492576E-2</c:v>
                </c:pt>
                <c:pt idx="51">
                  <c:v>2.0884728952006645E-2</c:v>
                </c:pt>
                <c:pt idx="52">
                  <c:v>1.9699865652425954E-2</c:v>
                </c:pt>
                <c:pt idx="53">
                  <c:v>1.8579179697435048E-2</c:v>
                </c:pt>
                <c:pt idx="54">
                  <c:v>1.7519292319081115E-2</c:v>
                </c:pt>
                <c:pt idx="55">
                  <c:v>1.6517010455351554E-2</c:v>
                </c:pt>
                <c:pt idx="56">
                  <c:v>1.5569314607238267E-2</c:v>
                </c:pt>
                <c:pt idx="57">
                  <c:v>1.4673347699201464E-2</c:v>
                </c:pt>
                <c:pt idx="58">
                  <c:v>1.3826404847693574E-2</c:v>
                </c:pt>
                <c:pt idx="59">
                  <c:v>1.3025923951973562E-2</c:v>
                </c:pt>
                <c:pt idx="60">
                  <c:v>1.2269477029972782E-2</c:v>
                </c:pt>
                <c:pt idx="61">
                  <c:v>1.1554762229600604E-2</c:v>
                </c:pt>
                <c:pt idx="62">
                  <c:v>1.0879596452702837E-2</c:v>
                </c:pt>
                <c:pt idx="63">
                  <c:v>1.0241908535012417E-2</c:v>
                </c:pt>
                <c:pt idx="64">
                  <c:v>9.6397329309328185E-3</c:v>
                </c:pt>
                <c:pt idx="65">
                  <c:v>9.0712038569491869E-3</c:v>
                </c:pt>
                <c:pt idx="66">
                  <c:v>8.5345498519257892E-3</c:v>
                </c:pt>
                <c:pt idx="67">
                  <c:v>8.0280887165793506E-3</c:v>
                </c:pt>
                <c:pt idx="68">
                  <c:v>7.5502227980584653E-3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3A9-42FF-9A8C-8F9F7969DD5C}"/>
            </c:ext>
          </c:extLst>
        </c:ser>
        <c:ser>
          <c:idx val="4"/>
          <c:order val="4"/>
          <c:tx>
            <c:strRef>
              <c:f>'New_cases_rates - LNorm'!$AO$7</c:f>
              <c:strCache>
                <c:ptCount val="1"/>
                <c:pt idx="0">
                  <c:v>Lombardy g.r.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LNorm'!$C$63:$C$130</c:f>
              <c:numCache>
                <c:formatCode>General</c:formatCode>
                <c:ptCount val="68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</c:numCache>
            </c:numRef>
          </c:xVal>
          <c:yVal>
            <c:numRef>
              <c:f>'New_cases_rates - LNorm'!$AO$63:$AO$130</c:f>
              <c:numCache>
                <c:formatCode>0%</c:formatCode>
                <c:ptCount val="68"/>
                <c:pt idx="0">
                  <c:v>0.35289468264905571</c:v>
                </c:pt>
                <c:pt idx="1">
                  <c:v>0.3270787923247464</c:v>
                </c:pt>
                <c:pt idx="2">
                  <c:v>0.30369337463318974</c:v>
                </c:pt>
                <c:pt idx="3">
                  <c:v>0.28244222863411134</c:v>
                </c:pt>
                <c:pt idx="4">
                  <c:v>0.26307380925042234</c:v>
                </c:pt>
                <c:pt idx="5">
                  <c:v>0.24537326709096341</c:v>
                </c:pt>
                <c:pt idx="6">
                  <c:v>0.22915611382482493</c:v>
                </c:pt>
                <c:pt idx="7">
                  <c:v>0.21426314131436699</c:v>
                </c:pt>
                <c:pt idx="8">
                  <c:v>0.20055631634398277</c:v>
                </c:pt>
                <c:pt idx="9">
                  <c:v>0.18791544078999148</c:v>
                </c:pt>
                <c:pt idx="10">
                  <c:v>0.17623541700307194</c:v>
                </c:pt>
                <c:pt idx="11">
                  <c:v>0.16542399519227738</c:v>
                </c:pt>
                <c:pt idx="12">
                  <c:v>0.15539990730309677</c:v>
                </c:pt>
                <c:pt idx="13">
                  <c:v>0.14609131279691001</c:v>
                </c:pt>
                <c:pt idx="14">
                  <c:v>0.13743449765935739</c:v>
                </c:pt>
                <c:pt idx="15">
                  <c:v>0.1293727801776853</c:v>
                </c:pt>
                <c:pt idx="16">
                  <c:v>0.12185558646431192</c:v>
                </c:pt>
                <c:pt idx="17">
                  <c:v>0.11483766604698344</c:v>
                </c:pt>
                <c:pt idx="18">
                  <c:v>0.10827842359721744</c:v>
                </c:pt>
                <c:pt idx="19">
                  <c:v>0.10214134740135478</c:v>
                </c:pt>
                <c:pt idx="20">
                  <c:v>9.6393518771884748E-2</c:v>
                </c:pt>
                <c:pt idx="21">
                  <c:v>9.1005189461424538E-2</c:v>
                </c:pt>
                <c:pt idx="22">
                  <c:v>8.5949416437812523E-2</c:v>
                </c:pt>
                <c:pt idx="23">
                  <c:v>8.120174522848092E-2</c:v>
                </c:pt>
                <c:pt idx="24">
                  <c:v>7.6739934539658078E-2</c:v>
                </c:pt>
                <c:pt idx="25">
                  <c:v>7.2543716073749015E-2</c:v>
                </c:pt>
                <c:pt idx="26">
                  <c:v>6.8594584463072525E-2</c:v>
                </c:pt>
                <c:pt idx="27">
                  <c:v>6.4875613054290418E-2</c:v>
                </c:pt>
                <c:pt idx="28">
                  <c:v>6.1371291950147726E-2</c:v>
                </c:pt>
                <c:pt idx="29">
                  <c:v>5.8067385271109433E-2</c:v>
                </c:pt>
                <c:pt idx="30">
                  <c:v>5.4950805060957765E-2</c:v>
                </c:pt>
                <c:pt idx="31">
                  <c:v>5.2009499644861706E-2</c:v>
                </c:pt>
                <c:pt idx="32">
                  <c:v>4.9232354569802628E-2</c:v>
                </c:pt>
                <c:pt idx="33">
                  <c:v>4.6609104526795092E-2</c:v>
                </c:pt>
                <c:pt idx="34">
                  <c:v>4.4130254881150598E-2</c:v>
                </c:pt>
                <c:pt idx="35">
                  <c:v>4.1787011628470039E-2</c:v>
                </c:pt>
                <c:pt idx="36">
                  <c:v>3.9571218756117826E-2</c:v>
                </c:pt>
                <c:pt idx="37">
                  <c:v>3.7475302127522571E-2</c:v>
                </c:pt>
                <c:pt idx="38">
                  <c:v>3.54922191237989E-2</c:v>
                </c:pt>
                <c:pt idx="39">
                  <c:v>3.3615413377186557E-2</c:v>
                </c:pt>
                <c:pt idx="40">
                  <c:v>3.1838774016399084E-2</c:v>
                </c:pt>
                <c:pt idx="41">
                  <c:v>3.0156598917424442E-2</c:v>
                </c:pt>
                <c:pt idx="42">
                  <c:v>2.8563561516494255E-2</c:v>
                </c:pt>
                <c:pt idx="43">
                  <c:v>2.7054680796421336E-2</c:v>
                </c:pt>
                <c:pt idx="44">
                  <c:v>2.562529410458099E-2</c:v>
                </c:pt>
                <c:pt idx="45">
                  <c:v>2.42710325015996E-2</c:v>
                </c:pt>
                <c:pt idx="46">
                  <c:v>2.2987798375218534E-2</c:v>
                </c:pt>
                <c:pt idx="47">
                  <c:v>2.1771745084603968E-2</c:v>
                </c:pt>
                <c:pt idx="48">
                  <c:v>2.0619258427231873E-2</c:v>
                </c:pt>
                <c:pt idx="49">
                  <c:v>1.9526939743939663E-2</c:v>
                </c:pt>
                <c:pt idx="50">
                  <c:v>1.8491590498276943E-2</c:v>
                </c:pt>
                <c:pt idx="51">
                  <c:v>1.7510198184306623E-2</c:v>
                </c:pt>
                <c:pt idx="52">
                  <c:v>1.657992343284026E-2</c:v>
                </c:pt>
                <c:pt idx="53">
                  <c:v>1.5698088200039234E-2</c:v>
                </c:pt>
                <c:pt idx="54">
                  <c:v>1.4862164934611396E-2</c:v>
                </c:pt>
                <c:pt idx="55">
                  <c:v>1.4069766630706023E-2</c:v>
                </c:pt>
                <c:pt idx="56">
                  <c:v>1.3318637683235317E-2</c:v>
                </c:pt>
                <c:pt idx="57">
                  <c:v>1.2606645470889112E-2</c:v>
                </c:pt>
                <c:pt idx="58">
                  <c:v>1.1931772599692516E-2</c:v>
                </c:pt>
                <c:pt idx="59">
                  <c:v>1.1292109746707685E-2</c:v>
                </c:pt>
                <c:pt idx="60">
                  <c:v>1.068584904949584E-2</c:v>
                </c:pt>
                <c:pt idx="61">
                  <c:v>1.0111277992326795E-2</c:v>
                </c:pt>
                <c:pt idx="62">
                  <c:v>9.5667737449239686E-3</c:v>
                </c:pt>
                <c:pt idx="63">
                  <c:v>9.0507979138310206E-3</c:v>
                </c:pt>
                <c:pt idx="64">
                  <c:v>8.5618916703399071E-3</c:v>
                </c:pt>
                <c:pt idx="65">
                  <c:v>8.0986712223774706E-3</c:v>
                </c:pt>
                <c:pt idx="66">
                  <c:v>7.6598236008559688E-3</c:v>
                </c:pt>
                <c:pt idx="67">
                  <c:v>7.2441027337891966E-3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3A9-42FF-9A8C-8F9F7969DD5C}"/>
            </c:ext>
          </c:extLst>
        </c:ser>
        <c:ser>
          <c:idx val="5"/>
          <c:order val="5"/>
          <c:tx>
            <c:strRef>
              <c:f>'New_cases_rates - LNorm'!$BJ$7</c:f>
              <c:strCache>
                <c:ptCount val="1"/>
                <c:pt idx="0">
                  <c:v>rest of Italy g.r.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LNorm'!$C$63:$C$130</c:f>
              <c:numCache>
                <c:formatCode>General</c:formatCode>
                <c:ptCount val="68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</c:numCache>
            </c:numRef>
          </c:xVal>
          <c:yVal>
            <c:numRef>
              <c:f>'New_cases_rates - LNorm'!$BJ$63:$BJ$130</c:f>
              <c:numCache>
                <c:formatCode>0%</c:formatCode>
                <c:ptCount val="68"/>
                <c:pt idx="0">
                  <c:v>0.64623059731343746</c:v>
                </c:pt>
                <c:pt idx="1">
                  <c:v>0.5875383464578201</c:v>
                </c:pt>
                <c:pt idx="2">
                  <c:v>0.5359417988058327</c:v>
                </c:pt>
                <c:pt idx="3">
                  <c:v>0.49032436549777869</c:v>
                </c:pt>
                <c:pt idx="4">
                  <c:v>0.44978532820055289</c:v>
                </c:pt>
                <c:pt idx="5">
                  <c:v>0.41359088357587548</c:v>
                </c:pt>
                <c:pt idx="6">
                  <c:v>0.38113780799085417</c:v>
                </c:pt>
                <c:pt idx="7">
                  <c:v>0.35192612632186826</c:v>
                </c:pt>
                <c:pt idx="8">
                  <c:v>0.32553830130170636</c:v>
                </c:pt>
                <c:pt idx="9">
                  <c:v>0.30162320964408512</c:v>
                </c:pt>
                <c:pt idx="10">
                  <c:v>0.27988367637905137</c:v>
                </c:pt>
                <c:pt idx="11">
                  <c:v>0.26006668478484946</c:v>
                </c:pt>
                <c:pt idx="12">
                  <c:v>0.24195561975646504</c:v>
                </c:pt>
                <c:pt idx="13">
                  <c:v>0.22536407189177263</c:v>
                </c:pt>
                <c:pt idx="14">
                  <c:v>0.21013085050474101</c:v>
                </c:pt>
                <c:pt idx="15">
                  <c:v>0.19611594110699512</c:v>
                </c:pt>
                <c:pt idx="16">
                  <c:v>0.1831972066661017</c:v>
                </c:pt>
                <c:pt idx="17">
                  <c:v>0.17126767899074108</c:v>
                </c:pt>
                <c:pt idx="18">
                  <c:v>0.16023332163156281</c:v>
                </c:pt>
                <c:pt idx="19">
                  <c:v>0.15001117202123257</c:v>
                </c:pt>
                <c:pt idx="20">
                  <c:v>0.14052779053851441</c:v>
                </c:pt>
                <c:pt idx="21">
                  <c:v>0.13171795943294887</c:v>
                </c:pt>
                <c:pt idx="22">
                  <c:v>0.12352358628794134</c:v>
                </c:pt>
                <c:pt idx="23">
                  <c:v>0.11589277580342515</c:v>
                </c:pt>
                <c:pt idx="24">
                  <c:v>0.10877904078500635</c:v>
                </c:pt>
                <c:pt idx="25">
                  <c:v>0.10214062880847133</c:v>
                </c:pt>
                <c:pt idx="26">
                  <c:v>9.5939945440125921E-2</c:v>
                </c:pt>
                <c:pt idx="27">
                  <c:v>9.0143058400144582E-2</c:v>
                </c:pt>
                <c:pt idx="28">
                  <c:v>8.471926985883052E-2</c:v>
                </c:pt>
                <c:pt idx="29">
                  <c:v>7.964074630746297E-2</c:v>
                </c:pt>
                <c:pt idx="30">
                  <c:v>7.4882197263546099E-2</c:v>
                </c:pt>
                <c:pt idx="31">
                  <c:v>7.0420595545268305E-2</c:v>
                </c:pt>
                <c:pt idx="32">
                  <c:v>6.6234933052021217E-2</c:v>
                </c:pt>
                <c:pt idx="33">
                  <c:v>6.230600697168992E-2</c:v>
                </c:pt>
                <c:pt idx="34">
                  <c:v>5.8616232144055244E-2</c:v>
                </c:pt>
                <c:pt idx="35">
                  <c:v>5.5149475976899141E-2</c:v>
                </c:pt>
                <c:pt idx="36">
                  <c:v>5.1890912864106908E-2</c:v>
                </c:pt>
                <c:pt idx="37">
                  <c:v>4.8826895514551022E-2</c:v>
                </c:pt>
                <c:pt idx="38">
                  <c:v>4.594484098389124E-2</c:v>
                </c:pt>
                <c:pt idx="39">
                  <c:v>4.3233129522337467E-2</c:v>
                </c:pt>
                <c:pt idx="40">
                  <c:v>4.0681014620939662E-2</c:v>
                </c:pt>
                <c:pt idx="41">
                  <c:v>3.8278542866045817E-2</c:v>
                </c:pt>
                <c:pt idx="42">
                  <c:v>3.601648240345881E-2</c:v>
                </c:pt>
                <c:pt idx="43">
                  <c:v>3.3886258976474182E-2</c:v>
                </c:pt>
                <c:pt idx="44">
                  <c:v>3.1879898640223898E-2</c:v>
                </c:pt>
                <c:pt idx="45">
                  <c:v>2.9989976372600965E-2</c:v>
                </c:pt>
                <c:pt idx="46">
                  <c:v>2.8209569902746184E-2</c:v>
                </c:pt>
                <c:pt idx="47">
                  <c:v>2.6532218164403258E-2</c:v>
                </c:pt>
                <c:pt idx="48">
                  <c:v>2.4951883855594579E-2</c:v>
                </c:pt>
                <c:pt idx="49">
                  <c:v>2.3462919649960209E-2</c:v>
                </c:pt>
                <c:pt idx="50">
                  <c:v>2.2060037660260108E-2</c:v>
                </c:pt>
                <c:pt idx="51">
                  <c:v>2.0738281802298801E-2</c:v>
                </c:pt>
                <c:pt idx="52">
                  <c:v>1.9493002748973764E-2</c:v>
                </c:pt>
                <c:pt idx="53">
                  <c:v>1.8319835200202621E-2</c:v>
                </c:pt>
                <c:pt idx="54">
                  <c:v>1.721467722592122E-2</c:v>
                </c:pt>
                <c:pt idx="55">
                  <c:v>1.6173671466824899E-2</c:v>
                </c:pt>
                <c:pt idx="56">
                  <c:v>1.5193188001598934E-2</c:v>
                </c:pt>
                <c:pt idx="57">
                  <c:v>1.4269808710523038E-2</c:v>
                </c:pt>
                <c:pt idx="58">
                  <c:v>1.3400312983940756E-2</c:v>
                </c:pt>
                <c:pt idx="59">
                  <c:v>1.2581664640491198E-2</c:v>
                </c:pt>
                <c:pt idx="60">
                  <c:v>1.1810999934505507E-2</c:v>
                </c:pt>
                <c:pt idx="61">
                  <c:v>1.1085616544812578E-2</c:v>
                </c:pt>
                <c:pt idx="62">
                  <c:v>1.0402963448596977E-2</c:v>
                </c:pt>
                <c:pt idx="63">
                  <c:v>9.7606315940833768E-3</c:v>
                </c:pt>
                <c:pt idx="64">
                  <c:v>9.1563452948430941E-3</c:v>
                </c:pt>
                <c:pt idx="65">
                  <c:v>8.5879542765640981E-3</c:v>
                </c:pt>
                <c:pt idx="66">
                  <c:v>8.053426314311227E-3</c:v>
                </c:pt>
                <c:pt idx="67">
                  <c:v>7.5508404047279314E-3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3A9-42FF-9A8C-8F9F7969D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018128"/>
        <c:axId val="952020688"/>
      </c:scatterChart>
      <c:scatterChart>
        <c:scatterStyle val="smoothMarker"/>
        <c:varyColors val="0"/>
        <c:ser>
          <c:idx val="0"/>
          <c:order val="0"/>
          <c:tx>
            <c:strRef>
              <c:f>'New_cases_rates - LNorm'!$I$7</c:f>
              <c:strCache>
                <c:ptCount val="1"/>
                <c:pt idx="0">
                  <c:v>Italy d.t.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'New_cases_rates - LNorm'!$C$62:$C$101</c:f>
              <c:numCache>
                <c:formatCode>General</c:formatCode>
                <c:ptCount val="4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</c:numCache>
            </c:numRef>
          </c:xVal>
          <c:yVal>
            <c:numRef>
              <c:f>'New_cases_rates - LNorm'!$I$62:$I$101</c:f>
              <c:numCache>
                <c:formatCode>General</c:formatCode>
                <c:ptCount val="40"/>
                <c:pt idx="0">
                  <c:v>1.5565821807200138</c:v>
                </c:pt>
                <c:pt idx="1">
                  <c:v>1.6900101428250203</c:v>
                </c:pt>
                <c:pt idx="2">
                  <c:v>1.8316110471558851</c:v>
                </c:pt>
                <c:pt idx="3">
                  <c:v>1.9819145703047489</c:v>
                </c:pt>
                <c:pt idx="4">
                  <c:v>2.1414995161106027</c:v>
                </c:pt>
                <c:pt idx="5">
                  <c:v>2.3109993717968287</c:v>
                </c:pt>
                <c:pt idx="6">
                  <c:v>2.4911087000320045</c:v>
                </c:pt>
                <c:pt idx="7">
                  <c:v>2.682590515791702</c:v>
                </c:pt>
                <c:pt idx="8">
                  <c:v>2.8862848301690747</c:v>
                </c:pt>
                <c:pt idx="9">
                  <c:v>3.1031185850447685</c:v>
                </c:pt>
                <c:pt idx="10">
                  <c:v>3.3341172553798941</c:v>
                </c:pt>
                <c:pt idx="11">
                  <c:v>3.5804184633240794</c:v>
                </c:pt>
                <c:pt idx="12">
                  <c:v>3.8432880350713958</c:v>
                </c:pt>
                <c:pt idx="13">
                  <c:v>4.1241390439450072</c:v>
                </c:pt>
                <c:pt idx="14">
                  <c:v>4.4245545305575718</c:v>
                </c:pt>
                <c:pt idx="15">
                  <c:v>4.7463147857228805</c:v>
                </c:pt>
                <c:pt idx="16">
                  <c:v>5.0914303420363183</c:v>
                </c:pt>
                <c:pt idx="17">
                  <c:v>5.4621821715318006</c:v>
                </c:pt>
                <c:pt idx="18">
                  <c:v>5.8611710672516253</c:v>
                </c:pt>
                <c:pt idx="19">
                  <c:v>6.2913788517644207</c:v>
                </c:pt>
                <c:pt idx="20">
                  <c:v>6.7562449897055359</c:v>
                </c:pt>
                <c:pt idx="21">
                  <c:v>7.2597635131701637</c:v>
                </c:pt>
                <c:pt idx="22">
                  <c:v>7.8066070996822177</c:v>
                </c:pt>
                <c:pt idx="23">
                  <c:v>8.4022879941550315</c:v>
                </c:pt>
                <c:pt idx="24">
                  <c:v>9.0533697646141178</c:v>
                </c:pt>
                <c:pt idx="25">
                  <c:v>9.7677505090125507</c:v>
                </c:pt>
                <c:pt idx="26">
                  <c:v>10.555048612149136</c:v>
                </c:pt>
                <c:pt idx="27">
                  <c:v>11.42713921008523</c:v>
                </c:pt>
                <c:pt idx="28">
                  <c:v>12.398918198967067</c:v>
                </c:pt>
                <c:pt idx="29">
                  <c:v>13.489420676170361</c:v>
                </c:pt>
                <c:pt idx="30">
                  <c:v>14.723511914199371</c:v>
                </c:pt>
                <c:pt idx="31">
                  <c:v>16.134543868658803</c:v>
                </c:pt>
                <c:pt idx="32">
                  <c:v>17.768726602768304</c:v>
                </c:pt>
                <c:pt idx="33">
                  <c:v>19.692745948218437</c:v>
                </c:pt>
                <c:pt idx="34">
                  <c:v>22.008040500817835</c:v>
                </c:pt>
                <c:pt idx="35">
                  <c:v>24.880254110019045</c:v>
                </c:pt>
                <c:pt idx="36">
                  <c:v>28.608651405796714</c:v>
                </c:pt>
                <c:pt idx="37">
                  <c:v>33.826035309187809</c:v>
                </c:pt>
                <c:pt idx="38">
                  <c:v>42.315934640486383</c:v>
                </c:pt>
                <c:pt idx="39">
                  <c:v>65.767037885738716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A9-42FF-9A8C-8F9F7969DD5C}"/>
            </c:ext>
          </c:extLst>
        </c:ser>
        <c:ser>
          <c:idx val="1"/>
          <c:order val="1"/>
          <c:tx>
            <c:strRef>
              <c:f>'New_cases_rates - LNorm'!$AL$7</c:f>
              <c:strCache>
                <c:ptCount val="1"/>
                <c:pt idx="0">
                  <c:v>Lombardy d.t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rgbClr val="00B050">
                    <a:alpha val="99000"/>
                  </a:srgbClr>
                </a:solidFill>
              </a:ln>
              <a:effectLst/>
            </c:spPr>
          </c:marker>
          <c:xVal>
            <c:numRef>
              <c:f>'New_cases_rates - LNorm'!$C$62:$C$99</c:f>
              <c:numCache>
                <c:formatCode>General</c:formatCode>
                <c:ptCount val="38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</c:numCache>
            </c:numRef>
          </c:xVal>
          <c:yVal>
            <c:numRef>
              <c:f>'New_cases_rates - LNorm'!$AL$62:$AL$99</c:f>
              <c:numCache>
                <c:formatCode>General</c:formatCode>
                <c:ptCount val="38"/>
                <c:pt idx="0">
                  <c:v>1.9585803411095704</c:v>
                </c:pt>
                <c:pt idx="1">
                  <c:v>2.1263016705482691</c:v>
                </c:pt>
                <c:pt idx="2">
                  <c:v>2.3044162402813448</c:v>
                </c:pt>
                <c:pt idx="3">
                  <c:v>2.4936128779493636</c:v>
                </c:pt>
                <c:pt idx="4">
                  <c:v>2.6946459127522857</c:v>
                </c:pt>
                <c:pt idx="5">
                  <c:v>2.9083429191150714</c:v>
                </c:pt>
                <c:pt idx="6">
                  <c:v>3.1356136792830149</c:v>
                </c:pt>
                <c:pt idx="7">
                  <c:v>3.3774605947578813</c:v>
                </c:pt>
                <c:pt idx="8">
                  <c:v>3.6349908304177951</c:v>
                </c:pt>
                <c:pt idx="9">
                  <c:v>3.9094305437078773</c:v>
                </c:pt>
                <c:pt idx="10">
                  <c:v>4.202141639148941</c:v>
                </c:pt>
                <c:pt idx="11">
                  <c:v>4.5146416020071101</c:v>
                </c:pt>
                <c:pt idx="12">
                  <c:v>4.8486271131660743</c:v>
                </c:pt>
                <c:pt idx="13">
                  <c:v>5.2060023424234387</c:v>
                </c:pt>
                <c:pt idx="14">
                  <c:v>5.5889130770940909</c:v>
                </c:pt>
                <c:pt idx="15">
                  <c:v>5.9997881919861697</c:v>
                </c:pt>
                <c:pt idx="16">
                  <c:v>6.4413904418615999</c:v>
                </c:pt>
                <c:pt idx="17">
                  <c:v>6.9168792118976725</c:v>
                </c:pt>
                <c:pt idx="18">
                  <c:v>7.4298887754686476</c:v>
                </c:pt>
                <c:pt idx="19">
                  <c:v>7.9846269035611996</c:v>
                </c:pt>
                <c:pt idx="20">
                  <c:v>8.5860005352132518</c:v>
                </c:pt>
                <c:pt idx="21">
                  <c:v>9.2397779525181605</c:v>
                </c:pt>
                <c:pt idx="22">
                  <c:v>9.9528009911198438</c:v>
                </c:pt>
                <c:pt idx="23">
                  <c:v>10.733267061569258</c:v>
                </c:pt>
                <c:pt idx="24">
                  <c:v>11.591110530717224</c:v>
                </c:pt>
                <c:pt idx="25">
                  <c:v>12.538528732472578</c:v>
                </c:pt>
                <c:pt idx="26">
                  <c:v>13.590723953151617</c:v>
                </c:pt>
                <c:pt idx="27">
                  <c:v>14.766977540909892</c:v>
                </c:pt>
                <c:pt idx="28">
                  <c:v>16.092252467244421</c:v>
                </c:pt>
                <c:pt idx="29">
                  <c:v>17.599671131563994</c:v>
                </c:pt>
                <c:pt idx="30">
                  <c:v>19.33451392052477</c:v>
                </c:pt>
                <c:pt idx="31">
                  <c:v>21.36101882592969</c:v>
                </c:pt>
                <c:pt idx="32">
                  <c:v>23.774729533513465</c:v>
                </c:pt>
                <c:pt idx="33">
                  <c:v>26.726912334079998</c:v>
                </c:pt>
                <c:pt idx="34">
                  <c:v>30.478740815269546</c:v>
                </c:pt>
                <c:pt idx="35">
                  <c:v>35.543386013479832</c:v>
                </c:pt>
                <c:pt idx="36">
                  <c:v>43.174187218562636</c:v>
                </c:pt>
                <c:pt idx="37">
                  <c:v>58.307140641134268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3A9-42FF-9A8C-8F9F7969DD5C}"/>
            </c:ext>
          </c:extLst>
        </c:ser>
        <c:ser>
          <c:idx val="2"/>
          <c:order val="2"/>
          <c:tx>
            <c:strRef>
              <c:f>'New_cases_rates - LNorm'!$BG$7</c:f>
              <c:strCache>
                <c:ptCount val="1"/>
                <c:pt idx="0">
                  <c:v>rest of Italy d.t.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'New_cases_rates - LNorm'!$C$62:$C$101</c:f>
              <c:numCache>
                <c:formatCode>General</c:formatCode>
                <c:ptCount val="4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</c:numCache>
            </c:numRef>
          </c:xVal>
          <c:yVal>
            <c:numRef>
              <c:f>'New_cases_rates - LNorm'!$BG$62:$BG$101</c:f>
              <c:numCache>
                <c:formatCode>General</c:formatCode>
                <c:ptCount val="40"/>
                <c:pt idx="0">
                  <c:v>1.0218391596502805</c:v>
                </c:pt>
                <c:pt idx="1">
                  <c:v>1.13170405971265</c:v>
                </c:pt>
                <c:pt idx="2">
                  <c:v>1.2489716615944069</c:v>
                </c:pt>
                <c:pt idx="3">
                  <c:v>1.3741064128278317</c:v>
                </c:pt>
                <c:pt idx="4">
                  <c:v>1.5076174862893517</c:v>
                </c:pt>
                <c:pt idx="5">
                  <c:v>1.6500635045572594</c:v>
                </c:pt>
                <c:pt idx="6">
                  <c:v>1.8020580121810745</c:v>
                </c:pt>
                <c:pt idx="7">
                  <c:v>1.9642758151927531</c:v>
                </c:pt>
                <c:pt idx="8">
                  <c:v>2.1374603361735929</c:v>
                </c:pt>
                <c:pt idx="9">
                  <c:v>2.3224321686080316</c:v>
                </c:pt>
                <c:pt idx="10">
                  <c:v>2.5200990582817298</c:v>
                </c:pt>
                <c:pt idx="11">
                  <c:v>2.7314675949398151</c:v>
                </c:pt>
                <c:pt idx="12">
                  <c:v>2.9576569680619542</c:v>
                </c:pt>
                <c:pt idx="13">
                  <c:v>3.1999152315051376</c:v>
                </c:pt>
                <c:pt idx="14">
                  <c:v>3.4596386398690271</c:v>
                </c:pt>
                <c:pt idx="15">
                  <c:v>3.7383947744129458</c:v>
                </c:pt>
                <c:pt idx="16">
                  <c:v>4.0379503817983462</c:v>
                </c:pt>
                <c:pt idx="17">
                  <c:v>4.3603051242150386</c:v>
                </c:pt>
                <c:pt idx="18">
                  <c:v>4.7077328125698372</c:v>
                </c:pt>
                <c:pt idx="19">
                  <c:v>5.08283220639251</c:v>
                </c:pt>
                <c:pt idx="20">
                  <c:v>5.4885901760191018</c:v>
                </c:pt>
                <c:pt idx="21">
                  <c:v>5.9284610269048201</c:v>
                </c:pt>
                <c:pt idx="22">
                  <c:v>6.4064672251588632</c:v>
                </c:pt>
                <c:pt idx="23">
                  <c:v>6.9273288618755302</c:v>
                </c:pt>
                <c:pt idx="24">
                  <c:v>7.4966323122490337</c:v>
                </c:pt>
                <c:pt idx="25">
                  <c:v>8.121053278192349</c:v>
                </c:pt>
                <c:pt idx="26">
                  <c:v>8.808656756494436</c:v>
                </c:pt>
                <c:pt idx="27">
                  <c:v>9.5693082042581068</c:v>
                </c:pt>
                <c:pt idx="28">
                  <c:v>10.415249449034846</c:v>
                </c:pt>
                <c:pt idx="29">
                  <c:v>11.361925659387857</c:v>
                </c:pt>
                <c:pt idx="30">
                  <c:v>12.429207613467682</c:v>
                </c:pt>
                <c:pt idx="31">
                  <c:v>13.64326064508996</c:v>
                </c:pt>
                <c:pt idx="32">
                  <c:v>15.039520753454553</c:v>
                </c:pt>
                <c:pt idx="33">
                  <c:v>16.66767361753179</c:v>
                </c:pt>
                <c:pt idx="34">
                  <c:v>18.600512695785355</c:v>
                </c:pt>
                <c:pt idx="35">
                  <c:v>20.950992319485024</c:v>
                </c:pt>
                <c:pt idx="36">
                  <c:v>23.908707735389129</c:v>
                </c:pt>
                <c:pt idx="37">
                  <c:v>27.830509376180089</c:v>
                </c:pt>
                <c:pt idx="38">
                  <c:v>33.524589998605194</c:v>
                </c:pt>
                <c:pt idx="39">
                  <c:v>43.632633802842435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3A9-42FF-9A8C-8F9F7969DD5C}"/>
            </c:ext>
          </c:extLst>
        </c:ser>
        <c:ser>
          <c:idx val="6"/>
          <c:order val="6"/>
          <c:tx>
            <c:strRef>
              <c:f>'New_cases_rates - LNorm'!$B$6</c:f>
              <c:strCache>
                <c:ptCount val="1"/>
                <c:pt idx="0">
                  <c:v>29-Apr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('New_cases_rates - LNorm'!$C$6,'New_cases_rates - LNorm'!$C$6)</c:f>
              <c:numCache>
                <c:formatCode>General</c:formatCode>
                <c:ptCount val="2"/>
                <c:pt idx="0">
                  <c:v>120</c:v>
                </c:pt>
                <c:pt idx="1">
                  <c:v>120</c:v>
                </c:pt>
              </c:numCache>
            </c:numRef>
          </c:xVal>
          <c:yVal>
            <c:numRef>
              <c:f>('New_cases_rates - LNorm'!$D$6,'New_cases_rates - LNorm'!$E$6)</c:f>
              <c:numCache>
                <c:formatCode>General</c:formatCode>
                <c:ptCount val="2"/>
                <c:pt idx="0">
                  <c:v>0</c:v>
                </c:pt>
                <c:pt idx="1">
                  <c:v>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3A9-42FF-9A8C-8F9F7969D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537592"/>
        <c:axId val="986532152"/>
      </c:scatterChart>
      <c:valAx>
        <c:axId val="952018128"/>
        <c:scaling>
          <c:orientation val="minMax"/>
          <c:min val="5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 of the year (55=feb-24)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2020688"/>
        <c:crosses val="autoZero"/>
        <c:crossBetween val="midCat"/>
      </c:valAx>
      <c:valAx>
        <c:axId val="95202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Growth rate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2018128"/>
        <c:crosses val="autoZero"/>
        <c:crossBetween val="midCat"/>
      </c:valAx>
      <c:valAx>
        <c:axId val="986532152"/>
        <c:scaling>
          <c:orientation val="minMax"/>
          <c:max val="8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Doubling 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86537592"/>
        <c:crosses val="max"/>
        <c:crossBetween val="midCat"/>
      </c:valAx>
      <c:valAx>
        <c:axId val="986537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865321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+mn-lt"/>
                <a:ea typeface="+mn-ea"/>
                <a:cs typeface="+mn-cs"/>
              </a:rPr>
              <a:t>Italy - growth rates and dubling time - Lognormal </a:t>
            </a:r>
            <a:r>
              <a:rPr lang="it-IT" sz="1800" b="0" i="0" baseline="0">
                <a:effectLst/>
              </a:rPr>
              <a:t>fit (log-linear plot)</a:t>
            </a:r>
            <a:endParaRPr lang="it-IT">
              <a:effectLst/>
            </a:endParaRPr>
          </a:p>
          <a:p>
            <a:pPr>
              <a:defRPr/>
            </a:pPr>
            <a:r>
              <a:rPr lang="it-IT" sz="1800" b="0" i="0" baseline="0">
                <a:solidFill>
                  <a:srgbClr val="0070C0"/>
                </a:solidFill>
                <a:effectLst/>
              </a:rPr>
              <a:t>Italy</a:t>
            </a:r>
            <a:r>
              <a:rPr lang="it-IT" sz="1800" b="0" i="0" baseline="0">
                <a:effectLst/>
              </a:rPr>
              <a:t> </a:t>
            </a:r>
            <a:r>
              <a:rPr lang="it-IT" sz="1800" b="0" i="0" baseline="0">
                <a:solidFill>
                  <a:srgbClr val="FF0000"/>
                </a:solidFill>
                <a:effectLst/>
              </a:rPr>
              <a:t>Lombardy</a:t>
            </a:r>
            <a:r>
              <a:rPr lang="it-IT" sz="1800" b="0" i="0" baseline="0">
                <a:effectLst/>
              </a:rPr>
              <a:t> and </a:t>
            </a:r>
            <a:r>
              <a:rPr lang="it-IT" sz="1800" b="0" i="0" baseline="0">
                <a:solidFill>
                  <a:srgbClr val="00B050"/>
                </a:solidFill>
                <a:effectLst/>
              </a:rPr>
              <a:t>rest of Italy</a:t>
            </a:r>
            <a:endParaRPr lang="it-IT">
              <a:solidFill>
                <a:srgbClr val="00B050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3"/>
          <c:tx>
            <c:strRef>
              <c:f>'New_cases_rates - LNorm'!$P$7</c:f>
              <c:strCache>
                <c:ptCount val="1"/>
                <c:pt idx="0">
                  <c:v>Italy g.r.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LNorm'!$C$62:$C$130</c:f>
              <c:numCache>
                <c:formatCode>General</c:formatCode>
                <c:ptCount val="69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</c:numCache>
            </c:numRef>
          </c:xVal>
          <c:yVal>
            <c:numRef>
              <c:f>'New_cases_rates - LNorm'!$P$62:$P$130</c:f>
              <c:numCache>
                <c:formatCode>0%</c:formatCode>
                <c:ptCount val="69"/>
                <c:pt idx="0">
                  <c:v>0.47315757671086783</c:v>
                </c:pt>
                <c:pt idx="1">
                  <c:v>0.43730751355259367</c:v>
                </c:pt>
                <c:pt idx="2">
                  <c:v>0.40497081481079061</c:v>
                </c:pt>
                <c:pt idx="3">
                  <c:v>0.3757002053944461</c:v>
                </c:pt>
                <c:pt idx="4">
                  <c:v>0.34911883272957372</c:v>
                </c:pt>
                <c:pt idx="5">
                  <c:v>0.32490717175889727</c:v>
                </c:pt>
                <c:pt idx="6">
                  <c:v>0.30279271643542499</c:v>
                </c:pt>
                <c:pt idx="7">
                  <c:v>0.2825417943600414</c:v>
                </c:pt>
                <c:pt idx="8">
                  <c:v>0.26395301489343664</c:v>
                </c:pt>
                <c:pt idx="9">
                  <c:v>0.24685198539426745</c:v>
                </c:pt>
                <c:pt idx="10">
                  <c:v>0.23108702026630748</c:v>
                </c:pt>
                <c:pt idx="11">
                  <c:v>0.21652563340600886</c:v>
                </c:pt>
                <c:pt idx="12">
                  <c:v>0.20305165338215417</c:v>
                </c:pt>
                <c:pt idx="13">
                  <c:v>0.19056283706658655</c:v>
                </c:pt>
                <c:pt idx="14">
                  <c:v>0.17896888484266238</c:v>
                </c:pt>
                <c:pt idx="15">
                  <c:v>0.16818978133545573</c:v>
                </c:pt>
                <c:pt idx="16">
                  <c:v>0.15815440154444091</c:v>
                </c:pt>
                <c:pt idx="17">
                  <c:v>0.14879933455072766</c:v>
                </c:pt>
                <c:pt idx="18">
                  <c:v>0.14006788651752328</c:v>
                </c:pt>
                <c:pt idx="19">
                  <c:v>0.13190923216675851</c:v>
                </c:pt>
                <c:pt idx="20">
                  <c:v>0.12427768978784372</c:v>
                </c:pt>
                <c:pt idx="21">
                  <c:v>0.11713209948326105</c:v>
                </c:pt>
                <c:pt idx="22">
                  <c:v>0.1104352880563684</c:v>
                </c:pt>
                <c:pt idx="23">
                  <c:v>0.10415360690872605</c:v>
                </c:pt>
                <c:pt idx="24">
                  <c:v>9.8256531697189217E-2</c:v>
                </c:pt>
                <c:pt idx="25">
                  <c:v>9.2716314427582797E-2</c:v>
                </c:pt>
                <c:pt idx="26">
                  <c:v>8.7507680226716011E-2</c:v>
                </c:pt>
                <c:pt idx="27">
                  <c:v>8.2607562311422911E-2</c:v>
                </c:pt>
                <c:pt idx="28">
                  <c:v>7.7994869719700016E-2</c:v>
                </c:pt>
                <c:pt idx="29">
                  <c:v>7.3650283230040609E-2</c:v>
                </c:pt>
                <c:pt idx="30">
                  <c:v>6.9556075606339487E-2</c:v>
                </c:pt>
                <c:pt idx="31">
                  <c:v>6.5695952895561738E-2</c:v>
                </c:pt>
                <c:pt idx="32">
                  <c:v>6.2054913996231045E-2</c:v>
                </c:pt>
                <c:pt idx="33">
                  <c:v>5.8619126125736866E-2</c:v>
                </c:pt>
                <c:pt idx="34">
                  <c:v>5.5375814157965469E-2</c:v>
                </c:pt>
                <c:pt idx="35">
                  <c:v>5.2313162091537954E-2</c:v>
                </c:pt>
                <c:pt idx="36">
                  <c:v>4.942022515243643E-2</c:v>
                </c:pt>
                <c:pt idx="37">
                  <c:v>4.6686851240761183E-2</c:v>
                </c:pt>
                <c:pt idx="38">
                  <c:v>4.4103610606055575E-2</c:v>
                </c:pt>
                <c:pt idx="39">
                  <c:v>4.1661732784227003E-2</c:v>
                </c:pt>
                <c:pt idx="40">
                  <c:v>3.9353049955822554E-2</c:v>
                </c:pt>
                <c:pt idx="41">
                  <c:v>3.7169945993789463E-2</c:v>
                </c:pt>
                <c:pt idx="42">
                  <c:v>3.5105310561744679E-2</c:v>
                </c:pt>
                <c:pt idx="43">
                  <c:v>3.3152497703616321E-2</c:v>
                </c:pt>
                <c:pt idx="44">
                  <c:v>3.1305288434289071E-2</c:v>
                </c:pt>
                <c:pt idx="45">
                  <c:v>2.95578569002653E-2</c:v>
                </c:pt>
                <c:pt idx="46">
                  <c:v>2.790473973074319E-2</c:v>
                </c:pt>
                <c:pt idx="47">
                  <c:v>2.6340808244084312E-2</c:v>
                </c:pt>
                <c:pt idx="48">
                  <c:v>2.486124321339047E-2</c:v>
                </c:pt>
                <c:pt idx="49">
                  <c:v>2.3461511928663276E-2</c:v>
                </c:pt>
                <c:pt idx="50">
                  <c:v>2.2137347322492576E-2</c:v>
                </c:pt>
                <c:pt idx="51">
                  <c:v>2.0884728952006645E-2</c:v>
                </c:pt>
                <c:pt idx="52">
                  <c:v>1.9699865652425954E-2</c:v>
                </c:pt>
                <c:pt idx="53">
                  <c:v>1.8579179697435048E-2</c:v>
                </c:pt>
                <c:pt idx="54">
                  <c:v>1.7519292319081115E-2</c:v>
                </c:pt>
                <c:pt idx="55">
                  <c:v>1.6517010455351554E-2</c:v>
                </c:pt>
                <c:pt idx="56">
                  <c:v>1.5569314607238267E-2</c:v>
                </c:pt>
                <c:pt idx="57">
                  <c:v>1.4673347699201464E-2</c:v>
                </c:pt>
                <c:pt idx="58">
                  <c:v>1.3826404847693574E-2</c:v>
                </c:pt>
                <c:pt idx="59">
                  <c:v>1.3025923951973562E-2</c:v>
                </c:pt>
                <c:pt idx="60">
                  <c:v>1.2269477029972782E-2</c:v>
                </c:pt>
                <c:pt idx="61">
                  <c:v>1.1554762229600604E-2</c:v>
                </c:pt>
                <c:pt idx="62">
                  <c:v>1.0879596452702837E-2</c:v>
                </c:pt>
                <c:pt idx="63">
                  <c:v>1.0241908535012417E-2</c:v>
                </c:pt>
                <c:pt idx="64">
                  <c:v>9.6397329309328185E-3</c:v>
                </c:pt>
                <c:pt idx="65">
                  <c:v>9.0712038569491869E-3</c:v>
                </c:pt>
                <c:pt idx="66">
                  <c:v>8.5345498519257892E-3</c:v>
                </c:pt>
                <c:pt idx="67">
                  <c:v>8.0280887165793506E-3</c:v>
                </c:pt>
                <c:pt idx="68">
                  <c:v>7.5502227980584653E-3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69-408E-A0BB-3BFDA5FABBA5}"/>
            </c:ext>
          </c:extLst>
        </c:ser>
        <c:ser>
          <c:idx val="4"/>
          <c:order val="4"/>
          <c:tx>
            <c:strRef>
              <c:f>'New_cases_rates - LNorm'!$AO$7</c:f>
              <c:strCache>
                <c:ptCount val="1"/>
                <c:pt idx="0">
                  <c:v>Lombardy g.r.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LNorm'!$C$63:$C$130</c:f>
              <c:numCache>
                <c:formatCode>General</c:formatCode>
                <c:ptCount val="68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</c:numCache>
            </c:numRef>
          </c:xVal>
          <c:yVal>
            <c:numRef>
              <c:f>'New_cases_rates - LNorm'!$AO$63:$AO$130</c:f>
              <c:numCache>
                <c:formatCode>0%</c:formatCode>
                <c:ptCount val="68"/>
                <c:pt idx="0">
                  <c:v>0.35289468264905571</c:v>
                </c:pt>
                <c:pt idx="1">
                  <c:v>0.3270787923247464</c:v>
                </c:pt>
                <c:pt idx="2">
                  <c:v>0.30369337463318974</c:v>
                </c:pt>
                <c:pt idx="3">
                  <c:v>0.28244222863411134</c:v>
                </c:pt>
                <c:pt idx="4">
                  <c:v>0.26307380925042234</c:v>
                </c:pt>
                <c:pt idx="5">
                  <c:v>0.24537326709096341</c:v>
                </c:pt>
                <c:pt idx="6">
                  <c:v>0.22915611382482493</c:v>
                </c:pt>
                <c:pt idx="7">
                  <c:v>0.21426314131436699</c:v>
                </c:pt>
                <c:pt idx="8">
                  <c:v>0.20055631634398277</c:v>
                </c:pt>
                <c:pt idx="9">
                  <c:v>0.18791544078999148</c:v>
                </c:pt>
                <c:pt idx="10">
                  <c:v>0.17623541700307194</c:v>
                </c:pt>
                <c:pt idx="11">
                  <c:v>0.16542399519227738</c:v>
                </c:pt>
                <c:pt idx="12">
                  <c:v>0.15539990730309677</c:v>
                </c:pt>
                <c:pt idx="13">
                  <c:v>0.14609131279691001</c:v>
                </c:pt>
                <c:pt idx="14">
                  <c:v>0.13743449765935739</c:v>
                </c:pt>
                <c:pt idx="15">
                  <c:v>0.1293727801776853</c:v>
                </c:pt>
                <c:pt idx="16">
                  <c:v>0.12185558646431192</c:v>
                </c:pt>
                <c:pt idx="17">
                  <c:v>0.11483766604698344</c:v>
                </c:pt>
                <c:pt idx="18">
                  <c:v>0.10827842359721744</c:v>
                </c:pt>
                <c:pt idx="19">
                  <c:v>0.10214134740135478</c:v>
                </c:pt>
                <c:pt idx="20">
                  <c:v>9.6393518771884748E-2</c:v>
                </c:pt>
                <c:pt idx="21">
                  <c:v>9.1005189461424538E-2</c:v>
                </c:pt>
                <c:pt idx="22">
                  <c:v>8.5949416437812523E-2</c:v>
                </c:pt>
                <c:pt idx="23">
                  <c:v>8.120174522848092E-2</c:v>
                </c:pt>
                <c:pt idx="24">
                  <c:v>7.6739934539658078E-2</c:v>
                </c:pt>
                <c:pt idx="25">
                  <c:v>7.2543716073749015E-2</c:v>
                </c:pt>
                <c:pt idx="26">
                  <c:v>6.8594584463072525E-2</c:v>
                </c:pt>
                <c:pt idx="27">
                  <c:v>6.4875613054290418E-2</c:v>
                </c:pt>
                <c:pt idx="28">
                  <c:v>6.1371291950147726E-2</c:v>
                </c:pt>
                <c:pt idx="29">
                  <c:v>5.8067385271109433E-2</c:v>
                </c:pt>
                <c:pt idx="30">
                  <c:v>5.4950805060957765E-2</c:v>
                </c:pt>
                <c:pt idx="31">
                  <c:v>5.2009499644861706E-2</c:v>
                </c:pt>
                <c:pt idx="32">
                  <c:v>4.9232354569802628E-2</c:v>
                </c:pt>
                <c:pt idx="33">
                  <c:v>4.6609104526795092E-2</c:v>
                </c:pt>
                <c:pt idx="34">
                  <c:v>4.4130254881150598E-2</c:v>
                </c:pt>
                <c:pt idx="35">
                  <c:v>4.1787011628470039E-2</c:v>
                </c:pt>
                <c:pt idx="36">
                  <c:v>3.9571218756117826E-2</c:v>
                </c:pt>
                <c:pt idx="37">
                  <c:v>3.7475302127522571E-2</c:v>
                </c:pt>
                <c:pt idx="38">
                  <c:v>3.54922191237989E-2</c:v>
                </c:pt>
                <c:pt idx="39">
                  <c:v>3.3615413377186557E-2</c:v>
                </c:pt>
                <c:pt idx="40">
                  <c:v>3.1838774016399084E-2</c:v>
                </c:pt>
                <c:pt idx="41">
                  <c:v>3.0156598917424442E-2</c:v>
                </c:pt>
                <c:pt idx="42">
                  <c:v>2.8563561516494255E-2</c:v>
                </c:pt>
                <c:pt idx="43">
                  <c:v>2.7054680796421336E-2</c:v>
                </c:pt>
                <c:pt idx="44">
                  <c:v>2.562529410458099E-2</c:v>
                </c:pt>
                <c:pt idx="45">
                  <c:v>2.42710325015996E-2</c:v>
                </c:pt>
                <c:pt idx="46">
                  <c:v>2.2987798375218534E-2</c:v>
                </c:pt>
                <c:pt idx="47">
                  <c:v>2.1771745084603968E-2</c:v>
                </c:pt>
                <c:pt idx="48">
                  <c:v>2.0619258427231873E-2</c:v>
                </c:pt>
                <c:pt idx="49">
                  <c:v>1.9526939743939663E-2</c:v>
                </c:pt>
                <c:pt idx="50">
                  <c:v>1.8491590498276943E-2</c:v>
                </c:pt>
                <c:pt idx="51">
                  <c:v>1.7510198184306623E-2</c:v>
                </c:pt>
                <c:pt idx="52">
                  <c:v>1.657992343284026E-2</c:v>
                </c:pt>
                <c:pt idx="53">
                  <c:v>1.5698088200039234E-2</c:v>
                </c:pt>
                <c:pt idx="54">
                  <c:v>1.4862164934611396E-2</c:v>
                </c:pt>
                <c:pt idx="55">
                  <c:v>1.4069766630706023E-2</c:v>
                </c:pt>
                <c:pt idx="56">
                  <c:v>1.3318637683235317E-2</c:v>
                </c:pt>
                <c:pt idx="57">
                  <c:v>1.2606645470889112E-2</c:v>
                </c:pt>
                <c:pt idx="58">
                  <c:v>1.1931772599692516E-2</c:v>
                </c:pt>
                <c:pt idx="59">
                  <c:v>1.1292109746707685E-2</c:v>
                </c:pt>
                <c:pt idx="60">
                  <c:v>1.068584904949584E-2</c:v>
                </c:pt>
                <c:pt idx="61">
                  <c:v>1.0111277992326795E-2</c:v>
                </c:pt>
                <c:pt idx="62">
                  <c:v>9.5667737449239686E-3</c:v>
                </c:pt>
                <c:pt idx="63">
                  <c:v>9.0507979138310206E-3</c:v>
                </c:pt>
                <c:pt idx="64">
                  <c:v>8.5618916703399071E-3</c:v>
                </c:pt>
                <c:pt idx="65">
                  <c:v>8.0986712223774706E-3</c:v>
                </c:pt>
                <c:pt idx="66">
                  <c:v>7.6598236008559688E-3</c:v>
                </c:pt>
                <c:pt idx="67">
                  <c:v>7.2441027337891966E-3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69-408E-A0BB-3BFDA5FABBA5}"/>
            </c:ext>
          </c:extLst>
        </c:ser>
        <c:ser>
          <c:idx val="5"/>
          <c:order val="5"/>
          <c:tx>
            <c:strRef>
              <c:f>'New_cases_rates - LNorm'!$BJ$7</c:f>
              <c:strCache>
                <c:ptCount val="1"/>
                <c:pt idx="0">
                  <c:v>rest of Italy g.r.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LNorm'!$C$63:$C$130</c:f>
              <c:numCache>
                <c:formatCode>General</c:formatCode>
                <c:ptCount val="68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</c:numCache>
            </c:numRef>
          </c:xVal>
          <c:yVal>
            <c:numRef>
              <c:f>'New_cases_rates - LNorm'!$BJ$63:$BJ$130</c:f>
              <c:numCache>
                <c:formatCode>0%</c:formatCode>
                <c:ptCount val="68"/>
                <c:pt idx="0">
                  <c:v>0.64623059731343746</c:v>
                </c:pt>
                <c:pt idx="1">
                  <c:v>0.5875383464578201</c:v>
                </c:pt>
                <c:pt idx="2">
                  <c:v>0.5359417988058327</c:v>
                </c:pt>
                <c:pt idx="3">
                  <c:v>0.49032436549777869</c:v>
                </c:pt>
                <c:pt idx="4">
                  <c:v>0.44978532820055289</c:v>
                </c:pt>
                <c:pt idx="5">
                  <c:v>0.41359088357587548</c:v>
                </c:pt>
                <c:pt idx="6">
                  <c:v>0.38113780799085417</c:v>
                </c:pt>
                <c:pt idx="7">
                  <c:v>0.35192612632186826</c:v>
                </c:pt>
                <c:pt idx="8">
                  <c:v>0.32553830130170636</c:v>
                </c:pt>
                <c:pt idx="9">
                  <c:v>0.30162320964408512</c:v>
                </c:pt>
                <c:pt idx="10">
                  <c:v>0.27988367637905137</c:v>
                </c:pt>
                <c:pt idx="11">
                  <c:v>0.26006668478484946</c:v>
                </c:pt>
                <c:pt idx="12">
                  <c:v>0.24195561975646504</c:v>
                </c:pt>
                <c:pt idx="13">
                  <c:v>0.22536407189177263</c:v>
                </c:pt>
                <c:pt idx="14">
                  <c:v>0.21013085050474101</c:v>
                </c:pt>
                <c:pt idx="15">
                  <c:v>0.19611594110699512</c:v>
                </c:pt>
                <c:pt idx="16">
                  <c:v>0.1831972066661017</c:v>
                </c:pt>
                <c:pt idx="17">
                  <c:v>0.17126767899074108</c:v>
                </c:pt>
                <c:pt idx="18">
                  <c:v>0.16023332163156281</c:v>
                </c:pt>
                <c:pt idx="19">
                  <c:v>0.15001117202123257</c:v>
                </c:pt>
                <c:pt idx="20">
                  <c:v>0.14052779053851441</c:v>
                </c:pt>
                <c:pt idx="21">
                  <c:v>0.13171795943294887</c:v>
                </c:pt>
                <c:pt idx="22">
                  <c:v>0.12352358628794134</c:v>
                </c:pt>
                <c:pt idx="23">
                  <c:v>0.11589277580342515</c:v>
                </c:pt>
                <c:pt idx="24">
                  <c:v>0.10877904078500635</c:v>
                </c:pt>
                <c:pt idx="25">
                  <c:v>0.10214062880847133</c:v>
                </c:pt>
                <c:pt idx="26">
                  <c:v>9.5939945440125921E-2</c:v>
                </c:pt>
                <c:pt idx="27">
                  <c:v>9.0143058400144582E-2</c:v>
                </c:pt>
                <c:pt idx="28">
                  <c:v>8.471926985883052E-2</c:v>
                </c:pt>
                <c:pt idx="29">
                  <c:v>7.964074630746297E-2</c:v>
                </c:pt>
                <c:pt idx="30">
                  <c:v>7.4882197263546099E-2</c:v>
                </c:pt>
                <c:pt idx="31">
                  <c:v>7.0420595545268305E-2</c:v>
                </c:pt>
                <c:pt idx="32">
                  <c:v>6.6234933052021217E-2</c:v>
                </c:pt>
                <c:pt idx="33">
                  <c:v>6.230600697168992E-2</c:v>
                </c:pt>
                <c:pt idx="34">
                  <c:v>5.8616232144055244E-2</c:v>
                </c:pt>
                <c:pt idx="35">
                  <c:v>5.5149475976899141E-2</c:v>
                </c:pt>
                <c:pt idx="36">
                  <c:v>5.1890912864106908E-2</c:v>
                </c:pt>
                <c:pt idx="37">
                  <c:v>4.8826895514551022E-2</c:v>
                </c:pt>
                <c:pt idx="38">
                  <c:v>4.594484098389124E-2</c:v>
                </c:pt>
                <c:pt idx="39">
                  <c:v>4.3233129522337467E-2</c:v>
                </c:pt>
                <c:pt idx="40">
                  <c:v>4.0681014620939662E-2</c:v>
                </c:pt>
                <c:pt idx="41">
                  <c:v>3.8278542866045817E-2</c:v>
                </c:pt>
                <c:pt idx="42">
                  <c:v>3.601648240345881E-2</c:v>
                </c:pt>
                <c:pt idx="43">
                  <c:v>3.3886258976474182E-2</c:v>
                </c:pt>
                <c:pt idx="44">
                  <c:v>3.1879898640223898E-2</c:v>
                </c:pt>
                <c:pt idx="45">
                  <c:v>2.9989976372600965E-2</c:v>
                </c:pt>
                <c:pt idx="46">
                  <c:v>2.8209569902746184E-2</c:v>
                </c:pt>
                <c:pt idx="47">
                  <c:v>2.6532218164403258E-2</c:v>
                </c:pt>
                <c:pt idx="48">
                  <c:v>2.4951883855594579E-2</c:v>
                </c:pt>
                <c:pt idx="49">
                  <c:v>2.3462919649960209E-2</c:v>
                </c:pt>
                <c:pt idx="50">
                  <c:v>2.2060037660260108E-2</c:v>
                </c:pt>
                <c:pt idx="51">
                  <c:v>2.0738281802298801E-2</c:v>
                </c:pt>
                <c:pt idx="52">
                  <c:v>1.9493002748973764E-2</c:v>
                </c:pt>
                <c:pt idx="53">
                  <c:v>1.8319835200202621E-2</c:v>
                </c:pt>
                <c:pt idx="54">
                  <c:v>1.721467722592122E-2</c:v>
                </c:pt>
                <c:pt idx="55">
                  <c:v>1.6173671466824899E-2</c:v>
                </c:pt>
                <c:pt idx="56">
                  <c:v>1.5193188001598934E-2</c:v>
                </c:pt>
                <c:pt idx="57">
                  <c:v>1.4269808710523038E-2</c:v>
                </c:pt>
                <c:pt idx="58">
                  <c:v>1.3400312983940756E-2</c:v>
                </c:pt>
                <c:pt idx="59">
                  <c:v>1.2581664640491198E-2</c:v>
                </c:pt>
                <c:pt idx="60">
                  <c:v>1.1810999934505507E-2</c:v>
                </c:pt>
                <c:pt idx="61">
                  <c:v>1.1085616544812578E-2</c:v>
                </c:pt>
                <c:pt idx="62">
                  <c:v>1.0402963448596977E-2</c:v>
                </c:pt>
                <c:pt idx="63">
                  <c:v>9.7606315940833768E-3</c:v>
                </c:pt>
                <c:pt idx="64">
                  <c:v>9.1563452948430941E-3</c:v>
                </c:pt>
                <c:pt idx="65">
                  <c:v>8.5879542765640981E-3</c:v>
                </c:pt>
                <c:pt idx="66">
                  <c:v>8.053426314311227E-3</c:v>
                </c:pt>
                <c:pt idx="67">
                  <c:v>7.5508404047279314E-3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69-408E-A0BB-3BFDA5FAB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018128"/>
        <c:axId val="952020688"/>
      </c:scatterChart>
      <c:scatterChart>
        <c:scatterStyle val="smoothMarker"/>
        <c:varyColors val="0"/>
        <c:ser>
          <c:idx val="0"/>
          <c:order val="0"/>
          <c:tx>
            <c:strRef>
              <c:f>'New_cases_rates - LNorm'!$I$7</c:f>
              <c:strCache>
                <c:ptCount val="1"/>
                <c:pt idx="0">
                  <c:v>Italy d.t.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'New_cases_rates - LNorm'!$C$62:$C$101</c:f>
              <c:numCache>
                <c:formatCode>General</c:formatCode>
                <c:ptCount val="4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</c:numCache>
            </c:numRef>
          </c:xVal>
          <c:yVal>
            <c:numRef>
              <c:f>'New_cases_rates - LNorm'!$I$62:$I$101</c:f>
              <c:numCache>
                <c:formatCode>General</c:formatCode>
                <c:ptCount val="40"/>
                <c:pt idx="0">
                  <c:v>1.5565821807200138</c:v>
                </c:pt>
                <c:pt idx="1">
                  <c:v>1.6900101428250203</c:v>
                </c:pt>
                <c:pt idx="2">
                  <c:v>1.8316110471558851</c:v>
                </c:pt>
                <c:pt idx="3">
                  <c:v>1.9819145703047489</c:v>
                </c:pt>
                <c:pt idx="4">
                  <c:v>2.1414995161106027</c:v>
                </c:pt>
                <c:pt idx="5">
                  <c:v>2.3109993717968287</c:v>
                </c:pt>
                <c:pt idx="6">
                  <c:v>2.4911087000320045</c:v>
                </c:pt>
                <c:pt idx="7">
                  <c:v>2.682590515791702</c:v>
                </c:pt>
                <c:pt idx="8">
                  <c:v>2.8862848301690747</c:v>
                </c:pt>
                <c:pt idx="9">
                  <c:v>3.1031185850447685</c:v>
                </c:pt>
                <c:pt idx="10">
                  <c:v>3.3341172553798941</c:v>
                </c:pt>
                <c:pt idx="11">
                  <c:v>3.5804184633240794</c:v>
                </c:pt>
                <c:pt idx="12">
                  <c:v>3.8432880350713958</c:v>
                </c:pt>
                <c:pt idx="13">
                  <c:v>4.1241390439450072</c:v>
                </c:pt>
                <c:pt idx="14">
                  <c:v>4.4245545305575718</c:v>
                </c:pt>
                <c:pt idx="15">
                  <c:v>4.7463147857228805</c:v>
                </c:pt>
                <c:pt idx="16">
                  <c:v>5.0914303420363183</c:v>
                </c:pt>
                <c:pt idx="17">
                  <c:v>5.4621821715318006</c:v>
                </c:pt>
                <c:pt idx="18">
                  <c:v>5.8611710672516253</c:v>
                </c:pt>
                <c:pt idx="19">
                  <c:v>6.2913788517644207</c:v>
                </c:pt>
                <c:pt idx="20">
                  <c:v>6.7562449897055359</c:v>
                </c:pt>
                <c:pt idx="21">
                  <c:v>7.2597635131701637</c:v>
                </c:pt>
                <c:pt idx="22">
                  <c:v>7.8066070996822177</c:v>
                </c:pt>
                <c:pt idx="23">
                  <c:v>8.4022879941550315</c:v>
                </c:pt>
                <c:pt idx="24">
                  <c:v>9.0533697646141178</c:v>
                </c:pt>
                <c:pt idx="25">
                  <c:v>9.7677505090125507</c:v>
                </c:pt>
                <c:pt idx="26">
                  <c:v>10.555048612149136</c:v>
                </c:pt>
                <c:pt idx="27">
                  <c:v>11.42713921008523</c:v>
                </c:pt>
                <c:pt idx="28">
                  <c:v>12.398918198967067</c:v>
                </c:pt>
                <c:pt idx="29">
                  <c:v>13.489420676170361</c:v>
                </c:pt>
                <c:pt idx="30">
                  <c:v>14.723511914199371</c:v>
                </c:pt>
                <c:pt idx="31">
                  <c:v>16.134543868658803</c:v>
                </c:pt>
                <c:pt idx="32">
                  <c:v>17.768726602768304</c:v>
                </c:pt>
                <c:pt idx="33">
                  <c:v>19.692745948218437</c:v>
                </c:pt>
                <c:pt idx="34">
                  <c:v>22.008040500817835</c:v>
                </c:pt>
                <c:pt idx="35">
                  <c:v>24.880254110019045</c:v>
                </c:pt>
                <c:pt idx="36">
                  <c:v>28.608651405796714</c:v>
                </c:pt>
                <c:pt idx="37">
                  <c:v>33.826035309187809</c:v>
                </c:pt>
                <c:pt idx="38">
                  <c:v>42.315934640486383</c:v>
                </c:pt>
                <c:pt idx="39">
                  <c:v>65.767037885738716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469-408E-A0BB-3BFDA5FABBA5}"/>
            </c:ext>
          </c:extLst>
        </c:ser>
        <c:ser>
          <c:idx val="1"/>
          <c:order val="1"/>
          <c:tx>
            <c:strRef>
              <c:f>'New_cases_rates - LNorm'!$AL$7</c:f>
              <c:strCache>
                <c:ptCount val="1"/>
                <c:pt idx="0">
                  <c:v>Lombardy d.t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'New_cases_rates - LNorm'!$C$62:$C$99</c:f>
              <c:numCache>
                <c:formatCode>General</c:formatCode>
                <c:ptCount val="38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</c:numCache>
            </c:numRef>
          </c:xVal>
          <c:yVal>
            <c:numRef>
              <c:f>'New_cases_rates - LNorm'!$AL$62:$AL$99</c:f>
              <c:numCache>
                <c:formatCode>General</c:formatCode>
                <c:ptCount val="38"/>
                <c:pt idx="0">
                  <c:v>1.9585803411095704</c:v>
                </c:pt>
                <c:pt idx="1">
                  <c:v>2.1263016705482691</c:v>
                </c:pt>
                <c:pt idx="2">
                  <c:v>2.3044162402813448</c:v>
                </c:pt>
                <c:pt idx="3">
                  <c:v>2.4936128779493636</c:v>
                </c:pt>
                <c:pt idx="4">
                  <c:v>2.6946459127522857</c:v>
                </c:pt>
                <c:pt idx="5">
                  <c:v>2.9083429191150714</c:v>
                </c:pt>
                <c:pt idx="6">
                  <c:v>3.1356136792830149</c:v>
                </c:pt>
                <c:pt idx="7">
                  <c:v>3.3774605947578813</c:v>
                </c:pt>
                <c:pt idx="8">
                  <c:v>3.6349908304177951</c:v>
                </c:pt>
                <c:pt idx="9">
                  <c:v>3.9094305437078773</c:v>
                </c:pt>
                <c:pt idx="10">
                  <c:v>4.202141639148941</c:v>
                </c:pt>
                <c:pt idx="11">
                  <c:v>4.5146416020071101</c:v>
                </c:pt>
                <c:pt idx="12">
                  <c:v>4.8486271131660743</c:v>
                </c:pt>
                <c:pt idx="13">
                  <c:v>5.2060023424234387</c:v>
                </c:pt>
                <c:pt idx="14">
                  <c:v>5.5889130770940909</c:v>
                </c:pt>
                <c:pt idx="15">
                  <c:v>5.9997881919861697</c:v>
                </c:pt>
                <c:pt idx="16">
                  <c:v>6.4413904418615999</c:v>
                </c:pt>
                <c:pt idx="17">
                  <c:v>6.9168792118976725</c:v>
                </c:pt>
                <c:pt idx="18">
                  <c:v>7.4298887754686476</c:v>
                </c:pt>
                <c:pt idx="19">
                  <c:v>7.9846269035611996</c:v>
                </c:pt>
                <c:pt idx="20">
                  <c:v>8.5860005352132518</c:v>
                </c:pt>
                <c:pt idx="21">
                  <c:v>9.2397779525181605</c:v>
                </c:pt>
                <c:pt idx="22">
                  <c:v>9.9528009911198438</c:v>
                </c:pt>
                <c:pt idx="23">
                  <c:v>10.733267061569258</c:v>
                </c:pt>
                <c:pt idx="24">
                  <c:v>11.591110530717224</c:v>
                </c:pt>
                <c:pt idx="25">
                  <c:v>12.538528732472578</c:v>
                </c:pt>
                <c:pt idx="26">
                  <c:v>13.590723953151617</c:v>
                </c:pt>
                <c:pt idx="27">
                  <c:v>14.766977540909892</c:v>
                </c:pt>
                <c:pt idx="28">
                  <c:v>16.092252467244421</c:v>
                </c:pt>
                <c:pt idx="29">
                  <c:v>17.599671131563994</c:v>
                </c:pt>
                <c:pt idx="30">
                  <c:v>19.33451392052477</c:v>
                </c:pt>
                <c:pt idx="31">
                  <c:v>21.36101882592969</c:v>
                </c:pt>
                <c:pt idx="32">
                  <c:v>23.774729533513465</c:v>
                </c:pt>
                <c:pt idx="33">
                  <c:v>26.726912334079998</c:v>
                </c:pt>
                <c:pt idx="34">
                  <c:v>30.478740815269546</c:v>
                </c:pt>
                <c:pt idx="35">
                  <c:v>35.543386013479832</c:v>
                </c:pt>
                <c:pt idx="36">
                  <c:v>43.174187218562636</c:v>
                </c:pt>
                <c:pt idx="37">
                  <c:v>58.307140641134268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469-408E-A0BB-3BFDA5FABBA5}"/>
            </c:ext>
          </c:extLst>
        </c:ser>
        <c:ser>
          <c:idx val="2"/>
          <c:order val="2"/>
          <c:tx>
            <c:strRef>
              <c:f>'New_cases_rates - LNorm'!$BG$7</c:f>
              <c:strCache>
                <c:ptCount val="1"/>
                <c:pt idx="0">
                  <c:v>rest of Italy d.t.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'New_cases_rates - LNorm'!$C$62:$C$101</c:f>
              <c:numCache>
                <c:formatCode>General</c:formatCode>
                <c:ptCount val="4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</c:numCache>
            </c:numRef>
          </c:xVal>
          <c:yVal>
            <c:numRef>
              <c:f>'New_cases_rates - LNorm'!$BG$62:$BG$101</c:f>
              <c:numCache>
                <c:formatCode>General</c:formatCode>
                <c:ptCount val="40"/>
                <c:pt idx="0">
                  <c:v>1.0218391596502805</c:v>
                </c:pt>
                <c:pt idx="1">
                  <c:v>1.13170405971265</c:v>
                </c:pt>
                <c:pt idx="2">
                  <c:v>1.2489716615944069</c:v>
                </c:pt>
                <c:pt idx="3">
                  <c:v>1.3741064128278317</c:v>
                </c:pt>
                <c:pt idx="4">
                  <c:v>1.5076174862893517</c:v>
                </c:pt>
                <c:pt idx="5">
                  <c:v>1.6500635045572594</c:v>
                </c:pt>
                <c:pt idx="6">
                  <c:v>1.8020580121810745</c:v>
                </c:pt>
                <c:pt idx="7">
                  <c:v>1.9642758151927531</c:v>
                </c:pt>
                <c:pt idx="8">
                  <c:v>2.1374603361735929</c:v>
                </c:pt>
                <c:pt idx="9">
                  <c:v>2.3224321686080316</c:v>
                </c:pt>
                <c:pt idx="10">
                  <c:v>2.5200990582817298</c:v>
                </c:pt>
                <c:pt idx="11">
                  <c:v>2.7314675949398151</c:v>
                </c:pt>
                <c:pt idx="12">
                  <c:v>2.9576569680619542</c:v>
                </c:pt>
                <c:pt idx="13">
                  <c:v>3.1999152315051376</c:v>
                </c:pt>
                <c:pt idx="14">
                  <c:v>3.4596386398690271</c:v>
                </c:pt>
                <c:pt idx="15">
                  <c:v>3.7383947744129458</c:v>
                </c:pt>
                <c:pt idx="16">
                  <c:v>4.0379503817983462</c:v>
                </c:pt>
                <c:pt idx="17">
                  <c:v>4.3603051242150386</c:v>
                </c:pt>
                <c:pt idx="18">
                  <c:v>4.7077328125698372</c:v>
                </c:pt>
                <c:pt idx="19">
                  <c:v>5.08283220639251</c:v>
                </c:pt>
                <c:pt idx="20">
                  <c:v>5.4885901760191018</c:v>
                </c:pt>
                <c:pt idx="21">
                  <c:v>5.9284610269048201</c:v>
                </c:pt>
                <c:pt idx="22">
                  <c:v>6.4064672251588632</c:v>
                </c:pt>
                <c:pt idx="23">
                  <c:v>6.9273288618755302</c:v>
                </c:pt>
                <c:pt idx="24">
                  <c:v>7.4966323122490337</c:v>
                </c:pt>
                <c:pt idx="25">
                  <c:v>8.121053278192349</c:v>
                </c:pt>
                <c:pt idx="26">
                  <c:v>8.808656756494436</c:v>
                </c:pt>
                <c:pt idx="27">
                  <c:v>9.5693082042581068</c:v>
                </c:pt>
                <c:pt idx="28">
                  <c:v>10.415249449034846</c:v>
                </c:pt>
                <c:pt idx="29">
                  <c:v>11.361925659387857</c:v>
                </c:pt>
                <c:pt idx="30">
                  <c:v>12.429207613467682</c:v>
                </c:pt>
                <c:pt idx="31">
                  <c:v>13.64326064508996</c:v>
                </c:pt>
                <c:pt idx="32">
                  <c:v>15.039520753454553</c:v>
                </c:pt>
                <c:pt idx="33">
                  <c:v>16.66767361753179</c:v>
                </c:pt>
                <c:pt idx="34">
                  <c:v>18.600512695785355</c:v>
                </c:pt>
                <c:pt idx="35">
                  <c:v>20.950992319485024</c:v>
                </c:pt>
                <c:pt idx="36">
                  <c:v>23.908707735389129</c:v>
                </c:pt>
                <c:pt idx="37">
                  <c:v>27.830509376180089</c:v>
                </c:pt>
                <c:pt idx="38">
                  <c:v>33.524589998605194</c:v>
                </c:pt>
                <c:pt idx="39">
                  <c:v>43.632633802842435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469-408E-A0BB-3BFDA5FABBA5}"/>
            </c:ext>
          </c:extLst>
        </c:ser>
        <c:ser>
          <c:idx val="6"/>
          <c:order val="6"/>
          <c:tx>
            <c:strRef>
              <c:f>'New_cases_rates - LNorm'!$B$6</c:f>
              <c:strCache>
                <c:ptCount val="1"/>
                <c:pt idx="0">
                  <c:v>29-Apr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('New_cases_rates - LNorm'!$C$6,'New_cases_rates - LNorm'!$C$6)</c:f>
              <c:numCache>
                <c:formatCode>General</c:formatCode>
                <c:ptCount val="2"/>
                <c:pt idx="0">
                  <c:v>120</c:v>
                </c:pt>
                <c:pt idx="1">
                  <c:v>120</c:v>
                </c:pt>
              </c:numCache>
            </c:numRef>
          </c:xVal>
          <c:yVal>
            <c:numRef>
              <c:f>('New_cases_rates - LNorm'!$D$6,'New_cases_rates - LNorm'!$E$6)</c:f>
              <c:numCache>
                <c:formatCode>General</c:formatCode>
                <c:ptCount val="2"/>
                <c:pt idx="0">
                  <c:v>0</c:v>
                </c:pt>
                <c:pt idx="1">
                  <c:v>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469-408E-A0BB-3BFDA5FAB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537592"/>
        <c:axId val="986532152"/>
      </c:scatterChart>
      <c:valAx>
        <c:axId val="952018128"/>
        <c:scaling>
          <c:orientation val="minMax"/>
          <c:min val="5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 of the year (55=feb-24)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2020688"/>
        <c:crosses val="autoZero"/>
        <c:crossBetween val="midCat"/>
      </c:valAx>
      <c:valAx>
        <c:axId val="95202068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Growth rate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2018128"/>
        <c:crosses val="autoZero"/>
        <c:crossBetween val="midCat"/>
      </c:valAx>
      <c:valAx>
        <c:axId val="986532152"/>
        <c:scaling>
          <c:logBase val="10"/>
          <c:orientation val="minMax"/>
          <c:max val="8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Doubling 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86537592"/>
        <c:crosses val="max"/>
        <c:crossBetween val="midCat"/>
      </c:valAx>
      <c:valAx>
        <c:axId val="986537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865321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0" i="0" baseline="0">
                <a:effectLst/>
              </a:rPr>
              <a:t>Italy - halfing time - Lognormal fit</a:t>
            </a:r>
            <a:endParaRPr lang="it-IT">
              <a:effectLst/>
            </a:endParaRPr>
          </a:p>
          <a:p>
            <a:pPr>
              <a:defRPr/>
            </a:pPr>
            <a:r>
              <a:rPr lang="it-IT" sz="1800" b="0" i="0" baseline="0">
                <a:solidFill>
                  <a:srgbClr val="0070C0"/>
                </a:solidFill>
                <a:effectLst/>
              </a:rPr>
              <a:t>Italy</a:t>
            </a:r>
            <a:r>
              <a:rPr lang="it-IT" sz="1800" b="0" i="0" baseline="0">
                <a:effectLst/>
              </a:rPr>
              <a:t> </a:t>
            </a:r>
            <a:r>
              <a:rPr lang="it-IT" sz="1800" b="0" i="0" baseline="0">
                <a:solidFill>
                  <a:srgbClr val="FF0000"/>
                </a:solidFill>
                <a:effectLst/>
              </a:rPr>
              <a:t>Lombardy</a:t>
            </a:r>
            <a:r>
              <a:rPr lang="it-IT" sz="1800" b="0" i="0" baseline="0">
                <a:effectLst/>
              </a:rPr>
              <a:t> and </a:t>
            </a:r>
            <a:r>
              <a:rPr lang="it-IT" sz="1800" b="0" i="0" baseline="0">
                <a:solidFill>
                  <a:srgbClr val="00B050"/>
                </a:solidFill>
                <a:effectLst/>
              </a:rPr>
              <a:t>rest of Italy</a:t>
            </a:r>
            <a:endParaRPr lang="it-IT">
              <a:solidFill>
                <a:srgbClr val="00B050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'New_cases_rates - LNorm'!$X$7</c:f>
              <c:strCache>
                <c:ptCount val="1"/>
                <c:pt idx="0">
                  <c:v>Italy h.t.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'New_cases_rates - LNorm'!$X$62:$X$184</c:f>
              <c:numCache>
                <c:formatCode>General</c:formatCode>
                <c:ptCount val="123"/>
                <c:pt idx="0">
                  <c:v>125.16625533072093</c:v>
                </c:pt>
                <c:pt idx="1">
                  <c:v>118.56616561387327</c:v>
                </c:pt>
                <c:pt idx="2">
                  <c:v>112.42710168481133</c:v>
                </c:pt>
                <c:pt idx="3">
                  <c:v>106.69861239654119</c:v>
                </c:pt>
                <c:pt idx="4">
                  <c:v>101.33771941598366</c:v>
                </c:pt>
                <c:pt idx="5">
                  <c:v>96.307619966861665</c:v>
                </c:pt>
                <c:pt idx="6">
                  <c:v>91.57665405668007</c:v>
                </c:pt>
                <c:pt idx="7">
                  <c:v>87.117475457534312</c:v>
                </c:pt>
                <c:pt idx="8">
                  <c:v>82.906381077655254</c:v>
                </c:pt>
                <c:pt idx="9">
                  <c:v>78.922764459972996</c:v>
                </c:pt>
                <c:pt idx="10">
                  <c:v>75.148667246551412</c:v>
                </c:pt>
                <c:pt idx="11">
                  <c:v>71.56840841958666</c:v>
                </c:pt>
                <c:pt idx="12">
                  <c:v>68.168275569164223</c:v>
                </c:pt>
                <c:pt idx="13">
                  <c:v>64.936265764419574</c:v>
                </c:pt>
                <c:pt idx="14">
                  <c:v>61.861866116381599</c:v>
                </c:pt>
                <c:pt idx="15">
                  <c:v>58.935866033510344</c:v>
                </c:pt>
                <c:pt idx="16">
                  <c:v>56.150194644548201</c:v>
                </c:pt>
                <c:pt idx="17">
                  <c:v>53.497778019220299</c:v>
                </c:pt>
                <c:pt idx="18">
                  <c:v>50.972411750783003</c:v>
                </c:pt>
                <c:pt idx="19">
                  <c:v>48.568645252223924</c:v>
                </c:pt>
                <c:pt idx="20">
                  <c:v>46.281674822900435</c:v>
                </c:pt>
                <c:pt idx="21">
                  <c:v>44.107243214776624</c:v>
                </c:pt>
                <c:pt idx="22">
                  <c:v>42.041544103610683</c:v>
                </c:pt>
                <c:pt idx="23">
                  <c:v>40.081130569708002</c:v>
                </c:pt>
                <c:pt idx="24">
                  <c:v>38.222827412953229</c:v>
                </c:pt>
                <c:pt idx="25">
                  <c:v>36.463647840393186</c:v>
                </c:pt>
                <c:pt idx="26">
                  <c:v>34.800715718662993</c:v>
                </c:pt>
                <c:pt idx="27">
                  <c:v>33.231195104554367</c:v>
                </c:pt>
                <c:pt idx="28">
                  <c:v>31.752229073341248</c:v>
                </c:pt>
                <c:pt idx="29">
                  <c:v>30.360889885129232</c:v>
                </c:pt>
                <c:pt idx="30">
                  <c:v>29.054142225966224</c:v>
                </c:pt>
                <c:pt idx="31">
                  <c:v>27.828820645088989</c:v>
                </c:pt>
                <c:pt idx="32">
                  <c:v>26.681621453401185</c:v>
                </c:pt>
                <c:pt idx="33">
                  <c:v>25.609108372804805</c:v>
                </c:pt>
                <c:pt idx="34">
                  <c:v>24.607730280610816</c:v>
                </c:pt>
                <c:pt idx="35">
                  <c:v>23.673848622205092</c:v>
                </c:pt>
                <c:pt idx="36">
                  <c:v>22.803771575886039</c:v>
                </c:pt>
                <c:pt idx="37">
                  <c:v>21.993791895820415</c:v>
                </c:pt>
                <c:pt idx="38">
                  <c:v>21.240225519308034</c:v>
                </c:pt>
                <c:pt idx="39">
                  <c:v>20.53944843870628</c:v>
                </c:pt>
                <c:pt idx="40">
                  <c:v>19.887929912540564</c:v>
                </c:pt>
                <c:pt idx="41">
                  <c:v>19.282260724989982</c:v>
                </c:pt>
                <c:pt idx="42">
                  <c:v>18.719175812391654</c:v>
                </c:pt>
                <c:pt idx="43">
                  <c:v>18.195571099116705</c:v>
                </c:pt>
                <c:pt idx="44">
                  <c:v>17.708514790645793</c:v>
                </c:pt>
                <c:pt idx="45">
                  <c:v>17.255253651037151</c:v>
                </c:pt>
                <c:pt idx="46">
                  <c:v>16.833214955170817</c:v>
                </c:pt>
                <c:pt idx="47">
                  <c:v>16.440004873411965</c:v>
                </c:pt>
                <c:pt idx="48">
                  <c:v>16.073404041799023</c:v>
                </c:pt>
                <c:pt idx="49">
                  <c:v>15.731361017960111</c:v>
                </c:pt>
                <c:pt idx="50">
                  <c:v>15.411984241773311</c:v>
                </c:pt>
                <c:pt idx="51">
                  <c:v>15.113533025931687</c:v>
                </c:pt>
                <c:pt idx="52">
                  <c:v>14.834408006172495</c:v>
                </c:pt>
                <c:pt idx="53">
                  <c:v>14.573141391164711</c:v>
                </c:pt>
                <c:pt idx="54">
                  <c:v>14.328387271995837</c:v>
                </c:pt>
                <c:pt idx="55">
                  <c:v>14.098912182643929</c:v>
                </c:pt>
                <c:pt idx="56">
                  <c:v>13.883586046019204</c:v>
                </c:pt>
                <c:pt idx="57">
                  <c:v>13.681373594427257</c:v>
                </c:pt>
                <c:pt idx="58">
                  <c:v>13.491326317431998</c:v>
                </c:pt>
                <c:pt idx="59">
                  <c:v>13.31257496267402</c:v>
                </c:pt>
                <c:pt idx="60">
                  <c:v>13.144322594801821</c:v>
                </c:pt>
                <c:pt idx="61">
                  <c:v>12.985838202956316</c:v>
                </c:pt>
                <c:pt idx="62">
                  <c:v>12.836450837044168</c:v>
                </c:pt>
                <c:pt idx="63">
                  <c:v>12.695544246326307</c:v>
                </c:pt>
                <c:pt idx="64">
                  <c:v>12.56255198980017</c:v>
                </c:pt>
                <c:pt idx="65">
                  <c:v>12.436952985794321</c:v>
                </c:pt>
                <c:pt idx="66">
                  <c:v>12.318267467580455</c:v>
                </c:pt>
                <c:pt idx="67">
                  <c:v>12.206053312218387</c:v>
                </c:pt>
                <c:pt idx="68">
                  <c:v>12.099902710965551</c:v>
                </c:pt>
                <c:pt idx="69">
                  <c:v>11.999439151151748</c:v>
                </c:pt>
                <c:pt idx="70">
                  <c:v>11.904314681265291</c:v>
                </c:pt>
                <c:pt idx="71">
                  <c:v>11.81420743298203</c:v>
                </c:pt>
                <c:pt idx="72">
                  <c:v>11.728819375895085</c:v>
                </c:pt>
                <c:pt idx="73">
                  <c:v>11.647874282707733</c:v>
                </c:pt>
                <c:pt idx="74">
                  <c:v>11.571115884588849</c:v>
                </c:pt>
                <c:pt idx="75">
                  <c:v>11.498306198224896</c:v>
                </c:pt>
                <c:pt idx="76">
                  <c:v>11.429224007825482</c:v>
                </c:pt>
                <c:pt idx="77">
                  <c:v>11.363663486934527</c:v>
                </c:pt>
                <c:pt idx="78">
                  <c:v>11.301432946374319</c:v>
                </c:pt>
                <c:pt idx="79">
                  <c:v>11.242353695989664</c:v>
                </c:pt>
                <c:pt idx="80">
                  <c:v>11.186259009089838</c:v>
                </c:pt>
                <c:pt idx="81">
                  <c:v>11.132993179597293</c:v>
                </c:pt>
                <c:pt idx="82">
                  <c:v>11.082410662915194</c:v>
                </c:pt>
                <c:pt idx="83">
                  <c:v>11.034375292436764</c:v>
                </c:pt>
                <c:pt idx="84">
                  <c:v>10.988759564434005</c:v>
                </c:pt>
                <c:pt idx="85">
                  <c:v>10.945443984800164</c:v>
                </c:pt>
                <c:pt idx="86">
                  <c:v>10.90431647177563</c:v>
                </c:pt>
                <c:pt idx="87">
                  <c:v>10.865271809385405</c:v>
                </c:pt>
                <c:pt idx="88">
                  <c:v>10.82821114683874</c:v>
                </c:pt>
                <c:pt idx="89">
                  <c:v>10.793041539624539</c:v>
                </c:pt>
                <c:pt idx="90">
                  <c:v>10.759675528457706</c:v>
                </c:pt>
                <c:pt idx="91">
                  <c:v>10.728030752612753</c:v>
                </c:pt>
                <c:pt idx="92">
                  <c:v>10.698029594527853</c:v>
                </c:pt>
                <c:pt idx="93">
                  <c:v>10.669598852862777</c:v>
                </c:pt>
                <c:pt idx="94">
                  <c:v>10.642669441473686</c:v>
                </c:pt>
                <c:pt idx="95">
                  <c:v>10.617176112010839</c:v>
                </c:pt>
                <c:pt idx="96">
                  <c:v>10.593057198067953</c:v>
                </c:pt>
                <c:pt idx="97">
                  <c:v>10.570254379010407</c:v>
                </c:pt>
                <c:pt idx="98">
                  <c:v>10.548712461784476</c:v>
                </c:pt>
                <c:pt idx="99">
                  <c:v>10.528379179174806</c:v>
                </c:pt>
                <c:pt idx="100">
                  <c:v>10.509205003115568</c:v>
                </c:pt>
                <c:pt idx="101">
                  <c:v>10.491142971795114</c:v>
                </c:pt>
                <c:pt idx="102">
                  <c:v>10.474148529403834</c:v>
                </c:pt>
                <c:pt idx="103">
                  <c:v>10.458179377489984</c:v>
                </c:pt>
                <c:pt idx="104">
                  <c:v>10.443195336968984</c:v>
                </c:pt>
                <c:pt idx="105">
                  <c:v>10.429158219930741</c:v>
                </c:pt>
                <c:pt idx="106">
                  <c:v>10.416031710456025</c:v>
                </c:pt>
                <c:pt idx="107">
                  <c:v>10.403781253728141</c:v>
                </c:pt>
                <c:pt idx="108">
                  <c:v>10.392373952786471</c:v>
                </c:pt>
                <c:pt idx="109">
                  <c:v>10.381778472327596</c:v>
                </c:pt>
                <c:pt idx="110">
                  <c:v>10.371964949006838</c:v>
                </c:pt>
                <c:pt idx="111">
                  <c:v>10.362904907744536</c:v>
                </c:pt>
                <c:pt idx="112">
                  <c:v>10.354571183581754</c:v>
                </c:pt>
                <c:pt idx="113">
                  <c:v>10.346937848665846</c:v>
                </c:pt>
                <c:pt idx="114">
                  <c:v>10.339980143986963</c:v>
                </c:pt>
                <c:pt idx="115">
                  <c:v>10.333674415510757</c:v>
                </c:pt>
                <c:pt idx="116">
                  <c:v>10.327998054389383</c:v>
                </c:pt>
                <c:pt idx="117">
                  <c:v>10.322929440953004</c:v>
                </c:pt>
                <c:pt idx="118">
                  <c:v>10.318447892208184</c:v>
                </c:pt>
                <c:pt idx="119">
                  <c:v>10.314533612598154</c:v>
                </c:pt>
                <c:pt idx="120">
                  <c:v>10.311167647789205</c:v>
                </c:pt>
                <c:pt idx="121">
                  <c:v>10.308331841275276</c:v>
                </c:pt>
                <c:pt idx="122">
                  <c:v>10.306008793602274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D8-40DB-AADE-9317265F7946}"/>
            </c:ext>
          </c:extLst>
        </c:ser>
        <c:ser>
          <c:idx val="1"/>
          <c:order val="1"/>
          <c:tx>
            <c:strRef>
              <c:f>'New_cases_rates - LNorm'!$AV$7</c:f>
              <c:strCache>
                <c:ptCount val="1"/>
                <c:pt idx="0">
                  <c:v>Lombardy h.t.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LNorm'!$C$63:$C$184</c:f>
              <c:numCache>
                <c:formatCode>General</c:formatCode>
                <c:ptCount val="122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  <c:pt idx="68">
                  <c:v>124</c:v>
                </c:pt>
                <c:pt idx="69">
                  <c:v>125</c:v>
                </c:pt>
                <c:pt idx="70">
                  <c:v>126</c:v>
                </c:pt>
                <c:pt idx="71">
                  <c:v>127</c:v>
                </c:pt>
                <c:pt idx="72">
                  <c:v>128</c:v>
                </c:pt>
                <c:pt idx="73">
                  <c:v>129</c:v>
                </c:pt>
                <c:pt idx="74">
                  <c:v>130</c:v>
                </c:pt>
                <c:pt idx="75">
                  <c:v>131</c:v>
                </c:pt>
                <c:pt idx="76">
                  <c:v>132</c:v>
                </c:pt>
                <c:pt idx="77">
                  <c:v>133</c:v>
                </c:pt>
                <c:pt idx="78">
                  <c:v>134</c:v>
                </c:pt>
                <c:pt idx="79">
                  <c:v>135</c:v>
                </c:pt>
                <c:pt idx="80">
                  <c:v>136</c:v>
                </c:pt>
                <c:pt idx="81">
                  <c:v>137</c:v>
                </c:pt>
                <c:pt idx="82">
                  <c:v>138</c:v>
                </c:pt>
                <c:pt idx="83">
                  <c:v>139</c:v>
                </c:pt>
                <c:pt idx="84">
                  <c:v>140</c:v>
                </c:pt>
                <c:pt idx="85">
                  <c:v>141</c:v>
                </c:pt>
                <c:pt idx="86">
                  <c:v>142</c:v>
                </c:pt>
                <c:pt idx="87">
                  <c:v>143</c:v>
                </c:pt>
                <c:pt idx="88">
                  <c:v>144</c:v>
                </c:pt>
                <c:pt idx="89">
                  <c:v>145</c:v>
                </c:pt>
                <c:pt idx="90">
                  <c:v>146</c:v>
                </c:pt>
                <c:pt idx="91">
                  <c:v>147</c:v>
                </c:pt>
                <c:pt idx="92">
                  <c:v>148</c:v>
                </c:pt>
                <c:pt idx="93">
                  <c:v>149</c:v>
                </c:pt>
                <c:pt idx="94">
                  <c:v>150</c:v>
                </c:pt>
                <c:pt idx="95">
                  <c:v>151</c:v>
                </c:pt>
                <c:pt idx="96">
                  <c:v>152</c:v>
                </c:pt>
                <c:pt idx="97">
                  <c:v>153</c:v>
                </c:pt>
                <c:pt idx="98">
                  <c:v>154</c:v>
                </c:pt>
                <c:pt idx="99">
                  <c:v>155</c:v>
                </c:pt>
                <c:pt idx="100">
                  <c:v>156</c:v>
                </c:pt>
                <c:pt idx="101">
                  <c:v>157</c:v>
                </c:pt>
                <c:pt idx="102">
                  <c:v>158</c:v>
                </c:pt>
                <c:pt idx="103">
                  <c:v>159</c:v>
                </c:pt>
                <c:pt idx="104">
                  <c:v>160</c:v>
                </c:pt>
                <c:pt idx="105">
                  <c:v>161</c:v>
                </c:pt>
                <c:pt idx="106">
                  <c:v>162</c:v>
                </c:pt>
                <c:pt idx="107">
                  <c:v>163</c:v>
                </c:pt>
                <c:pt idx="108">
                  <c:v>164</c:v>
                </c:pt>
                <c:pt idx="109">
                  <c:v>165</c:v>
                </c:pt>
                <c:pt idx="110">
                  <c:v>166</c:v>
                </c:pt>
                <c:pt idx="111">
                  <c:v>167</c:v>
                </c:pt>
                <c:pt idx="112">
                  <c:v>168</c:v>
                </c:pt>
                <c:pt idx="113">
                  <c:v>169</c:v>
                </c:pt>
                <c:pt idx="114">
                  <c:v>170</c:v>
                </c:pt>
                <c:pt idx="115">
                  <c:v>171</c:v>
                </c:pt>
                <c:pt idx="116">
                  <c:v>172</c:v>
                </c:pt>
                <c:pt idx="117">
                  <c:v>173</c:v>
                </c:pt>
                <c:pt idx="118">
                  <c:v>174</c:v>
                </c:pt>
                <c:pt idx="119">
                  <c:v>175</c:v>
                </c:pt>
                <c:pt idx="120">
                  <c:v>176</c:v>
                </c:pt>
                <c:pt idx="121">
                  <c:v>177</c:v>
                </c:pt>
              </c:numCache>
            </c:numRef>
          </c:xVal>
          <c:yVal>
            <c:numRef>
              <c:f>'New_cases_rates - LNorm'!$AV$63:$AV$184</c:f>
              <c:numCache>
                <c:formatCode>General</c:formatCode>
                <c:ptCount val="122"/>
                <c:pt idx="0">
                  <c:v>108.24294714213062</c:v>
                </c:pt>
                <c:pt idx="1">
                  <c:v>102.65240048328374</c:v>
                </c:pt>
                <c:pt idx="2">
                  <c:v>97.433636056669286</c:v>
                </c:pt>
                <c:pt idx="3">
                  <c:v>92.548765503856586</c:v>
                </c:pt>
                <c:pt idx="4">
                  <c:v>87.965338634410401</c:v>
                </c:pt>
                <c:pt idx="5">
                  <c:v>83.655443274900563</c:v>
                </c:pt>
                <c:pt idx="6">
                  <c:v>79.594980306174762</c:v>
                </c:pt>
                <c:pt idx="7">
                  <c:v>75.76307496417239</c:v>
                </c:pt>
                <c:pt idx="8">
                  <c:v>72.141594877848391</c:v>
                </c:pt>
                <c:pt idx="9">
                  <c:v>68.714752200541227</c:v>
                </c:pt>
                <c:pt idx="10">
                  <c:v>65.46877228460248</c:v>
                </c:pt>
                <c:pt idx="11">
                  <c:v>62.391615158997027</c:v>
                </c:pt>
                <c:pt idx="12">
                  <c:v>59.472738953723649</c:v>
                </c:pt>
                <c:pt idx="13">
                  <c:v>56.702896630891004</c:v>
                </c:pt>
                <c:pt idx="14">
                  <c:v>54.073959118774027</c:v>
                </c:pt>
                <c:pt idx="15">
                  <c:v>51.578759342402293</c:v>
                </c:pt>
                <c:pt idx="16">
                  <c:v>49.210952806937058</c:v>
                </c:pt>
                <c:pt idx="17">
                  <c:v>46.964891395265752</c:v>
                </c:pt>
                <c:pt idx="18">
                  <c:v>44.835507941912041</c:v>
                </c:pt>
                <c:pt idx="19">
                  <c:v>42.818209972147045</c:v>
                </c:pt>
                <c:pt idx="20">
                  <c:v>40.908781756597364</c:v>
                </c:pt>
                <c:pt idx="21">
                  <c:v>39.103294515078701</c:v>
                </c:pt>
                <c:pt idx="22">
                  <c:v>37.398025178104874</c:v>
                </c:pt>
                <c:pt idx="23">
                  <c:v>35.789384538142386</c:v>
                </c:pt>
                <c:pt idx="24">
                  <c:v>34.273855851298123</c:v>
                </c:pt>
                <c:pt idx="25">
                  <c:v>32.847944951181603</c:v>
                </c:pt>
                <c:pt idx="26">
                  <c:v>31.508142701776976</c:v>
                </c:pt>
                <c:pt idx="27">
                  <c:v>30.250900170112018</c:v>
                </c:pt>
                <c:pt idx="28">
                  <c:v>29.072616302125709</c:v>
                </c:pt>
                <c:pt idx="29">
                  <c:v>27.969637223739355</c:v>
                </c:pt>
                <c:pt idx="30">
                  <c:v>26.938265663087549</c:v>
                </c:pt>
                <c:pt idx="31">
                  <c:v>25.974778490948722</c:v>
                </c:pt>
                <c:pt idx="32">
                  <c:v>25.075450070806539</c:v>
                </c:pt>
                <c:pt idx="33">
                  <c:v>24.236579026940362</c:v>
                </c:pt>
                <c:pt idx="34">
                  <c:v>23.454516168964588</c:v>
                </c:pt>
                <c:pt idx="35">
                  <c:v>22.725691613092152</c:v>
                </c:pt>
                <c:pt idx="36">
                  <c:v>22.046639553959395</c:v>
                </c:pt>
                <c:pt idx="37">
                  <c:v>21.414019601398252</c:v>
                </c:pt>
                <c:pt idx="38">
                  <c:v>20.824634046698975</c:v>
                </c:pt>
                <c:pt idx="39">
                  <c:v>20.275440820140986</c:v>
                </c:pt>
                <c:pt idx="40">
                  <c:v>19.763562220773423</c:v>
                </c:pt>
                <c:pt idx="41">
                  <c:v>19.286289731619561</c:v>
                </c:pt>
                <c:pt idx="42">
                  <c:v>18.84108538212368</c:v>
                </c:pt>
                <c:pt idx="43">
                  <c:v>18.425580196201395</c:v>
                </c:pt>
                <c:pt idx="44">
                  <c:v>18.037570283984067</c:v>
                </c:pt>
                <c:pt idx="45">
                  <c:v>17.675011114172236</c:v>
                </c:pt>
                <c:pt idx="46">
                  <c:v>17.336010456293323</c:v>
                </c:pt>
                <c:pt idx="47">
                  <c:v>17.018820420008026</c:v>
                </c:pt>
                <c:pt idx="48">
                  <c:v>16.721828950957374</c:v>
                </c:pt>
                <c:pt idx="49">
                  <c:v>16.44355107581562</c:v>
                </c:pt>
                <c:pt idx="50">
                  <c:v>16.182620127214776</c:v>
                </c:pt>
                <c:pt idx="51">
                  <c:v>15.937779124260302</c:v>
                </c:pt>
                <c:pt idx="52">
                  <c:v>15.707872437368451</c:v>
                </c:pt>
                <c:pt idx="53">
                  <c:v>15.491837827154228</c:v>
                </c:pt>
                <c:pt idx="54">
                  <c:v>15.288698915572965</c:v>
                </c:pt>
                <c:pt idx="55">
                  <c:v>15.09755812265972</c:v>
                </c:pt>
                <c:pt idx="56">
                  <c:v>14.917590083083738</c:v>
                </c:pt>
                <c:pt idx="57">
                  <c:v>14.748035542411444</c:v>
                </c:pt>
                <c:pt idx="58">
                  <c:v>14.588195722565899</c:v>
                </c:pt>
                <c:pt idx="59">
                  <c:v>14.437427138699974</c:v>
                </c:pt>
                <c:pt idx="60">
                  <c:v>14.295136844896177</c:v>
                </c:pt>
                <c:pt idx="61">
                  <c:v>14.16077808319227</c:v>
                </c:pt>
                <c:pt idx="62">
                  <c:v>14.033846308952548</c:v>
                </c:pt>
                <c:pt idx="63">
                  <c:v>13.91387556518508</c:v>
                </c:pt>
                <c:pt idx="64">
                  <c:v>13.800435178739519</c:v>
                </c:pt>
                <c:pt idx="65">
                  <c:v>13.693126752196051</c:v>
                </c:pt>
                <c:pt idx="66">
                  <c:v>13.591581426473411</c:v>
                </c:pt>
                <c:pt idx="67">
                  <c:v>13.495457390627209</c:v>
                </c:pt>
                <c:pt idx="68">
                  <c:v>13.404437616866659</c:v>
                </c:pt>
                <c:pt idx="69">
                  <c:v>13.318227800420431</c:v>
                </c:pt>
                <c:pt idx="70">
                  <c:v>13.23655448547575</c:v>
                </c:pt>
                <c:pt idx="71">
                  <c:v>13.159163359965447</c:v>
                </c:pt>
                <c:pt idx="72">
                  <c:v>13.085817703456797</c:v>
                </c:pt>
                <c:pt idx="73">
                  <c:v>13.016296973793317</c:v>
                </c:pt>
                <c:pt idx="74">
                  <c:v>12.950395519447738</c:v>
                </c:pt>
                <c:pt idx="75">
                  <c:v>12.887921405748017</c:v>
                </c:pt>
                <c:pt idx="76">
                  <c:v>12.828695344257341</c:v>
                </c:pt>
                <c:pt idx="77">
                  <c:v>12.77254971560518</c:v>
                </c:pt>
                <c:pt idx="78">
                  <c:v>12.719327677001672</c:v>
                </c:pt>
                <c:pt idx="79">
                  <c:v>12.668882346508923</c:v>
                </c:pt>
                <c:pt idx="80">
                  <c:v>12.621076056917317</c:v>
                </c:pt>
                <c:pt idx="81">
                  <c:v>12.575779672767084</c:v>
                </c:pt>
                <c:pt idx="82">
                  <c:v>12.532871964684489</c:v>
                </c:pt>
                <c:pt idx="83">
                  <c:v>12.492239035770481</c:v>
                </c:pt>
                <c:pt idx="84">
                  <c:v>12.453773795292378</c:v>
                </c:pt>
                <c:pt idx="85">
                  <c:v>12.417375475386706</c:v>
                </c:pt>
                <c:pt idx="86">
                  <c:v>12.382949186899708</c:v>
                </c:pt>
                <c:pt idx="87">
                  <c:v>12.350405510865585</c:v>
                </c:pt>
                <c:pt idx="88">
                  <c:v>12.319660122456625</c:v>
                </c:pt>
                <c:pt idx="89">
                  <c:v>12.290633444544497</c:v>
                </c:pt>
                <c:pt idx="90">
                  <c:v>12.263250328282268</c:v>
                </c:pt>
                <c:pt idx="91">
                  <c:v>12.237439758362967</c:v>
                </c:pt>
                <c:pt idx="92">
                  <c:v>12.213134580831166</c:v>
                </c:pt>
                <c:pt idx="93">
                  <c:v>12.190271251522148</c:v>
                </c:pt>
                <c:pt idx="94">
                  <c:v>12.168789603381555</c:v>
                </c:pt>
                <c:pt idx="95">
                  <c:v>12.148632631081853</c:v>
                </c:pt>
                <c:pt idx="96">
                  <c:v>12.129746291493888</c:v>
                </c:pt>
                <c:pt idx="97">
                  <c:v>12.112079318707629</c:v>
                </c:pt>
                <c:pt idx="98">
                  <c:v>12.095583052407989</c:v>
                </c:pt>
                <c:pt idx="99">
                  <c:v>12.080211278525638</c:v>
                </c:pt>
                <c:pt idx="100">
                  <c:v>12.065920081173914</c:v>
                </c:pt>
                <c:pt idx="101">
                  <c:v>12.052667704972436</c:v>
                </c:pt>
                <c:pt idx="102">
                  <c:v>12.040414426937048</c:v>
                </c:pt>
                <c:pt idx="103">
                  <c:v>12.029122437185407</c:v>
                </c:pt>
                <c:pt idx="104">
                  <c:v>12.018755727775243</c:v>
                </c:pt>
                <c:pt idx="105">
                  <c:v>12.009279989049276</c:v>
                </c:pt>
                <c:pt idx="106">
                  <c:v>12.000662512911731</c:v>
                </c:pt>
                <c:pt idx="107">
                  <c:v>11.992872102515946</c:v>
                </c:pt>
                <c:pt idx="108">
                  <c:v>11.985878987877669</c:v>
                </c:pt>
                <c:pt idx="109">
                  <c:v>11.979654746979065</c:v>
                </c:pt>
                <c:pt idx="110">
                  <c:v>11.97417223195464</c:v>
                </c:pt>
                <c:pt idx="111">
                  <c:v>11.969405499988937</c:v>
                </c:pt>
                <c:pt idx="112">
                  <c:v>11.965329748587351</c:v>
                </c:pt>
                <c:pt idx="113">
                  <c:v>11.961921254901341</c:v>
                </c:pt>
                <c:pt idx="114">
                  <c:v>11.959157318824822</c:v>
                </c:pt>
                <c:pt idx="115">
                  <c:v>11.9570162095917</c:v>
                </c:pt>
                <c:pt idx="116">
                  <c:v>11.955477115631965</c:v>
                </c:pt>
                <c:pt idx="117">
                  <c:v>11.954520097458243</c:v>
                </c:pt>
                <c:pt idx="118">
                  <c:v>11.954126043377158</c:v>
                </c:pt>
                <c:pt idx="119">
                  <c:v>11.954276627830325</c:v>
                </c:pt>
                <c:pt idx="120">
                  <c:v>11.954954272188075</c:v>
                </c:pt>
                <c:pt idx="121">
                  <c:v>11.956142107832676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D8-40DB-AADE-9317265F7946}"/>
            </c:ext>
          </c:extLst>
        </c:ser>
        <c:ser>
          <c:idx val="2"/>
          <c:order val="2"/>
          <c:tx>
            <c:strRef>
              <c:f>'New_cases_rates - LNorm'!$BQ$7</c:f>
              <c:strCache>
                <c:ptCount val="1"/>
                <c:pt idx="0">
                  <c:v>rest of Italy h.t.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LNorm'!$C$63:$C$184</c:f>
              <c:numCache>
                <c:formatCode>General</c:formatCode>
                <c:ptCount val="122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  <c:pt idx="68">
                  <c:v>124</c:v>
                </c:pt>
                <c:pt idx="69">
                  <c:v>125</c:v>
                </c:pt>
                <c:pt idx="70">
                  <c:v>126</c:v>
                </c:pt>
                <c:pt idx="71">
                  <c:v>127</c:v>
                </c:pt>
                <c:pt idx="72">
                  <c:v>128</c:v>
                </c:pt>
                <c:pt idx="73">
                  <c:v>129</c:v>
                </c:pt>
                <c:pt idx="74">
                  <c:v>130</c:v>
                </c:pt>
                <c:pt idx="75">
                  <c:v>131</c:v>
                </c:pt>
                <c:pt idx="76">
                  <c:v>132</c:v>
                </c:pt>
                <c:pt idx="77">
                  <c:v>133</c:v>
                </c:pt>
                <c:pt idx="78">
                  <c:v>134</c:v>
                </c:pt>
                <c:pt idx="79">
                  <c:v>135</c:v>
                </c:pt>
                <c:pt idx="80">
                  <c:v>136</c:v>
                </c:pt>
                <c:pt idx="81">
                  <c:v>137</c:v>
                </c:pt>
                <c:pt idx="82">
                  <c:v>138</c:v>
                </c:pt>
                <c:pt idx="83">
                  <c:v>139</c:v>
                </c:pt>
                <c:pt idx="84">
                  <c:v>140</c:v>
                </c:pt>
                <c:pt idx="85">
                  <c:v>141</c:v>
                </c:pt>
                <c:pt idx="86">
                  <c:v>142</c:v>
                </c:pt>
                <c:pt idx="87">
                  <c:v>143</c:v>
                </c:pt>
                <c:pt idx="88">
                  <c:v>144</c:v>
                </c:pt>
                <c:pt idx="89">
                  <c:v>145</c:v>
                </c:pt>
                <c:pt idx="90">
                  <c:v>146</c:v>
                </c:pt>
                <c:pt idx="91">
                  <c:v>147</c:v>
                </c:pt>
                <c:pt idx="92">
                  <c:v>148</c:v>
                </c:pt>
                <c:pt idx="93">
                  <c:v>149</c:v>
                </c:pt>
                <c:pt idx="94">
                  <c:v>150</c:v>
                </c:pt>
                <c:pt idx="95">
                  <c:v>151</c:v>
                </c:pt>
                <c:pt idx="96">
                  <c:v>152</c:v>
                </c:pt>
                <c:pt idx="97">
                  <c:v>153</c:v>
                </c:pt>
                <c:pt idx="98">
                  <c:v>154</c:v>
                </c:pt>
                <c:pt idx="99">
                  <c:v>155</c:v>
                </c:pt>
                <c:pt idx="100">
                  <c:v>156</c:v>
                </c:pt>
                <c:pt idx="101">
                  <c:v>157</c:v>
                </c:pt>
                <c:pt idx="102">
                  <c:v>158</c:v>
                </c:pt>
                <c:pt idx="103">
                  <c:v>159</c:v>
                </c:pt>
                <c:pt idx="104">
                  <c:v>160</c:v>
                </c:pt>
                <c:pt idx="105">
                  <c:v>161</c:v>
                </c:pt>
                <c:pt idx="106">
                  <c:v>162</c:v>
                </c:pt>
                <c:pt idx="107">
                  <c:v>163</c:v>
                </c:pt>
                <c:pt idx="108">
                  <c:v>164</c:v>
                </c:pt>
                <c:pt idx="109">
                  <c:v>165</c:v>
                </c:pt>
                <c:pt idx="110">
                  <c:v>166</c:v>
                </c:pt>
                <c:pt idx="111">
                  <c:v>167</c:v>
                </c:pt>
                <c:pt idx="112">
                  <c:v>168</c:v>
                </c:pt>
                <c:pt idx="113">
                  <c:v>169</c:v>
                </c:pt>
                <c:pt idx="114">
                  <c:v>170</c:v>
                </c:pt>
                <c:pt idx="115">
                  <c:v>171</c:v>
                </c:pt>
                <c:pt idx="116">
                  <c:v>172</c:v>
                </c:pt>
                <c:pt idx="117">
                  <c:v>173</c:v>
                </c:pt>
                <c:pt idx="118">
                  <c:v>174</c:v>
                </c:pt>
                <c:pt idx="119">
                  <c:v>175</c:v>
                </c:pt>
                <c:pt idx="120">
                  <c:v>176</c:v>
                </c:pt>
                <c:pt idx="121">
                  <c:v>177</c:v>
                </c:pt>
              </c:numCache>
            </c:numRef>
          </c:xVal>
          <c:yVal>
            <c:numRef>
              <c:f>'New_cases_rates - LNorm'!$BQ$63:$BQ$184</c:f>
              <c:numCache>
                <c:formatCode>General</c:formatCode>
                <c:ptCount val="122"/>
                <c:pt idx="0">
                  <c:v>137.50156096206484</c:v>
                </c:pt>
                <c:pt idx="1">
                  <c:v>128.92287040881178</c:v>
                </c:pt>
                <c:pt idx="2">
                  <c:v>121.11420490147638</c:v>
                </c:pt>
                <c:pt idx="3">
                  <c:v>113.96901199151684</c:v>
                </c:pt>
                <c:pt idx="4">
                  <c:v>107.40001448598478</c:v>
                </c:pt>
                <c:pt idx="5">
                  <c:v>101.33509003292285</c:v>
                </c:pt>
                <c:pt idx="6">
                  <c:v>95.71416956875639</c:v>
                </c:pt>
                <c:pt idx="7">
                  <c:v>90.486872647777247</c:v>
                </c:pt>
                <c:pt idx="8">
                  <c:v>85.610683421159749</c:v>
                </c:pt>
                <c:pt idx="9">
                  <c:v>81.049528483947128</c:v>
                </c:pt>
                <c:pt idx="10">
                  <c:v>76.7726569608527</c:v>
                </c:pt>
                <c:pt idx="11">
                  <c:v>72.753750298235076</c:v>
                </c:pt>
                <c:pt idx="12">
                  <c:v>68.970208245958005</c:v>
                </c:pt>
                <c:pt idx="13">
                  <c:v>65.402571027928062</c:v>
                </c:pt>
                <c:pt idx="14">
                  <c:v>62.034047416134513</c:v>
                </c:pt>
                <c:pt idx="15">
                  <c:v>58.850125483065497</c:v>
                </c:pt>
                <c:pt idx="16">
                  <c:v>55.838247993008139</c:v>
                </c:pt>
                <c:pt idx="17">
                  <c:v>52.987538249240416</c:v>
                </c:pt>
                <c:pt idx="18">
                  <c:v>50.288565131153732</c:v>
                </c:pt>
                <c:pt idx="19">
                  <c:v>47.733138318953664</c:v>
                </c:pt>
                <c:pt idx="20">
                  <c:v>45.314126529506694</c:v>
                </c:pt>
                <c:pt idx="21">
                  <c:v>43.025293140169225</c:v>
                </c:pt>
                <c:pt idx="22">
                  <c:v>40.861144981946424</c:v>
                </c:pt>
                <c:pt idx="23">
                  <c:v>38.816791423312154</c:v>
                </c:pt>
                <c:pt idx="24">
                  <c:v>36.887812182076928</c:v>
                </c:pt>
                <c:pt idx="25">
                  <c:v>35.070133585781235</c:v>
                </c:pt>
                <c:pt idx="26">
                  <c:v>33.359914189656564</c:v>
                </c:pt>
                <c:pt idx="27">
                  <c:v>31.753441647094405</c:v>
                </c:pt>
                <c:pt idx="28">
                  <c:v>30.247043375867236</c:v>
                </c:pt>
                <c:pt idx="29">
                  <c:v>28.837013746623839</c:v>
                </c:pt>
                <c:pt idx="30">
                  <c:v>27.519560161501218</c:v>
                </c:pt>
                <c:pt idx="31">
                  <c:v>26.29076950243747</c:v>
                </c:pt>
                <c:pt idx="32">
                  <c:v>25.146595131334891</c:v>
                </c:pt>
                <c:pt idx="33">
                  <c:v>24.082863132712205</c:v>
                </c:pt>
                <c:pt idx="34">
                  <c:v>23.095295067926685</c:v>
                </c:pt>
                <c:pt idx="35">
                  <c:v>22.179543406737338</c:v>
                </c:pt>
                <c:pt idx="36">
                  <c:v>21.331235188430639</c:v>
                </c:pt>
                <c:pt idx="37">
                  <c:v>20.546019399725878</c:v>
                </c:pt>
                <c:pt idx="38">
                  <c:v>19.819613985641794</c:v>
                </c:pt>
                <c:pt idx="39">
                  <c:v>19.147849194911331</c:v>
                </c:pt>
                <c:pt idx="40">
                  <c:v>18.526704929293132</c:v>
                </c:pt>
                <c:pt idx="41">
                  <c:v>17.952340750478854</c:v>
                </c:pt>
                <c:pt idx="42">
                  <c:v>17.421118072746367</c:v>
                </c:pt>
                <c:pt idx="43">
                  <c:v>16.929614759526316</c:v>
                </c:pt>
                <c:pt idx="44">
                  <c:v>16.474632822259522</c:v>
                </c:pt>
                <c:pt idx="45">
                  <c:v>16.053200201985732</c:v>
                </c:pt>
                <c:pt idx="46">
                  <c:v>15.66256773178435</c:v>
                </c:pt>
                <c:pt idx="47">
                  <c:v>15.300202373930716</c:v>
                </c:pt>
                <c:pt idx="48">
                  <c:v>14.963777741104423</c:v>
                </c:pt>
                <c:pt idx="49">
                  <c:v>14.651162781476827</c:v>
                </c:pt>
                <c:pt idx="50">
                  <c:v>14.360409359908743</c:v>
                </c:pt>
                <c:pt idx="51">
                  <c:v>14.089739320240838</c:v>
                </c:pt>
                <c:pt idx="52">
                  <c:v>13.837531478101425</c:v>
                </c:pt>
                <c:pt idx="53">
                  <c:v>13.602308875624161</c:v>
                </c:pt>
                <c:pt idx="54">
                  <c:v>13.38272653101123</c:v>
                </c:pt>
                <c:pt idx="55">
                  <c:v>13.177559836596046</c:v>
                </c:pt>
                <c:pt idx="56">
                  <c:v>12.985693697184871</c:v>
                </c:pt>
                <c:pt idx="57">
                  <c:v>12.806112453597123</c:v>
                </c:pt>
                <c:pt idx="58">
                  <c:v>12.637890601899969</c:v>
                </c:pt>
                <c:pt idx="59">
                  <c:v>12.480184294424546</c:v>
                </c:pt>
                <c:pt idx="60">
                  <c:v>12.332223592074797</c:v>
                </c:pt>
                <c:pt idx="61">
                  <c:v>12.193305426867184</c:v>
                </c:pt>
                <c:pt idx="62">
                  <c:v>12.062787227540653</c:v>
                </c:pt>
                <c:pt idx="63">
                  <c:v>11.940081158256007</c:v>
                </c:pt>
                <c:pt idx="64">
                  <c:v>11.824648919903211</c:v>
                </c:pt>
                <c:pt idx="65">
                  <c:v>11.715997064634237</c:v>
                </c:pt>
                <c:pt idx="66">
                  <c:v>11.613672776385826</c:v>
                </c:pt>
                <c:pt idx="67">
                  <c:v>11.517260072950521</c:v>
                </c:pt>
                <c:pt idx="68">
                  <c:v>11.426376388297001</c:v>
                </c:pt>
                <c:pt idx="69">
                  <c:v>11.340669497125546</c:v>
                </c:pt>
                <c:pt idx="70">
                  <c:v>11.259814746925386</c:v>
                </c:pt>
                <c:pt idx="71">
                  <c:v>11.183512565984785</c:v>
                </c:pt>
                <c:pt idx="72">
                  <c:v>11.111486218823885</c:v>
                </c:pt>
                <c:pt idx="73">
                  <c:v>11.043479783344637</c:v>
                </c:pt>
                <c:pt idx="74">
                  <c:v>10.979256326603078</c:v>
                </c:pt>
                <c:pt idx="75">
                  <c:v>10.918596258498482</c:v>
                </c:pt>
                <c:pt idx="76">
                  <c:v>10.861295844844605</c:v>
                </c:pt>
                <c:pt idx="77">
                  <c:v>10.807165863258049</c:v>
                </c:pt>
                <c:pt idx="78">
                  <c:v>10.756030387066431</c:v>
                </c:pt>
                <c:pt idx="79">
                  <c:v>10.707725684026244</c:v>
                </c:pt>
                <c:pt idx="80">
                  <c:v>10.662099218066629</c:v>
                </c:pt>
                <c:pt idx="81">
                  <c:v>10.619008743541272</c:v>
                </c:pt>
                <c:pt idx="82">
                  <c:v>10.578321482606583</c:v>
                </c:pt>
                <c:pt idx="83">
                  <c:v>10.539913377352519</c:v>
                </c:pt>
                <c:pt idx="84">
                  <c:v>10.503668409210619</c:v>
                </c:pt>
                <c:pt idx="85">
                  <c:v>10.469477978962985</c:v>
                </c:pt>
                <c:pt idx="86">
                  <c:v>10.437240341386953</c:v>
                </c:pt>
                <c:pt idx="87">
                  <c:v>10.406860089202894</c:v>
                </c:pt>
                <c:pt idx="88">
                  <c:v>10.378247681551485</c:v>
                </c:pt>
                <c:pt idx="89">
                  <c:v>10.351319012729078</c:v>
                </c:pt>
                <c:pt idx="90">
                  <c:v>10.325995017353307</c:v>
                </c:pt>
                <c:pt idx="91">
                  <c:v>10.302201308528169</c:v>
                </c:pt>
                <c:pt idx="92">
                  <c:v>10.279867845923974</c:v>
                </c:pt>
                <c:pt idx="93">
                  <c:v>10.258928631010406</c:v>
                </c:pt>
                <c:pt idx="94">
                  <c:v>10.239321426952799</c:v>
                </c:pt>
                <c:pt idx="95">
                  <c:v>10.220987500932836</c:v>
                </c:pt>
                <c:pt idx="96">
                  <c:v>10.203871386882113</c:v>
                </c:pt>
                <c:pt idx="97">
                  <c:v>10.187920666807585</c:v>
                </c:pt>
                <c:pt idx="98">
                  <c:v>10.173085769072685</c:v>
                </c:pt>
                <c:pt idx="99">
                  <c:v>10.159319782152991</c:v>
                </c:pt>
                <c:pt idx="100">
                  <c:v>10.146578282529291</c:v>
                </c:pt>
                <c:pt idx="101">
                  <c:v>10.134819175506763</c:v>
                </c:pt>
                <c:pt idx="102">
                  <c:v>10.124002547865942</c:v>
                </c:pt>
                <c:pt idx="103">
                  <c:v>10.114090531350158</c:v>
                </c:pt>
                <c:pt idx="104">
                  <c:v>10.105047176089798</c:v>
                </c:pt>
                <c:pt idx="105">
                  <c:v>10.096838333145158</c:v>
                </c:pt>
                <c:pt idx="106">
                  <c:v>10.08943154542338</c:v>
                </c:pt>
                <c:pt idx="107">
                  <c:v>10.082795946294127</c:v>
                </c:pt>
                <c:pt idx="108">
                  <c:v>10.07690216528708</c:v>
                </c:pt>
                <c:pt idx="109">
                  <c:v>10.071722240311303</c:v>
                </c:pt>
                <c:pt idx="110">
                  <c:v>10.06722953588411</c:v>
                </c:pt>
                <c:pt idx="111">
                  <c:v>10.063398666902458</c:v>
                </c:pt>
                <c:pt idx="112">
                  <c:v>10.06020542752924</c:v>
                </c:pt>
                <c:pt idx="113">
                  <c:v>10.057626724806511</c:v>
                </c:pt>
                <c:pt idx="114">
                  <c:v>10.05564051663589</c:v>
                </c:pt>
                <c:pt idx="115">
                  <c:v>10.05422575380112</c:v>
                </c:pt>
                <c:pt idx="116">
                  <c:v>10.053362325732166</c:v>
                </c:pt>
                <c:pt idx="117">
                  <c:v>10.053031009735747</c:v>
                </c:pt>
                <c:pt idx="118">
                  <c:v>10.053213423441122</c:v>
                </c:pt>
                <c:pt idx="119">
                  <c:v>10.053891980227121</c:v>
                </c:pt>
                <c:pt idx="120">
                  <c:v>10.055049847419298</c:v>
                </c:pt>
                <c:pt idx="121">
                  <c:v>10.056670907060067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D8-40DB-AADE-9317265F7946}"/>
            </c:ext>
          </c:extLst>
        </c:ser>
        <c:ser>
          <c:idx val="3"/>
          <c:order val="3"/>
          <c:tx>
            <c:strRef>
              <c:f>'New_cases_rates - LNorm'!$B$6</c:f>
              <c:strCache>
                <c:ptCount val="1"/>
                <c:pt idx="0">
                  <c:v>29-Apr</c:v>
                </c:pt>
              </c:strCache>
            </c:strRef>
          </c:tx>
          <c:spPr>
            <a:ln w="19050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('New_cases_rates - LNorm'!$C$6,'New_cases_rates - LNorm'!$C$6)</c:f>
              <c:numCache>
                <c:formatCode>General</c:formatCode>
                <c:ptCount val="2"/>
                <c:pt idx="0">
                  <c:v>120</c:v>
                </c:pt>
                <c:pt idx="1">
                  <c:v>120</c:v>
                </c:pt>
              </c:numCache>
            </c:numRef>
          </c:xVal>
          <c:yVal>
            <c:numRef>
              <c:f>('New_cases_rates - LNorm'!$D$6,'New_cases_rates - LNorm'!$E$6)</c:f>
              <c:numCache>
                <c:formatCode>General</c:formatCode>
                <c:ptCount val="2"/>
                <c:pt idx="0">
                  <c:v>0</c:v>
                </c:pt>
                <c:pt idx="1">
                  <c:v>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D8-40DB-AADE-9317265F7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577424"/>
        <c:axId val="884574224"/>
      </c:scatterChart>
      <c:valAx>
        <c:axId val="884577424"/>
        <c:scaling>
          <c:orientation val="minMax"/>
          <c:min val="5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 of the year (55=feb-24)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84574224"/>
        <c:crosses val="autoZero"/>
        <c:crossBetween val="midCat"/>
      </c:valAx>
      <c:valAx>
        <c:axId val="88457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Halfing 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8457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940806174033284"/>
          <c:y val="0.33438459816288923"/>
          <c:w val="0.14906226231889674"/>
          <c:h val="0.1382316024659474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0" i="0" baseline="0">
                <a:effectLst/>
              </a:rPr>
              <a:t>Italy - halfing time - Lognormal fit (log-linear plot)</a:t>
            </a:r>
            <a:endParaRPr lang="it-IT">
              <a:effectLst/>
            </a:endParaRPr>
          </a:p>
          <a:p>
            <a:pPr>
              <a:defRPr/>
            </a:pPr>
            <a:r>
              <a:rPr lang="it-IT" sz="1800" b="0" i="0" baseline="0">
                <a:solidFill>
                  <a:srgbClr val="0070C0"/>
                </a:solidFill>
                <a:effectLst/>
              </a:rPr>
              <a:t>Italy</a:t>
            </a:r>
            <a:r>
              <a:rPr lang="it-IT" sz="1800" b="0" i="0" baseline="0">
                <a:effectLst/>
              </a:rPr>
              <a:t> </a:t>
            </a:r>
            <a:r>
              <a:rPr lang="it-IT" sz="1800" b="0" i="0" baseline="0">
                <a:solidFill>
                  <a:srgbClr val="FF0000"/>
                </a:solidFill>
                <a:effectLst/>
              </a:rPr>
              <a:t>Lombardy</a:t>
            </a:r>
            <a:r>
              <a:rPr lang="it-IT" sz="1800" b="0" i="0" baseline="0">
                <a:effectLst/>
              </a:rPr>
              <a:t> and </a:t>
            </a:r>
            <a:r>
              <a:rPr lang="it-IT" sz="1800" b="0" i="0" baseline="0">
                <a:solidFill>
                  <a:srgbClr val="00B050"/>
                </a:solidFill>
                <a:effectLst/>
              </a:rPr>
              <a:t>rest of Italy</a:t>
            </a:r>
            <a:endParaRPr lang="it-IT">
              <a:solidFill>
                <a:srgbClr val="00B050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'New_cases_rates - LNorm'!$X$7</c:f>
              <c:strCache>
                <c:ptCount val="1"/>
                <c:pt idx="0">
                  <c:v>Italy h.t.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'New_cases_rates - LNorm'!$X$62:$X$184</c:f>
              <c:numCache>
                <c:formatCode>General</c:formatCode>
                <c:ptCount val="123"/>
                <c:pt idx="0">
                  <c:v>125.16625533072093</c:v>
                </c:pt>
                <c:pt idx="1">
                  <c:v>118.56616561387327</c:v>
                </c:pt>
                <c:pt idx="2">
                  <c:v>112.42710168481133</c:v>
                </c:pt>
                <c:pt idx="3">
                  <c:v>106.69861239654119</c:v>
                </c:pt>
                <c:pt idx="4">
                  <c:v>101.33771941598366</c:v>
                </c:pt>
                <c:pt idx="5">
                  <c:v>96.307619966861665</c:v>
                </c:pt>
                <c:pt idx="6">
                  <c:v>91.57665405668007</c:v>
                </c:pt>
                <c:pt idx="7">
                  <c:v>87.117475457534312</c:v>
                </c:pt>
                <c:pt idx="8">
                  <c:v>82.906381077655254</c:v>
                </c:pt>
                <c:pt idx="9">
                  <c:v>78.922764459972996</c:v>
                </c:pt>
                <c:pt idx="10">
                  <c:v>75.148667246551412</c:v>
                </c:pt>
                <c:pt idx="11">
                  <c:v>71.56840841958666</c:v>
                </c:pt>
                <c:pt idx="12">
                  <c:v>68.168275569164223</c:v>
                </c:pt>
                <c:pt idx="13">
                  <c:v>64.936265764419574</c:v>
                </c:pt>
                <c:pt idx="14">
                  <c:v>61.861866116381599</c:v>
                </c:pt>
                <c:pt idx="15">
                  <c:v>58.935866033510344</c:v>
                </c:pt>
                <c:pt idx="16">
                  <c:v>56.150194644548201</c:v>
                </c:pt>
                <c:pt idx="17">
                  <c:v>53.497778019220299</c:v>
                </c:pt>
                <c:pt idx="18">
                  <c:v>50.972411750783003</c:v>
                </c:pt>
                <c:pt idx="19">
                  <c:v>48.568645252223924</c:v>
                </c:pt>
                <c:pt idx="20">
                  <c:v>46.281674822900435</c:v>
                </c:pt>
                <c:pt idx="21">
                  <c:v>44.107243214776624</c:v>
                </c:pt>
                <c:pt idx="22">
                  <c:v>42.041544103610683</c:v>
                </c:pt>
                <c:pt idx="23">
                  <c:v>40.081130569708002</c:v>
                </c:pt>
                <c:pt idx="24">
                  <c:v>38.222827412953229</c:v>
                </c:pt>
                <c:pt idx="25">
                  <c:v>36.463647840393186</c:v>
                </c:pt>
                <c:pt idx="26">
                  <c:v>34.800715718662993</c:v>
                </c:pt>
                <c:pt idx="27">
                  <c:v>33.231195104554367</c:v>
                </c:pt>
                <c:pt idx="28">
                  <c:v>31.752229073341248</c:v>
                </c:pt>
                <c:pt idx="29">
                  <c:v>30.360889885129232</c:v>
                </c:pt>
                <c:pt idx="30">
                  <c:v>29.054142225966224</c:v>
                </c:pt>
                <c:pt idx="31">
                  <c:v>27.828820645088989</c:v>
                </c:pt>
                <c:pt idx="32">
                  <c:v>26.681621453401185</c:v>
                </c:pt>
                <c:pt idx="33">
                  <c:v>25.609108372804805</c:v>
                </c:pt>
                <c:pt idx="34">
                  <c:v>24.607730280610816</c:v>
                </c:pt>
                <c:pt idx="35">
                  <c:v>23.673848622205092</c:v>
                </c:pt>
                <c:pt idx="36">
                  <c:v>22.803771575886039</c:v>
                </c:pt>
                <c:pt idx="37">
                  <c:v>21.993791895820415</c:v>
                </c:pt>
                <c:pt idx="38">
                  <c:v>21.240225519308034</c:v>
                </c:pt>
                <c:pt idx="39">
                  <c:v>20.53944843870628</c:v>
                </c:pt>
                <c:pt idx="40">
                  <c:v>19.887929912540564</c:v>
                </c:pt>
                <c:pt idx="41">
                  <c:v>19.282260724989982</c:v>
                </c:pt>
                <c:pt idx="42">
                  <c:v>18.719175812391654</c:v>
                </c:pt>
                <c:pt idx="43">
                  <c:v>18.195571099116705</c:v>
                </c:pt>
                <c:pt idx="44">
                  <c:v>17.708514790645793</c:v>
                </c:pt>
                <c:pt idx="45">
                  <c:v>17.255253651037151</c:v>
                </c:pt>
                <c:pt idx="46">
                  <c:v>16.833214955170817</c:v>
                </c:pt>
                <c:pt idx="47">
                  <c:v>16.440004873411965</c:v>
                </c:pt>
                <c:pt idx="48">
                  <c:v>16.073404041799023</c:v>
                </c:pt>
                <c:pt idx="49">
                  <c:v>15.731361017960111</c:v>
                </c:pt>
                <c:pt idx="50">
                  <c:v>15.411984241773311</c:v>
                </c:pt>
                <c:pt idx="51">
                  <c:v>15.113533025931687</c:v>
                </c:pt>
                <c:pt idx="52">
                  <c:v>14.834408006172495</c:v>
                </c:pt>
                <c:pt idx="53">
                  <c:v>14.573141391164711</c:v>
                </c:pt>
                <c:pt idx="54">
                  <c:v>14.328387271995837</c:v>
                </c:pt>
                <c:pt idx="55">
                  <c:v>14.098912182643929</c:v>
                </c:pt>
                <c:pt idx="56">
                  <c:v>13.883586046019204</c:v>
                </c:pt>
                <c:pt idx="57">
                  <c:v>13.681373594427257</c:v>
                </c:pt>
                <c:pt idx="58">
                  <c:v>13.491326317431998</c:v>
                </c:pt>
                <c:pt idx="59">
                  <c:v>13.31257496267402</c:v>
                </c:pt>
                <c:pt idx="60">
                  <c:v>13.144322594801821</c:v>
                </c:pt>
                <c:pt idx="61">
                  <c:v>12.985838202956316</c:v>
                </c:pt>
                <c:pt idx="62">
                  <c:v>12.836450837044168</c:v>
                </c:pt>
                <c:pt idx="63">
                  <c:v>12.695544246326307</c:v>
                </c:pt>
                <c:pt idx="64">
                  <c:v>12.56255198980017</c:v>
                </c:pt>
                <c:pt idx="65">
                  <c:v>12.436952985794321</c:v>
                </c:pt>
                <c:pt idx="66">
                  <c:v>12.318267467580455</c:v>
                </c:pt>
                <c:pt idx="67">
                  <c:v>12.206053312218387</c:v>
                </c:pt>
                <c:pt idx="68">
                  <c:v>12.099902710965551</c:v>
                </c:pt>
                <c:pt idx="69">
                  <c:v>11.999439151151748</c:v>
                </c:pt>
                <c:pt idx="70">
                  <c:v>11.904314681265291</c:v>
                </c:pt>
                <c:pt idx="71">
                  <c:v>11.81420743298203</c:v>
                </c:pt>
                <c:pt idx="72">
                  <c:v>11.728819375895085</c:v>
                </c:pt>
                <c:pt idx="73">
                  <c:v>11.647874282707733</c:v>
                </c:pt>
                <c:pt idx="74">
                  <c:v>11.571115884588849</c:v>
                </c:pt>
                <c:pt idx="75">
                  <c:v>11.498306198224896</c:v>
                </c:pt>
                <c:pt idx="76">
                  <c:v>11.429224007825482</c:v>
                </c:pt>
                <c:pt idx="77">
                  <c:v>11.363663486934527</c:v>
                </c:pt>
                <c:pt idx="78">
                  <c:v>11.301432946374319</c:v>
                </c:pt>
                <c:pt idx="79">
                  <c:v>11.242353695989664</c:v>
                </c:pt>
                <c:pt idx="80">
                  <c:v>11.186259009089838</c:v>
                </c:pt>
                <c:pt idx="81">
                  <c:v>11.132993179597293</c:v>
                </c:pt>
                <c:pt idx="82">
                  <c:v>11.082410662915194</c:v>
                </c:pt>
                <c:pt idx="83">
                  <c:v>11.034375292436764</c:v>
                </c:pt>
                <c:pt idx="84">
                  <c:v>10.988759564434005</c:v>
                </c:pt>
                <c:pt idx="85">
                  <c:v>10.945443984800164</c:v>
                </c:pt>
                <c:pt idx="86">
                  <c:v>10.90431647177563</c:v>
                </c:pt>
                <c:pt idx="87">
                  <c:v>10.865271809385405</c:v>
                </c:pt>
                <c:pt idx="88">
                  <c:v>10.82821114683874</c:v>
                </c:pt>
                <c:pt idx="89">
                  <c:v>10.793041539624539</c:v>
                </c:pt>
                <c:pt idx="90">
                  <c:v>10.759675528457706</c:v>
                </c:pt>
                <c:pt idx="91">
                  <c:v>10.728030752612753</c:v>
                </c:pt>
                <c:pt idx="92">
                  <c:v>10.698029594527853</c:v>
                </c:pt>
                <c:pt idx="93">
                  <c:v>10.669598852862777</c:v>
                </c:pt>
                <c:pt idx="94">
                  <c:v>10.642669441473686</c:v>
                </c:pt>
                <c:pt idx="95">
                  <c:v>10.617176112010839</c:v>
                </c:pt>
                <c:pt idx="96">
                  <c:v>10.593057198067953</c:v>
                </c:pt>
                <c:pt idx="97">
                  <c:v>10.570254379010407</c:v>
                </c:pt>
                <c:pt idx="98">
                  <c:v>10.548712461784476</c:v>
                </c:pt>
                <c:pt idx="99">
                  <c:v>10.528379179174806</c:v>
                </c:pt>
                <c:pt idx="100">
                  <c:v>10.509205003115568</c:v>
                </c:pt>
                <c:pt idx="101">
                  <c:v>10.491142971795114</c:v>
                </c:pt>
                <c:pt idx="102">
                  <c:v>10.474148529403834</c:v>
                </c:pt>
                <c:pt idx="103">
                  <c:v>10.458179377489984</c:v>
                </c:pt>
                <c:pt idx="104">
                  <c:v>10.443195336968984</c:v>
                </c:pt>
                <c:pt idx="105">
                  <c:v>10.429158219930741</c:v>
                </c:pt>
                <c:pt idx="106">
                  <c:v>10.416031710456025</c:v>
                </c:pt>
                <c:pt idx="107">
                  <c:v>10.403781253728141</c:v>
                </c:pt>
                <c:pt idx="108">
                  <c:v>10.392373952786471</c:v>
                </c:pt>
                <c:pt idx="109">
                  <c:v>10.381778472327596</c:v>
                </c:pt>
                <c:pt idx="110">
                  <c:v>10.371964949006838</c:v>
                </c:pt>
                <c:pt idx="111">
                  <c:v>10.362904907744536</c:v>
                </c:pt>
                <c:pt idx="112">
                  <c:v>10.354571183581754</c:v>
                </c:pt>
                <c:pt idx="113">
                  <c:v>10.346937848665846</c:v>
                </c:pt>
                <c:pt idx="114">
                  <c:v>10.339980143986963</c:v>
                </c:pt>
                <c:pt idx="115">
                  <c:v>10.333674415510757</c:v>
                </c:pt>
                <c:pt idx="116">
                  <c:v>10.327998054389383</c:v>
                </c:pt>
                <c:pt idx="117">
                  <c:v>10.322929440953004</c:v>
                </c:pt>
                <c:pt idx="118">
                  <c:v>10.318447892208184</c:v>
                </c:pt>
                <c:pt idx="119">
                  <c:v>10.314533612598154</c:v>
                </c:pt>
                <c:pt idx="120">
                  <c:v>10.311167647789205</c:v>
                </c:pt>
                <c:pt idx="121">
                  <c:v>10.308331841275276</c:v>
                </c:pt>
                <c:pt idx="122">
                  <c:v>10.306008793602274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79-42A8-9ED3-227675AC1993}"/>
            </c:ext>
          </c:extLst>
        </c:ser>
        <c:ser>
          <c:idx val="1"/>
          <c:order val="1"/>
          <c:tx>
            <c:strRef>
              <c:f>'New_cases_rates - LNorm'!$AV$7</c:f>
              <c:strCache>
                <c:ptCount val="1"/>
                <c:pt idx="0">
                  <c:v>Lombardy h.t.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LNorm'!$C$63:$C$184</c:f>
              <c:numCache>
                <c:formatCode>General</c:formatCode>
                <c:ptCount val="122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  <c:pt idx="68">
                  <c:v>124</c:v>
                </c:pt>
                <c:pt idx="69">
                  <c:v>125</c:v>
                </c:pt>
                <c:pt idx="70">
                  <c:v>126</c:v>
                </c:pt>
                <c:pt idx="71">
                  <c:v>127</c:v>
                </c:pt>
                <c:pt idx="72">
                  <c:v>128</c:v>
                </c:pt>
                <c:pt idx="73">
                  <c:v>129</c:v>
                </c:pt>
                <c:pt idx="74">
                  <c:v>130</c:v>
                </c:pt>
                <c:pt idx="75">
                  <c:v>131</c:v>
                </c:pt>
                <c:pt idx="76">
                  <c:v>132</c:v>
                </c:pt>
                <c:pt idx="77">
                  <c:v>133</c:v>
                </c:pt>
                <c:pt idx="78">
                  <c:v>134</c:v>
                </c:pt>
                <c:pt idx="79">
                  <c:v>135</c:v>
                </c:pt>
                <c:pt idx="80">
                  <c:v>136</c:v>
                </c:pt>
                <c:pt idx="81">
                  <c:v>137</c:v>
                </c:pt>
                <c:pt idx="82">
                  <c:v>138</c:v>
                </c:pt>
                <c:pt idx="83">
                  <c:v>139</c:v>
                </c:pt>
                <c:pt idx="84">
                  <c:v>140</c:v>
                </c:pt>
                <c:pt idx="85">
                  <c:v>141</c:v>
                </c:pt>
                <c:pt idx="86">
                  <c:v>142</c:v>
                </c:pt>
                <c:pt idx="87">
                  <c:v>143</c:v>
                </c:pt>
                <c:pt idx="88">
                  <c:v>144</c:v>
                </c:pt>
                <c:pt idx="89">
                  <c:v>145</c:v>
                </c:pt>
                <c:pt idx="90">
                  <c:v>146</c:v>
                </c:pt>
                <c:pt idx="91">
                  <c:v>147</c:v>
                </c:pt>
                <c:pt idx="92">
                  <c:v>148</c:v>
                </c:pt>
                <c:pt idx="93">
                  <c:v>149</c:v>
                </c:pt>
                <c:pt idx="94">
                  <c:v>150</c:v>
                </c:pt>
                <c:pt idx="95">
                  <c:v>151</c:v>
                </c:pt>
                <c:pt idx="96">
                  <c:v>152</c:v>
                </c:pt>
                <c:pt idx="97">
                  <c:v>153</c:v>
                </c:pt>
                <c:pt idx="98">
                  <c:v>154</c:v>
                </c:pt>
                <c:pt idx="99">
                  <c:v>155</c:v>
                </c:pt>
                <c:pt idx="100">
                  <c:v>156</c:v>
                </c:pt>
                <c:pt idx="101">
                  <c:v>157</c:v>
                </c:pt>
                <c:pt idx="102">
                  <c:v>158</c:v>
                </c:pt>
                <c:pt idx="103">
                  <c:v>159</c:v>
                </c:pt>
                <c:pt idx="104">
                  <c:v>160</c:v>
                </c:pt>
                <c:pt idx="105">
                  <c:v>161</c:v>
                </c:pt>
                <c:pt idx="106">
                  <c:v>162</c:v>
                </c:pt>
                <c:pt idx="107">
                  <c:v>163</c:v>
                </c:pt>
                <c:pt idx="108">
                  <c:v>164</c:v>
                </c:pt>
                <c:pt idx="109">
                  <c:v>165</c:v>
                </c:pt>
                <c:pt idx="110">
                  <c:v>166</c:v>
                </c:pt>
                <c:pt idx="111">
                  <c:v>167</c:v>
                </c:pt>
                <c:pt idx="112">
                  <c:v>168</c:v>
                </c:pt>
                <c:pt idx="113">
                  <c:v>169</c:v>
                </c:pt>
                <c:pt idx="114">
                  <c:v>170</c:v>
                </c:pt>
                <c:pt idx="115">
                  <c:v>171</c:v>
                </c:pt>
                <c:pt idx="116">
                  <c:v>172</c:v>
                </c:pt>
                <c:pt idx="117">
                  <c:v>173</c:v>
                </c:pt>
                <c:pt idx="118">
                  <c:v>174</c:v>
                </c:pt>
                <c:pt idx="119">
                  <c:v>175</c:v>
                </c:pt>
                <c:pt idx="120">
                  <c:v>176</c:v>
                </c:pt>
                <c:pt idx="121">
                  <c:v>177</c:v>
                </c:pt>
              </c:numCache>
            </c:numRef>
          </c:xVal>
          <c:yVal>
            <c:numRef>
              <c:f>'New_cases_rates - LNorm'!$AV$63:$AV$184</c:f>
              <c:numCache>
                <c:formatCode>General</c:formatCode>
                <c:ptCount val="122"/>
                <c:pt idx="0">
                  <c:v>108.24294714213062</c:v>
                </c:pt>
                <c:pt idx="1">
                  <c:v>102.65240048328374</c:v>
                </c:pt>
                <c:pt idx="2">
                  <c:v>97.433636056669286</c:v>
                </c:pt>
                <c:pt idx="3">
                  <c:v>92.548765503856586</c:v>
                </c:pt>
                <c:pt idx="4">
                  <c:v>87.965338634410401</c:v>
                </c:pt>
                <c:pt idx="5">
                  <c:v>83.655443274900563</c:v>
                </c:pt>
                <c:pt idx="6">
                  <c:v>79.594980306174762</c:v>
                </c:pt>
                <c:pt idx="7">
                  <c:v>75.76307496417239</c:v>
                </c:pt>
                <c:pt idx="8">
                  <c:v>72.141594877848391</c:v>
                </c:pt>
                <c:pt idx="9">
                  <c:v>68.714752200541227</c:v>
                </c:pt>
                <c:pt idx="10">
                  <c:v>65.46877228460248</c:v>
                </c:pt>
                <c:pt idx="11">
                  <c:v>62.391615158997027</c:v>
                </c:pt>
                <c:pt idx="12">
                  <c:v>59.472738953723649</c:v>
                </c:pt>
                <c:pt idx="13">
                  <c:v>56.702896630891004</c:v>
                </c:pt>
                <c:pt idx="14">
                  <c:v>54.073959118774027</c:v>
                </c:pt>
                <c:pt idx="15">
                  <c:v>51.578759342402293</c:v>
                </c:pt>
                <c:pt idx="16">
                  <c:v>49.210952806937058</c:v>
                </c:pt>
                <c:pt idx="17">
                  <c:v>46.964891395265752</c:v>
                </c:pt>
                <c:pt idx="18">
                  <c:v>44.835507941912041</c:v>
                </c:pt>
                <c:pt idx="19">
                  <c:v>42.818209972147045</c:v>
                </c:pt>
                <c:pt idx="20">
                  <c:v>40.908781756597364</c:v>
                </c:pt>
                <c:pt idx="21">
                  <c:v>39.103294515078701</c:v>
                </c:pt>
                <c:pt idx="22">
                  <c:v>37.398025178104874</c:v>
                </c:pt>
                <c:pt idx="23">
                  <c:v>35.789384538142386</c:v>
                </c:pt>
                <c:pt idx="24">
                  <c:v>34.273855851298123</c:v>
                </c:pt>
                <c:pt idx="25">
                  <c:v>32.847944951181603</c:v>
                </c:pt>
                <c:pt idx="26">
                  <c:v>31.508142701776976</c:v>
                </c:pt>
                <c:pt idx="27">
                  <c:v>30.250900170112018</c:v>
                </c:pt>
                <c:pt idx="28">
                  <c:v>29.072616302125709</c:v>
                </c:pt>
                <c:pt idx="29">
                  <c:v>27.969637223739355</c:v>
                </c:pt>
                <c:pt idx="30">
                  <c:v>26.938265663087549</c:v>
                </c:pt>
                <c:pt idx="31">
                  <c:v>25.974778490948722</c:v>
                </c:pt>
                <c:pt idx="32">
                  <c:v>25.075450070806539</c:v>
                </c:pt>
                <c:pt idx="33">
                  <c:v>24.236579026940362</c:v>
                </c:pt>
                <c:pt idx="34">
                  <c:v>23.454516168964588</c:v>
                </c:pt>
                <c:pt idx="35">
                  <c:v>22.725691613092152</c:v>
                </c:pt>
                <c:pt idx="36">
                  <c:v>22.046639553959395</c:v>
                </c:pt>
                <c:pt idx="37">
                  <c:v>21.414019601398252</c:v>
                </c:pt>
                <c:pt idx="38">
                  <c:v>20.824634046698975</c:v>
                </c:pt>
                <c:pt idx="39">
                  <c:v>20.275440820140986</c:v>
                </c:pt>
                <c:pt idx="40">
                  <c:v>19.763562220773423</c:v>
                </c:pt>
                <c:pt idx="41">
                  <c:v>19.286289731619561</c:v>
                </c:pt>
                <c:pt idx="42">
                  <c:v>18.84108538212368</c:v>
                </c:pt>
                <c:pt idx="43">
                  <c:v>18.425580196201395</c:v>
                </c:pt>
                <c:pt idx="44">
                  <c:v>18.037570283984067</c:v>
                </c:pt>
                <c:pt idx="45">
                  <c:v>17.675011114172236</c:v>
                </c:pt>
                <c:pt idx="46">
                  <c:v>17.336010456293323</c:v>
                </c:pt>
                <c:pt idx="47">
                  <c:v>17.018820420008026</c:v>
                </c:pt>
                <c:pt idx="48">
                  <c:v>16.721828950957374</c:v>
                </c:pt>
                <c:pt idx="49">
                  <c:v>16.44355107581562</c:v>
                </c:pt>
                <c:pt idx="50">
                  <c:v>16.182620127214776</c:v>
                </c:pt>
                <c:pt idx="51">
                  <c:v>15.937779124260302</c:v>
                </c:pt>
                <c:pt idx="52">
                  <c:v>15.707872437368451</c:v>
                </c:pt>
                <c:pt idx="53">
                  <c:v>15.491837827154228</c:v>
                </c:pt>
                <c:pt idx="54">
                  <c:v>15.288698915572965</c:v>
                </c:pt>
                <c:pt idx="55">
                  <c:v>15.09755812265972</c:v>
                </c:pt>
                <c:pt idx="56">
                  <c:v>14.917590083083738</c:v>
                </c:pt>
                <c:pt idx="57">
                  <c:v>14.748035542411444</c:v>
                </c:pt>
                <c:pt idx="58">
                  <c:v>14.588195722565899</c:v>
                </c:pt>
                <c:pt idx="59">
                  <c:v>14.437427138699974</c:v>
                </c:pt>
                <c:pt idx="60">
                  <c:v>14.295136844896177</c:v>
                </c:pt>
                <c:pt idx="61">
                  <c:v>14.16077808319227</c:v>
                </c:pt>
                <c:pt idx="62">
                  <c:v>14.033846308952548</c:v>
                </c:pt>
                <c:pt idx="63">
                  <c:v>13.91387556518508</c:v>
                </c:pt>
                <c:pt idx="64">
                  <c:v>13.800435178739519</c:v>
                </c:pt>
                <c:pt idx="65">
                  <c:v>13.693126752196051</c:v>
                </c:pt>
                <c:pt idx="66">
                  <c:v>13.591581426473411</c:v>
                </c:pt>
                <c:pt idx="67">
                  <c:v>13.495457390627209</c:v>
                </c:pt>
                <c:pt idx="68">
                  <c:v>13.404437616866659</c:v>
                </c:pt>
                <c:pt idx="69">
                  <c:v>13.318227800420431</c:v>
                </c:pt>
                <c:pt idx="70">
                  <c:v>13.23655448547575</c:v>
                </c:pt>
                <c:pt idx="71">
                  <c:v>13.159163359965447</c:v>
                </c:pt>
                <c:pt idx="72">
                  <c:v>13.085817703456797</c:v>
                </c:pt>
                <c:pt idx="73">
                  <c:v>13.016296973793317</c:v>
                </c:pt>
                <c:pt idx="74">
                  <c:v>12.950395519447738</c:v>
                </c:pt>
                <c:pt idx="75">
                  <c:v>12.887921405748017</c:v>
                </c:pt>
                <c:pt idx="76">
                  <c:v>12.828695344257341</c:v>
                </c:pt>
                <c:pt idx="77">
                  <c:v>12.77254971560518</c:v>
                </c:pt>
                <c:pt idx="78">
                  <c:v>12.719327677001672</c:v>
                </c:pt>
                <c:pt idx="79">
                  <c:v>12.668882346508923</c:v>
                </c:pt>
                <c:pt idx="80">
                  <c:v>12.621076056917317</c:v>
                </c:pt>
                <c:pt idx="81">
                  <c:v>12.575779672767084</c:v>
                </c:pt>
                <c:pt idx="82">
                  <c:v>12.532871964684489</c:v>
                </c:pt>
                <c:pt idx="83">
                  <c:v>12.492239035770481</c:v>
                </c:pt>
                <c:pt idx="84">
                  <c:v>12.453773795292378</c:v>
                </c:pt>
                <c:pt idx="85">
                  <c:v>12.417375475386706</c:v>
                </c:pt>
                <c:pt idx="86">
                  <c:v>12.382949186899708</c:v>
                </c:pt>
                <c:pt idx="87">
                  <c:v>12.350405510865585</c:v>
                </c:pt>
                <c:pt idx="88">
                  <c:v>12.319660122456625</c:v>
                </c:pt>
                <c:pt idx="89">
                  <c:v>12.290633444544497</c:v>
                </c:pt>
                <c:pt idx="90">
                  <c:v>12.263250328282268</c:v>
                </c:pt>
                <c:pt idx="91">
                  <c:v>12.237439758362967</c:v>
                </c:pt>
                <c:pt idx="92">
                  <c:v>12.213134580831166</c:v>
                </c:pt>
                <c:pt idx="93">
                  <c:v>12.190271251522148</c:v>
                </c:pt>
                <c:pt idx="94">
                  <c:v>12.168789603381555</c:v>
                </c:pt>
                <c:pt idx="95">
                  <c:v>12.148632631081853</c:v>
                </c:pt>
                <c:pt idx="96">
                  <c:v>12.129746291493888</c:v>
                </c:pt>
                <c:pt idx="97">
                  <c:v>12.112079318707629</c:v>
                </c:pt>
                <c:pt idx="98">
                  <c:v>12.095583052407989</c:v>
                </c:pt>
                <c:pt idx="99">
                  <c:v>12.080211278525638</c:v>
                </c:pt>
                <c:pt idx="100">
                  <c:v>12.065920081173914</c:v>
                </c:pt>
                <c:pt idx="101">
                  <c:v>12.052667704972436</c:v>
                </c:pt>
                <c:pt idx="102">
                  <c:v>12.040414426937048</c:v>
                </c:pt>
                <c:pt idx="103">
                  <c:v>12.029122437185407</c:v>
                </c:pt>
                <c:pt idx="104">
                  <c:v>12.018755727775243</c:v>
                </c:pt>
                <c:pt idx="105">
                  <c:v>12.009279989049276</c:v>
                </c:pt>
                <c:pt idx="106">
                  <c:v>12.000662512911731</c:v>
                </c:pt>
                <c:pt idx="107">
                  <c:v>11.992872102515946</c:v>
                </c:pt>
                <c:pt idx="108">
                  <c:v>11.985878987877669</c:v>
                </c:pt>
                <c:pt idx="109">
                  <c:v>11.979654746979065</c:v>
                </c:pt>
                <c:pt idx="110">
                  <c:v>11.97417223195464</c:v>
                </c:pt>
                <c:pt idx="111">
                  <c:v>11.969405499988937</c:v>
                </c:pt>
                <c:pt idx="112">
                  <c:v>11.965329748587351</c:v>
                </c:pt>
                <c:pt idx="113">
                  <c:v>11.961921254901341</c:v>
                </c:pt>
                <c:pt idx="114">
                  <c:v>11.959157318824822</c:v>
                </c:pt>
                <c:pt idx="115">
                  <c:v>11.9570162095917</c:v>
                </c:pt>
                <c:pt idx="116">
                  <c:v>11.955477115631965</c:v>
                </c:pt>
                <c:pt idx="117">
                  <c:v>11.954520097458243</c:v>
                </c:pt>
                <c:pt idx="118">
                  <c:v>11.954126043377158</c:v>
                </c:pt>
                <c:pt idx="119">
                  <c:v>11.954276627830325</c:v>
                </c:pt>
                <c:pt idx="120">
                  <c:v>11.954954272188075</c:v>
                </c:pt>
                <c:pt idx="121">
                  <c:v>11.956142107832676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879-42A8-9ED3-227675AC1993}"/>
            </c:ext>
          </c:extLst>
        </c:ser>
        <c:ser>
          <c:idx val="2"/>
          <c:order val="2"/>
          <c:tx>
            <c:strRef>
              <c:f>'New_cases_rates - LNorm'!$BQ$7</c:f>
              <c:strCache>
                <c:ptCount val="1"/>
                <c:pt idx="0">
                  <c:v>rest of Italy h.t.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LNorm'!$C$63:$C$184</c:f>
              <c:numCache>
                <c:formatCode>General</c:formatCode>
                <c:ptCount val="122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  <c:pt idx="68">
                  <c:v>124</c:v>
                </c:pt>
                <c:pt idx="69">
                  <c:v>125</c:v>
                </c:pt>
                <c:pt idx="70">
                  <c:v>126</c:v>
                </c:pt>
                <c:pt idx="71">
                  <c:v>127</c:v>
                </c:pt>
                <c:pt idx="72">
                  <c:v>128</c:v>
                </c:pt>
                <c:pt idx="73">
                  <c:v>129</c:v>
                </c:pt>
                <c:pt idx="74">
                  <c:v>130</c:v>
                </c:pt>
                <c:pt idx="75">
                  <c:v>131</c:v>
                </c:pt>
                <c:pt idx="76">
                  <c:v>132</c:v>
                </c:pt>
                <c:pt idx="77">
                  <c:v>133</c:v>
                </c:pt>
                <c:pt idx="78">
                  <c:v>134</c:v>
                </c:pt>
                <c:pt idx="79">
                  <c:v>135</c:v>
                </c:pt>
                <c:pt idx="80">
                  <c:v>136</c:v>
                </c:pt>
                <c:pt idx="81">
                  <c:v>137</c:v>
                </c:pt>
                <c:pt idx="82">
                  <c:v>138</c:v>
                </c:pt>
                <c:pt idx="83">
                  <c:v>139</c:v>
                </c:pt>
                <c:pt idx="84">
                  <c:v>140</c:v>
                </c:pt>
                <c:pt idx="85">
                  <c:v>141</c:v>
                </c:pt>
                <c:pt idx="86">
                  <c:v>142</c:v>
                </c:pt>
                <c:pt idx="87">
                  <c:v>143</c:v>
                </c:pt>
                <c:pt idx="88">
                  <c:v>144</c:v>
                </c:pt>
                <c:pt idx="89">
                  <c:v>145</c:v>
                </c:pt>
                <c:pt idx="90">
                  <c:v>146</c:v>
                </c:pt>
                <c:pt idx="91">
                  <c:v>147</c:v>
                </c:pt>
                <c:pt idx="92">
                  <c:v>148</c:v>
                </c:pt>
                <c:pt idx="93">
                  <c:v>149</c:v>
                </c:pt>
                <c:pt idx="94">
                  <c:v>150</c:v>
                </c:pt>
                <c:pt idx="95">
                  <c:v>151</c:v>
                </c:pt>
                <c:pt idx="96">
                  <c:v>152</c:v>
                </c:pt>
                <c:pt idx="97">
                  <c:v>153</c:v>
                </c:pt>
                <c:pt idx="98">
                  <c:v>154</c:v>
                </c:pt>
                <c:pt idx="99">
                  <c:v>155</c:v>
                </c:pt>
                <c:pt idx="100">
                  <c:v>156</c:v>
                </c:pt>
                <c:pt idx="101">
                  <c:v>157</c:v>
                </c:pt>
                <c:pt idx="102">
                  <c:v>158</c:v>
                </c:pt>
                <c:pt idx="103">
                  <c:v>159</c:v>
                </c:pt>
                <c:pt idx="104">
                  <c:v>160</c:v>
                </c:pt>
                <c:pt idx="105">
                  <c:v>161</c:v>
                </c:pt>
                <c:pt idx="106">
                  <c:v>162</c:v>
                </c:pt>
                <c:pt idx="107">
                  <c:v>163</c:v>
                </c:pt>
                <c:pt idx="108">
                  <c:v>164</c:v>
                </c:pt>
                <c:pt idx="109">
                  <c:v>165</c:v>
                </c:pt>
                <c:pt idx="110">
                  <c:v>166</c:v>
                </c:pt>
                <c:pt idx="111">
                  <c:v>167</c:v>
                </c:pt>
                <c:pt idx="112">
                  <c:v>168</c:v>
                </c:pt>
                <c:pt idx="113">
                  <c:v>169</c:v>
                </c:pt>
                <c:pt idx="114">
                  <c:v>170</c:v>
                </c:pt>
                <c:pt idx="115">
                  <c:v>171</c:v>
                </c:pt>
                <c:pt idx="116">
                  <c:v>172</c:v>
                </c:pt>
                <c:pt idx="117">
                  <c:v>173</c:v>
                </c:pt>
                <c:pt idx="118">
                  <c:v>174</c:v>
                </c:pt>
                <c:pt idx="119">
                  <c:v>175</c:v>
                </c:pt>
                <c:pt idx="120">
                  <c:v>176</c:v>
                </c:pt>
                <c:pt idx="121">
                  <c:v>177</c:v>
                </c:pt>
              </c:numCache>
            </c:numRef>
          </c:xVal>
          <c:yVal>
            <c:numRef>
              <c:f>'New_cases_rates - LNorm'!$BQ$63:$BQ$184</c:f>
              <c:numCache>
                <c:formatCode>General</c:formatCode>
                <c:ptCount val="122"/>
                <c:pt idx="0">
                  <c:v>137.50156096206484</c:v>
                </c:pt>
                <c:pt idx="1">
                  <c:v>128.92287040881178</c:v>
                </c:pt>
                <c:pt idx="2">
                  <c:v>121.11420490147638</c:v>
                </c:pt>
                <c:pt idx="3">
                  <c:v>113.96901199151684</c:v>
                </c:pt>
                <c:pt idx="4">
                  <c:v>107.40001448598478</c:v>
                </c:pt>
                <c:pt idx="5">
                  <c:v>101.33509003292285</c:v>
                </c:pt>
                <c:pt idx="6">
                  <c:v>95.71416956875639</c:v>
                </c:pt>
                <c:pt idx="7">
                  <c:v>90.486872647777247</c:v>
                </c:pt>
                <c:pt idx="8">
                  <c:v>85.610683421159749</c:v>
                </c:pt>
                <c:pt idx="9">
                  <c:v>81.049528483947128</c:v>
                </c:pt>
                <c:pt idx="10">
                  <c:v>76.7726569608527</c:v>
                </c:pt>
                <c:pt idx="11">
                  <c:v>72.753750298235076</c:v>
                </c:pt>
                <c:pt idx="12">
                  <c:v>68.970208245958005</c:v>
                </c:pt>
                <c:pt idx="13">
                  <c:v>65.402571027928062</c:v>
                </c:pt>
                <c:pt idx="14">
                  <c:v>62.034047416134513</c:v>
                </c:pt>
                <c:pt idx="15">
                  <c:v>58.850125483065497</c:v>
                </c:pt>
                <c:pt idx="16">
                  <c:v>55.838247993008139</c:v>
                </c:pt>
                <c:pt idx="17">
                  <c:v>52.987538249240416</c:v>
                </c:pt>
                <c:pt idx="18">
                  <c:v>50.288565131153732</c:v>
                </c:pt>
                <c:pt idx="19">
                  <c:v>47.733138318953664</c:v>
                </c:pt>
                <c:pt idx="20">
                  <c:v>45.314126529506694</c:v>
                </c:pt>
                <c:pt idx="21">
                  <c:v>43.025293140169225</c:v>
                </c:pt>
                <c:pt idx="22">
                  <c:v>40.861144981946424</c:v>
                </c:pt>
                <c:pt idx="23">
                  <c:v>38.816791423312154</c:v>
                </c:pt>
                <c:pt idx="24">
                  <c:v>36.887812182076928</c:v>
                </c:pt>
                <c:pt idx="25">
                  <c:v>35.070133585781235</c:v>
                </c:pt>
                <c:pt idx="26">
                  <c:v>33.359914189656564</c:v>
                </c:pt>
                <c:pt idx="27">
                  <c:v>31.753441647094405</c:v>
                </c:pt>
                <c:pt idx="28">
                  <c:v>30.247043375867236</c:v>
                </c:pt>
                <c:pt idx="29">
                  <c:v>28.837013746623839</c:v>
                </c:pt>
                <c:pt idx="30">
                  <c:v>27.519560161501218</c:v>
                </c:pt>
                <c:pt idx="31">
                  <c:v>26.29076950243747</c:v>
                </c:pt>
                <c:pt idx="32">
                  <c:v>25.146595131334891</c:v>
                </c:pt>
                <c:pt idx="33">
                  <c:v>24.082863132712205</c:v>
                </c:pt>
                <c:pt idx="34">
                  <c:v>23.095295067926685</c:v>
                </c:pt>
                <c:pt idx="35">
                  <c:v>22.179543406737338</c:v>
                </c:pt>
                <c:pt idx="36">
                  <c:v>21.331235188430639</c:v>
                </c:pt>
                <c:pt idx="37">
                  <c:v>20.546019399725878</c:v>
                </c:pt>
                <c:pt idx="38">
                  <c:v>19.819613985641794</c:v>
                </c:pt>
                <c:pt idx="39">
                  <c:v>19.147849194911331</c:v>
                </c:pt>
                <c:pt idx="40">
                  <c:v>18.526704929293132</c:v>
                </c:pt>
                <c:pt idx="41">
                  <c:v>17.952340750478854</c:v>
                </c:pt>
                <c:pt idx="42">
                  <c:v>17.421118072746367</c:v>
                </c:pt>
                <c:pt idx="43">
                  <c:v>16.929614759526316</c:v>
                </c:pt>
                <c:pt idx="44">
                  <c:v>16.474632822259522</c:v>
                </c:pt>
                <c:pt idx="45">
                  <c:v>16.053200201985732</c:v>
                </c:pt>
                <c:pt idx="46">
                  <c:v>15.66256773178435</c:v>
                </c:pt>
                <c:pt idx="47">
                  <c:v>15.300202373930716</c:v>
                </c:pt>
                <c:pt idx="48">
                  <c:v>14.963777741104423</c:v>
                </c:pt>
                <c:pt idx="49">
                  <c:v>14.651162781476827</c:v>
                </c:pt>
                <c:pt idx="50">
                  <c:v>14.360409359908743</c:v>
                </c:pt>
                <c:pt idx="51">
                  <c:v>14.089739320240838</c:v>
                </c:pt>
                <c:pt idx="52">
                  <c:v>13.837531478101425</c:v>
                </c:pt>
                <c:pt idx="53">
                  <c:v>13.602308875624161</c:v>
                </c:pt>
                <c:pt idx="54">
                  <c:v>13.38272653101123</c:v>
                </c:pt>
                <c:pt idx="55">
                  <c:v>13.177559836596046</c:v>
                </c:pt>
                <c:pt idx="56">
                  <c:v>12.985693697184871</c:v>
                </c:pt>
                <c:pt idx="57">
                  <c:v>12.806112453597123</c:v>
                </c:pt>
                <c:pt idx="58">
                  <c:v>12.637890601899969</c:v>
                </c:pt>
                <c:pt idx="59">
                  <c:v>12.480184294424546</c:v>
                </c:pt>
                <c:pt idx="60">
                  <c:v>12.332223592074797</c:v>
                </c:pt>
                <c:pt idx="61">
                  <c:v>12.193305426867184</c:v>
                </c:pt>
                <c:pt idx="62">
                  <c:v>12.062787227540653</c:v>
                </c:pt>
                <c:pt idx="63">
                  <c:v>11.940081158256007</c:v>
                </c:pt>
                <c:pt idx="64">
                  <c:v>11.824648919903211</c:v>
                </c:pt>
                <c:pt idx="65">
                  <c:v>11.715997064634237</c:v>
                </c:pt>
                <c:pt idx="66">
                  <c:v>11.613672776385826</c:v>
                </c:pt>
                <c:pt idx="67">
                  <c:v>11.517260072950521</c:v>
                </c:pt>
                <c:pt idx="68">
                  <c:v>11.426376388297001</c:v>
                </c:pt>
                <c:pt idx="69">
                  <c:v>11.340669497125546</c:v>
                </c:pt>
                <c:pt idx="70">
                  <c:v>11.259814746925386</c:v>
                </c:pt>
                <c:pt idx="71">
                  <c:v>11.183512565984785</c:v>
                </c:pt>
                <c:pt idx="72">
                  <c:v>11.111486218823885</c:v>
                </c:pt>
                <c:pt idx="73">
                  <c:v>11.043479783344637</c:v>
                </c:pt>
                <c:pt idx="74">
                  <c:v>10.979256326603078</c:v>
                </c:pt>
                <c:pt idx="75">
                  <c:v>10.918596258498482</c:v>
                </c:pt>
                <c:pt idx="76">
                  <c:v>10.861295844844605</c:v>
                </c:pt>
                <c:pt idx="77">
                  <c:v>10.807165863258049</c:v>
                </c:pt>
                <c:pt idx="78">
                  <c:v>10.756030387066431</c:v>
                </c:pt>
                <c:pt idx="79">
                  <c:v>10.707725684026244</c:v>
                </c:pt>
                <c:pt idx="80">
                  <c:v>10.662099218066629</c:v>
                </c:pt>
                <c:pt idx="81">
                  <c:v>10.619008743541272</c:v>
                </c:pt>
                <c:pt idx="82">
                  <c:v>10.578321482606583</c:v>
                </c:pt>
                <c:pt idx="83">
                  <c:v>10.539913377352519</c:v>
                </c:pt>
                <c:pt idx="84">
                  <c:v>10.503668409210619</c:v>
                </c:pt>
                <c:pt idx="85">
                  <c:v>10.469477978962985</c:v>
                </c:pt>
                <c:pt idx="86">
                  <c:v>10.437240341386953</c:v>
                </c:pt>
                <c:pt idx="87">
                  <c:v>10.406860089202894</c:v>
                </c:pt>
                <c:pt idx="88">
                  <c:v>10.378247681551485</c:v>
                </c:pt>
                <c:pt idx="89">
                  <c:v>10.351319012729078</c:v>
                </c:pt>
                <c:pt idx="90">
                  <c:v>10.325995017353307</c:v>
                </c:pt>
                <c:pt idx="91">
                  <c:v>10.302201308528169</c:v>
                </c:pt>
                <c:pt idx="92">
                  <c:v>10.279867845923974</c:v>
                </c:pt>
                <c:pt idx="93">
                  <c:v>10.258928631010406</c:v>
                </c:pt>
                <c:pt idx="94">
                  <c:v>10.239321426952799</c:v>
                </c:pt>
                <c:pt idx="95">
                  <c:v>10.220987500932836</c:v>
                </c:pt>
                <c:pt idx="96">
                  <c:v>10.203871386882113</c:v>
                </c:pt>
                <c:pt idx="97">
                  <c:v>10.187920666807585</c:v>
                </c:pt>
                <c:pt idx="98">
                  <c:v>10.173085769072685</c:v>
                </c:pt>
                <c:pt idx="99">
                  <c:v>10.159319782152991</c:v>
                </c:pt>
                <c:pt idx="100">
                  <c:v>10.146578282529291</c:v>
                </c:pt>
                <c:pt idx="101">
                  <c:v>10.134819175506763</c:v>
                </c:pt>
                <c:pt idx="102">
                  <c:v>10.124002547865942</c:v>
                </c:pt>
                <c:pt idx="103">
                  <c:v>10.114090531350158</c:v>
                </c:pt>
                <c:pt idx="104">
                  <c:v>10.105047176089798</c:v>
                </c:pt>
                <c:pt idx="105">
                  <c:v>10.096838333145158</c:v>
                </c:pt>
                <c:pt idx="106">
                  <c:v>10.08943154542338</c:v>
                </c:pt>
                <c:pt idx="107">
                  <c:v>10.082795946294127</c:v>
                </c:pt>
                <c:pt idx="108">
                  <c:v>10.07690216528708</c:v>
                </c:pt>
                <c:pt idx="109">
                  <c:v>10.071722240311303</c:v>
                </c:pt>
                <c:pt idx="110">
                  <c:v>10.06722953588411</c:v>
                </c:pt>
                <c:pt idx="111">
                  <c:v>10.063398666902458</c:v>
                </c:pt>
                <c:pt idx="112">
                  <c:v>10.06020542752924</c:v>
                </c:pt>
                <c:pt idx="113">
                  <c:v>10.057626724806511</c:v>
                </c:pt>
                <c:pt idx="114">
                  <c:v>10.05564051663589</c:v>
                </c:pt>
                <c:pt idx="115">
                  <c:v>10.05422575380112</c:v>
                </c:pt>
                <c:pt idx="116">
                  <c:v>10.053362325732166</c:v>
                </c:pt>
                <c:pt idx="117">
                  <c:v>10.053031009735747</c:v>
                </c:pt>
                <c:pt idx="118">
                  <c:v>10.053213423441122</c:v>
                </c:pt>
                <c:pt idx="119">
                  <c:v>10.053891980227121</c:v>
                </c:pt>
                <c:pt idx="120">
                  <c:v>10.055049847419298</c:v>
                </c:pt>
                <c:pt idx="121">
                  <c:v>10.056670907060067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879-42A8-9ED3-227675AC1993}"/>
            </c:ext>
          </c:extLst>
        </c:ser>
        <c:ser>
          <c:idx val="3"/>
          <c:order val="3"/>
          <c:tx>
            <c:strRef>
              <c:f>'New_cases_rates - LNorm'!$B$6</c:f>
              <c:strCache>
                <c:ptCount val="1"/>
                <c:pt idx="0">
                  <c:v>29-Apr</c:v>
                </c:pt>
              </c:strCache>
            </c:strRef>
          </c:tx>
          <c:spPr>
            <a:ln w="19050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('New_cases_rates - LNorm'!$C$6,'New_cases_rates - LNorm'!$C$6)</c:f>
              <c:numCache>
                <c:formatCode>General</c:formatCode>
                <c:ptCount val="2"/>
                <c:pt idx="0">
                  <c:v>120</c:v>
                </c:pt>
                <c:pt idx="1">
                  <c:v>120</c:v>
                </c:pt>
              </c:numCache>
            </c:numRef>
          </c:xVal>
          <c:yVal>
            <c:numRef>
              <c:f>('New_cases_rates - LNorm'!$D$6,'New_cases_rates - LNorm'!$E$6)</c:f>
              <c:numCache>
                <c:formatCode>General</c:formatCode>
                <c:ptCount val="2"/>
                <c:pt idx="0">
                  <c:v>0</c:v>
                </c:pt>
                <c:pt idx="1">
                  <c:v>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879-42A8-9ED3-227675AC1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577424"/>
        <c:axId val="884574224"/>
      </c:scatterChart>
      <c:valAx>
        <c:axId val="884577424"/>
        <c:scaling>
          <c:orientation val="minMax"/>
          <c:min val="5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 of the year (55=feb-24)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84574224"/>
        <c:crosses val="autoZero"/>
        <c:crossBetween val="midCat"/>
      </c:valAx>
      <c:valAx>
        <c:axId val="8845742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Halfing 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8457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940806174033284"/>
          <c:y val="0.33438459816288923"/>
          <c:w val="0.14906226231889674"/>
          <c:h val="0.1612388451443569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Italy - kinetics of the outbreak - Lognormal fit</a:t>
            </a:r>
          </a:p>
          <a:p>
            <a:pPr>
              <a:defRPr/>
            </a:pPr>
            <a:r>
              <a:rPr lang="it-IT"/>
              <a:t>Doubling and halfing times, growth ratio, acceleration of confirmed cases (variation speed of new cases) normalized to their fitted values at lockdown (mar-11)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'New_cases_rates - LNorm'!$J$7</c:f>
              <c:strCache>
                <c:ptCount val="1"/>
                <c:pt idx="0">
                  <c:v>Italy d.t. (Norm. To val. at lockdown)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'New_cases_rates - LNorm'!$C$62:$C$94</c:f>
              <c:numCache>
                <c:formatCode>General</c:formatCode>
                <c:ptCount val="3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</c:numCache>
            </c:numRef>
          </c:xVal>
          <c:yVal>
            <c:numRef>
              <c:f>'New_cases_rates - LNorm'!$J$62:$J$94</c:f>
              <c:numCache>
                <c:formatCode>General</c:formatCode>
                <c:ptCount val="33"/>
                <c:pt idx="0">
                  <c:v>0.30572591121760462</c:v>
                </c:pt>
                <c:pt idx="1">
                  <c:v>0.3319322919675064</c:v>
                </c:pt>
                <c:pt idx="2">
                  <c:v>0.35974390772541376</c:v>
                </c:pt>
                <c:pt idx="3">
                  <c:v>0.38926479145584891</c:v>
                </c:pt>
                <c:pt idx="4">
                  <c:v>0.42060862513030273</c:v>
                </c:pt>
                <c:pt idx="5">
                  <c:v>0.45389983099966053</c:v>
                </c:pt>
                <c:pt idx="6">
                  <c:v>0.48927482704903025</c:v>
                </c:pt>
                <c:pt idx="7">
                  <c:v>0.5268834758758183</c:v>
                </c:pt>
                <c:pt idx="8">
                  <c:v>0.56689076276642225</c:v>
                </c:pt>
                <c:pt idx="9">
                  <c:v>0.60947874694946247</c:v>
                </c:pt>
                <c:pt idx="10">
                  <c:v>0.65484884038429436</c:v>
                </c:pt>
                <c:pt idx="11">
                  <c:v>0.70322448168702445</c:v>
                </c:pt>
                <c:pt idx="12">
                  <c:v>0.75485428983287872</c:v>
                </c:pt>
                <c:pt idx="13">
                  <c:v>0.81001580437915943</c:v>
                </c:pt>
                <c:pt idx="14">
                  <c:v>0.86901994789699322</c:v>
                </c:pt>
                <c:pt idx="15">
                  <c:v>0.93221638456602962</c:v>
                </c:pt>
                <c:pt idx="16">
                  <c:v>1</c:v>
                </c:pt>
                <c:pt idx="17">
                  <c:v>1.0728187964066696</c:v>
                </c:pt>
                <c:pt idx="18">
                  <c:v>1.1511835915459956</c:v>
                </c:pt>
                <c:pt idx="19">
                  <c:v>1.2356800406009645</c:v>
                </c:pt>
                <c:pt idx="20">
                  <c:v>1.3269836835287772</c:v>
                </c:pt>
                <c:pt idx="21">
                  <c:v>1.4258789820281859</c:v>
                </c:pt>
                <c:pt idx="22">
                  <c:v>1.53328368950246</c:v>
                </c:pt>
                <c:pt idx="23">
                  <c:v>1.6502804574940988</c:v>
                </c:pt>
                <c:pt idx="24">
                  <c:v>1.7781584263005397</c:v>
                </c:pt>
                <c:pt idx="25">
                  <c:v>1.9184688491890352</c:v>
                </c:pt>
                <c:pt idx="26">
                  <c:v>2.073100858319441</c:v>
                </c:pt>
                <c:pt idx="27">
                  <c:v>2.2443868308949395</c:v>
                </c:pt>
                <c:pt idx="28">
                  <c:v>2.4352524469593582</c:v>
                </c:pt>
                <c:pt idx="29">
                  <c:v>2.6494363607015914</c:v>
                </c:pt>
                <c:pt idx="30">
                  <c:v>2.8918223220374455</c:v>
                </c:pt>
                <c:pt idx="31">
                  <c:v>3.1689609372532019</c:v>
                </c:pt>
                <c:pt idx="32">
                  <c:v>3.4899282537688023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58-47C8-B6E0-512AA87BD209}"/>
            </c:ext>
          </c:extLst>
        </c:ser>
        <c:ser>
          <c:idx val="1"/>
          <c:order val="1"/>
          <c:tx>
            <c:strRef>
              <c:f>'New_cases_rates - LNorm'!$W$7</c:f>
              <c:strCache>
                <c:ptCount val="1"/>
                <c:pt idx="0">
                  <c:v>Italy g.r. (Norm. To val. at lockdown)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'New_cases_rates - LNorm'!$C$62:$C$184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'New_cases_rates - LNorm'!$W$62:$W$184</c:f>
              <c:numCache>
                <c:formatCode>General</c:formatCode>
                <c:ptCount val="123"/>
                <c:pt idx="0">
                  <c:v>2.9917445995198051</c:v>
                </c:pt>
                <c:pt idx="1">
                  <c:v>2.7650669806348169</c:v>
                </c:pt>
                <c:pt idx="2">
                  <c:v>2.5606041365658423</c:v>
                </c:pt>
                <c:pt idx="3">
                  <c:v>2.3755279759879175</c:v>
                </c:pt>
                <c:pt idx="4">
                  <c:v>2.2074556845733593</c:v>
                </c:pt>
                <c:pt idx="5">
                  <c:v>2.0543669261560158</c:v>
                </c:pt>
                <c:pt idx="6">
                  <c:v>1.9145386627152527</c:v>
                </c:pt>
                <c:pt idx="7">
                  <c:v>1.7864933988615423</c:v>
                </c:pt>
                <c:pt idx="8">
                  <c:v>1.6689577546741035</c:v>
                </c:pt>
                <c:pt idx="9">
                  <c:v>1.5608290568182688</c:v>
                </c:pt>
                <c:pt idx="10">
                  <c:v>1.4611482071295545</c:v>
                </c:pt>
                <c:pt idx="11">
                  <c:v>1.3690775045876027</c:v>
                </c:pt>
                <c:pt idx="12">
                  <c:v>1.2838824047846513</c:v>
                </c:pt>
                <c:pt idx="13">
                  <c:v>1.2049164310677687</c:v>
                </c:pt>
                <c:pt idx="14">
                  <c:v>1.1316086248309229</c:v>
                </c:pt>
                <c:pt idx="15">
                  <c:v>1.063453054059927</c:v>
                </c:pt>
                <c:pt idx="16">
                  <c:v>1</c:v>
                </c:pt>
                <c:pt idx="17">
                  <c:v>0.94084851953308113</c:v>
                </c:pt>
                <c:pt idx="18">
                  <c:v>0.88564014121456258</c:v>
                </c:pt>
                <c:pt idx="19">
                  <c:v>0.83405350011515433</c:v>
                </c:pt>
                <c:pt idx="20">
                  <c:v>0.78579975374837774</c:v>
                </c:pt>
                <c:pt idx="21">
                  <c:v>0.7406186507578626</c:v>
                </c:pt>
                <c:pt idx="22">
                  <c:v>0.69827514743771724</c:v>
                </c:pt>
                <c:pt idx="23">
                  <c:v>0.65855648588736371</c:v>
                </c:pt>
                <c:pt idx="24">
                  <c:v>0.62126966266935946</c:v>
                </c:pt>
                <c:pt idx="25">
                  <c:v>0.58623922902031778</c:v>
                </c:pt>
                <c:pt idx="26">
                  <c:v>0.55330537356006892</c:v>
                </c:pt>
                <c:pt idx="27">
                  <c:v>0.52232224651813075</c:v>
                </c:pt>
                <c:pt idx="28">
                  <c:v>0.49315649111279203</c:v>
                </c:pt>
                <c:pt idx="29">
                  <c:v>0.46568595316232853</c:v>
                </c:pt>
                <c:pt idx="30">
                  <c:v>0.43979854450522166</c:v>
                </c:pt>
                <c:pt idx="31">
                  <c:v>0.41539123953563428</c:v>
                </c:pt>
                <c:pt idx="32">
                  <c:v>0.39236918726409142</c:v>
                </c:pt>
                <c:pt idx="33">
                  <c:v>0.37064492390535886</c:v>
                </c:pt>
                <c:pt idx="34">
                  <c:v>0.35013767316747763</c:v>
                </c:pt>
                <c:pt idx="35">
                  <c:v>0.33077272324183854</c:v>
                </c:pt>
                <c:pt idx="36">
                  <c:v>0.31248087103380107</c:v>
                </c:pt>
                <c:pt idx="37">
                  <c:v>0.2951979254756455</c:v>
                </c:pt>
                <c:pt idx="38">
                  <c:v>0.27886426286822369</c:v>
                </c:pt>
                <c:pt idx="39">
                  <c:v>0.26342442813720984</c:v>
                </c:pt>
                <c:pt idx="40">
                  <c:v>0.24882677669115941</c:v>
                </c:pt>
                <c:pt idx="41">
                  <c:v>0.23502315225381079</c:v>
                </c:pt>
                <c:pt idx="42">
                  <c:v>0.22196859663042759</c:v>
                </c:pt>
                <c:pt idx="43">
                  <c:v>0.20962108787279354</c:v>
                </c:pt>
                <c:pt idx="44">
                  <c:v>0.19794130374229502</c:v>
                </c:pt>
                <c:pt idx="45">
                  <c:v>0.18689240774598126</c:v>
                </c:pt>
                <c:pt idx="46">
                  <c:v>0.17643985534542359</c:v>
                </c:pt>
                <c:pt idx="47">
                  <c:v>0.16655121822001662</c:v>
                </c:pt>
                <c:pt idx="48">
                  <c:v>0.15719602471136118</c:v>
                </c:pt>
                <c:pt idx="49">
                  <c:v>0.14834561478879019</c:v>
                </c:pt>
                <c:pt idx="50">
                  <c:v>0.13997300806245375</c:v>
                </c:pt>
                <c:pt idx="51">
                  <c:v>0.13205278353342634</c:v>
                </c:pt>
                <c:pt idx="52">
                  <c:v>0.12456096991325499</c:v>
                </c:pt>
                <c:pt idx="53">
                  <c:v>0.11747494547102033</c:v>
                </c:pt>
                <c:pt idx="54">
                  <c:v>0.11077334647659645</c:v>
                </c:pt>
                <c:pt idx="55">
                  <c:v>0.10443598340644553</c:v>
                </c:pt>
                <c:pt idx="56">
                  <c:v>9.8443764164624512E-2</c:v>
                </c:pt>
                <c:pt idx="57">
                  <c:v>9.2778623648222008E-2</c:v>
                </c:pt>
                <c:pt idx="58">
                  <c:v>8.7423459054400049E-2</c:v>
                </c:pt>
                <c:pt idx="59">
                  <c:v>8.2362070386724689E-2</c:v>
                </c:pt>
                <c:pt idx="60">
                  <c:v>7.7579105672408971E-2</c:v>
                </c:pt>
                <c:pt idx="61">
                  <c:v>7.3060010450317764E-2</c:v>
                </c:pt>
                <c:pt idx="62">
                  <c:v>6.8790981132736309E-2</c:v>
                </c:pt>
                <c:pt idx="63">
                  <c:v>6.4758921882641832E-2</c:v>
                </c:pt>
                <c:pt idx="64">
                  <c:v>6.0951404682999498E-2</c:v>
                </c:pt>
                <c:pt idx="65">
                  <c:v>5.7356632305931785E-2</c:v>
                </c:pt>
                <c:pt idx="66">
                  <c:v>5.3963403917832831E-2</c:v>
                </c:pt>
                <c:pt idx="67">
                  <c:v>5.0761083081987332E-2</c:v>
                </c:pt>
                <c:pt idx="68">
                  <c:v>4.7739567943272672E-2</c:v>
                </c:pt>
                <c:pt idx="69">
                  <c:v>4.4889263400359224E-2</c:v>
                </c:pt>
                <c:pt idx="70">
                  <c:v>4.2201055089677655E-2</c:v>
                </c:pt>
                <c:pt idx="71">
                  <c:v>3.9666285022503453E-2</c:v>
                </c:pt>
                <c:pt idx="72">
                  <c:v>3.727672873198707E-2</c:v>
                </c:pt>
                <c:pt idx="73">
                  <c:v>3.502457380099129E-2</c:v>
                </c:pt>
                <c:pt idx="74">
                  <c:v>3.2902399654304838E-2</c:v>
                </c:pt>
                <c:pt idx="75">
                  <c:v>3.0903158510327294E-2</c:v>
                </c:pt>
                <c:pt idx="76">
                  <c:v>2.902015739774837E-2</c:v>
                </c:pt>
                <c:pt idx="77">
                  <c:v>2.7247041152185267E-2</c:v>
                </c:pt>
                <c:pt idx="78">
                  <c:v>2.557777631627841E-2</c:v>
                </c:pt>
                <c:pt idx="79">
                  <c:v>2.4006635874452713E-2</c:v>
                </c:pt>
                <c:pt idx="80">
                  <c:v>2.2528184760505755E-2</c:v>
                </c:pt>
                <c:pt idx="81">
                  <c:v>2.1137266082440494E-2</c:v>
                </c:pt>
                <c:pt idx="82">
                  <c:v>1.9828988014597149E-2</c:v>
                </c:pt>
                <c:pt idx="83">
                  <c:v>1.8598711312183214E-2</c:v>
                </c:pt>
                <c:pt idx="84">
                  <c:v>1.7442037407831783E-2</c:v>
                </c:pt>
                <c:pt idx="85">
                  <c:v>1.6354797053857791E-2</c:v>
                </c:pt>
                <c:pt idx="86">
                  <c:v>1.533303947749359E-2</c:v>
                </c:pt>
                <c:pt idx="87">
                  <c:v>1.4373022019590342E-2</c:v>
                </c:pt>
                <c:pt idx="88">
                  <c:v>1.3471200230122609E-2</c:v>
                </c:pt>
                <c:pt idx="89">
                  <c:v>1.2624218396355663E-2</c:v>
                </c:pt>
                <c:pt idx="90">
                  <c:v>1.1828900481759943E-2</c:v>
                </c:pt>
                <c:pt idx="91">
                  <c:v>1.1082241455723419E-2</c:v>
                </c:pt>
                <c:pt idx="92">
                  <c:v>1.0381398995832122E-2</c:v>
                </c:pt>
                <c:pt idx="93">
                  <c:v>9.7236855460051883E-3</c:v>
                </c:pt>
                <c:pt idx="94">
                  <c:v>9.1065607150902506E-3</c:v>
                </c:pt>
                <c:pt idx="95">
                  <c:v>8.5276240016794319E-3</c:v>
                </c:pt>
                <c:pt idx="96">
                  <c:v>7.984607831913253E-3</c:v>
                </c:pt>
                <c:pt idx="97">
                  <c:v>7.4753708979125241E-3</c:v>
                </c:pt>
                <c:pt idx="98">
                  <c:v>6.9978917852413598E-3</c:v>
                </c:pt>
                <c:pt idx="99">
                  <c:v>6.5502628784630292E-3</c:v>
                </c:pt>
                <c:pt idx="100">
                  <c:v>6.1306845344276124E-3</c:v>
                </c:pt>
                <c:pt idx="101">
                  <c:v>5.7374595134297608E-3</c:v>
                </c:pt>
                <c:pt idx="102">
                  <c:v>5.3689876588134157E-3</c:v>
                </c:pt>
                <c:pt idx="103">
                  <c:v>5.0237608159822665E-3</c:v>
                </c:pt>
                <c:pt idx="104">
                  <c:v>4.7003579821157902E-3</c:v>
                </c:pt>
                <c:pt idx="105">
                  <c:v>4.397440678188794E-3</c:v>
                </c:pt>
                <c:pt idx="106">
                  <c:v>4.1137485351632232E-3</c:v>
                </c:pt>
                <c:pt idx="107">
                  <c:v>3.8480950864646399E-3</c:v>
                </c:pt>
                <c:pt idx="108">
                  <c:v>3.5993637590788618E-3</c:v>
                </c:pt>
                <c:pt idx="109">
                  <c:v>3.3665040558112226E-3</c:v>
                </c:pt>
                <c:pt idx="110">
                  <c:v>3.1485279214454468E-3</c:v>
                </c:pt>
                <c:pt idx="111">
                  <c:v>2.9445062857231231E-3</c:v>
                </c:pt>
                <c:pt idx="112">
                  <c:v>2.7535657762418125E-3</c:v>
                </c:pt>
                <c:pt idx="113">
                  <c:v>2.5748855945423085E-3</c:v>
                </c:pt>
                <c:pt idx="114">
                  <c:v>2.4076945488228879E-3</c:v>
                </c:pt>
                <c:pt idx="115">
                  <c:v>2.2512682368853311E-3</c:v>
                </c:pt>
                <c:pt idx="116">
                  <c:v>2.104926373081089E-3</c:v>
                </c:pt>
                <c:pt idx="117">
                  <c:v>1.9680302531908237E-3</c:v>
                </c:pt>
                <c:pt idx="118">
                  <c:v>1.839980351334002E-3</c:v>
                </c:pt>
                <c:pt idx="119">
                  <c:v>1.7202140431691695E-3</c:v>
                </c:pt>
                <c:pt idx="120">
                  <c:v>1.6082034498103757E-3</c:v>
                </c:pt>
                <c:pt idx="121">
                  <c:v>1.5034533970495702E-3</c:v>
                </c:pt>
                <c:pt idx="122">
                  <c:v>1.4054994846403436E-3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858-47C8-B6E0-512AA87BD209}"/>
            </c:ext>
          </c:extLst>
        </c:ser>
        <c:ser>
          <c:idx val="2"/>
          <c:order val="2"/>
          <c:tx>
            <c:strRef>
              <c:f>'New_cases_rates - LNorm'!$Y$7</c:f>
              <c:strCache>
                <c:ptCount val="1"/>
                <c:pt idx="0">
                  <c:v>Italy h.t. (Norm. To val. at lockdown)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'New_cases_rates - LNorm'!$C$62:$C$184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'New_cases_rates - LNorm'!$Y$62:$Y$184</c:f>
              <c:numCache>
                <c:formatCode>General</c:formatCode>
                <c:ptCount val="123"/>
                <c:pt idx="0">
                  <c:v>2.2291330621927545</c:v>
                </c:pt>
                <c:pt idx="1">
                  <c:v>2.1115895744340976</c:v>
                </c:pt>
                <c:pt idx="2">
                  <c:v>2.002256668859602</c:v>
                </c:pt>
                <c:pt idx="3">
                  <c:v>1.900235841958936</c:v>
                </c:pt>
                <c:pt idx="4">
                  <c:v>1.8047616763840169</c:v>
                </c:pt>
                <c:pt idx="5">
                  <c:v>1.7151787376076795</c:v>
                </c:pt>
                <c:pt idx="6">
                  <c:v>1.6309231808793301</c:v>
                </c:pt>
                <c:pt idx="7">
                  <c:v>1.5515079869094064</c:v>
                </c:pt>
                <c:pt idx="8">
                  <c:v>1.4765110183942149</c:v>
                </c:pt>
                <c:pt idx="9">
                  <c:v>1.4055652871656761</c:v>
                </c:pt>
                <c:pt idx="10">
                  <c:v>1.3383509660522224</c:v>
                </c:pt>
                <c:pt idx="11">
                  <c:v>1.2745887858918663</c:v>
                </c:pt>
                <c:pt idx="12">
                  <c:v>1.2140345372032098</c:v>
                </c:pt>
                <c:pt idx="13">
                  <c:v>1.1564744552621857</c:v>
                </c:pt>
                <c:pt idx="14">
                  <c:v>1.1017213120629488</c:v>
                </c:pt>
                <c:pt idx="15">
                  <c:v>1.0496110727059182</c:v>
                </c:pt>
                <c:pt idx="16">
                  <c:v>1</c:v>
                </c:pt>
                <c:pt idx="17">
                  <c:v>0.95276211165217339</c:v>
                </c:pt>
                <c:pt idx="18">
                  <c:v>0.90778691104202747</c:v>
                </c:pt>
                <c:pt idx="19">
                  <c:v>0.86497732660913595</c:v>
                </c:pt>
                <c:pt idx="20">
                  <c:v>0.82424780743647996</c:v>
                </c:pt>
                <c:pt idx="21">
                  <c:v>0.78552253458767185</c:v>
                </c:pt>
                <c:pt idx="22">
                  <c:v>0.74873371979829151</c:v>
                </c:pt>
                <c:pt idx="23">
                  <c:v>0.71381997557509103</c:v>
                </c:pt>
                <c:pt idx="24">
                  <c:v>0.68072475358132001</c:v>
                </c:pt>
                <c:pt idx="25">
                  <c:v>0.64939486089445919</c:v>
                </c:pt>
                <c:pt idx="26">
                  <c:v>0.61977907537034516</c:v>
                </c:pt>
                <c:pt idx="27">
                  <c:v>0.59182689062647598</c:v>
                </c:pt>
                <c:pt idx="28">
                  <c:v>0.56548742661258378</c:v>
                </c:pt>
                <c:pt idx="29">
                  <c:v>0.54070854210435171</c:v>
                </c:pt>
                <c:pt idx="30">
                  <c:v>0.51743618005048508</c:v>
                </c:pt>
                <c:pt idx="31">
                  <c:v>0.4956139657441237</c:v>
                </c:pt>
                <c:pt idx="32">
                  <c:v>0.47518306253978032</c:v>
                </c:pt>
                <c:pt idx="33">
                  <c:v>0.45608227246441563</c:v>
                </c:pt>
                <c:pt idx="34">
                  <c:v>0.43824835223434189</c:v>
                </c:pt>
                <c:pt idx="35">
                  <c:v>0.421616501457732</c:v>
                </c:pt>
                <c:pt idx="36">
                  <c:v>0.4061209710891025</c:v>
                </c:pt>
                <c:pt idx="37">
                  <c:v>0.39169573738879038</c:v>
                </c:pt>
                <c:pt idx="38">
                  <c:v>0.37827518949429528</c:v>
                </c:pt>
                <c:pt idx="39">
                  <c:v>0.36579478608629401</c:v>
                </c:pt>
                <c:pt idx="40">
                  <c:v>0.35419164685783588</c:v>
                </c:pt>
                <c:pt idx="41">
                  <c:v>0.34340505579818426</c:v>
                </c:pt>
                <c:pt idx="42">
                  <c:v>0.33337686415676848</c:v>
                </c:pt>
                <c:pt idx="43">
                  <c:v>0.32405179027965081</c:v>
                </c:pt>
                <c:pt idx="44">
                  <c:v>0.31537762073216907</c:v>
                </c:pt>
                <c:pt idx="45">
                  <c:v>0.30730532209673322</c:v>
                </c:pt>
                <c:pt idx="46">
                  <c:v>0.29978907574107949</c:v>
                </c:pt>
                <c:pt idx="47">
                  <c:v>0.29278624905013001</c:v>
                </c:pt>
                <c:pt idx="48">
                  <c:v>0.28625731653380193</c:v>
                </c:pt>
                <c:pt idx="49">
                  <c:v>0.28016574328095439</c:v>
                </c:pt>
                <c:pt idx="50">
                  <c:v>0.27447784178375434</c:v>
                </c:pt>
                <c:pt idx="51">
                  <c:v>0.26916261148524989</c:v>
                </c:pt>
                <c:pt idx="52">
                  <c:v>0.26419156870389965</c:v>
                </c:pt>
                <c:pt idx="53">
                  <c:v>0.25953857299014121</c:v>
                </c:pt>
                <c:pt idx="54">
                  <c:v>0.2551796545443859</c:v>
                </c:pt>
                <c:pt idx="55">
                  <c:v>0.25109284610490368</c:v>
                </c:pt>
                <c:pt idx="56">
                  <c:v>0.24725802170246269</c:v>
                </c:pt>
                <c:pt idx="57">
                  <c:v>0.24365674386412164</c:v>
                </c:pt>
                <c:pt idx="58">
                  <c:v>0.24027212020968325</c:v>
                </c:pt>
                <c:pt idx="59">
                  <c:v>0.23708866989593919</c:v>
                </c:pt>
                <c:pt idx="60">
                  <c:v>0.23409220000055769</c:v>
                </c:pt>
                <c:pt idx="61">
                  <c:v>0.23126969167536363</c:v>
                </c:pt>
                <c:pt idx="62">
                  <c:v>0.22860919571701788</c:v>
                </c:pt>
                <c:pt idx="63">
                  <c:v>0.22609973708361769</c:v>
                </c:pt>
                <c:pt idx="64">
                  <c:v>0.2237312278136494</c:v>
                </c:pt>
                <c:pt idx="65">
                  <c:v>0.22149438776703981</c:v>
                </c:pt>
                <c:pt idx="66">
                  <c:v>0.21938067259712474</c:v>
                </c:pt>
                <c:pt idx="67">
                  <c:v>0.21738220836966432</c:v>
                </c:pt>
                <c:pt idx="68">
                  <c:v>0.21549173226490978</c:v>
                </c:pt>
                <c:pt idx="69">
                  <c:v>0.21370253882667192</c:v>
                </c:pt>
                <c:pt idx="70">
                  <c:v>0.2120084312552088</c:v>
                </c:pt>
                <c:pt idx="71">
                  <c:v>0.21040367727610557</c:v>
                </c:pt>
                <c:pt idx="72">
                  <c:v>0.20888296915340923</c:v>
                </c:pt>
                <c:pt idx="73">
                  <c:v>0.2074413874509812</c:v>
                </c:pt>
                <c:pt idx="74">
                  <c:v>0.20607436818052643</c:v>
                </c:pt>
                <c:pt idx="75">
                  <c:v>0.20477767300743102</c:v>
                </c:pt>
                <c:pt idx="76">
                  <c:v>0.20354736221622666</c:v>
                </c:pt>
                <c:pt idx="77">
                  <c:v>0.20237977016590558</c:v>
                </c:pt>
                <c:pt idx="78">
                  <c:v>0.20127148299158409</c:v>
                </c:pt>
                <c:pt idx="79">
                  <c:v>0.20021931833287454</c:v>
                </c:pt>
                <c:pt idx="80">
                  <c:v>0.19922030689124151</c:v>
                </c:pt>
                <c:pt idx="81">
                  <c:v>0.19827167563840725</c:v>
                </c:pt>
                <c:pt idx="82">
                  <c:v>0.1973708325157377</c:v>
                </c:pt>
                <c:pt idx="83">
                  <c:v>0.19651535248076163</c:v>
                </c:pt>
                <c:pt idx="84">
                  <c:v>0.19570296477148436</c:v>
                </c:pt>
                <c:pt idx="85">
                  <c:v>0.19493154127227752</c:v>
                </c:pt>
                <c:pt idx="86">
                  <c:v>0.19419908587679963</c:v>
                </c:pt>
                <c:pt idx="87">
                  <c:v>0.19350372475405744</c:v>
                </c:pt>
                <c:pt idx="88">
                  <c:v>0.19284369743302546</c:v>
                </c:pt>
                <c:pt idx="89">
                  <c:v>0.19221734862984077</c:v>
                </c:pt>
                <c:pt idx="90">
                  <c:v>0.1916231207490996</c:v>
                </c:pt>
                <c:pt idx="91">
                  <c:v>0.19105954699756986</c:v>
                </c:pt>
                <c:pt idx="92">
                  <c:v>0.19052524505481047</c:v>
                </c:pt>
                <c:pt idx="93">
                  <c:v>0.19001891125053688</c:v>
                </c:pt>
                <c:pt idx="94">
                  <c:v>0.18953931520354964</c:v>
                </c:pt>
                <c:pt idx="95">
                  <c:v>0.18908529488137213</c:v>
                </c:pt>
                <c:pt idx="96">
                  <c:v>0.18865575204371027</c:v>
                </c:pt>
                <c:pt idx="97">
                  <c:v>0.18824964803637964</c:v>
                </c:pt>
                <c:pt idx="98">
                  <c:v>0.18786599990546396</c:v>
                </c:pt>
                <c:pt idx="99">
                  <c:v>0.18750387680440639</c:v>
                </c:pt>
                <c:pt idx="100">
                  <c:v>0.18716239666919729</c:v>
                </c:pt>
                <c:pt idx="101">
                  <c:v>0.1868407231392159</c:v>
                </c:pt>
                <c:pt idx="102">
                  <c:v>0.18653806270323947</c:v>
                </c:pt>
                <c:pt idx="103">
                  <c:v>0.18625366205218313</c:v>
                </c:pt>
                <c:pt idx="104">
                  <c:v>0.18598680562157135</c:v>
                </c:pt>
                <c:pt idx="105">
                  <c:v>0.18573681330850633</c:v>
                </c:pt>
                <c:pt idx="106">
                  <c:v>0.18550303834908166</c:v>
                </c:pt>
                <c:pt idx="107">
                  <c:v>0.1852848653435305</c:v>
                </c:pt>
                <c:pt idx="108">
                  <c:v>0.18508170841747026</c:v>
                </c:pt>
                <c:pt idx="109">
                  <c:v>0.18489300950866064</c:v>
                </c:pt>
                <c:pt idx="110">
                  <c:v>0.18471823676952978</c:v>
                </c:pt>
                <c:pt idx="111">
                  <c:v>0.18455688307664136</c:v>
                </c:pt>
                <c:pt idx="112">
                  <c:v>0.18440846463899324</c:v>
                </c:pt>
                <c:pt idx="113">
                  <c:v>0.18427251969767594</c:v>
                </c:pt>
                <c:pt idx="114">
                  <c:v>0.18414860731014232</c:v>
                </c:pt>
                <c:pt idx="115">
                  <c:v>0.18403630621277081</c:v>
                </c:pt>
                <c:pt idx="116">
                  <c:v>0.18393521375606062</c:v>
                </c:pt>
                <c:pt idx="117">
                  <c:v>0.18384494490715519</c:v>
                </c:pt>
                <c:pt idx="118">
                  <c:v>0.18376513131482144</c:v>
                </c:pt>
                <c:pt idx="119">
                  <c:v>0.18369542043252071</c:v>
                </c:pt>
                <c:pt idx="120">
                  <c:v>0.18363547469537309</c:v>
                </c:pt>
                <c:pt idx="121">
                  <c:v>0.18358497074731234</c:v>
                </c:pt>
                <c:pt idx="122">
                  <c:v>0.18354359871489628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858-47C8-B6E0-512AA87BD209}"/>
            </c:ext>
          </c:extLst>
        </c:ser>
        <c:ser>
          <c:idx val="3"/>
          <c:order val="3"/>
          <c:tx>
            <c:strRef>
              <c:f>'New_cases_rates - LNorm'!$AA$7</c:f>
              <c:strCache>
                <c:ptCount val="1"/>
                <c:pt idx="0">
                  <c:v>Italy acc. Fit (Norm. To val. at lockdown)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'New_cases_rates - LNorm'!$C$62:$C$184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'New_cases_rates - LNorm'!$AA$62:$AA$184</c:f>
              <c:numCache>
                <c:formatCode>General</c:formatCode>
                <c:ptCount val="123"/>
                <c:pt idx="0">
                  <c:v>0.13625776638063652</c:v>
                </c:pt>
                <c:pt idx="1">
                  <c:v>0.1814277690109482</c:v>
                </c:pt>
                <c:pt idx="2">
                  <c:v>0.2342497930842154</c:v>
                </c:pt>
                <c:pt idx="3">
                  <c:v>0.29412984266265224</c:v>
                </c:pt>
                <c:pt idx="4">
                  <c:v>0.3600557224908621</c:v>
                </c:pt>
                <c:pt idx="5">
                  <c:v>0.43064292020055744</c:v>
                </c:pt>
                <c:pt idx="6">
                  <c:v>0.50420626843070204</c:v>
                </c:pt>
                <c:pt idx="7">
                  <c:v>0.57884932537865841</c:v>
                </c:pt>
                <c:pt idx="8">
                  <c:v>0.65256284662577368</c:v>
                </c:pt>
                <c:pt idx="9">
                  <c:v>0.72332414982595605</c:v>
                </c:pt>
                <c:pt idx="10">
                  <c:v>0.78919032323323934</c:v>
                </c:pt>
                <c:pt idx="11">
                  <c:v>0.84837980989645179</c:v>
                </c:pt>
                <c:pt idx="12">
                  <c:v>0.89933865000115953</c:v>
                </c:pt>
                <c:pt idx="13">
                  <c:v>0.94078937463794421</c:v>
                </c:pt>
                <c:pt idx="14">
                  <c:v>0.97176206678998345</c:v>
                </c:pt>
                <c:pt idx="15">
                  <c:v>0.99160835059600516</c:v>
                </c:pt>
                <c:pt idx="16">
                  <c:v>1</c:v>
                </c:pt>
                <c:pt idx="17">
                  <c:v>0.99691447420377022</c:v>
                </c:pt>
                <c:pt idx="18">
                  <c:v>0.98261001861972486</c:v>
                </c:pt>
                <c:pt idx="19">
                  <c:v>0.95759306124537746</c:v>
                </c:pt>
                <c:pt idx="20">
                  <c:v>0.92258053770150916</c:v>
                </c:pt>
                <c:pt idx="21">
                  <c:v>0.87845954615776589</c:v>
                </c:pt>
                <c:pt idx="22">
                  <c:v>0.82624641439846391</c:v>
                </c:pt>
                <c:pt idx="23">
                  <c:v>0.76704689685830729</c:v>
                </c:pt>
                <c:pt idx="24">
                  <c:v>0.70201884298025874</c:v>
                </c:pt>
                <c:pt idx="25">
                  <c:v>0.63233831487890513</c:v>
                </c:pt>
                <c:pt idx="26">
                  <c:v>0.55916979954871859</c:v>
                </c:pt>
                <c:pt idx="27">
                  <c:v>0.4836408696169352</c:v>
                </c:pt>
                <c:pt idx="28">
                  <c:v>0.406821402346073</c:v>
                </c:pt>
                <c:pt idx="29">
                  <c:v>0.3297072704691999</c:v>
                </c:pt>
                <c:pt idx="30">
                  <c:v>0.25320826864976043</c:v>
                </c:pt>
                <c:pt idx="31">
                  <c:v>0.17813993198697811</c:v>
                </c:pt>
                <c:pt idx="32">
                  <c:v>0.10521883288891914</c:v>
                </c:pt>
                <c:pt idx="33">
                  <c:v>3.5060904077098907E-2</c:v>
                </c:pt>
                <c:pt idx="34">
                  <c:v>-3.1817677353046657E-2</c:v>
                </c:pt>
                <c:pt idx="35">
                  <c:v>-9.4997502578070048E-2</c:v>
                </c:pt>
                <c:pt idx="36">
                  <c:v>-0.15415127577744739</c:v>
                </c:pt>
                <c:pt idx="37">
                  <c:v>-0.20903789334297343</c:v>
                </c:pt>
                <c:pt idx="38">
                  <c:v>-0.25949562017267058</c:v>
                </c:pt>
                <c:pt idx="39">
                  <c:v>-0.3054346821923129</c:v>
                </c:pt>
                <c:pt idx="40">
                  <c:v>-0.34682954959768769</c:v>
                </c:pt>
                <c:pt idx="41">
                  <c:v>-0.38371114138195589</c:v>
                </c:pt>
                <c:pt idx="42">
                  <c:v>-0.41615913990390285</c:v>
                </c:pt>
                <c:pt idx="43">
                  <c:v>-0.44429456552852709</c:v>
                </c:pt>
                <c:pt idx="44">
                  <c:v>-0.4682727263368881</c:v>
                </c:pt>
                <c:pt idx="45">
                  <c:v>-0.48827662687335949</c:v>
                </c:pt>
                <c:pt idx="46">
                  <c:v>-0.50451089296661811</c:v>
                </c:pt>
                <c:pt idx="47">
                  <c:v>-0.51719624674765918</c:v>
                </c:pt>
                <c:pt idx="48">
                  <c:v>-0.5265645468937642</c:v>
                </c:pt>
                <c:pt idx="49">
                  <c:v>-0.53285439356980935</c:v>
                </c:pt>
                <c:pt idx="50">
                  <c:v>-0.53630728518510151</c:v>
                </c:pt>
                <c:pt idx="51">
                  <c:v>-0.5371643045780089</c:v>
                </c:pt>
                <c:pt idx="52">
                  <c:v>-0.53566330521918615</c:v>
                </c:pt>
                <c:pt idx="53">
                  <c:v>-0.53203656313282566</c:v>
                </c:pt>
                <c:pt idx="54">
                  <c:v>-0.52650885713864304</c:v>
                </c:pt>
                <c:pt idx="55">
                  <c:v>-0.51929593840473887</c:v>
                </c:pt>
                <c:pt idx="56">
                  <c:v>-0.51060334989207112</c:v>
                </c:pt>
                <c:pt idx="57">
                  <c:v>-0.50062555681471643</c:v>
                </c:pt>
                <c:pt idx="58">
                  <c:v>-0.48954535051754416</c:v>
                </c:pt>
                <c:pt idx="59">
                  <c:v>-0.47753348999572715</c:v>
                </c:pt>
                <c:pt idx="60">
                  <c:v>-0.46474854748854882</c:v>
                </c:pt>
                <c:pt idx="61">
                  <c:v>-0.45133692703973083</c:v>
                </c:pt>
                <c:pt idx="62">
                  <c:v>-0.43743302751804297</c:v>
                </c:pt>
                <c:pt idx="63">
                  <c:v>-0.42315952424688541</c:v>
                </c:pt>
                <c:pt idx="64">
                  <c:v>-0.40862774602982027</c:v>
                </c:pt>
                <c:pt idx="65">
                  <c:v>-0.39393812692696051</c:v>
                </c:pt>
                <c:pt idx="66">
                  <c:v>-0.37918071459450797</c:v>
                </c:pt>
                <c:pt idx="67">
                  <c:v>-0.36443571931810737</c:v>
                </c:pt>
                <c:pt idx="68">
                  <c:v>-0.34977409003092286</c:v>
                </c:pt>
                <c:pt idx="69">
                  <c:v>-0.33525810559838526</c:v>
                </c:pt>
                <c:pt idx="70">
                  <c:v>-0.32094197146834608</c:v>
                </c:pt>
                <c:pt idx="71">
                  <c:v>-0.30687241342796467</c:v>
                </c:pt>
                <c:pt idx="72">
                  <c:v>-0.29308926168079857</c:v>
                </c:pt>
                <c:pt idx="73">
                  <c:v>-0.27962601976591317</c:v>
                </c:pt>
                <c:pt idx="74">
                  <c:v>-0.26651041399391506</c:v>
                </c:pt>
                <c:pt idx="75">
                  <c:v>-0.25376492008275076</c:v>
                </c:pt>
                <c:pt idx="76">
                  <c:v>-0.24140726454961189</c:v>
                </c:pt>
                <c:pt idx="77">
                  <c:v>-0.22945089916560471</c:v>
                </c:pt>
                <c:pt idx="78">
                  <c:v>-0.21790544741825896</c:v>
                </c:pt>
                <c:pt idx="79">
                  <c:v>-0.20677712246448851</c:v>
                </c:pt>
                <c:pt idx="80">
                  <c:v>-0.1960691165040116</c:v>
                </c:pt>
                <c:pt idx="81">
                  <c:v>-0.18578196187055199</c:v>
                </c:pt>
                <c:pt idx="82">
                  <c:v>-0.17591386443503762</c:v>
                </c:pt>
                <c:pt idx="83">
                  <c:v>-0.16646101015014603</c:v>
                </c:pt>
                <c:pt idx="84">
                  <c:v>-0.15741784574723772</c:v>
                </c:pt>
                <c:pt idx="85">
                  <c:v>-0.14877733473221555</c:v>
                </c:pt>
                <c:pt idx="86">
                  <c:v>-0.14053118992301056</c:v>
                </c:pt>
                <c:pt idx="87">
                  <c:v>-0.13267008383409967</c:v>
                </c:pt>
                <c:pt idx="88">
                  <c:v>-0.12518383824820503</c:v>
                </c:pt>
                <c:pt idx="89">
                  <c:v>-0.11806159432679671</c:v>
                </c:pt>
                <c:pt idx="90">
                  <c:v>-0.11129196460340959</c:v>
                </c:pt>
                <c:pt idx="91">
                  <c:v>-0.10486316818082353</c:v>
                </c:pt>
                <c:pt idx="92">
                  <c:v>-9.8763150417912476E-2</c:v>
                </c:pt>
                <c:pt idx="93">
                  <c:v>-9.2979688347322551E-2</c:v>
                </c:pt>
                <c:pt idx="94">
                  <c:v>-8.7500483013328911E-2</c:v>
                </c:pt>
                <c:pt idx="95">
                  <c:v>-8.2313239862319629E-2</c:v>
                </c:pt>
                <c:pt idx="96">
                  <c:v>-7.7405738258041673E-2</c:v>
                </c:pt>
                <c:pt idx="97">
                  <c:v>-7.2765891131393479E-2</c:v>
                </c:pt>
                <c:pt idx="98">
                  <c:v>-6.8381795711395965E-2</c:v>
                </c:pt>
                <c:pt idx="99">
                  <c:v>-6.4241776220898814E-2</c:v>
                </c:pt>
                <c:pt idx="100">
                  <c:v>-6.0334419358435441E-2</c:v>
                </c:pt>
                <c:pt idx="101">
                  <c:v>-5.6648603326966099E-2</c:v>
                </c:pt>
                <c:pt idx="102">
                  <c:v>-5.3173521111578526E-2</c:v>
                </c:pt>
                <c:pt idx="103">
                  <c:v>-4.9898698651854576E-2</c:v>
                </c:pt>
                <c:pt idx="104">
                  <c:v>-4.6814008500886801E-2</c:v>
                </c:pt>
                <c:pt idx="105">
                  <c:v>-4.390967951193249E-2</c:v>
                </c:pt>
                <c:pt idx="106">
                  <c:v>-4.1176303045608438E-2</c:v>
                </c:pt>
                <c:pt idx="107">
                  <c:v>-3.8604836145360741E-2</c:v>
                </c:pt>
                <c:pt idx="108">
                  <c:v>-3.6186602086706085E-2</c:v>
                </c:pt>
                <c:pt idx="109">
                  <c:v>-3.3913288666401836E-2</c:v>
                </c:pt>
                <c:pt idx="110">
                  <c:v>-3.1776944561196202E-2</c:v>
                </c:pt>
                <c:pt idx="111">
                  <c:v>-2.9769974052041411E-2</c:v>
                </c:pt>
                <c:pt idx="112">
                  <c:v>-2.7885130378524622E-2</c:v>
                </c:pt>
                <c:pt idx="113">
                  <c:v>-2.6115507959666752E-2</c:v>
                </c:pt>
                <c:pt idx="114">
                  <c:v>-2.4454533691015294E-2</c:v>
                </c:pt>
                <c:pt idx="115">
                  <c:v>-2.2895957504007806E-2</c:v>
                </c:pt>
                <c:pt idx="116">
                  <c:v>-2.1433842351741728E-2</c:v>
                </c:pt>
                <c:pt idx="117">
                  <c:v>-2.0062553765449558E-2</c:v>
                </c:pt>
                <c:pt idx="118">
                  <c:v>-1.8776749107987038E-2</c:v>
                </c:pt>
                <c:pt idx="119">
                  <c:v>-1.7571366634376341E-2</c:v>
                </c:pt>
                <c:pt idx="120">
                  <c:v>-1.6441614454783166E-2</c:v>
                </c:pt>
                <c:pt idx="121">
                  <c:v>-1.53829594821106E-2</c:v>
                </c:pt>
                <c:pt idx="122">
                  <c:v>-1.4391116434561932E-2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858-47C8-B6E0-512AA87BD209}"/>
            </c:ext>
          </c:extLst>
        </c:ser>
        <c:ser>
          <c:idx val="4"/>
          <c:order val="4"/>
          <c:tx>
            <c:strRef>
              <c:f>'New_cases_rates - LNorm'!$B$6</c:f>
              <c:strCache>
                <c:ptCount val="1"/>
                <c:pt idx="0">
                  <c:v>29-Apr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('New_cases_rates - LNorm'!$C$6,'New_cases_rates - LNorm'!$C$6)</c:f>
              <c:numCache>
                <c:formatCode>General</c:formatCode>
                <c:ptCount val="2"/>
                <c:pt idx="0">
                  <c:v>120</c:v>
                </c:pt>
                <c:pt idx="1">
                  <c:v>120</c:v>
                </c:pt>
              </c:numCache>
            </c:numRef>
          </c:xVal>
          <c:yVal>
            <c:numRef>
              <c:f>('New_cases_rates - LNorm'!$D$6,'New_cases_rates - LNorm'!$I$6)</c:f>
              <c:numCache>
                <c:formatCode>General</c:formatCode>
                <c:ptCount val="2"/>
                <c:pt idx="0">
                  <c:v>0</c:v>
                </c:pt>
                <c:pt idx="1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858-47C8-B6E0-512AA87BD209}"/>
            </c:ext>
          </c:extLst>
        </c:ser>
        <c:ser>
          <c:idx val="5"/>
          <c:order val="5"/>
          <c:tx>
            <c:strRef>
              <c:f>'New_cases_rates - LNorm'!$B$78</c:f>
              <c:strCache>
                <c:ptCount val="1"/>
                <c:pt idx="0">
                  <c:v>11-Mar</c:v>
                </c:pt>
              </c:strCache>
            </c:strRef>
          </c:tx>
          <c:spPr>
            <a:ln w="25400" cap="rnd" cmpd="sng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('New_cases_rates - LNorm'!$C$78,'New_cases_rates - LNorm'!$C$78)</c:f>
              <c:numCache>
                <c:formatCode>General</c:formatCode>
                <c:ptCount val="2"/>
                <c:pt idx="0">
                  <c:v>71</c:v>
                </c:pt>
                <c:pt idx="1">
                  <c:v>71</c:v>
                </c:pt>
              </c:numCache>
            </c:numRef>
          </c:xVal>
          <c:yVal>
            <c:numRef>
              <c:f>('New_cases_rates - LNorm'!$D$6,'New_cases_rates - LNorm'!$I$6)</c:f>
              <c:numCache>
                <c:formatCode>General</c:formatCode>
                <c:ptCount val="2"/>
                <c:pt idx="0">
                  <c:v>0</c:v>
                </c:pt>
                <c:pt idx="1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858-47C8-B6E0-512AA87BD20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989120184"/>
        <c:axId val="989123064"/>
      </c:scatterChart>
      <c:valAx>
        <c:axId val="989120184"/>
        <c:scaling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 of the year (55=feb-24)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89123064"/>
        <c:crosses val="autoZero"/>
        <c:crossBetween val="midCat"/>
        <c:majorUnit val="5"/>
      </c:valAx>
      <c:valAx>
        <c:axId val="98912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Item ratio</a:t>
                </a:r>
                <a:r>
                  <a:rPr lang="it-IT" baseline="0"/>
                  <a:t> to fitted value at lockdown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89120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886458398832042"/>
          <c:y val="0.26712709371907073"/>
          <c:w val="0.26112701486953871"/>
          <c:h val="0.2449797388247886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13" Type="http://schemas.openxmlformats.org/officeDocument/2006/relationships/chart" Target="../charts/chart19.xml"/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12" Type="http://schemas.openxmlformats.org/officeDocument/2006/relationships/chart" Target="../charts/chart18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11" Type="http://schemas.openxmlformats.org/officeDocument/2006/relationships/chart" Target="../charts/chart17.xml"/><Relationship Id="rId5" Type="http://schemas.openxmlformats.org/officeDocument/2006/relationships/chart" Target="../charts/chart11.xml"/><Relationship Id="rId10" Type="http://schemas.openxmlformats.org/officeDocument/2006/relationships/chart" Target="../charts/chart16.xml"/><Relationship Id="rId4" Type="http://schemas.openxmlformats.org/officeDocument/2006/relationships/chart" Target="../charts/chart10.xml"/><Relationship Id="rId9" Type="http://schemas.openxmlformats.org/officeDocument/2006/relationships/chart" Target="../charts/chart15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.xml"/><Relationship Id="rId3" Type="http://schemas.openxmlformats.org/officeDocument/2006/relationships/chart" Target="../charts/chart22.xml"/><Relationship Id="rId7" Type="http://schemas.openxmlformats.org/officeDocument/2006/relationships/chart" Target="../charts/chart26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4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37860</xdr:colOff>
      <xdr:row>6</xdr:row>
      <xdr:rowOff>11469</xdr:rowOff>
    </xdr:from>
    <xdr:to>
      <xdr:col>41</xdr:col>
      <xdr:colOff>12967</xdr:colOff>
      <xdr:row>33</xdr:row>
      <xdr:rowOff>144361</xdr:rowOff>
    </xdr:to>
    <xdr:grpSp>
      <xdr:nvGrpSpPr>
        <xdr:cNvPr id="20" name="Gruppo 19">
          <a:extLst>
            <a:ext uri="{FF2B5EF4-FFF2-40B4-BE49-F238E27FC236}">
              <a16:creationId xmlns:a16="http://schemas.microsoft.com/office/drawing/2014/main" id="{D91AE2C4-84F3-4CC7-B2EE-B12DCA61AB8C}"/>
            </a:ext>
          </a:extLst>
        </xdr:cNvPr>
        <xdr:cNvGrpSpPr/>
      </xdr:nvGrpSpPr>
      <xdr:grpSpPr>
        <a:xfrm>
          <a:off x="27408900" y="1474509"/>
          <a:ext cx="8143747" cy="5497372"/>
          <a:chOff x="11988653" y="-2573422"/>
          <a:chExt cx="8113804" cy="5567952"/>
        </a:xfrm>
      </xdr:grpSpPr>
      <xdr:graphicFrame macro="">
        <xdr:nvGraphicFramePr>
          <xdr:cNvPr id="27" name="Grafico 26">
            <a:extLst>
              <a:ext uri="{FF2B5EF4-FFF2-40B4-BE49-F238E27FC236}">
                <a16:creationId xmlns:a16="http://schemas.microsoft.com/office/drawing/2014/main" id="{38B53E38-C601-499A-9729-C04B6CFC3C31}"/>
              </a:ext>
            </a:extLst>
          </xdr:cNvPr>
          <xdr:cNvGraphicFramePr/>
        </xdr:nvGraphicFramePr>
        <xdr:xfrm>
          <a:off x="11988653" y="-2573422"/>
          <a:ext cx="8113804" cy="556795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23" name="Grafico 22">
            <a:extLst>
              <a:ext uri="{FF2B5EF4-FFF2-40B4-BE49-F238E27FC236}">
                <a16:creationId xmlns:a16="http://schemas.microsoft.com/office/drawing/2014/main" id="{0773C989-B32E-45DF-88F2-56558ADFBF4E}"/>
              </a:ext>
            </a:extLst>
          </xdr:cNvPr>
          <xdr:cNvGraphicFramePr>
            <a:graphicFrameLocks/>
          </xdr:cNvGraphicFramePr>
        </xdr:nvGraphicFramePr>
        <xdr:xfrm>
          <a:off x="13918357" y="-1451745"/>
          <a:ext cx="1567600" cy="86060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24" name="Grafico 23">
            <a:extLst>
              <a:ext uri="{FF2B5EF4-FFF2-40B4-BE49-F238E27FC236}">
                <a16:creationId xmlns:a16="http://schemas.microsoft.com/office/drawing/2014/main" id="{CE59E760-D0BE-4F09-91BF-D748A2E71E66}"/>
              </a:ext>
            </a:extLst>
          </xdr:cNvPr>
          <xdr:cNvGraphicFramePr>
            <a:graphicFrameLocks/>
          </xdr:cNvGraphicFramePr>
        </xdr:nvGraphicFramePr>
        <xdr:xfrm>
          <a:off x="13117002" y="42382"/>
          <a:ext cx="1640035" cy="104465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25" name="Grafico 24">
            <a:extLst>
              <a:ext uri="{FF2B5EF4-FFF2-40B4-BE49-F238E27FC236}">
                <a16:creationId xmlns:a16="http://schemas.microsoft.com/office/drawing/2014/main" id="{DE365169-5442-450D-828E-476836958949}"/>
              </a:ext>
            </a:extLst>
          </xdr:cNvPr>
          <xdr:cNvGraphicFramePr>
            <a:graphicFrameLocks/>
          </xdr:cNvGraphicFramePr>
        </xdr:nvGraphicFramePr>
        <xdr:xfrm>
          <a:off x="16616370" y="859776"/>
          <a:ext cx="1559001" cy="103092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26" name="Grafico 25">
            <a:extLst>
              <a:ext uri="{FF2B5EF4-FFF2-40B4-BE49-F238E27FC236}">
                <a16:creationId xmlns:a16="http://schemas.microsoft.com/office/drawing/2014/main" id="{6D44ABFB-C9D6-4020-B288-E2FF692DE5E9}"/>
              </a:ext>
            </a:extLst>
          </xdr:cNvPr>
          <xdr:cNvGraphicFramePr>
            <a:graphicFrameLocks/>
          </xdr:cNvGraphicFramePr>
        </xdr:nvGraphicFramePr>
        <xdr:xfrm>
          <a:off x="16801334" y="-1219695"/>
          <a:ext cx="1549082" cy="88211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</xdr:grpSp>
    <xdr:clientData/>
  </xdr:twoCellAnchor>
  <xdr:oneCellAnchor>
    <xdr:from>
      <xdr:col>7</xdr:col>
      <xdr:colOff>1108363</xdr:colOff>
      <xdr:row>2</xdr:row>
      <xdr:rowOff>0</xdr:rowOff>
    </xdr:from>
    <xdr:ext cx="3519056" cy="955964"/>
    <xdr:sp macro="" textlink="">
      <xdr:nvSpPr>
        <xdr:cNvPr id="30" name="CasellaDiTesto 29">
          <a:extLst>
            <a:ext uri="{FF2B5EF4-FFF2-40B4-BE49-F238E27FC236}">
              <a16:creationId xmlns:a16="http://schemas.microsoft.com/office/drawing/2014/main" id="{85D63674-AC64-4D08-9E23-264FE1D33133}"/>
            </a:ext>
          </a:extLst>
        </xdr:cNvPr>
        <xdr:cNvSpPr txBox="1"/>
      </xdr:nvSpPr>
      <xdr:spPr>
        <a:xfrm>
          <a:off x="7952508" y="484909"/>
          <a:ext cx="3519056" cy="955964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lIns="0" tIns="0" rIns="0" bIns="0" rtlCol="0" anchor="t">
          <a:noAutofit/>
        </a:bodyPr>
        <a:lstStyle/>
        <a:p>
          <a:pPr marL="0" indent="0"/>
          <a:endParaRPr lang="it-IT" sz="1100" b="0" i="1">
            <a:solidFill>
              <a:schemeClr val="tx1"/>
            </a:solidFill>
            <a:effectLst/>
            <a:latin typeface="Cambria Math" panose="02040503050406030204" pitchFamily="18" charset="0"/>
            <a:ea typeface="+mn-ea"/>
            <a:cs typeface="+mn-cs"/>
          </a:endParaRPr>
        </a:p>
        <a:p>
          <a:pPr marL="0" indent="0"/>
          <a:endParaRPr lang="it-IT" sz="1100" b="0" i="1">
            <a:solidFill>
              <a:schemeClr val="tx1"/>
            </a:solidFill>
            <a:effectLst/>
            <a:latin typeface="Cambria Math" panose="02040503050406030204" pitchFamily="18" charset="0"/>
            <a:ea typeface="+mn-ea"/>
            <a:cs typeface="+mn-cs"/>
          </a:endParaRPr>
        </a:p>
      </xdr:txBody>
    </xdr:sp>
    <xdr:clientData/>
  </xdr:oneCellAnchor>
  <xdr:oneCellAnchor>
    <xdr:from>
      <xdr:col>8</xdr:col>
      <xdr:colOff>304800</xdr:colOff>
      <xdr:row>3</xdr:row>
      <xdr:rowOff>69273</xdr:rowOff>
    </xdr:from>
    <xdr:ext cx="2733420" cy="662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sellaDiTesto 11">
              <a:extLst>
                <a:ext uri="{FF2B5EF4-FFF2-40B4-BE49-F238E27FC236}">
                  <a16:creationId xmlns:a16="http://schemas.microsoft.com/office/drawing/2014/main" id="{6CFE20F4-96C0-4952-BF34-3CCD2553641A}"/>
                </a:ext>
              </a:extLst>
            </xdr:cNvPr>
            <xdr:cNvSpPr txBox="1"/>
          </xdr:nvSpPr>
          <xdr:spPr>
            <a:xfrm>
              <a:off x="8257309" y="775855"/>
              <a:ext cx="273342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𝐶𝑑𝑓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𝐾</m:t>
                        </m:r>
                      </m:num>
                      <m:den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den>
                    </m:f>
                    <m:d>
                      <m:dPr>
                        <m:begChr m:val="["/>
                        <m:endChr m:val="]"/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1+</m:t>
                        </m:r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𝑒𝑟𝑓</m:t>
                        </m:r>
                        <m:d>
                          <m:dPr>
                            <m:ctrlPr>
                              <a:rPr lang="it-IT" sz="14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it-IT" sz="1400" b="0" i="1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func>
                                  <m:funcPr>
                                    <m:ctrlPr>
                                      <a:rPr lang="it-I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funcPr>
                                  <m:fName>
                                    <m:r>
                                      <m:rPr>
                                        <m:sty m:val="p"/>
                                      </m:rPr>
                                      <a:rPr lang="it-IT" sz="1100" b="0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ln</m:t>
                                    </m:r>
                                  </m:fName>
                                  <m:e>
                                    <m:r>
                                      <a:rPr lang="it-I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𝑡</m:t>
                                    </m:r>
                                  </m:e>
                                </m:func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𝜇</m:t>
                                </m:r>
                              </m:num>
                              <m:den>
                                <m:r>
                                  <a:rPr lang="it-IT" sz="1400" b="0" i="1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  <m:rad>
                                  <m:radPr>
                                    <m:degHide m:val="on"/>
                                    <m:ctrlPr>
                                      <a:rPr lang="it-IT" sz="1400" b="0" i="1">
                                        <a:solidFill>
                                          <a:sysClr val="windowText" lastClr="000000"/>
                                        </a:solidFill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</m:ctrlPr>
                                  </m:radPr>
                                  <m:deg/>
                                  <m:e>
                                    <m:r>
                                      <a:rPr lang="it-IT" sz="1400" b="0" i="1">
                                        <a:solidFill>
                                          <a:sysClr val="windowText" lastClr="000000"/>
                                        </a:solidFill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2</m:t>
                                    </m:r>
                                  </m:e>
                                </m:rad>
                              </m:den>
                            </m:f>
                          </m:e>
                        </m:d>
                      </m:e>
                    </m:d>
                  </m:oMath>
                </m:oMathPara>
              </a14:m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2" name="CasellaDiTesto 11">
              <a:extLst>
                <a:ext uri="{FF2B5EF4-FFF2-40B4-BE49-F238E27FC236}">
                  <a16:creationId xmlns:a16="http://schemas.microsoft.com/office/drawing/2014/main" id="{6CFE20F4-96C0-4952-BF34-3CCD2553641A}"/>
                </a:ext>
              </a:extLst>
            </xdr:cNvPr>
            <xdr:cNvSpPr txBox="1"/>
          </xdr:nvSpPr>
          <xdr:spPr>
            <a:xfrm>
              <a:off x="8257309" y="775855"/>
              <a:ext cx="273342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it-IT" sz="1400" b="0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𝐶𝑑𝑓=𝐾/2 [1+𝑒𝑟𝑓((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ln⁡𝑡−𝜇</a:t>
              </a:r>
              <a:r>
                <a:rPr lang="it-IT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)/(</a:t>
              </a:r>
              <a:r>
                <a:rPr lang="it-IT" sz="1400" b="0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𝜎√2))]</a:t>
              </a:r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30</xdr:col>
      <xdr:colOff>329654</xdr:colOff>
      <xdr:row>34</xdr:row>
      <xdr:rowOff>87608</xdr:rowOff>
    </xdr:from>
    <xdr:to>
      <xdr:col>41</xdr:col>
      <xdr:colOff>76199</xdr:colOff>
      <xdr:row>68</xdr:row>
      <xdr:rowOff>163285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140E0FF7-4B93-423B-9C06-3345B0735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34</xdr:col>
      <xdr:colOff>443346</xdr:colOff>
      <xdr:row>31</xdr:row>
      <xdr:rowOff>159328</xdr:rowOff>
    </xdr:from>
    <xdr:to>
      <xdr:col>35</xdr:col>
      <xdr:colOff>281049</xdr:colOff>
      <xdr:row>33</xdr:row>
      <xdr:rowOff>104899</xdr:rowOff>
    </xdr:to>
    <xdr:sp macro="" textlink="">
      <xdr:nvSpPr>
        <xdr:cNvPr id="13" name="CasellaDiTesto 20">
          <a:extLst>
            <a:ext uri="{FF2B5EF4-FFF2-40B4-BE49-F238E27FC236}">
              <a16:creationId xmlns:a16="http://schemas.microsoft.com/office/drawing/2014/main" id="{C1427DA8-6C0C-4B18-A7C3-E0E8B18B4071}"/>
            </a:ext>
          </a:extLst>
        </xdr:cNvPr>
        <xdr:cNvSpPr txBox="1"/>
      </xdr:nvSpPr>
      <xdr:spPr>
        <a:xfrm>
          <a:off x="30535419" y="6587837"/>
          <a:ext cx="696685" cy="30578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 b="0" i="0" u="none" strike="noStrike">
              <a:solidFill>
                <a:srgbClr val="9C5700"/>
              </a:solidFill>
              <a:latin typeface="Calibri"/>
              <a:cs typeface="Calibri"/>
            </a:rPr>
            <a:t>01-gen</a:t>
          </a:r>
          <a:endParaRPr lang="it-IT" sz="1100"/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0.58374</cdr:x>
      <cdr:y>0.96376</cdr:y>
    </cdr:from>
    <cdr:to>
      <cdr:x>0.70904</cdr:x>
      <cdr:y>1</cdr:y>
    </cdr:to>
    <cdr:sp macro="" textlink="">
      <cdr:nvSpPr>
        <cdr:cNvPr id="4" name="CasellaDiTesto 3">
          <a:extLst xmlns:a="http://schemas.openxmlformats.org/drawingml/2006/main">
            <a:ext uri="{FF2B5EF4-FFF2-40B4-BE49-F238E27FC236}">
              <a16:creationId xmlns:a16="http://schemas.microsoft.com/office/drawing/2014/main" id="{9E257084-BCAB-4780-BA04-59B70F3F6E24}"/>
            </a:ext>
          </a:extLst>
        </cdr:cNvPr>
        <cdr:cNvSpPr txBox="1"/>
      </cdr:nvSpPr>
      <cdr:spPr>
        <a:xfrm xmlns:a="http://schemas.openxmlformats.org/drawingml/2006/main">
          <a:off x="4051467" y="5280210"/>
          <a:ext cx="869576" cy="1985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it-IT" sz="11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0.44832</cdr:x>
      <cdr:y>0.94275</cdr:y>
    </cdr:from>
    <cdr:to>
      <cdr:x>0.52724</cdr:x>
      <cdr:y>0.98938</cdr:y>
    </cdr:to>
    <cdr:sp macro="" textlink="Start_data">
      <cdr:nvSpPr>
        <cdr:cNvPr id="2" name="CasellaDiTesto 20">
          <a:extLst xmlns:a="http://schemas.openxmlformats.org/drawingml/2006/main">
            <a:ext uri="{FF2B5EF4-FFF2-40B4-BE49-F238E27FC236}">
              <a16:creationId xmlns:a16="http://schemas.microsoft.com/office/drawing/2014/main" id="{67614E17-2C01-4AAA-9E0E-C8EAA83955DF}"/>
            </a:ext>
          </a:extLst>
        </cdr:cNvPr>
        <cdr:cNvSpPr txBox="1"/>
      </cdr:nvSpPr>
      <cdr:spPr>
        <a:xfrm xmlns:a="http://schemas.openxmlformats.org/drawingml/2006/main">
          <a:off x="3527044" y="6074892"/>
          <a:ext cx="620886" cy="30047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18CC1527-1ADB-40E3-B99A-8405E79E78CA}" type="TxLink">
            <a:rPr lang="en-US" sz="1100" b="0" i="0" u="none" strike="noStrike">
              <a:solidFill>
                <a:srgbClr val="9C5700"/>
              </a:solidFill>
              <a:latin typeface="Calibri"/>
              <a:cs typeface="Calibri"/>
            </a:rPr>
            <a:pPr/>
            <a:t>01-gen</a:t>
          </a:fld>
          <a:endParaRPr lang="it-IT" sz="1100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1783976</xdr:colOff>
      <xdr:row>2</xdr:row>
      <xdr:rowOff>0</xdr:rowOff>
    </xdr:from>
    <xdr:ext cx="2761129" cy="955964"/>
    <xdr:sp macro="" textlink="">
      <xdr:nvSpPr>
        <xdr:cNvPr id="11" name="CasellaDiTesto 10">
          <a:extLst>
            <a:ext uri="{FF2B5EF4-FFF2-40B4-BE49-F238E27FC236}">
              <a16:creationId xmlns:a16="http://schemas.microsoft.com/office/drawing/2014/main" id="{1DA2B986-8FD6-4DD2-9DFE-D7A7AC122B4B}"/>
            </a:ext>
          </a:extLst>
        </xdr:cNvPr>
        <xdr:cNvSpPr txBox="1"/>
      </xdr:nvSpPr>
      <xdr:spPr>
        <a:xfrm>
          <a:off x="4948517" y="484094"/>
          <a:ext cx="2761129" cy="955964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lIns="0" tIns="0" rIns="0" bIns="0" rtlCol="0" anchor="t">
          <a:noAutofit/>
        </a:bodyPr>
        <a:lstStyle/>
        <a:p>
          <a:pPr marL="0" indent="0"/>
          <a:endParaRPr lang="it-IT" sz="1100" b="0" i="1">
            <a:solidFill>
              <a:schemeClr val="tx1"/>
            </a:solidFill>
            <a:effectLst/>
            <a:latin typeface="Cambria Math" panose="02040503050406030204" pitchFamily="18" charset="0"/>
            <a:ea typeface="+mn-ea"/>
            <a:cs typeface="+mn-cs"/>
          </a:endParaRPr>
        </a:p>
      </xdr:txBody>
    </xdr:sp>
    <xdr:clientData/>
  </xdr:oneCellAnchor>
  <xdr:oneCellAnchor>
    <xdr:from>
      <xdr:col>5</xdr:col>
      <xdr:colOff>27709</xdr:colOff>
      <xdr:row>2</xdr:row>
      <xdr:rowOff>224117</xdr:rowOff>
    </xdr:from>
    <xdr:ext cx="2733420" cy="662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sellaDiTesto 13">
              <a:extLst>
                <a:ext uri="{FF2B5EF4-FFF2-40B4-BE49-F238E27FC236}">
                  <a16:creationId xmlns:a16="http://schemas.microsoft.com/office/drawing/2014/main" id="{5C96BCB5-5A1D-44B9-B2C7-54CD72640423}"/>
                </a:ext>
              </a:extLst>
            </xdr:cNvPr>
            <xdr:cNvSpPr txBox="1"/>
          </xdr:nvSpPr>
          <xdr:spPr>
            <a:xfrm>
              <a:off x="4976227" y="708211"/>
              <a:ext cx="273342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𝐶𝑑𝑓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𝐾</m:t>
                        </m:r>
                      </m:num>
                      <m:den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den>
                    </m:f>
                    <m:d>
                      <m:dPr>
                        <m:begChr m:val="["/>
                        <m:endChr m:val="]"/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1+</m:t>
                        </m:r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𝑒𝑟𝑓</m:t>
                        </m:r>
                        <m:d>
                          <m:dPr>
                            <m:ctrlPr>
                              <a:rPr lang="it-IT" sz="14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it-IT" sz="1400" b="0" i="1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func>
                                  <m:funcPr>
                                    <m:ctrlPr>
                                      <a:rPr lang="it-I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funcPr>
                                  <m:fName>
                                    <m:r>
                                      <m:rPr>
                                        <m:sty m:val="p"/>
                                      </m:rPr>
                                      <a:rPr lang="it-IT" sz="1100" b="0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ln</m:t>
                                    </m:r>
                                  </m:fName>
                                  <m:e>
                                    <m:r>
                                      <a:rPr lang="it-I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𝑡</m:t>
                                    </m:r>
                                  </m:e>
                                </m:func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𝜇</m:t>
                                </m:r>
                              </m:num>
                              <m:den>
                                <m:r>
                                  <a:rPr lang="it-IT" sz="1400" b="0" i="1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  <m:rad>
                                  <m:radPr>
                                    <m:degHide m:val="on"/>
                                    <m:ctrlPr>
                                      <a:rPr lang="it-IT" sz="1400" b="0" i="1">
                                        <a:solidFill>
                                          <a:sysClr val="windowText" lastClr="000000"/>
                                        </a:solidFill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</m:ctrlPr>
                                  </m:radPr>
                                  <m:deg/>
                                  <m:e>
                                    <m:r>
                                      <a:rPr lang="it-IT" sz="1400" b="0" i="1">
                                        <a:solidFill>
                                          <a:sysClr val="windowText" lastClr="000000"/>
                                        </a:solidFill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2</m:t>
                                    </m:r>
                                  </m:e>
                                </m:rad>
                              </m:den>
                            </m:f>
                          </m:e>
                        </m:d>
                      </m:e>
                    </m:d>
                  </m:oMath>
                </m:oMathPara>
              </a14:m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4" name="CasellaDiTesto 13">
              <a:extLst>
                <a:ext uri="{FF2B5EF4-FFF2-40B4-BE49-F238E27FC236}">
                  <a16:creationId xmlns:a16="http://schemas.microsoft.com/office/drawing/2014/main" id="{5C96BCB5-5A1D-44B9-B2C7-54CD72640423}"/>
                </a:ext>
              </a:extLst>
            </xdr:cNvPr>
            <xdr:cNvSpPr txBox="1"/>
          </xdr:nvSpPr>
          <xdr:spPr>
            <a:xfrm>
              <a:off x="4976227" y="708211"/>
              <a:ext cx="273342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it-IT" sz="1400" b="0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𝐶𝑑𝑓=𝐾/2 [1+𝑒𝑟𝑓((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ln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⁡𝑡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−𝜇</a:t>
              </a:r>
              <a:r>
                <a:rPr lang="it-IT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)/(</a:t>
              </a:r>
              <a:r>
                <a:rPr lang="it-IT" sz="1400" b="0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𝜎√2))]</a:t>
              </a:r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45</xdr:col>
      <xdr:colOff>126484</xdr:colOff>
      <xdr:row>88</xdr:row>
      <xdr:rowOff>178803</xdr:rowOff>
    </xdr:from>
    <xdr:to>
      <xdr:col>55</xdr:col>
      <xdr:colOff>346363</xdr:colOff>
      <xdr:row>113</xdr:row>
      <xdr:rowOff>55418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BA06B07B-4246-4AE7-9C73-F7F0486044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10</xdr:col>
      <xdr:colOff>469075</xdr:colOff>
      <xdr:row>3</xdr:row>
      <xdr:rowOff>7917</xdr:rowOff>
    </xdr:from>
    <xdr:ext cx="3048000" cy="662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sellaDiTesto 11">
              <a:extLst>
                <a:ext uri="{FF2B5EF4-FFF2-40B4-BE49-F238E27FC236}">
                  <a16:creationId xmlns:a16="http://schemas.microsoft.com/office/drawing/2014/main" id="{5C6A0994-61E9-4F18-9322-B05B3C30B947}"/>
                </a:ext>
              </a:extLst>
            </xdr:cNvPr>
            <xdr:cNvSpPr txBox="1"/>
          </xdr:nvSpPr>
          <xdr:spPr>
            <a:xfrm>
              <a:off x="11497293" y="714499"/>
              <a:ext cx="304800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𝑃𝑑𝑓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𝐾</m:t>
                        </m:r>
                      </m:num>
                      <m:den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𝜎</m:t>
                        </m:r>
                        <m:rad>
                          <m:radPr>
                            <m:degHide m:val="on"/>
                            <m:ctrlPr>
                              <a:rPr lang="it-IT" sz="14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r>
                              <a:rPr lang="it-IT" sz="14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</m:t>
                            </m:r>
                            <m:r>
                              <a:rPr lang="it-IT" sz="14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𝜋</m:t>
                            </m:r>
                          </m:e>
                        </m:rad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den>
                    </m:f>
                    <m:r>
                      <a:rPr lang="it-I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𝑒𝑥𝑝</m:t>
                    </m:r>
                    <m:d>
                      <m:dPr>
                        <m:ctrlP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f>
                          <m:fPr>
                            <m:ctrlPr>
                              <a:rPr lang="it-I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it-I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dPr>
                                  <m:e>
                                    <m:func>
                                      <m:funcPr>
                                        <m:ctrlPr>
                                          <a:rPr lang="it-IT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funcPr>
                                      <m:fName>
                                        <m:r>
                                          <m:rPr>
                                            <m:sty m:val="p"/>
                                          </m:rPr>
                                          <a:rPr lang="it-IT" sz="1100" b="0" i="0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ln</m:t>
                                        </m:r>
                                      </m:fName>
                                      <m:e>
                                        <m:r>
                                          <a:rPr lang="it-IT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𝑡</m:t>
                                        </m:r>
                                      </m:e>
                                    </m:func>
                                    <m:r>
                                      <a:rPr lang="it-I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−</m:t>
                                    </m:r>
                                    <m:r>
                                      <a:rPr lang="it-I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𝜇</m:t>
                                    </m:r>
                                  </m:e>
                                </m:d>
                              </m:e>
                              <m:sup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it-I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  <m:sSup>
                              <m:sSupPr>
                                <m:ctrlP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den>
                        </m:f>
                      </m:e>
                    </m:d>
                  </m:oMath>
                </m:oMathPara>
              </a14:m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2" name="CasellaDiTesto 11">
              <a:extLst>
                <a:ext uri="{FF2B5EF4-FFF2-40B4-BE49-F238E27FC236}">
                  <a16:creationId xmlns:a16="http://schemas.microsoft.com/office/drawing/2014/main" id="{5C6A0994-61E9-4F18-9322-B05B3C30B947}"/>
                </a:ext>
              </a:extLst>
            </xdr:cNvPr>
            <xdr:cNvSpPr txBox="1"/>
          </xdr:nvSpPr>
          <xdr:spPr>
            <a:xfrm>
              <a:off x="11497293" y="714499"/>
              <a:ext cx="304800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it-IT" sz="1400" b="0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𝑃𝑑𝑓=𝐾/(𝜎√2𝜋 𝑡)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𝑒𝑥𝑝(−(ln⁡𝑡−𝜇)^2/(2𝜎^2 ))</a:t>
              </a:r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37</xdr:col>
      <xdr:colOff>1114475</xdr:colOff>
      <xdr:row>88</xdr:row>
      <xdr:rowOff>82717</xdr:rowOff>
    </xdr:from>
    <xdr:to>
      <xdr:col>43</xdr:col>
      <xdr:colOff>665018</xdr:colOff>
      <xdr:row>112</xdr:row>
      <xdr:rowOff>152400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AE521C16-D5BC-4F75-B1E5-95B2F1AC4B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399745</xdr:colOff>
      <xdr:row>114</xdr:row>
      <xdr:rowOff>3258</xdr:rowOff>
    </xdr:from>
    <xdr:to>
      <xdr:col>44</xdr:col>
      <xdr:colOff>568037</xdr:colOff>
      <xdr:row>140</xdr:row>
      <xdr:rowOff>110835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7B7ACF9B-9BCB-4207-9A2C-F6E5F9EFAD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46</xdr:col>
      <xdr:colOff>17115</xdr:colOff>
      <xdr:row>115</xdr:row>
      <xdr:rowOff>26893</xdr:rowOff>
    </xdr:from>
    <xdr:to>
      <xdr:col>55</xdr:col>
      <xdr:colOff>443345</xdr:colOff>
      <xdr:row>141</xdr:row>
      <xdr:rowOff>124691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193BAA6C-E4CA-496C-86C1-5B2CE86E13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25263</xdr:colOff>
      <xdr:row>62</xdr:row>
      <xdr:rowOff>66499</xdr:rowOff>
    </xdr:from>
    <xdr:to>
      <xdr:col>42</xdr:col>
      <xdr:colOff>484908</xdr:colOff>
      <xdr:row>87</xdr:row>
      <xdr:rowOff>138545</xdr:rowOff>
    </xdr:to>
    <xdr:grpSp>
      <xdr:nvGrpSpPr>
        <xdr:cNvPr id="4" name="Gruppo 3">
          <a:extLst>
            <a:ext uri="{FF2B5EF4-FFF2-40B4-BE49-F238E27FC236}">
              <a16:creationId xmlns:a16="http://schemas.microsoft.com/office/drawing/2014/main" id="{AB583884-3606-4C41-A0BC-3D4A566F01F2}"/>
            </a:ext>
          </a:extLst>
        </xdr:cNvPr>
        <xdr:cNvGrpSpPr/>
      </xdr:nvGrpSpPr>
      <xdr:grpSpPr>
        <a:xfrm>
          <a:off x="45701720" y="12410899"/>
          <a:ext cx="6174645" cy="4698475"/>
          <a:chOff x="45703699" y="12203081"/>
          <a:chExt cx="6181573" cy="4574773"/>
        </a:xfrm>
      </xdr:grpSpPr>
      <xdr:graphicFrame macro="">
        <xdr:nvGraphicFramePr>
          <xdr:cNvPr id="17" name="Grafico 16">
            <a:extLst>
              <a:ext uri="{FF2B5EF4-FFF2-40B4-BE49-F238E27FC236}">
                <a16:creationId xmlns:a16="http://schemas.microsoft.com/office/drawing/2014/main" id="{45365524-1683-4C08-8DDF-8CCDA0315958}"/>
              </a:ext>
            </a:extLst>
          </xdr:cNvPr>
          <xdr:cNvGraphicFramePr>
            <a:graphicFrameLocks/>
          </xdr:cNvGraphicFramePr>
        </xdr:nvGraphicFramePr>
        <xdr:xfrm>
          <a:off x="45703699" y="12203081"/>
          <a:ext cx="6181573" cy="457477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sp macro="" textlink="$B$8">
        <xdr:nvSpPr>
          <xdr:cNvPr id="27" name="CasellaDiTesto 26">
            <a:extLst>
              <a:ext uri="{FF2B5EF4-FFF2-40B4-BE49-F238E27FC236}">
                <a16:creationId xmlns:a16="http://schemas.microsoft.com/office/drawing/2014/main" id="{C274B8A4-09CA-4700-ADB2-3D37453FEE77}"/>
              </a:ext>
            </a:extLst>
          </xdr:cNvPr>
          <xdr:cNvSpPr txBox="1"/>
        </xdr:nvSpPr>
        <xdr:spPr>
          <a:xfrm>
            <a:off x="48615599" y="16403780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40</xdr:col>
      <xdr:colOff>90870</xdr:colOff>
      <xdr:row>7</xdr:row>
      <xdr:rowOff>15890</xdr:rowOff>
    </xdr:from>
    <xdr:to>
      <xdr:col>49</xdr:col>
      <xdr:colOff>540327</xdr:colOff>
      <xdr:row>35</xdr:row>
      <xdr:rowOff>27708</xdr:rowOff>
    </xdr:to>
    <xdr:grpSp>
      <xdr:nvGrpSpPr>
        <xdr:cNvPr id="8" name="Gruppo 7">
          <a:extLst>
            <a:ext uri="{FF2B5EF4-FFF2-40B4-BE49-F238E27FC236}">
              <a16:creationId xmlns:a16="http://schemas.microsoft.com/office/drawing/2014/main" id="{B55350FE-EFD7-46C9-8F24-26EA7E6E9D3B}"/>
            </a:ext>
          </a:extLst>
        </xdr:cNvPr>
        <xdr:cNvGrpSpPr/>
      </xdr:nvGrpSpPr>
      <xdr:grpSpPr>
        <a:xfrm>
          <a:off x="49642641" y="2007976"/>
          <a:ext cx="6697857" cy="5291389"/>
          <a:chOff x="49648579" y="2024799"/>
          <a:chExt cx="6697857" cy="5179564"/>
        </a:xfrm>
      </xdr:grpSpPr>
      <xdr:graphicFrame macro="">
        <xdr:nvGraphicFramePr>
          <xdr:cNvPr id="2" name="Grafico 1">
            <a:extLst>
              <a:ext uri="{FF2B5EF4-FFF2-40B4-BE49-F238E27FC236}">
                <a16:creationId xmlns:a16="http://schemas.microsoft.com/office/drawing/2014/main" id="{5D623BEF-6D5C-4350-9007-0BD6128C0182}"/>
              </a:ext>
            </a:extLst>
          </xdr:cNvPr>
          <xdr:cNvGraphicFramePr/>
        </xdr:nvGraphicFramePr>
        <xdr:xfrm>
          <a:off x="49648579" y="2024799"/>
          <a:ext cx="6697857" cy="517956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sp macro="" textlink="$B$8">
        <xdr:nvSpPr>
          <xdr:cNvPr id="29" name="CasellaDiTesto 28">
            <a:extLst>
              <a:ext uri="{FF2B5EF4-FFF2-40B4-BE49-F238E27FC236}">
                <a16:creationId xmlns:a16="http://schemas.microsoft.com/office/drawing/2014/main" id="{6266CE2D-1836-4634-9CF8-929A6EA84B7D}"/>
              </a:ext>
            </a:extLst>
          </xdr:cNvPr>
          <xdr:cNvSpPr txBox="1"/>
        </xdr:nvSpPr>
        <xdr:spPr>
          <a:xfrm>
            <a:off x="53502037" y="6850646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53</xdr:col>
      <xdr:colOff>243515</xdr:colOff>
      <xdr:row>61</xdr:row>
      <xdr:rowOff>158107</xdr:rowOff>
    </xdr:from>
    <xdr:to>
      <xdr:col>63</xdr:col>
      <xdr:colOff>595745</xdr:colOff>
      <xdr:row>87</xdr:row>
      <xdr:rowOff>83128</xdr:rowOff>
    </xdr:to>
    <xdr:grpSp>
      <xdr:nvGrpSpPr>
        <xdr:cNvPr id="6" name="Gruppo 5">
          <a:extLst>
            <a:ext uri="{FF2B5EF4-FFF2-40B4-BE49-F238E27FC236}">
              <a16:creationId xmlns:a16="http://schemas.microsoft.com/office/drawing/2014/main" id="{4DE758A0-AE09-4C67-8F84-BE7B4BB223A1}"/>
            </a:ext>
          </a:extLst>
        </xdr:cNvPr>
        <xdr:cNvGrpSpPr/>
      </xdr:nvGrpSpPr>
      <xdr:grpSpPr>
        <a:xfrm>
          <a:off x="58525629" y="12317450"/>
          <a:ext cx="6448230" cy="4736507"/>
          <a:chOff x="58529588" y="12114580"/>
          <a:chExt cx="6448230" cy="4607857"/>
        </a:xfrm>
      </xdr:grpSpPr>
      <xdr:graphicFrame macro="">
        <xdr:nvGraphicFramePr>
          <xdr:cNvPr id="19" name="Grafico 18">
            <a:extLst>
              <a:ext uri="{FF2B5EF4-FFF2-40B4-BE49-F238E27FC236}">
                <a16:creationId xmlns:a16="http://schemas.microsoft.com/office/drawing/2014/main" id="{CE4EBA3C-E971-4082-9011-FBBDE17545E7}"/>
              </a:ext>
            </a:extLst>
          </xdr:cNvPr>
          <xdr:cNvGraphicFramePr>
            <a:graphicFrameLocks/>
          </xdr:cNvGraphicFramePr>
        </xdr:nvGraphicFramePr>
        <xdr:xfrm>
          <a:off x="58529588" y="12114580"/>
          <a:ext cx="6448230" cy="460785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$B$8">
        <xdr:nvSpPr>
          <xdr:cNvPr id="30" name="CasellaDiTesto 29">
            <a:extLst>
              <a:ext uri="{FF2B5EF4-FFF2-40B4-BE49-F238E27FC236}">
                <a16:creationId xmlns:a16="http://schemas.microsoft.com/office/drawing/2014/main" id="{47D6BD98-B2F3-48C5-8C1A-F26D8E8F780D}"/>
              </a:ext>
            </a:extLst>
          </xdr:cNvPr>
          <xdr:cNvSpPr txBox="1"/>
        </xdr:nvSpPr>
        <xdr:spPr>
          <a:xfrm>
            <a:off x="61597309" y="16362217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43</xdr:col>
      <xdr:colOff>61774</xdr:colOff>
      <xdr:row>61</xdr:row>
      <xdr:rowOff>113117</xdr:rowOff>
    </xdr:from>
    <xdr:to>
      <xdr:col>53</xdr:col>
      <xdr:colOff>138545</xdr:colOff>
      <xdr:row>86</xdr:row>
      <xdr:rowOff>138546</xdr:rowOff>
    </xdr:to>
    <xdr:grpSp>
      <xdr:nvGrpSpPr>
        <xdr:cNvPr id="5" name="Gruppo 4">
          <a:extLst>
            <a:ext uri="{FF2B5EF4-FFF2-40B4-BE49-F238E27FC236}">
              <a16:creationId xmlns:a16="http://schemas.microsoft.com/office/drawing/2014/main" id="{334284C0-D124-47E1-BDF3-0BAE65318AFF}"/>
            </a:ext>
          </a:extLst>
        </xdr:cNvPr>
        <xdr:cNvGrpSpPr/>
      </xdr:nvGrpSpPr>
      <xdr:grpSpPr>
        <a:xfrm>
          <a:off x="52062831" y="12272460"/>
          <a:ext cx="6357828" cy="4651857"/>
          <a:chOff x="52071738" y="12069590"/>
          <a:chExt cx="6352880" cy="4528156"/>
        </a:xfrm>
      </xdr:grpSpPr>
      <xdr:graphicFrame macro="">
        <xdr:nvGraphicFramePr>
          <xdr:cNvPr id="18" name="Grafico 17">
            <a:extLst>
              <a:ext uri="{FF2B5EF4-FFF2-40B4-BE49-F238E27FC236}">
                <a16:creationId xmlns:a16="http://schemas.microsoft.com/office/drawing/2014/main" id="{E458C615-7F1F-467C-A072-D2730B1EDD2D}"/>
              </a:ext>
            </a:extLst>
          </xdr:cNvPr>
          <xdr:cNvGraphicFramePr>
            <a:graphicFrameLocks/>
          </xdr:cNvGraphicFramePr>
        </xdr:nvGraphicFramePr>
        <xdr:xfrm>
          <a:off x="52071738" y="12069590"/>
          <a:ext cx="6352880" cy="452815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sp macro="" textlink="$B$8">
        <xdr:nvSpPr>
          <xdr:cNvPr id="31" name="CasellaDiTesto 30">
            <a:extLst>
              <a:ext uri="{FF2B5EF4-FFF2-40B4-BE49-F238E27FC236}">
                <a16:creationId xmlns:a16="http://schemas.microsoft.com/office/drawing/2014/main" id="{451622B3-0829-4658-81D4-778A6069D79D}"/>
              </a:ext>
            </a:extLst>
          </xdr:cNvPr>
          <xdr:cNvSpPr txBox="1"/>
        </xdr:nvSpPr>
        <xdr:spPr>
          <a:xfrm>
            <a:off x="55044111" y="16237527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52</xdr:col>
      <xdr:colOff>103211</xdr:colOff>
      <xdr:row>39</xdr:row>
      <xdr:rowOff>27709</xdr:rowOff>
    </xdr:from>
    <xdr:to>
      <xdr:col>62</xdr:col>
      <xdr:colOff>83127</xdr:colOff>
      <xdr:row>59</xdr:row>
      <xdr:rowOff>147453</xdr:rowOff>
    </xdr:to>
    <xdr:grpSp>
      <xdr:nvGrpSpPr>
        <xdr:cNvPr id="9" name="Gruppo 8">
          <a:extLst>
            <a:ext uri="{FF2B5EF4-FFF2-40B4-BE49-F238E27FC236}">
              <a16:creationId xmlns:a16="http://schemas.microsoft.com/office/drawing/2014/main" id="{ABDE3383-7408-43D8-B438-484A6FC56597}"/>
            </a:ext>
          </a:extLst>
        </xdr:cNvPr>
        <xdr:cNvGrpSpPr/>
      </xdr:nvGrpSpPr>
      <xdr:grpSpPr>
        <a:xfrm>
          <a:off x="57775725" y="8061366"/>
          <a:ext cx="6075916" cy="3875316"/>
          <a:chOff x="57779684" y="7952509"/>
          <a:chExt cx="6075916" cy="3791199"/>
        </a:xfrm>
      </xdr:grpSpPr>
      <xdr:graphicFrame macro="">
        <xdr:nvGraphicFramePr>
          <xdr:cNvPr id="16" name="Grafico 15">
            <a:extLst>
              <a:ext uri="{FF2B5EF4-FFF2-40B4-BE49-F238E27FC236}">
                <a16:creationId xmlns:a16="http://schemas.microsoft.com/office/drawing/2014/main" id="{9D94183B-0E2E-4986-B776-9367A08D4AD3}"/>
              </a:ext>
            </a:extLst>
          </xdr:cNvPr>
          <xdr:cNvGraphicFramePr>
            <a:graphicFrameLocks/>
          </xdr:cNvGraphicFramePr>
        </xdr:nvGraphicFramePr>
        <xdr:xfrm>
          <a:off x="57779684" y="7952509"/>
          <a:ext cx="6075916" cy="379119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sp macro="" textlink="$B$8">
        <xdr:nvSpPr>
          <xdr:cNvPr id="32" name="CasellaDiTesto 31">
            <a:extLst>
              <a:ext uri="{FF2B5EF4-FFF2-40B4-BE49-F238E27FC236}">
                <a16:creationId xmlns:a16="http://schemas.microsoft.com/office/drawing/2014/main" id="{BCA51D8B-73C1-458B-87A2-204935E18BA5}"/>
              </a:ext>
            </a:extLst>
          </xdr:cNvPr>
          <xdr:cNvSpPr txBox="1"/>
        </xdr:nvSpPr>
        <xdr:spPr>
          <a:xfrm>
            <a:off x="60669055" y="11360727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50</xdr:col>
      <xdr:colOff>0</xdr:colOff>
      <xdr:row>111</xdr:row>
      <xdr:rowOff>41564</xdr:rowOff>
    </xdr:from>
    <xdr:to>
      <xdr:col>50</xdr:col>
      <xdr:colOff>595746</xdr:colOff>
      <xdr:row>112</xdr:row>
      <xdr:rowOff>124692</xdr:rowOff>
    </xdr:to>
    <xdr:sp macro="" textlink="$B$8">
      <xdr:nvSpPr>
        <xdr:cNvPr id="33" name="CasellaDiTesto 32">
          <a:extLst>
            <a:ext uri="{FF2B5EF4-FFF2-40B4-BE49-F238E27FC236}">
              <a16:creationId xmlns:a16="http://schemas.microsoft.com/office/drawing/2014/main" id="{0AEA9B35-D2AB-467F-8D8B-0E095F351D30}"/>
            </a:ext>
          </a:extLst>
        </xdr:cNvPr>
        <xdr:cNvSpPr txBox="1"/>
      </xdr:nvSpPr>
      <xdr:spPr>
        <a:xfrm>
          <a:off x="56318727" y="21003491"/>
          <a:ext cx="595746" cy="2632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A042946-A852-47D0-A468-DBF120FFA9F2}" type="TxLink">
            <a:rPr lang="en-US" sz="1100" b="0" i="0" u="none" strike="noStrike">
              <a:ln>
                <a:noFill/>
              </a:ln>
              <a:solidFill>
                <a:srgbClr val="9C5700"/>
              </a:solidFill>
              <a:latin typeface="Calibri"/>
              <a:cs typeface="Calibri"/>
            </a:rPr>
            <a:pPr/>
            <a:t>01-gen</a:t>
          </a:fld>
          <a:endParaRPr lang="it-IT" sz="1100">
            <a:ln>
              <a:noFill/>
            </a:ln>
          </a:endParaRPr>
        </a:p>
      </xdr:txBody>
    </xdr:sp>
    <xdr:clientData/>
  </xdr:twoCellAnchor>
  <xdr:twoCellAnchor>
    <xdr:from>
      <xdr:col>40</xdr:col>
      <xdr:colOff>146694</xdr:colOff>
      <xdr:row>36</xdr:row>
      <xdr:rowOff>96982</xdr:rowOff>
    </xdr:from>
    <xdr:to>
      <xdr:col>50</xdr:col>
      <xdr:colOff>83128</xdr:colOff>
      <xdr:row>60</xdr:row>
      <xdr:rowOff>166254</xdr:rowOff>
    </xdr:to>
    <xdr:grpSp>
      <xdr:nvGrpSpPr>
        <xdr:cNvPr id="7" name="Gruppo 6">
          <a:extLst>
            <a:ext uri="{FF2B5EF4-FFF2-40B4-BE49-F238E27FC236}">
              <a16:creationId xmlns:a16="http://schemas.microsoft.com/office/drawing/2014/main" id="{1377B26B-43A2-4D86-A7F5-6D05E3D9B1B5}"/>
            </a:ext>
          </a:extLst>
        </xdr:cNvPr>
        <xdr:cNvGrpSpPr/>
      </xdr:nvGrpSpPr>
      <xdr:grpSpPr>
        <a:xfrm>
          <a:off x="49698465" y="7553696"/>
          <a:ext cx="6794434" cy="4586844"/>
          <a:chOff x="49704403" y="7453746"/>
          <a:chExt cx="6794434" cy="4488872"/>
        </a:xfrm>
      </xdr:grpSpPr>
      <xdr:graphicFrame macro="">
        <xdr:nvGraphicFramePr>
          <xdr:cNvPr id="15" name="Grafico 14">
            <a:extLst>
              <a:ext uri="{FF2B5EF4-FFF2-40B4-BE49-F238E27FC236}">
                <a16:creationId xmlns:a16="http://schemas.microsoft.com/office/drawing/2014/main" id="{E0CCC212-3C18-4678-8FDC-D975EEA29A88}"/>
              </a:ext>
            </a:extLst>
          </xdr:cNvPr>
          <xdr:cNvGraphicFramePr>
            <a:graphicFrameLocks/>
          </xdr:cNvGraphicFramePr>
        </xdr:nvGraphicFramePr>
        <xdr:xfrm>
          <a:off x="49704403" y="7453746"/>
          <a:ext cx="6794434" cy="448887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  <xdr:sp macro="" textlink="$B$8">
        <xdr:nvSpPr>
          <xdr:cNvPr id="34" name="CasellaDiTesto 33">
            <a:extLst>
              <a:ext uri="{FF2B5EF4-FFF2-40B4-BE49-F238E27FC236}">
                <a16:creationId xmlns:a16="http://schemas.microsoft.com/office/drawing/2014/main" id="{BB8A9304-746F-41F0-A147-1B3D922596B6}"/>
              </a:ext>
            </a:extLst>
          </xdr:cNvPr>
          <xdr:cNvSpPr txBox="1"/>
        </xdr:nvSpPr>
        <xdr:spPr>
          <a:xfrm>
            <a:off x="53007492" y="11499272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53</xdr:col>
      <xdr:colOff>41564</xdr:colOff>
      <xdr:row>7</xdr:row>
      <xdr:rowOff>27709</xdr:rowOff>
    </xdr:from>
    <xdr:to>
      <xdr:col>64</xdr:col>
      <xdr:colOff>33821</xdr:colOff>
      <xdr:row>35</xdr:row>
      <xdr:rowOff>33085</xdr:rowOff>
    </xdr:to>
    <xdr:grpSp>
      <xdr:nvGrpSpPr>
        <xdr:cNvPr id="28" name="Gruppo 27">
          <a:extLst>
            <a:ext uri="{FF2B5EF4-FFF2-40B4-BE49-F238E27FC236}">
              <a16:creationId xmlns:a16="http://schemas.microsoft.com/office/drawing/2014/main" id="{8CBE3920-484F-48EB-A00A-05B8CCF4C3F1}"/>
            </a:ext>
          </a:extLst>
        </xdr:cNvPr>
        <xdr:cNvGrpSpPr/>
      </xdr:nvGrpSpPr>
      <xdr:grpSpPr>
        <a:xfrm>
          <a:off x="58323678" y="2019795"/>
          <a:ext cx="6697857" cy="5284947"/>
          <a:chOff x="46642143" y="403817"/>
          <a:chExt cx="6697857" cy="5179564"/>
        </a:xfrm>
      </xdr:grpSpPr>
      <xdr:graphicFrame macro="">
        <xdr:nvGraphicFramePr>
          <xdr:cNvPr id="35" name="Grafico 34">
            <a:extLst>
              <a:ext uri="{FF2B5EF4-FFF2-40B4-BE49-F238E27FC236}">
                <a16:creationId xmlns:a16="http://schemas.microsoft.com/office/drawing/2014/main" id="{BE9B1099-C45E-4723-BC02-3411723344E0}"/>
              </a:ext>
            </a:extLst>
          </xdr:cNvPr>
          <xdr:cNvGraphicFramePr/>
        </xdr:nvGraphicFramePr>
        <xdr:xfrm>
          <a:off x="46642143" y="403817"/>
          <a:ext cx="6697857" cy="517956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  <xdr:sp macro="" textlink="$B$8">
        <xdr:nvSpPr>
          <xdr:cNvPr id="36" name="CasellaDiTesto 35">
            <a:extLst>
              <a:ext uri="{FF2B5EF4-FFF2-40B4-BE49-F238E27FC236}">
                <a16:creationId xmlns:a16="http://schemas.microsoft.com/office/drawing/2014/main" id="{BC792426-F3F2-4FE1-9D5D-2E6ABBEB713B}"/>
              </a:ext>
            </a:extLst>
          </xdr:cNvPr>
          <xdr:cNvSpPr txBox="1"/>
        </xdr:nvSpPr>
        <xdr:spPr>
          <a:xfrm>
            <a:off x="50500420" y="5223521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64</xdr:col>
      <xdr:colOff>124691</xdr:colOff>
      <xdr:row>16</xdr:row>
      <xdr:rowOff>152400</xdr:rowOff>
    </xdr:from>
    <xdr:to>
      <xdr:col>75</xdr:col>
      <xdr:colOff>213525</xdr:colOff>
      <xdr:row>41</xdr:row>
      <xdr:rowOff>13854</xdr:rowOff>
    </xdr:to>
    <xdr:grpSp>
      <xdr:nvGrpSpPr>
        <xdr:cNvPr id="37" name="Gruppo 36">
          <a:extLst>
            <a:ext uri="{FF2B5EF4-FFF2-40B4-BE49-F238E27FC236}">
              <a16:creationId xmlns:a16="http://schemas.microsoft.com/office/drawing/2014/main" id="{38D9F5B2-6824-48C8-9EAE-414F2DB71AED}"/>
            </a:ext>
          </a:extLst>
        </xdr:cNvPr>
        <xdr:cNvGrpSpPr/>
      </xdr:nvGrpSpPr>
      <xdr:grpSpPr>
        <a:xfrm>
          <a:off x="65112405" y="3831771"/>
          <a:ext cx="6794434" cy="4585854"/>
          <a:chOff x="48609894" y="6677891"/>
          <a:chExt cx="6794434" cy="4488872"/>
        </a:xfrm>
      </xdr:grpSpPr>
      <xdr:graphicFrame macro="">
        <xdr:nvGraphicFramePr>
          <xdr:cNvPr id="38" name="Grafico 37">
            <a:extLst>
              <a:ext uri="{FF2B5EF4-FFF2-40B4-BE49-F238E27FC236}">
                <a16:creationId xmlns:a16="http://schemas.microsoft.com/office/drawing/2014/main" id="{3C4BCE83-FB93-492A-9F40-ECCC162EB01E}"/>
              </a:ext>
            </a:extLst>
          </xdr:cNvPr>
          <xdr:cNvGraphicFramePr>
            <a:graphicFrameLocks/>
          </xdr:cNvGraphicFramePr>
        </xdr:nvGraphicFramePr>
        <xdr:xfrm>
          <a:off x="48609894" y="6677891"/>
          <a:ext cx="6794434" cy="448887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2"/>
          </a:graphicData>
        </a:graphic>
      </xdr:graphicFrame>
      <xdr:sp macro="" textlink="$B$8">
        <xdr:nvSpPr>
          <xdr:cNvPr id="39" name="CasellaDiTesto 38">
            <a:extLst>
              <a:ext uri="{FF2B5EF4-FFF2-40B4-BE49-F238E27FC236}">
                <a16:creationId xmlns:a16="http://schemas.microsoft.com/office/drawing/2014/main" id="{8D40946E-570E-4B6E-A464-D16F28E4E5B1}"/>
              </a:ext>
            </a:extLst>
          </xdr:cNvPr>
          <xdr:cNvSpPr txBox="1"/>
        </xdr:nvSpPr>
        <xdr:spPr>
          <a:xfrm>
            <a:off x="52536443" y="10723418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65</xdr:col>
      <xdr:colOff>0</xdr:colOff>
      <xdr:row>47</xdr:row>
      <xdr:rowOff>0</xdr:rowOff>
    </xdr:from>
    <xdr:to>
      <xdr:col>74</xdr:col>
      <xdr:colOff>589516</xdr:colOff>
      <xdr:row>67</xdr:row>
      <xdr:rowOff>147454</xdr:rowOff>
    </xdr:to>
    <xdr:grpSp>
      <xdr:nvGrpSpPr>
        <xdr:cNvPr id="41" name="Gruppo 40">
          <a:extLst>
            <a:ext uri="{FF2B5EF4-FFF2-40B4-BE49-F238E27FC236}">
              <a16:creationId xmlns:a16="http://schemas.microsoft.com/office/drawing/2014/main" id="{B3CD5EDA-155C-4286-AD15-65FB182125B6}"/>
            </a:ext>
          </a:extLst>
        </xdr:cNvPr>
        <xdr:cNvGrpSpPr/>
      </xdr:nvGrpSpPr>
      <xdr:grpSpPr>
        <a:xfrm>
          <a:off x="65597314" y="9535886"/>
          <a:ext cx="6075916" cy="3881254"/>
          <a:chOff x="57779684" y="7952509"/>
          <a:chExt cx="6075916" cy="3791199"/>
        </a:xfrm>
      </xdr:grpSpPr>
      <xdr:graphicFrame macro="">
        <xdr:nvGraphicFramePr>
          <xdr:cNvPr id="42" name="Grafico 41">
            <a:extLst>
              <a:ext uri="{FF2B5EF4-FFF2-40B4-BE49-F238E27FC236}">
                <a16:creationId xmlns:a16="http://schemas.microsoft.com/office/drawing/2014/main" id="{10B9C428-72D7-43D5-9A25-EA17BB27699E}"/>
              </a:ext>
            </a:extLst>
          </xdr:cNvPr>
          <xdr:cNvGraphicFramePr>
            <a:graphicFrameLocks/>
          </xdr:cNvGraphicFramePr>
        </xdr:nvGraphicFramePr>
        <xdr:xfrm>
          <a:off x="57779684" y="7952509"/>
          <a:ext cx="6075916" cy="379119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3"/>
          </a:graphicData>
        </a:graphic>
      </xdr:graphicFrame>
      <xdr:sp macro="" textlink="$B$8">
        <xdr:nvSpPr>
          <xdr:cNvPr id="43" name="CasellaDiTesto 42">
            <a:extLst>
              <a:ext uri="{FF2B5EF4-FFF2-40B4-BE49-F238E27FC236}">
                <a16:creationId xmlns:a16="http://schemas.microsoft.com/office/drawing/2014/main" id="{DC22A4EC-0A7F-4629-824C-62748C49030C}"/>
              </a:ext>
            </a:extLst>
          </xdr:cNvPr>
          <xdr:cNvSpPr txBox="1"/>
        </xdr:nvSpPr>
        <xdr:spPr>
          <a:xfrm>
            <a:off x="61334081" y="11360727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1121036</xdr:colOff>
      <xdr:row>2</xdr:row>
      <xdr:rowOff>0</xdr:rowOff>
    </xdr:from>
    <xdr:ext cx="3797327" cy="955964"/>
    <xdr:sp macro="" textlink="">
      <xdr:nvSpPr>
        <xdr:cNvPr id="2" name="CasellaDiTesto 1">
          <a:extLst>
            <a:ext uri="{FF2B5EF4-FFF2-40B4-BE49-F238E27FC236}">
              <a16:creationId xmlns:a16="http://schemas.microsoft.com/office/drawing/2014/main" id="{91CE4325-58D0-4837-96AD-2C726665C1A4}"/>
            </a:ext>
          </a:extLst>
        </xdr:cNvPr>
        <xdr:cNvSpPr txBox="1"/>
      </xdr:nvSpPr>
      <xdr:spPr>
        <a:xfrm>
          <a:off x="4238309" y="484909"/>
          <a:ext cx="3797327" cy="955964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lIns="0" tIns="0" rIns="0" bIns="0" rtlCol="0" anchor="t">
          <a:noAutofit/>
        </a:bodyPr>
        <a:lstStyle/>
        <a:p>
          <a:pPr marL="0" indent="0"/>
          <a:endParaRPr lang="it-IT" sz="1100" b="0" i="1">
            <a:solidFill>
              <a:schemeClr val="tx1"/>
            </a:solidFill>
            <a:effectLst/>
            <a:latin typeface="Cambria Math" panose="02040503050406030204" pitchFamily="18" charset="0"/>
            <a:ea typeface="+mn-ea"/>
            <a:cs typeface="+mn-cs"/>
          </a:endParaRPr>
        </a:p>
      </xdr:txBody>
    </xdr:sp>
    <xdr:clientData/>
  </xdr:oneCellAnchor>
  <xdr:oneCellAnchor>
    <xdr:from>
      <xdr:col>5</xdr:col>
      <xdr:colOff>193963</xdr:colOff>
      <xdr:row>3</xdr:row>
      <xdr:rowOff>41563</xdr:rowOff>
    </xdr:from>
    <xdr:ext cx="3574473" cy="60996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sellaDiTesto 2">
              <a:extLst>
                <a:ext uri="{FF2B5EF4-FFF2-40B4-BE49-F238E27FC236}">
                  <a16:creationId xmlns:a16="http://schemas.microsoft.com/office/drawing/2014/main" id="{3CE62C54-55FA-4C3F-99FF-C51B410C77B3}"/>
                </a:ext>
              </a:extLst>
            </xdr:cNvPr>
            <xdr:cNvSpPr txBox="1"/>
          </xdr:nvSpPr>
          <xdr:spPr>
            <a:xfrm>
              <a:off x="4433454" y="748145"/>
              <a:ext cx="3574473" cy="6099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𝑦</m:t>
                        </m:r>
                      </m:e>
                      <m:sup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′</m:t>
                        </m:r>
                      </m:sup>
                    </m:sSup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𝜂</m:t>
                    </m:r>
                    <m:d>
                      <m:dPr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e>
                    </m:d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𝑃𝑑𝑓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den>
                    </m:f>
                    <m:d>
                      <m:dPr>
                        <m:begChr m:val="["/>
                        <m:endChr m:val="]"/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it-I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func>
                              <m:funcPr>
                                <m:ctrlP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it-IT" sz="1100" b="0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ln</m:t>
                                </m:r>
                              </m:fName>
                              <m:e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e>
                            </m:func>
                            <m:r>
                              <a:rPr lang="it-I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it-I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𝜇</m:t>
                            </m:r>
                          </m:num>
                          <m:den>
                            <m:sSup>
                              <m:sSupPr>
                                <m:ctrlP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den>
                        </m:f>
                      </m:e>
                    </m:d>
                    <m:r>
                      <a:rPr lang="it-I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𝑃𝑑𝑓</m:t>
                    </m:r>
                  </m:oMath>
                </m:oMathPara>
              </a14:m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3" name="CasellaDiTesto 2">
              <a:extLst>
                <a:ext uri="{FF2B5EF4-FFF2-40B4-BE49-F238E27FC236}">
                  <a16:creationId xmlns:a16="http://schemas.microsoft.com/office/drawing/2014/main" id="{3CE62C54-55FA-4C3F-99FF-C51B410C77B3}"/>
                </a:ext>
              </a:extLst>
            </xdr:cNvPr>
            <xdr:cNvSpPr txBox="1"/>
          </xdr:nvSpPr>
          <xdr:spPr>
            <a:xfrm>
              <a:off x="4433454" y="748145"/>
              <a:ext cx="3574473" cy="6099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it-IT" sz="1400" b="0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𝑦^′=𝜂(𝑡)𝑃𝑑𝑓=1/𝑡 [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(ln⁡𝑡−𝜇)/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𝜎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^2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it-IT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]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𝑃𝑑𝑓</a:t>
              </a:r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78</xdr:col>
      <xdr:colOff>21597</xdr:colOff>
      <xdr:row>7</xdr:row>
      <xdr:rowOff>29744</xdr:rowOff>
    </xdr:from>
    <xdr:to>
      <xdr:col>93</xdr:col>
      <xdr:colOff>419100</xdr:colOff>
      <xdr:row>57</xdr:row>
      <xdr:rowOff>30480</xdr:rowOff>
    </xdr:to>
    <xdr:grpSp>
      <xdr:nvGrpSpPr>
        <xdr:cNvPr id="11" name="Gruppo 10">
          <a:extLst>
            <a:ext uri="{FF2B5EF4-FFF2-40B4-BE49-F238E27FC236}">
              <a16:creationId xmlns:a16="http://schemas.microsoft.com/office/drawing/2014/main" id="{BC17B7EB-DB64-4FEB-8E6B-D7FE9075A18D}"/>
            </a:ext>
          </a:extLst>
        </xdr:cNvPr>
        <xdr:cNvGrpSpPr/>
      </xdr:nvGrpSpPr>
      <xdr:grpSpPr>
        <a:xfrm>
          <a:off x="69058797" y="2019909"/>
          <a:ext cx="9693903" cy="9126806"/>
          <a:chOff x="63960324" y="2038653"/>
          <a:chExt cx="9693903" cy="9200154"/>
        </a:xfrm>
      </xdr:grpSpPr>
      <xdr:graphicFrame macro="">
        <xdr:nvGraphicFramePr>
          <xdr:cNvPr id="4" name="Grafico 3">
            <a:extLst>
              <a:ext uri="{FF2B5EF4-FFF2-40B4-BE49-F238E27FC236}">
                <a16:creationId xmlns:a16="http://schemas.microsoft.com/office/drawing/2014/main" id="{FB88C70D-47F4-4CF0-84B4-220FDF4FACDC}"/>
              </a:ext>
            </a:extLst>
          </xdr:cNvPr>
          <xdr:cNvGraphicFramePr>
            <a:graphicFrameLocks/>
          </xdr:cNvGraphicFramePr>
        </xdr:nvGraphicFramePr>
        <xdr:xfrm>
          <a:off x="63960324" y="2038653"/>
          <a:ext cx="9693903" cy="920015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$B$8">
        <xdr:nvSpPr>
          <xdr:cNvPr id="5" name="CasellaDiTesto 4">
            <a:extLst>
              <a:ext uri="{FF2B5EF4-FFF2-40B4-BE49-F238E27FC236}">
                <a16:creationId xmlns:a16="http://schemas.microsoft.com/office/drawing/2014/main" id="{1A0EFA68-397F-40D6-9CF4-DEC61FC1CC85}"/>
              </a:ext>
            </a:extLst>
          </xdr:cNvPr>
          <xdr:cNvSpPr txBox="1"/>
        </xdr:nvSpPr>
        <xdr:spPr>
          <a:xfrm>
            <a:off x="69293102" y="10871599"/>
            <a:ext cx="858982" cy="3186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066C2CB5-EDD9-4959-A92C-1D08B76F0C24}" type="TxLink">
              <a:rPr lang="en-US" sz="11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1-Jan</a:t>
            </a:fld>
            <a:endParaRPr lang="it-IT" sz="1100"/>
          </a:p>
        </xdr:txBody>
      </xdr:sp>
    </xdr:grpSp>
    <xdr:clientData/>
  </xdr:twoCellAnchor>
  <xdr:twoCellAnchor>
    <xdr:from>
      <xdr:col>82</xdr:col>
      <xdr:colOff>365760</xdr:colOff>
      <xdr:row>111</xdr:row>
      <xdr:rowOff>0</xdr:rowOff>
    </xdr:from>
    <xdr:to>
      <xdr:col>101</xdr:col>
      <xdr:colOff>243840</xdr:colOff>
      <xdr:row>161</xdr:row>
      <xdr:rowOff>153136</xdr:rowOff>
    </xdr:to>
    <xdr:grpSp>
      <xdr:nvGrpSpPr>
        <xdr:cNvPr id="10" name="Gruppo 9">
          <a:extLst>
            <a:ext uri="{FF2B5EF4-FFF2-40B4-BE49-F238E27FC236}">
              <a16:creationId xmlns:a16="http://schemas.microsoft.com/office/drawing/2014/main" id="{6DECABC1-C931-41E9-A563-16C2E4503A7A}"/>
            </a:ext>
          </a:extLst>
        </xdr:cNvPr>
        <xdr:cNvGrpSpPr/>
      </xdr:nvGrpSpPr>
      <xdr:grpSpPr>
        <a:xfrm>
          <a:off x="72603360" y="20833976"/>
          <a:ext cx="10850880" cy="9117842"/>
          <a:chOff x="64042846" y="20934218"/>
          <a:chExt cx="10351002" cy="9158591"/>
        </a:xfrm>
      </xdr:grpSpPr>
      <xdr:graphicFrame macro="">
        <xdr:nvGraphicFramePr>
          <xdr:cNvPr id="16" name="Grafico 15">
            <a:extLst>
              <a:ext uri="{FF2B5EF4-FFF2-40B4-BE49-F238E27FC236}">
                <a16:creationId xmlns:a16="http://schemas.microsoft.com/office/drawing/2014/main" id="{FA9C7014-D65F-4E09-9E65-304A78CC2FAC}"/>
              </a:ext>
            </a:extLst>
          </xdr:cNvPr>
          <xdr:cNvGraphicFramePr>
            <a:graphicFrameLocks/>
          </xdr:cNvGraphicFramePr>
        </xdr:nvGraphicFramePr>
        <xdr:xfrm>
          <a:off x="64042846" y="20934218"/>
          <a:ext cx="10351002" cy="915859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$B$8">
        <xdr:nvSpPr>
          <xdr:cNvPr id="8" name="CasellaDiTesto 7">
            <a:extLst>
              <a:ext uri="{FF2B5EF4-FFF2-40B4-BE49-F238E27FC236}">
                <a16:creationId xmlns:a16="http://schemas.microsoft.com/office/drawing/2014/main" id="{2FF9ECB3-9A3D-4591-BAD2-B65A99C1919B}"/>
              </a:ext>
            </a:extLst>
          </xdr:cNvPr>
          <xdr:cNvSpPr txBox="1"/>
        </xdr:nvSpPr>
        <xdr:spPr>
          <a:xfrm>
            <a:off x="65102511" y="29704145"/>
            <a:ext cx="858981" cy="3186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066C2CB5-EDD9-4959-A92C-1D08B76F0C24}" type="TxLink">
              <a:rPr lang="en-US" sz="11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1-Jan</a:t>
            </a:fld>
            <a:endParaRPr lang="it-IT" sz="1100"/>
          </a:p>
        </xdr:txBody>
      </xdr:sp>
    </xdr:grpSp>
    <xdr:clientData/>
  </xdr:twoCellAnchor>
  <xdr:twoCellAnchor>
    <xdr:from>
      <xdr:col>79</xdr:col>
      <xdr:colOff>1158240</xdr:colOff>
      <xdr:row>58</xdr:row>
      <xdr:rowOff>84908</xdr:rowOff>
    </xdr:from>
    <xdr:to>
      <xdr:col>99</xdr:col>
      <xdr:colOff>304800</xdr:colOff>
      <xdr:row>109</xdr:row>
      <xdr:rowOff>52987</xdr:rowOff>
    </xdr:to>
    <xdr:grpSp>
      <xdr:nvGrpSpPr>
        <xdr:cNvPr id="7" name="Gruppo 6">
          <a:extLst>
            <a:ext uri="{FF2B5EF4-FFF2-40B4-BE49-F238E27FC236}">
              <a16:creationId xmlns:a16="http://schemas.microsoft.com/office/drawing/2014/main" id="{7E6A6F8F-ECA6-4666-8535-AC2B0BEEB172}"/>
            </a:ext>
          </a:extLst>
        </xdr:cNvPr>
        <xdr:cNvGrpSpPr/>
      </xdr:nvGrpSpPr>
      <xdr:grpSpPr>
        <a:xfrm>
          <a:off x="70805040" y="11380437"/>
          <a:ext cx="11490960" cy="9147938"/>
          <a:chOff x="65116365" y="11472881"/>
          <a:chExt cx="12066235" cy="9153643"/>
        </a:xfrm>
      </xdr:grpSpPr>
      <xdr:graphicFrame macro="">
        <xdr:nvGraphicFramePr>
          <xdr:cNvPr id="15" name="Grafico 14">
            <a:extLst>
              <a:ext uri="{FF2B5EF4-FFF2-40B4-BE49-F238E27FC236}">
                <a16:creationId xmlns:a16="http://schemas.microsoft.com/office/drawing/2014/main" id="{2718E7EC-53A9-4247-9081-C1F91024AD23}"/>
              </a:ext>
            </a:extLst>
          </xdr:cNvPr>
          <xdr:cNvGraphicFramePr>
            <a:graphicFrameLocks/>
          </xdr:cNvGraphicFramePr>
        </xdr:nvGraphicFramePr>
        <xdr:xfrm>
          <a:off x="66831598" y="11472881"/>
          <a:ext cx="10351002" cy="915364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$B$8">
        <xdr:nvSpPr>
          <xdr:cNvPr id="9" name="CasellaDiTesto 8">
            <a:extLst>
              <a:ext uri="{FF2B5EF4-FFF2-40B4-BE49-F238E27FC236}">
                <a16:creationId xmlns:a16="http://schemas.microsoft.com/office/drawing/2014/main" id="{995BEFC0-0565-4B38-B050-923574DA70E2}"/>
              </a:ext>
            </a:extLst>
          </xdr:cNvPr>
          <xdr:cNvSpPr txBox="1"/>
        </xdr:nvSpPr>
        <xdr:spPr>
          <a:xfrm>
            <a:off x="65116365" y="20227637"/>
            <a:ext cx="858981" cy="3186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066C2CB5-EDD9-4959-A92C-1D08B76F0C24}" type="TxLink">
              <a:rPr lang="en-US" sz="11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1-Jan</a:t>
            </a:fld>
            <a:endParaRPr lang="it-IT" sz="1100"/>
          </a:p>
        </xdr:txBody>
      </xdr:sp>
    </xdr:grpSp>
    <xdr:clientData/>
  </xdr:twoCellAnchor>
  <xdr:twoCellAnchor>
    <xdr:from>
      <xdr:col>79</xdr:col>
      <xdr:colOff>243840</xdr:colOff>
      <xdr:row>166</xdr:row>
      <xdr:rowOff>173180</xdr:rowOff>
    </xdr:from>
    <xdr:to>
      <xdr:col>98</xdr:col>
      <xdr:colOff>243840</xdr:colOff>
      <xdr:row>209</xdr:row>
      <xdr:rowOff>91440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68ADF25C-5B0D-40FE-879A-CD0259AB3D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101</xdr:col>
      <xdr:colOff>213360</xdr:colOff>
      <xdr:row>166</xdr:row>
      <xdr:rowOff>60960</xdr:rowOff>
    </xdr:from>
    <xdr:to>
      <xdr:col>118</xdr:col>
      <xdr:colOff>159328</xdr:colOff>
      <xdr:row>204</xdr:row>
      <xdr:rowOff>84515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C704E39C-C628-4D10-96ED-5D07EA3D0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103</xdr:col>
      <xdr:colOff>152400</xdr:colOff>
      <xdr:row>119</xdr:row>
      <xdr:rowOff>118653</xdr:rowOff>
    </xdr:from>
    <xdr:to>
      <xdr:col>116</xdr:col>
      <xdr:colOff>174172</xdr:colOff>
      <xdr:row>153</xdr:row>
      <xdr:rowOff>102325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7A12B357-E9EA-42E4-B2BE-7B03D4F751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100</xdr:col>
      <xdr:colOff>17416</xdr:colOff>
      <xdr:row>58</xdr:row>
      <xdr:rowOff>163286</xdr:rowOff>
    </xdr:from>
    <xdr:to>
      <xdr:col>114</xdr:col>
      <xdr:colOff>21771</xdr:colOff>
      <xdr:row>93</xdr:row>
      <xdr:rowOff>163287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AD9EFEED-8EE9-43F3-9679-6DE58456CC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93</xdr:col>
      <xdr:colOff>554181</xdr:colOff>
      <xdr:row>7</xdr:row>
      <xdr:rowOff>48490</xdr:rowOff>
    </xdr:from>
    <xdr:to>
      <xdr:col>110</xdr:col>
      <xdr:colOff>533400</xdr:colOff>
      <xdr:row>56</xdr:row>
      <xdr:rowOff>0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A5370FF9-BF85-4943-9234-9A0D5B766F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Pier Franco Nali" id="{46504131-ADD3-4530-BCC7-16E4FED1C2C4}" userId="1f297b06b5980845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pfn" refreshedDate="43950.038435995368" createdVersion="6" refreshedVersion="6" minRefreshableVersion="3" recordCount="1366" xr:uid="{D725F143-88C9-43C4-96A8-75CDF08649CC}">
  <cacheSource type="worksheet">
    <worksheetSource ref="A1:Q1048576" sheet="dpc-covid19-ita-regioni"/>
  </cacheSource>
  <cacheFields count="18">
    <cacheField name="data" numFmtId="0">
      <sharedItems containsNonDate="0" containsDate="1" containsString="0" containsBlank="1" minDate="2020-02-24T18:00:00" maxDate="2020-04-28T17:00:00" count="66">
        <d v="2020-02-24T18:00:00"/>
        <d v="2020-02-25T18:00:00"/>
        <d v="2020-02-26T18:00:00"/>
        <d v="2020-02-27T18:00:00"/>
        <d v="2020-02-28T18:00:00"/>
        <d v="2020-02-29T17:00:00"/>
        <d v="2020-03-01T17:00:00"/>
        <d v="2020-03-02T18:00:00"/>
        <d v="2020-03-03T18:00:00"/>
        <d v="2020-03-04T17:00:00"/>
        <d v="2020-03-05T17:00:00"/>
        <d v="2020-03-06T17:00:00"/>
        <d v="2020-03-07T18:00:00"/>
        <d v="2020-03-08T18:00:00"/>
        <d v="2020-03-09T18:00:00"/>
        <d v="2020-03-10T18:00:00"/>
        <d v="2020-03-11T17:00:00"/>
        <d v="2020-03-12T17:00:00"/>
        <d v="2020-03-13T17:00:00"/>
        <d v="2020-03-14T17:00:00"/>
        <d v="2020-03-15T17:00:00"/>
        <d v="2020-03-16T17:00:00"/>
        <d v="2020-03-17T17:00:00"/>
        <d v="2020-03-18T17:00:00"/>
        <d v="2020-03-19T17:00:00"/>
        <d v="2020-03-20T17:00:00"/>
        <d v="2020-03-21T17:00:00"/>
        <d v="2020-03-22T17:00:00"/>
        <d v="2020-03-23T17:00:00"/>
        <d v="2020-03-24T17:00:00"/>
        <d v="2020-03-25T17:00:00"/>
        <d v="2020-03-26T17:00:00"/>
        <d v="2020-03-27T17:00:00"/>
        <d v="2020-03-28T17:00:00"/>
        <d v="2020-03-29T17:00:00"/>
        <d v="2020-03-30T17:00:00"/>
        <d v="2020-03-31T17:00:00"/>
        <d v="2020-04-01T17:00:00"/>
        <d v="2020-04-02T17:00:00"/>
        <d v="2020-04-03T17:00:00"/>
        <d v="2020-04-04T17:00:00"/>
        <d v="2020-04-05T17:00:00"/>
        <d v="2020-04-06T17:00:00"/>
        <d v="2020-04-07T17:00:00"/>
        <d v="2020-04-08T17:00:00"/>
        <d v="2020-04-09T17:00:00"/>
        <d v="2020-04-10T17:00:00"/>
        <d v="2020-04-11T17:00:00"/>
        <d v="2020-04-12T17:00:00"/>
        <d v="2020-04-13T17:00:00"/>
        <d v="2020-04-14T17:00:00"/>
        <d v="2020-04-15T17:00:00"/>
        <d v="2020-04-16T17:00:00"/>
        <d v="2020-04-17T17:00:00"/>
        <d v="2020-04-18T17:00:00"/>
        <d v="2020-04-19T17:00:00"/>
        <d v="2020-04-20T17:00:00"/>
        <d v="2020-04-21T17:00:00"/>
        <d v="2020-04-22T17:00:00"/>
        <d v="2020-04-23T17:00:00"/>
        <d v="2020-04-24T17:00:00"/>
        <d v="2020-04-25T17:00:00"/>
        <d v="2020-04-26T17:00:00"/>
        <d v="2020-04-27T17:00:00"/>
        <d v="2020-04-28T17:00:00"/>
        <m/>
      </sharedItems>
      <fieldGroup par="17" base="0">
        <rangePr groupBy="days" startDate="2020-02-24T18:00:00" endDate="2020-04-28T17:00:00"/>
        <groupItems count="368">
          <s v="(vuoto)"/>
          <s v="01-gen"/>
          <s v="02-gen"/>
          <s v="03-gen"/>
          <s v="04-gen"/>
          <s v="05-gen"/>
          <s v="06-gen"/>
          <s v="07-gen"/>
          <s v="08-gen"/>
          <s v="09-gen"/>
          <s v="10-gen"/>
          <s v="11-gen"/>
          <s v="12-gen"/>
          <s v="13-gen"/>
          <s v="14-gen"/>
          <s v="15-gen"/>
          <s v="16-gen"/>
          <s v="17-gen"/>
          <s v="18-gen"/>
          <s v="19-gen"/>
          <s v="20-gen"/>
          <s v="21-gen"/>
          <s v="22-gen"/>
          <s v="23-gen"/>
          <s v="24-gen"/>
          <s v="25-gen"/>
          <s v="26-gen"/>
          <s v="27-gen"/>
          <s v="28-gen"/>
          <s v="29-gen"/>
          <s v="30-gen"/>
          <s v="31-ge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g"/>
          <s v="02-mag"/>
          <s v="03-mag"/>
          <s v="04-mag"/>
          <s v="05-mag"/>
          <s v="06-mag"/>
          <s v="07-mag"/>
          <s v="08-mag"/>
          <s v="09-mag"/>
          <s v="10-mag"/>
          <s v="11-mag"/>
          <s v="12-mag"/>
          <s v="13-mag"/>
          <s v="14-mag"/>
          <s v="15-mag"/>
          <s v="16-mag"/>
          <s v="17-mag"/>
          <s v="18-mag"/>
          <s v="19-mag"/>
          <s v="20-mag"/>
          <s v="21-mag"/>
          <s v="22-mag"/>
          <s v="23-mag"/>
          <s v="24-mag"/>
          <s v="25-mag"/>
          <s v="26-mag"/>
          <s v="27-mag"/>
          <s v="28-mag"/>
          <s v="29-mag"/>
          <s v="30-mag"/>
          <s v="31-mag"/>
          <s v="01-giu"/>
          <s v="02-giu"/>
          <s v="03-giu"/>
          <s v="04-giu"/>
          <s v="05-giu"/>
          <s v="06-giu"/>
          <s v="07-giu"/>
          <s v="08-giu"/>
          <s v="09-giu"/>
          <s v="10-giu"/>
          <s v="11-giu"/>
          <s v="12-giu"/>
          <s v="13-giu"/>
          <s v="14-giu"/>
          <s v="15-giu"/>
          <s v="16-giu"/>
          <s v="17-giu"/>
          <s v="18-giu"/>
          <s v="19-giu"/>
          <s v="20-giu"/>
          <s v="21-giu"/>
          <s v="22-giu"/>
          <s v="23-giu"/>
          <s v="24-giu"/>
          <s v="25-giu"/>
          <s v="26-giu"/>
          <s v="27-giu"/>
          <s v="28-giu"/>
          <s v="29-giu"/>
          <s v="30-giu"/>
          <s v="01-lug"/>
          <s v="02-lug"/>
          <s v="03-lug"/>
          <s v="04-lug"/>
          <s v="05-lug"/>
          <s v="06-lug"/>
          <s v="07-lug"/>
          <s v="08-lug"/>
          <s v="09-lug"/>
          <s v="10-lug"/>
          <s v="11-lug"/>
          <s v="12-lug"/>
          <s v="13-lug"/>
          <s v="14-lug"/>
          <s v="15-lug"/>
          <s v="16-lug"/>
          <s v="17-lug"/>
          <s v="18-lug"/>
          <s v="19-lug"/>
          <s v="20-lug"/>
          <s v="21-lug"/>
          <s v="22-lug"/>
          <s v="23-lug"/>
          <s v="24-lug"/>
          <s v="25-lug"/>
          <s v="26-lug"/>
          <s v="27-lug"/>
          <s v="28-lug"/>
          <s v="29-lug"/>
          <s v="30-lug"/>
          <s v="31-lug"/>
          <s v="01-ago"/>
          <s v="02-ago"/>
          <s v="03-ago"/>
          <s v="04-ago"/>
          <s v="05-ago"/>
          <s v="06-ago"/>
          <s v="07-ago"/>
          <s v="08-ago"/>
          <s v="0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01-set"/>
          <s v="02-set"/>
          <s v="03-set"/>
          <s v="04-set"/>
          <s v="05-set"/>
          <s v="06-set"/>
          <s v="07-set"/>
          <s v="08-set"/>
          <s v="09-set"/>
          <s v="10-set"/>
          <s v="11-set"/>
          <s v="12-set"/>
          <s v="13-set"/>
          <s v="14-set"/>
          <s v="15-set"/>
          <s v="16-set"/>
          <s v="17-set"/>
          <s v="18-set"/>
          <s v="19-set"/>
          <s v="20-set"/>
          <s v="21-set"/>
          <s v="22-set"/>
          <s v="23-set"/>
          <s v="24-set"/>
          <s v="25-set"/>
          <s v="26-set"/>
          <s v="27-set"/>
          <s v="28-set"/>
          <s v="29-set"/>
          <s v="30-set"/>
          <s v="01-ott"/>
          <s v="02-ott"/>
          <s v="03-ott"/>
          <s v="04-ott"/>
          <s v="05-ott"/>
          <s v="06-ott"/>
          <s v="07-ott"/>
          <s v="08-ott"/>
          <s v="09-ott"/>
          <s v="10-ott"/>
          <s v="11-ott"/>
          <s v="12-ott"/>
          <s v="13-ott"/>
          <s v="14-ott"/>
          <s v="15-ott"/>
          <s v="16-ott"/>
          <s v="17-ott"/>
          <s v="18-ott"/>
          <s v="19-ott"/>
          <s v="20-ott"/>
          <s v="21-ott"/>
          <s v="22-ott"/>
          <s v="23-ott"/>
          <s v="24-ott"/>
          <s v="25-ott"/>
          <s v="26-ott"/>
          <s v="27-ott"/>
          <s v="28-ott"/>
          <s v="29-ott"/>
          <s v="30-ott"/>
          <s v="31-ot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ic"/>
          <s v="02-dic"/>
          <s v="03-dic"/>
          <s v="04-dic"/>
          <s v="05-dic"/>
          <s v="06-dic"/>
          <s v="07-dic"/>
          <s v="08-dic"/>
          <s v="0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28/04/2020"/>
        </groupItems>
      </fieldGroup>
    </cacheField>
    <cacheField name="stato" numFmtId="0">
      <sharedItems containsBlank="1"/>
    </cacheField>
    <cacheField name="codice_regione" numFmtId="0">
      <sharedItems containsString="0" containsBlank="1" containsNumber="1" containsInteger="1" minValue="1" maxValue="20" count="21">
        <n v="13"/>
        <n v="17"/>
        <n v="4"/>
        <n v="18"/>
        <n v="15"/>
        <n v="8"/>
        <n v="6"/>
        <n v="12"/>
        <n v="7"/>
        <n v="3"/>
        <n v="11"/>
        <n v="14"/>
        <n v="1"/>
        <n v="16"/>
        <n v="20"/>
        <n v="19"/>
        <n v="9"/>
        <n v="10"/>
        <n v="2"/>
        <n v="5"/>
        <m/>
      </sharedItems>
    </cacheField>
    <cacheField name="denominazione_regione" numFmtId="0">
      <sharedItems containsBlank="1" count="22">
        <s v="Abruzzo"/>
        <s v="Basilicata"/>
        <s v="P.A. Bolzano"/>
        <s v="Calabria"/>
        <s v="Campania"/>
        <s v="Emilia-Romagna"/>
        <s v="Friuli Venezia Giulia"/>
        <s v="Lazio"/>
        <s v="Liguria"/>
        <s v="Lombardia"/>
        <s v="Marche"/>
        <s v="Molise"/>
        <s v="Piemonte"/>
        <s v="Puglia"/>
        <s v="Sardegna"/>
        <s v="Sicilia"/>
        <s v="Toscana"/>
        <s v="P.A. Trento"/>
        <s v="Umbria"/>
        <s v="Valle d'Aosta"/>
        <s v="Veneto"/>
        <m/>
      </sharedItems>
    </cacheField>
    <cacheField name="lat" numFmtId="0">
      <sharedItems containsString="0" containsBlank="1" containsNumber="1" containsInteger="1" minValue="450732745" maxValue="4649933453"/>
    </cacheField>
    <cacheField name="long" numFmtId="0">
      <sharedItems containsString="0" containsBlank="1" containsNumber="1" containsInteger="1" minValue="89326992" maxValue="9190347404"/>
    </cacheField>
    <cacheField name="ricoverati_con_sintomi" numFmtId="0">
      <sharedItems containsString="0" containsBlank="1" containsNumber="1" containsInteger="1" minValue="0" maxValue="12077"/>
    </cacheField>
    <cacheField name="terapia_intensiva" numFmtId="0">
      <sharedItems containsString="0" containsBlank="1" containsNumber="1" containsInteger="1" minValue="0" maxValue="1381"/>
    </cacheField>
    <cacheField name="totale_ospedalizzati" numFmtId="0">
      <sharedItems containsString="0" containsBlank="1" containsNumber="1" containsInteger="1" minValue="0" maxValue="13328"/>
    </cacheField>
    <cacheField name="isolamento_domiciliare" numFmtId="0">
      <sharedItems containsString="0" containsBlank="1" containsNumber="1" containsInteger="1" minValue="0" maxValue="27809"/>
    </cacheField>
    <cacheField name="totale_positivi" numFmtId="0">
      <sharedItems containsString="0" containsBlank="1" containsNumber="1" containsInteger="1" minValue="0" maxValue="35744"/>
    </cacheField>
    <cacheField name="variazione_totale_positivi" numFmtId="0">
      <sharedItems containsString="0" containsBlank="1" containsNumber="1" containsInteger="1" minValue="-609" maxValue="1950"/>
    </cacheField>
    <cacheField name="nuovi_positivi" numFmtId="0">
      <sharedItems containsString="0" containsBlank="1" containsNumber="1" containsInteger="1" minValue="-18" maxValue="3251"/>
    </cacheField>
    <cacheField name="dimessi_guariti" numFmtId="0">
      <sharedItems containsString="0" containsBlank="1" containsNumber="1" containsInteger="1" minValue="0" maxValue="25029"/>
    </cacheField>
    <cacheField name="deceduti" numFmtId="0">
      <sharedItems containsString="0" containsBlank="1" containsNumber="1" containsInteger="1" minValue="0" maxValue="13575"/>
    </cacheField>
    <cacheField name="totale_casi" numFmtId="0">
      <sharedItems containsString="0" containsBlank="1" containsNumber="1" containsInteger="1" minValue="0" maxValue="74348"/>
    </cacheField>
    <cacheField name="tamponi" numFmtId="0">
      <sharedItems containsString="0" containsBlank="1" containsNumber="1" containsInteger="1" minValue="0" maxValue="351423"/>
    </cacheField>
    <cacheField name="Mesi" numFmtId="0" databaseField="0">
      <fieldGroup base="0">
        <rangePr groupBy="months" startDate="2020-02-24T18:00:00" endDate="2020-04-28T17:00:00"/>
        <groupItems count="14">
          <s v="&lt;24/02/2020"/>
          <s v="gen"/>
          <s v="feb"/>
          <s v="mar"/>
          <s v="apr"/>
          <s v="mag"/>
          <s v="giu"/>
          <s v="lug"/>
          <s v="ago"/>
          <s v="set"/>
          <s v="ott"/>
          <s v="nov"/>
          <s v="dic"/>
          <s v="&gt;28/04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66">
  <r>
    <x v="0"/>
    <s v="ITA"/>
    <x v="0"/>
    <x v="0"/>
    <n v="4235122196"/>
    <n v="1339843823"/>
    <n v="0"/>
    <n v="0"/>
    <n v="0"/>
    <n v="0"/>
    <n v="0"/>
    <n v="0"/>
    <n v="0"/>
    <n v="0"/>
    <n v="0"/>
    <n v="0"/>
    <n v="5"/>
  </r>
  <r>
    <x v="0"/>
    <s v="ITA"/>
    <x v="1"/>
    <x v="1"/>
    <n v="4063947052"/>
    <n v="1580514834"/>
    <n v="0"/>
    <n v="0"/>
    <n v="0"/>
    <n v="0"/>
    <n v="0"/>
    <n v="0"/>
    <n v="0"/>
    <n v="0"/>
    <n v="0"/>
    <n v="0"/>
    <n v="0"/>
  </r>
  <r>
    <x v="0"/>
    <s v="ITA"/>
    <x v="2"/>
    <x v="2"/>
    <n v="4649933453"/>
    <n v="1135662422"/>
    <n v="0"/>
    <n v="0"/>
    <n v="0"/>
    <n v="0"/>
    <n v="0"/>
    <n v="0"/>
    <n v="0"/>
    <n v="0"/>
    <n v="0"/>
    <n v="0"/>
    <n v="1"/>
  </r>
  <r>
    <x v="0"/>
    <s v="ITA"/>
    <x v="3"/>
    <x v="3"/>
    <n v="3890597598"/>
    <n v="1659440194"/>
    <n v="0"/>
    <n v="0"/>
    <n v="0"/>
    <n v="0"/>
    <n v="0"/>
    <n v="0"/>
    <n v="0"/>
    <n v="0"/>
    <n v="0"/>
    <n v="0"/>
    <n v="1"/>
  </r>
  <r>
    <x v="0"/>
    <s v="ITA"/>
    <x v="4"/>
    <x v="4"/>
    <n v="4083956555"/>
    <n v="1425084984"/>
    <n v="0"/>
    <n v="0"/>
    <n v="0"/>
    <n v="0"/>
    <n v="0"/>
    <n v="0"/>
    <n v="0"/>
    <n v="0"/>
    <n v="0"/>
    <n v="0"/>
    <n v="10"/>
  </r>
  <r>
    <x v="0"/>
    <s v="ITA"/>
    <x v="5"/>
    <x v="5"/>
    <n v="4449436681"/>
    <n v="113417208"/>
    <n v="10"/>
    <n v="2"/>
    <n v="12"/>
    <n v="6"/>
    <n v="18"/>
    <n v="0"/>
    <n v="18"/>
    <n v="0"/>
    <n v="0"/>
    <n v="18"/>
    <n v="148"/>
  </r>
  <r>
    <x v="0"/>
    <s v="ITA"/>
    <x v="6"/>
    <x v="6"/>
    <n v="456494354"/>
    <n v="1376813649"/>
    <n v="0"/>
    <n v="0"/>
    <n v="0"/>
    <n v="0"/>
    <n v="0"/>
    <n v="0"/>
    <n v="0"/>
    <n v="0"/>
    <n v="0"/>
    <n v="0"/>
    <n v="58"/>
  </r>
  <r>
    <x v="0"/>
    <s v="ITA"/>
    <x v="7"/>
    <x v="7"/>
    <n v="4189277044"/>
    <n v="1248366722"/>
    <n v="1"/>
    <n v="1"/>
    <n v="2"/>
    <n v="0"/>
    <n v="2"/>
    <n v="0"/>
    <n v="2"/>
    <n v="1"/>
    <n v="0"/>
    <n v="3"/>
    <n v="124"/>
  </r>
  <r>
    <x v="0"/>
    <s v="ITA"/>
    <x v="8"/>
    <x v="8"/>
    <n v="4441149315"/>
    <n v="89326992"/>
    <n v="0"/>
    <n v="0"/>
    <n v="0"/>
    <n v="0"/>
    <n v="0"/>
    <n v="0"/>
    <n v="0"/>
    <n v="0"/>
    <n v="0"/>
    <n v="0"/>
    <n v="1"/>
  </r>
  <r>
    <x v="0"/>
    <s v="ITA"/>
    <x v="9"/>
    <x v="9"/>
    <n v="4546679409"/>
    <n v="9190347404"/>
    <n v="76"/>
    <n v="19"/>
    <n v="95"/>
    <n v="71"/>
    <n v="166"/>
    <n v="0"/>
    <n v="166"/>
    <n v="0"/>
    <n v="6"/>
    <n v="172"/>
    <n v="1463"/>
  </r>
  <r>
    <x v="0"/>
    <s v="ITA"/>
    <x v="10"/>
    <x v="10"/>
    <n v="4361675973"/>
    <n v="135188753"/>
    <n v="0"/>
    <n v="0"/>
    <n v="0"/>
    <n v="0"/>
    <n v="0"/>
    <n v="0"/>
    <n v="0"/>
    <n v="0"/>
    <n v="0"/>
    <n v="0"/>
    <n v="16"/>
  </r>
  <r>
    <x v="0"/>
    <s v="ITA"/>
    <x v="11"/>
    <x v="11"/>
    <n v="4155774754"/>
    <n v="1465916051"/>
    <n v="0"/>
    <n v="0"/>
    <n v="0"/>
    <n v="0"/>
    <n v="0"/>
    <n v="0"/>
    <n v="0"/>
    <n v="0"/>
    <n v="0"/>
    <n v="0"/>
    <n v="0"/>
  </r>
  <r>
    <x v="0"/>
    <s v="ITA"/>
    <x v="12"/>
    <x v="12"/>
    <n v="450732745"/>
    <n v="7680687483"/>
    <n v="2"/>
    <n v="0"/>
    <n v="2"/>
    <n v="1"/>
    <n v="3"/>
    <n v="0"/>
    <n v="3"/>
    <n v="0"/>
    <n v="0"/>
    <n v="3"/>
    <n v="141"/>
  </r>
  <r>
    <x v="0"/>
    <s v="ITA"/>
    <x v="13"/>
    <x v="13"/>
    <n v="4112559576"/>
    <n v="1686736689"/>
    <n v="0"/>
    <n v="0"/>
    <n v="0"/>
    <n v="0"/>
    <n v="0"/>
    <n v="0"/>
    <n v="0"/>
    <n v="0"/>
    <n v="0"/>
    <n v="0"/>
    <n v="0"/>
  </r>
  <r>
    <x v="0"/>
    <s v="ITA"/>
    <x v="14"/>
    <x v="14"/>
    <n v="3921531192"/>
    <n v="9110616306"/>
    <n v="0"/>
    <n v="0"/>
    <n v="0"/>
    <n v="0"/>
    <n v="0"/>
    <n v="0"/>
    <n v="0"/>
    <n v="0"/>
    <n v="0"/>
    <n v="0"/>
    <n v="1"/>
  </r>
  <r>
    <x v="0"/>
    <s v="ITA"/>
    <x v="15"/>
    <x v="15"/>
    <n v="3811569725"/>
    <n v="133623567"/>
    <n v="0"/>
    <n v="0"/>
    <n v="0"/>
    <n v="0"/>
    <n v="0"/>
    <n v="0"/>
    <n v="0"/>
    <n v="0"/>
    <n v="0"/>
    <n v="0"/>
    <n v="5"/>
  </r>
  <r>
    <x v="0"/>
    <s v="ITA"/>
    <x v="16"/>
    <x v="16"/>
    <n v="4376923077"/>
    <n v="1125588885"/>
    <n v="0"/>
    <n v="0"/>
    <n v="0"/>
    <n v="0"/>
    <n v="0"/>
    <n v="0"/>
    <n v="0"/>
    <n v="0"/>
    <n v="0"/>
    <n v="0"/>
    <n v="140"/>
  </r>
  <r>
    <x v="0"/>
    <s v="ITA"/>
    <x v="2"/>
    <x v="17"/>
    <n v="4606893511"/>
    <n v="1112123097"/>
    <n v="0"/>
    <n v="0"/>
    <n v="0"/>
    <n v="0"/>
    <n v="0"/>
    <n v="0"/>
    <n v="0"/>
    <n v="0"/>
    <n v="0"/>
    <n v="0"/>
    <n v="3"/>
  </r>
  <r>
    <x v="0"/>
    <s v="ITA"/>
    <x v="17"/>
    <x v="18"/>
    <n v="4310675841"/>
    <n v="1238824698"/>
    <n v="0"/>
    <n v="0"/>
    <n v="0"/>
    <n v="0"/>
    <n v="0"/>
    <n v="0"/>
    <n v="0"/>
    <n v="0"/>
    <n v="0"/>
    <n v="0"/>
    <n v="0"/>
  </r>
  <r>
    <x v="0"/>
    <s v="ITA"/>
    <x v="18"/>
    <x v="19"/>
    <n v="4573750286"/>
    <n v="7320149366"/>
    <n v="0"/>
    <n v="0"/>
    <n v="0"/>
    <n v="0"/>
    <n v="0"/>
    <n v="0"/>
    <n v="0"/>
    <n v="0"/>
    <n v="0"/>
    <n v="0"/>
    <n v="7"/>
  </r>
  <r>
    <x v="0"/>
    <s v="ITA"/>
    <x v="19"/>
    <x v="20"/>
    <n v="4543490485"/>
    <n v="1233845213"/>
    <n v="12"/>
    <n v="4"/>
    <n v="16"/>
    <n v="16"/>
    <n v="32"/>
    <n v="0"/>
    <n v="32"/>
    <n v="0"/>
    <n v="1"/>
    <n v="33"/>
    <n v="2200"/>
  </r>
  <r>
    <x v="1"/>
    <s v="ITA"/>
    <x v="0"/>
    <x v="0"/>
    <n v="4235122196"/>
    <n v="1339843823"/>
    <n v="0"/>
    <n v="0"/>
    <n v="0"/>
    <n v="0"/>
    <n v="0"/>
    <n v="0"/>
    <n v="0"/>
    <n v="0"/>
    <n v="0"/>
    <n v="0"/>
    <n v="5"/>
  </r>
  <r>
    <x v="1"/>
    <s v="ITA"/>
    <x v="1"/>
    <x v="1"/>
    <n v="4063947052"/>
    <n v="1580514834"/>
    <n v="0"/>
    <n v="0"/>
    <n v="0"/>
    <n v="0"/>
    <n v="0"/>
    <n v="0"/>
    <n v="0"/>
    <n v="0"/>
    <n v="0"/>
    <n v="0"/>
    <n v="0"/>
  </r>
  <r>
    <x v="1"/>
    <s v="ITA"/>
    <x v="2"/>
    <x v="2"/>
    <n v="4649933453"/>
    <n v="1135662422"/>
    <n v="1"/>
    <n v="0"/>
    <n v="1"/>
    <n v="0"/>
    <n v="1"/>
    <n v="1"/>
    <n v="1"/>
    <n v="0"/>
    <n v="0"/>
    <n v="1"/>
    <n v="1"/>
  </r>
  <r>
    <x v="1"/>
    <s v="ITA"/>
    <x v="3"/>
    <x v="3"/>
    <n v="3890597598"/>
    <n v="1659440194"/>
    <n v="0"/>
    <n v="0"/>
    <n v="0"/>
    <n v="0"/>
    <n v="0"/>
    <n v="0"/>
    <n v="0"/>
    <n v="0"/>
    <n v="0"/>
    <n v="0"/>
    <n v="2"/>
  </r>
  <r>
    <x v="1"/>
    <s v="ITA"/>
    <x v="4"/>
    <x v="4"/>
    <n v="4083956555"/>
    <n v="1425084984"/>
    <n v="0"/>
    <n v="0"/>
    <n v="0"/>
    <n v="0"/>
    <n v="0"/>
    <n v="0"/>
    <n v="0"/>
    <n v="0"/>
    <n v="0"/>
    <n v="0"/>
    <n v="10"/>
  </r>
  <r>
    <x v="1"/>
    <s v="ITA"/>
    <x v="5"/>
    <x v="5"/>
    <n v="4449436681"/>
    <n v="113417208"/>
    <n v="15"/>
    <n v="2"/>
    <n v="17"/>
    <n v="9"/>
    <n v="26"/>
    <n v="8"/>
    <n v="8"/>
    <n v="0"/>
    <n v="0"/>
    <n v="26"/>
    <n v="391"/>
  </r>
  <r>
    <x v="1"/>
    <s v="ITA"/>
    <x v="6"/>
    <x v="6"/>
    <n v="456494354"/>
    <n v="1376813649"/>
    <n v="0"/>
    <n v="0"/>
    <n v="0"/>
    <n v="0"/>
    <n v="0"/>
    <n v="0"/>
    <n v="0"/>
    <n v="0"/>
    <n v="0"/>
    <n v="0"/>
    <n v="89"/>
  </r>
  <r>
    <x v="1"/>
    <s v="ITA"/>
    <x v="7"/>
    <x v="7"/>
    <n v="4189277044"/>
    <n v="1248366722"/>
    <n v="1"/>
    <n v="1"/>
    <n v="2"/>
    <n v="0"/>
    <n v="2"/>
    <n v="0"/>
    <n v="0"/>
    <n v="1"/>
    <n v="0"/>
    <n v="3"/>
    <n v="124"/>
  </r>
  <r>
    <x v="1"/>
    <s v="ITA"/>
    <x v="8"/>
    <x v="8"/>
    <n v="4441149315"/>
    <n v="89326992"/>
    <n v="1"/>
    <n v="0"/>
    <n v="1"/>
    <n v="0"/>
    <n v="1"/>
    <n v="1"/>
    <n v="1"/>
    <n v="0"/>
    <n v="0"/>
    <n v="1"/>
    <n v="39"/>
  </r>
  <r>
    <x v="1"/>
    <s v="ITA"/>
    <x v="9"/>
    <x v="9"/>
    <n v="4546679409"/>
    <n v="9190347404"/>
    <n v="79"/>
    <n v="25"/>
    <n v="104"/>
    <n v="127"/>
    <n v="231"/>
    <n v="65"/>
    <n v="68"/>
    <n v="0"/>
    <n v="9"/>
    <n v="240"/>
    <n v="3700"/>
  </r>
  <r>
    <x v="1"/>
    <s v="ITA"/>
    <x v="10"/>
    <x v="10"/>
    <n v="4361675973"/>
    <n v="135188753"/>
    <n v="0"/>
    <n v="0"/>
    <n v="0"/>
    <n v="0"/>
    <n v="0"/>
    <n v="0"/>
    <n v="0"/>
    <n v="0"/>
    <n v="0"/>
    <n v="0"/>
    <n v="21"/>
  </r>
  <r>
    <x v="1"/>
    <s v="ITA"/>
    <x v="11"/>
    <x v="11"/>
    <n v="4155774754"/>
    <n v="1465916051"/>
    <n v="0"/>
    <n v="0"/>
    <n v="0"/>
    <n v="0"/>
    <n v="0"/>
    <n v="0"/>
    <n v="0"/>
    <n v="0"/>
    <n v="0"/>
    <n v="0"/>
    <n v="0"/>
  </r>
  <r>
    <x v="1"/>
    <s v="ITA"/>
    <x v="12"/>
    <x v="12"/>
    <n v="450732745"/>
    <n v="7680687483"/>
    <n v="2"/>
    <n v="0"/>
    <n v="2"/>
    <n v="1"/>
    <n v="3"/>
    <n v="0"/>
    <n v="0"/>
    <n v="0"/>
    <n v="0"/>
    <n v="3"/>
    <n v="141"/>
  </r>
  <r>
    <x v="1"/>
    <s v="ITA"/>
    <x v="13"/>
    <x v="13"/>
    <n v="4112559576"/>
    <n v="1686736689"/>
    <n v="0"/>
    <n v="0"/>
    <n v="0"/>
    <n v="0"/>
    <n v="0"/>
    <n v="0"/>
    <n v="0"/>
    <n v="0"/>
    <n v="0"/>
    <n v="0"/>
    <n v="0"/>
  </r>
  <r>
    <x v="1"/>
    <s v="ITA"/>
    <x v="14"/>
    <x v="14"/>
    <n v="3921531192"/>
    <n v="9110616306"/>
    <n v="0"/>
    <n v="0"/>
    <n v="0"/>
    <n v="0"/>
    <n v="0"/>
    <n v="0"/>
    <n v="0"/>
    <n v="0"/>
    <n v="0"/>
    <n v="0"/>
    <n v="1"/>
  </r>
  <r>
    <x v="1"/>
    <s v="ITA"/>
    <x v="15"/>
    <x v="15"/>
    <n v="3811569725"/>
    <n v="133623567"/>
    <n v="1"/>
    <n v="0"/>
    <n v="1"/>
    <n v="2"/>
    <n v="3"/>
    <n v="3"/>
    <n v="3"/>
    <n v="0"/>
    <n v="0"/>
    <n v="3"/>
    <n v="5"/>
  </r>
  <r>
    <x v="1"/>
    <s v="ITA"/>
    <x v="16"/>
    <x v="16"/>
    <n v="4376923077"/>
    <n v="1125588885"/>
    <n v="2"/>
    <n v="0"/>
    <n v="2"/>
    <n v="0"/>
    <n v="2"/>
    <n v="2"/>
    <n v="2"/>
    <n v="0"/>
    <n v="0"/>
    <n v="2"/>
    <n v="296"/>
  </r>
  <r>
    <x v="1"/>
    <s v="ITA"/>
    <x v="2"/>
    <x v="17"/>
    <n v="4606893511"/>
    <n v="1112123097"/>
    <n v="0"/>
    <n v="0"/>
    <n v="0"/>
    <n v="0"/>
    <n v="0"/>
    <n v="0"/>
    <n v="0"/>
    <n v="0"/>
    <n v="0"/>
    <n v="0"/>
    <n v="3"/>
  </r>
  <r>
    <x v="1"/>
    <s v="ITA"/>
    <x v="17"/>
    <x v="18"/>
    <n v="4310675841"/>
    <n v="1238824698"/>
    <n v="0"/>
    <n v="0"/>
    <n v="0"/>
    <n v="0"/>
    <n v="0"/>
    <n v="0"/>
    <n v="0"/>
    <n v="0"/>
    <n v="0"/>
    <n v="0"/>
    <n v="8"/>
  </r>
  <r>
    <x v="1"/>
    <s v="ITA"/>
    <x v="18"/>
    <x v="19"/>
    <n v="4573750286"/>
    <n v="7320149366"/>
    <n v="0"/>
    <n v="0"/>
    <n v="0"/>
    <n v="0"/>
    <n v="0"/>
    <n v="0"/>
    <n v="0"/>
    <n v="0"/>
    <n v="0"/>
    <n v="0"/>
    <n v="7"/>
  </r>
  <r>
    <x v="1"/>
    <s v="ITA"/>
    <x v="19"/>
    <x v="20"/>
    <n v="4543490485"/>
    <n v="1233845213"/>
    <n v="12"/>
    <n v="7"/>
    <n v="19"/>
    <n v="23"/>
    <n v="42"/>
    <n v="10"/>
    <n v="10"/>
    <n v="0"/>
    <n v="1"/>
    <n v="43"/>
    <n v="3780"/>
  </r>
  <r>
    <x v="2"/>
    <s v="ITA"/>
    <x v="0"/>
    <x v="0"/>
    <n v="4235122196"/>
    <n v="1339843823"/>
    <n v="0"/>
    <n v="0"/>
    <n v="0"/>
    <n v="0"/>
    <n v="0"/>
    <n v="0"/>
    <n v="0"/>
    <n v="0"/>
    <n v="0"/>
    <n v="0"/>
    <n v="13"/>
  </r>
  <r>
    <x v="2"/>
    <s v="ITA"/>
    <x v="1"/>
    <x v="1"/>
    <n v="4063947052"/>
    <n v="1580514834"/>
    <n v="0"/>
    <n v="0"/>
    <n v="0"/>
    <n v="0"/>
    <n v="0"/>
    <n v="0"/>
    <n v="0"/>
    <n v="0"/>
    <n v="0"/>
    <n v="0"/>
    <n v="0"/>
  </r>
  <r>
    <x v="2"/>
    <s v="ITA"/>
    <x v="2"/>
    <x v="2"/>
    <n v="4649933453"/>
    <n v="1135662422"/>
    <n v="1"/>
    <n v="0"/>
    <n v="1"/>
    <n v="0"/>
    <n v="1"/>
    <n v="0"/>
    <n v="0"/>
    <n v="0"/>
    <n v="0"/>
    <n v="1"/>
    <n v="1"/>
  </r>
  <r>
    <x v="2"/>
    <s v="ITA"/>
    <x v="3"/>
    <x v="3"/>
    <n v="3890597598"/>
    <n v="1659440194"/>
    <n v="0"/>
    <n v="0"/>
    <n v="0"/>
    <n v="0"/>
    <n v="0"/>
    <n v="0"/>
    <n v="0"/>
    <n v="0"/>
    <n v="0"/>
    <n v="0"/>
    <n v="3"/>
  </r>
  <r>
    <x v="2"/>
    <s v="ITA"/>
    <x v="4"/>
    <x v="4"/>
    <n v="4083956555"/>
    <n v="1425084984"/>
    <n v="0"/>
    <n v="0"/>
    <n v="0"/>
    <n v="0"/>
    <n v="0"/>
    <n v="0"/>
    <n v="0"/>
    <n v="0"/>
    <n v="0"/>
    <n v="0"/>
    <n v="10"/>
  </r>
  <r>
    <x v="2"/>
    <s v="ITA"/>
    <x v="5"/>
    <x v="5"/>
    <n v="4449436681"/>
    <n v="113417208"/>
    <n v="20"/>
    <n v="3"/>
    <n v="23"/>
    <n v="23"/>
    <n v="46"/>
    <n v="20"/>
    <n v="21"/>
    <n v="0"/>
    <n v="1"/>
    <n v="47"/>
    <n v="577"/>
  </r>
  <r>
    <x v="2"/>
    <s v="ITA"/>
    <x v="6"/>
    <x v="6"/>
    <n v="456494354"/>
    <n v="1376813649"/>
    <n v="0"/>
    <n v="0"/>
    <n v="0"/>
    <n v="0"/>
    <n v="0"/>
    <n v="0"/>
    <n v="0"/>
    <n v="0"/>
    <n v="0"/>
    <n v="0"/>
    <n v="114"/>
  </r>
  <r>
    <x v="2"/>
    <s v="ITA"/>
    <x v="7"/>
    <x v="7"/>
    <n v="4189277044"/>
    <n v="1248366722"/>
    <n v="0"/>
    <n v="0"/>
    <n v="0"/>
    <n v="0"/>
    <n v="0"/>
    <n v="-2"/>
    <n v="0"/>
    <n v="3"/>
    <n v="0"/>
    <n v="3"/>
    <n v="124"/>
  </r>
  <r>
    <x v="2"/>
    <s v="ITA"/>
    <x v="8"/>
    <x v="8"/>
    <n v="4441149315"/>
    <n v="89326992"/>
    <n v="6"/>
    <n v="0"/>
    <n v="6"/>
    <n v="5"/>
    <n v="11"/>
    <n v="10"/>
    <n v="10"/>
    <n v="0"/>
    <n v="0"/>
    <n v="11"/>
    <n v="66"/>
  </r>
  <r>
    <x v="2"/>
    <s v="ITA"/>
    <x v="9"/>
    <x v="9"/>
    <n v="4546679409"/>
    <n v="9190347404"/>
    <n v="79"/>
    <n v="25"/>
    <n v="104"/>
    <n v="145"/>
    <n v="249"/>
    <n v="18"/>
    <n v="18"/>
    <n v="0"/>
    <n v="9"/>
    <n v="258"/>
    <n v="3208"/>
  </r>
  <r>
    <x v="2"/>
    <s v="ITA"/>
    <x v="10"/>
    <x v="10"/>
    <n v="4361675973"/>
    <n v="135188753"/>
    <n v="1"/>
    <n v="0"/>
    <n v="1"/>
    <n v="0"/>
    <n v="1"/>
    <n v="1"/>
    <n v="1"/>
    <n v="0"/>
    <n v="0"/>
    <n v="1"/>
    <n v="28"/>
  </r>
  <r>
    <x v="2"/>
    <s v="ITA"/>
    <x v="11"/>
    <x v="11"/>
    <n v="4155774754"/>
    <n v="1465916051"/>
    <n v="0"/>
    <n v="0"/>
    <n v="0"/>
    <n v="0"/>
    <n v="0"/>
    <n v="0"/>
    <n v="0"/>
    <n v="0"/>
    <n v="0"/>
    <n v="0"/>
    <n v="0"/>
  </r>
  <r>
    <x v="2"/>
    <s v="ITA"/>
    <x v="12"/>
    <x v="12"/>
    <n v="450732745"/>
    <n v="7680687483"/>
    <n v="2"/>
    <n v="0"/>
    <n v="2"/>
    <n v="1"/>
    <n v="3"/>
    <n v="0"/>
    <n v="0"/>
    <n v="0"/>
    <n v="0"/>
    <n v="3"/>
    <n v="156"/>
  </r>
  <r>
    <x v="2"/>
    <s v="ITA"/>
    <x v="13"/>
    <x v="13"/>
    <n v="4112559576"/>
    <n v="1686736689"/>
    <n v="0"/>
    <n v="0"/>
    <n v="0"/>
    <n v="0"/>
    <n v="0"/>
    <n v="0"/>
    <n v="0"/>
    <n v="0"/>
    <n v="0"/>
    <n v="0"/>
    <n v="0"/>
  </r>
  <r>
    <x v="2"/>
    <s v="ITA"/>
    <x v="14"/>
    <x v="14"/>
    <n v="3921531192"/>
    <n v="9110616306"/>
    <n v="0"/>
    <n v="0"/>
    <n v="0"/>
    <n v="0"/>
    <n v="0"/>
    <n v="0"/>
    <n v="0"/>
    <n v="0"/>
    <n v="0"/>
    <n v="0"/>
    <n v="1"/>
  </r>
  <r>
    <x v="2"/>
    <s v="ITA"/>
    <x v="15"/>
    <x v="15"/>
    <n v="3811569725"/>
    <n v="133623567"/>
    <n v="1"/>
    <n v="0"/>
    <n v="1"/>
    <n v="2"/>
    <n v="3"/>
    <n v="0"/>
    <n v="0"/>
    <n v="0"/>
    <n v="0"/>
    <n v="3"/>
    <n v="5"/>
  </r>
  <r>
    <x v="2"/>
    <s v="ITA"/>
    <x v="16"/>
    <x v="16"/>
    <n v="4376923077"/>
    <n v="1125588885"/>
    <n v="2"/>
    <n v="0"/>
    <n v="2"/>
    <n v="0"/>
    <n v="2"/>
    <n v="0"/>
    <n v="0"/>
    <n v="0"/>
    <n v="0"/>
    <n v="2"/>
    <n v="363"/>
  </r>
  <r>
    <x v="2"/>
    <s v="ITA"/>
    <x v="2"/>
    <x v="17"/>
    <n v="4606893511"/>
    <n v="1112123097"/>
    <n v="0"/>
    <n v="0"/>
    <n v="0"/>
    <n v="0"/>
    <n v="0"/>
    <n v="0"/>
    <n v="0"/>
    <n v="0"/>
    <n v="0"/>
    <n v="0"/>
    <n v="3"/>
  </r>
  <r>
    <x v="2"/>
    <s v="ITA"/>
    <x v="17"/>
    <x v="18"/>
    <n v="4310675841"/>
    <n v="1238824698"/>
    <n v="0"/>
    <n v="0"/>
    <n v="0"/>
    <n v="0"/>
    <n v="0"/>
    <n v="0"/>
    <n v="0"/>
    <n v="0"/>
    <n v="0"/>
    <n v="0"/>
    <n v="8"/>
  </r>
  <r>
    <x v="2"/>
    <s v="ITA"/>
    <x v="18"/>
    <x v="19"/>
    <n v="4573750286"/>
    <n v="7320149366"/>
    <n v="0"/>
    <n v="0"/>
    <n v="0"/>
    <n v="0"/>
    <n v="0"/>
    <n v="0"/>
    <n v="0"/>
    <n v="0"/>
    <n v="0"/>
    <n v="0"/>
    <n v="7"/>
  </r>
  <r>
    <x v="2"/>
    <s v="ITA"/>
    <x v="19"/>
    <x v="20"/>
    <n v="4543490485"/>
    <n v="1233845213"/>
    <n v="16"/>
    <n v="8"/>
    <n v="24"/>
    <n v="45"/>
    <n v="69"/>
    <n v="27"/>
    <n v="28"/>
    <n v="0"/>
    <n v="2"/>
    <n v="71"/>
    <n v="4900"/>
  </r>
  <r>
    <x v="3"/>
    <s v="ITA"/>
    <x v="0"/>
    <x v="0"/>
    <n v="4235122196"/>
    <n v="1339843823"/>
    <n v="1"/>
    <n v="0"/>
    <n v="1"/>
    <n v="0"/>
    <n v="1"/>
    <n v="1"/>
    <n v="1"/>
    <n v="0"/>
    <n v="0"/>
    <n v="1"/>
    <n v="33"/>
  </r>
  <r>
    <x v="3"/>
    <s v="ITA"/>
    <x v="1"/>
    <x v="1"/>
    <n v="4063947052"/>
    <n v="1580514834"/>
    <n v="0"/>
    <n v="0"/>
    <n v="0"/>
    <n v="0"/>
    <n v="0"/>
    <n v="0"/>
    <n v="0"/>
    <n v="0"/>
    <n v="0"/>
    <n v="0"/>
    <n v="0"/>
  </r>
  <r>
    <x v="3"/>
    <s v="ITA"/>
    <x v="2"/>
    <x v="2"/>
    <n v="4649933453"/>
    <n v="1135662422"/>
    <n v="1"/>
    <n v="0"/>
    <n v="1"/>
    <n v="0"/>
    <n v="1"/>
    <n v="0"/>
    <n v="0"/>
    <n v="0"/>
    <n v="0"/>
    <n v="1"/>
    <n v="2"/>
  </r>
  <r>
    <x v="3"/>
    <s v="ITA"/>
    <x v="3"/>
    <x v="3"/>
    <n v="3890597598"/>
    <n v="1659440194"/>
    <n v="0"/>
    <n v="0"/>
    <n v="0"/>
    <n v="0"/>
    <n v="0"/>
    <n v="0"/>
    <n v="0"/>
    <n v="0"/>
    <n v="0"/>
    <n v="0"/>
    <n v="14"/>
  </r>
  <r>
    <x v="3"/>
    <s v="ITA"/>
    <x v="4"/>
    <x v="4"/>
    <n v="4083956555"/>
    <n v="1425084984"/>
    <n v="2"/>
    <n v="0"/>
    <n v="2"/>
    <n v="1"/>
    <n v="3"/>
    <n v="3"/>
    <n v="3"/>
    <n v="0"/>
    <n v="0"/>
    <n v="3"/>
    <n v="10"/>
  </r>
  <r>
    <x v="3"/>
    <s v="ITA"/>
    <x v="5"/>
    <x v="5"/>
    <n v="4449436681"/>
    <n v="113417208"/>
    <n v="36"/>
    <n v="6"/>
    <n v="42"/>
    <n v="54"/>
    <n v="96"/>
    <n v="50"/>
    <n v="50"/>
    <n v="0"/>
    <n v="1"/>
    <n v="97"/>
    <n v="1033"/>
  </r>
  <r>
    <x v="3"/>
    <s v="ITA"/>
    <x v="6"/>
    <x v="6"/>
    <n v="456494354"/>
    <n v="1376813649"/>
    <n v="0"/>
    <n v="0"/>
    <n v="0"/>
    <n v="0"/>
    <n v="0"/>
    <n v="0"/>
    <n v="0"/>
    <n v="0"/>
    <n v="0"/>
    <n v="0"/>
    <n v="141"/>
  </r>
  <r>
    <x v="3"/>
    <s v="ITA"/>
    <x v="7"/>
    <x v="7"/>
    <n v="4189277044"/>
    <n v="1248366722"/>
    <n v="0"/>
    <n v="0"/>
    <n v="0"/>
    <n v="0"/>
    <n v="0"/>
    <n v="0"/>
    <n v="0"/>
    <n v="3"/>
    <n v="0"/>
    <n v="3"/>
    <n v="552"/>
  </r>
  <r>
    <x v="3"/>
    <s v="ITA"/>
    <x v="8"/>
    <x v="8"/>
    <n v="4441149315"/>
    <n v="89326992"/>
    <n v="9"/>
    <n v="0"/>
    <n v="9"/>
    <n v="10"/>
    <n v="19"/>
    <n v="8"/>
    <n v="8"/>
    <n v="0"/>
    <n v="0"/>
    <n v="19"/>
    <n v="78"/>
  </r>
  <r>
    <x v="3"/>
    <s v="ITA"/>
    <x v="9"/>
    <x v="9"/>
    <n v="4546679409"/>
    <n v="9190347404"/>
    <n v="172"/>
    <n v="41"/>
    <n v="213"/>
    <n v="136"/>
    <n v="349"/>
    <n v="100"/>
    <n v="145"/>
    <n v="40"/>
    <n v="14"/>
    <n v="403"/>
    <n v="3320"/>
  </r>
  <r>
    <x v="3"/>
    <s v="ITA"/>
    <x v="10"/>
    <x v="10"/>
    <n v="4361675973"/>
    <n v="135188753"/>
    <n v="2"/>
    <n v="1"/>
    <n v="3"/>
    <n v="0"/>
    <n v="3"/>
    <n v="2"/>
    <n v="2"/>
    <n v="0"/>
    <n v="0"/>
    <n v="3"/>
    <n v="46"/>
  </r>
  <r>
    <x v="3"/>
    <s v="ITA"/>
    <x v="11"/>
    <x v="11"/>
    <n v="4155774754"/>
    <n v="1465916051"/>
    <n v="0"/>
    <n v="0"/>
    <n v="0"/>
    <n v="0"/>
    <n v="0"/>
    <n v="0"/>
    <n v="0"/>
    <n v="0"/>
    <n v="0"/>
    <n v="0"/>
    <n v="0"/>
  </r>
  <r>
    <x v="3"/>
    <s v="ITA"/>
    <x v="12"/>
    <x v="12"/>
    <n v="450732745"/>
    <n v="7680687483"/>
    <n v="2"/>
    <n v="0"/>
    <n v="2"/>
    <n v="0"/>
    <n v="2"/>
    <n v="-1"/>
    <n v="-1"/>
    <n v="0"/>
    <n v="0"/>
    <n v="2"/>
    <n v="156"/>
  </r>
  <r>
    <x v="3"/>
    <s v="ITA"/>
    <x v="13"/>
    <x v="13"/>
    <n v="4112559576"/>
    <n v="1686736689"/>
    <n v="1"/>
    <n v="0"/>
    <n v="1"/>
    <n v="0"/>
    <n v="1"/>
    <n v="1"/>
    <n v="1"/>
    <n v="0"/>
    <n v="0"/>
    <n v="1"/>
    <n v="0"/>
  </r>
  <r>
    <x v="3"/>
    <s v="ITA"/>
    <x v="14"/>
    <x v="14"/>
    <n v="3921531192"/>
    <n v="9110616306"/>
    <n v="0"/>
    <n v="0"/>
    <n v="0"/>
    <n v="0"/>
    <n v="0"/>
    <n v="0"/>
    <n v="0"/>
    <n v="0"/>
    <n v="0"/>
    <n v="0"/>
    <n v="1"/>
  </r>
  <r>
    <x v="3"/>
    <s v="ITA"/>
    <x v="15"/>
    <x v="15"/>
    <n v="3811569725"/>
    <n v="133623567"/>
    <n v="1"/>
    <n v="0"/>
    <n v="1"/>
    <n v="1"/>
    <n v="2"/>
    <n v="-1"/>
    <n v="1"/>
    <n v="2"/>
    <n v="0"/>
    <n v="4"/>
    <n v="5"/>
  </r>
  <r>
    <x v="3"/>
    <s v="ITA"/>
    <x v="16"/>
    <x v="16"/>
    <n v="4376923077"/>
    <n v="1125588885"/>
    <n v="2"/>
    <n v="0"/>
    <n v="2"/>
    <n v="0"/>
    <n v="2"/>
    <n v="0"/>
    <n v="0"/>
    <n v="0"/>
    <n v="0"/>
    <n v="2"/>
    <n v="410"/>
  </r>
  <r>
    <x v="3"/>
    <s v="ITA"/>
    <x v="2"/>
    <x v="17"/>
    <n v="4606893511"/>
    <n v="1112123097"/>
    <n v="0"/>
    <n v="0"/>
    <n v="0"/>
    <n v="0"/>
    <n v="0"/>
    <n v="0"/>
    <n v="0"/>
    <n v="0"/>
    <n v="0"/>
    <n v="0"/>
    <n v="32"/>
  </r>
  <r>
    <x v="3"/>
    <s v="ITA"/>
    <x v="17"/>
    <x v="18"/>
    <n v="4310675841"/>
    <n v="1238824698"/>
    <n v="0"/>
    <n v="0"/>
    <n v="0"/>
    <n v="0"/>
    <n v="0"/>
    <n v="0"/>
    <n v="0"/>
    <n v="0"/>
    <n v="0"/>
    <n v="0"/>
    <n v="8"/>
  </r>
  <r>
    <x v="3"/>
    <s v="ITA"/>
    <x v="18"/>
    <x v="19"/>
    <n v="4573750286"/>
    <n v="7320149366"/>
    <n v="0"/>
    <n v="0"/>
    <n v="0"/>
    <n v="0"/>
    <n v="0"/>
    <n v="0"/>
    <n v="0"/>
    <n v="0"/>
    <n v="0"/>
    <n v="0"/>
    <n v="9"/>
  </r>
  <r>
    <x v="3"/>
    <s v="ITA"/>
    <x v="19"/>
    <x v="20"/>
    <n v="4543490485"/>
    <n v="1233845213"/>
    <n v="19"/>
    <n v="8"/>
    <n v="27"/>
    <n v="82"/>
    <n v="109"/>
    <n v="40"/>
    <n v="40"/>
    <n v="0"/>
    <n v="2"/>
    <n v="111"/>
    <n v="6164"/>
  </r>
  <r>
    <x v="4"/>
    <s v="ITA"/>
    <x v="0"/>
    <x v="0"/>
    <n v="4235122196"/>
    <n v="1339843823"/>
    <n v="1"/>
    <n v="0"/>
    <n v="1"/>
    <n v="0"/>
    <n v="1"/>
    <n v="0"/>
    <n v="0"/>
    <n v="0"/>
    <n v="0"/>
    <n v="1"/>
    <n v="33"/>
  </r>
  <r>
    <x v="4"/>
    <s v="ITA"/>
    <x v="1"/>
    <x v="1"/>
    <n v="4063947052"/>
    <n v="1580514834"/>
    <n v="0"/>
    <n v="0"/>
    <n v="0"/>
    <n v="0"/>
    <n v="0"/>
    <n v="0"/>
    <n v="0"/>
    <n v="0"/>
    <n v="0"/>
    <n v="0"/>
    <n v="0"/>
  </r>
  <r>
    <x v="4"/>
    <s v="ITA"/>
    <x v="2"/>
    <x v="2"/>
    <n v="4649933453"/>
    <n v="1135662422"/>
    <n v="1"/>
    <n v="0"/>
    <n v="1"/>
    <n v="0"/>
    <n v="1"/>
    <n v="0"/>
    <n v="0"/>
    <n v="0"/>
    <n v="0"/>
    <n v="1"/>
    <n v="2"/>
  </r>
  <r>
    <x v="4"/>
    <s v="ITA"/>
    <x v="3"/>
    <x v="3"/>
    <n v="3890597598"/>
    <n v="1659440194"/>
    <n v="0"/>
    <n v="0"/>
    <n v="0"/>
    <n v="1"/>
    <n v="1"/>
    <n v="1"/>
    <n v="1"/>
    <n v="0"/>
    <n v="0"/>
    <n v="1"/>
    <n v="21"/>
  </r>
  <r>
    <x v="4"/>
    <s v="ITA"/>
    <x v="4"/>
    <x v="4"/>
    <n v="4083956555"/>
    <n v="1425084984"/>
    <n v="2"/>
    <n v="0"/>
    <n v="2"/>
    <n v="2"/>
    <n v="4"/>
    <n v="1"/>
    <n v="1"/>
    <n v="0"/>
    <n v="0"/>
    <n v="4"/>
    <n v="213"/>
  </r>
  <r>
    <x v="4"/>
    <s v="ITA"/>
    <x v="5"/>
    <x v="5"/>
    <n v="4449436681"/>
    <n v="113417208"/>
    <n v="56"/>
    <n v="6"/>
    <n v="62"/>
    <n v="81"/>
    <n v="143"/>
    <n v="47"/>
    <n v="48"/>
    <n v="0"/>
    <n v="2"/>
    <n v="145"/>
    <n v="1277"/>
  </r>
  <r>
    <x v="4"/>
    <s v="ITA"/>
    <x v="6"/>
    <x v="6"/>
    <n v="456494354"/>
    <n v="1376813649"/>
    <n v="0"/>
    <n v="0"/>
    <n v="0"/>
    <n v="0"/>
    <n v="0"/>
    <n v="0"/>
    <n v="0"/>
    <n v="0"/>
    <n v="0"/>
    <n v="0"/>
    <n v="169"/>
  </r>
  <r>
    <x v="4"/>
    <s v="ITA"/>
    <x v="7"/>
    <x v="7"/>
    <n v="4189277044"/>
    <n v="1248366722"/>
    <n v="0"/>
    <n v="0"/>
    <n v="0"/>
    <n v="0"/>
    <n v="0"/>
    <n v="0"/>
    <n v="0"/>
    <n v="3"/>
    <n v="0"/>
    <n v="3"/>
    <n v="611"/>
  </r>
  <r>
    <x v="4"/>
    <s v="ITA"/>
    <x v="8"/>
    <x v="8"/>
    <n v="4441149315"/>
    <n v="89326992"/>
    <n v="9"/>
    <n v="0"/>
    <n v="9"/>
    <n v="10"/>
    <n v="19"/>
    <n v="0"/>
    <n v="0"/>
    <n v="0"/>
    <n v="0"/>
    <n v="19"/>
    <n v="112"/>
  </r>
  <r>
    <x v="4"/>
    <s v="ITA"/>
    <x v="9"/>
    <x v="9"/>
    <n v="4546679409"/>
    <n v="9190347404"/>
    <n v="235"/>
    <n v="47"/>
    <n v="282"/>
    <n v="192"/>
    <n v="474"/>
    <n v="125"/>
    <n v="128"/>
    <n v="40"/>
    <n v="17"/>
    <n v="531"/>
    <n v="4835"/>
  </r>
  <r>
    <x v="4"/>
    <s v="ITA"/>
    <x v="10"/>
    <x v="10"/>
    <n v="4361675973"/>
    <n v="135188753"/>
    <n v="3"/>
    <n v="2"/>
    <n v="5"/>
    <n v="1"/>
    <n v="6"/>
    <n v="3"/>
    <n v="3"/>
    <n v="0"/>
    <n v="0"/>
    <n v="6"/>
    <n v="47"/>
  </r>
  <r>
    <x v="4"/>
    <s v="ITA"/>
    <x v="11"/>
    <x v="11"/>
    <n v="4155774754"/>
    <n v="1465916051"/>
    <n v="0"/>
    <n v="0"/>
    <n v="0"/>
    <n v="0"/>
    <n v="0"/>
    <n v="0"/>
    <n v="0"/>
    <n v="0"/>
    <n v="0"/>
    <n v="0"/>
    <n v="0"/>
  </r>
  <r>
    <x v="4"/>
    <s v="ITA"/>
    <x v="12"/>
    <x v="12"/>
    <n v="450732745"/>
    <n v="7680687483"/>
    <n v="7"/>
    <n v="0"/>
    <n v="7"/>
    <n v="4"/>
    <n v="11"/>
    <n v="9"/>
    <n v="9"/>
    <n v="0"/>
    <n v="0"/>
    <n v="11"/>
    <n v="227"/>
  </r>
  <r>
    <x v="4"/>
    <s v="ITA"/>
    <x v="13"/>
    <x v="13"/>
    <n v="4112559576"/>
    <n v="1686736689"/>
    <n v="1"/>
    <n v="0"/>
    <n v="1"/>
    <n v="2"/>
    <n v="3"/>
    <n v="2"/>
    <n v="2"/>
    <n v="0"/>
    <n v="0"/>
    <n v="3"/>
    <n v="242"/>
  </r>
  <r>
    <x v="4"/>
    <s v="ITA"/>
    <x v="14"/>
    <x v="14"/>
    <n v="3921531192"/>
    <n v="9110616306"/>
    <n v="0"/>
    <n v="0"/>
    <n v="0"/>
    <n v="0"/>
    <n v="0"/>
    <n v="0"/>
    <n v="0"/>
    <n v="0"/>
    <n v="0"/>
    <n v="0"/>
    <n v="1"/>
  </r>
  <r>
    <x v="4"/>
    <s v="ITA"/>
    <x v="15"/>
    <x v="15"/>
    <n v="3811569725"/>
    <n v="133623567"/>
    <n v="1"/>
    <n v="0"/>
    <n v="1"/>
    <n v="1"/>
    <n v="2"/>
    <n v="0"/>
    <n v="0"/>
    <n v="2"/>
    <n v="0"/>
    <n v="4"/>
    <n v="5"/>
  </r>
  <r>
    <x v="4"/>
    <s v="ITA"/>
    <x v="16"/>
    <x v="16"/>
    <n v="4376923077"/>
    <n v="1125588885"/>
    <n v="5"/>
    <n v="0"/>
    <n v="5"/>
    <n v="2"/>
    <n v="7"/>
    <n v="5"/>
    <n v="6"/>
    <n v="1"/>
    <n v="0"/>
    <n v="8"/>
    <n v="437"/>
  </r>
  <r>
    <x v="4"/>
    <s v="ITA"/>
    <x v="2"/>
    <x v="17"/>
    <n v="4606893511"/>
    <n v="1112123097"/>
    <n v="0"/>
    <n v="0"/>
    <n v="0"/>
    <n v="0"/>
    <n v="0"/>
    <n v="0"/>
    <n v="0"/>
    <n v="0"/>
    <n v="0"/>
    <n v="0"/>
    <n v="32"/>
  </r>
  <r>
    <x v="4"/>
    <s v="ITA"/>
    <x v="17"/>
    <x v="18"/>
    <n v="4310675841"/>
    <n v="1238824698"/>
    <n v="0"/>
    <n v="0"/>
    <n v="0"/>
    <n v="0"/>
    <n v="0"/>
    <n v="0"/>
    <n v="0"/>
    <n v="0"/>
    <n v="0"/>
    <n v="0"/>
    <n v="8"/>
  </r>
  <r>
    <x v="4"/>
    <s v="ITA"/>
    <x v="18"/>
    <x v="19"/>
    <n v="4573750286"/>
    <n v="7320149366"/>
    <n v="0"/>
    <n v="0"/>
    <n v="0"/>
    <n v="0"/>
    <n v="0"/>
    <n v="0"/>
    <n v="0"/>
    <n v="0"/>
    <n v="0"/>
    <n v="0"/>
    <n v="9"/>
  </r>
  <r>
    <x v="4"/>
    <s v="ITA"/>
    <x v="19"/>
    <x v="20"/>
    <n v="4543490485"/>
    <n v="1233845213"/>
    <n v="24"/>
    <n v="9"/>
    <n v="33"/>
    <n v="116"/>
    <n v="149"/>
    <n v="40"/>
    <n v="40"/>
    <n v="0"/>
    <n v="2"/>
    <n v="151"/>
    <n v="7414"/>
  </r>
  <r>
    <x v="5"/>
    <s v="ITA"/>
    <x v="0"/>
    <x v="0"/>
    <n v="4235122196"/>
    <n v="1339843823"/>
    <n v="2"/>
    <n v="0"/>
    <n v="2"/>
    <n v="0"/>
    <n v="2"/>
    <n v="1"/>
    <n v="1"/>
    <n v="0"/>
    <n v="0"/>
    <n v="2"/>
    <n v="43"/>
  </r>
  <r>
    <x v="5"/>
    <s v="ITA"/>
    <x v="1"/>
    <x v="1"/>
    <n v="4063947052"/>
    <n v="1580514834"/>
    <n v="0"/>
    <n v="0"/>
    <n v="0"/>
    <n v="0"/>
    <n v="0"/>
    <n v="0"/>
    <n v="0"/>
    <n v="0"/>
    <n v="0"/>
    <n v="0"/>
    <n v="32"/>
  </r>
  <r>
    <x v="5"/>
    <s v="ITA"/>
    <x v="2"/>
    <x v="2"/>
    <n v="4649933453"/>
    <n v="1135662422"/>
    <n v="1"/>
    <n v="0"/>
    <n v="1"/>
    <n v="0"/>
    <n v="1"/>
    <n v="0"/>
    <n v="0"/>
    <n v="0"/>
    <n v="0"/>
    <n v="1"/>
    <n v="16"/>
  </r>
  <r>
    <x v="5"/>
    <s v="ITA"/>
    <x v="3"/>
    <x v="3"/>
    <n v="3890597598"/>
    <n v="1659440194"/>
    <n v="0"/>
    <n v="0"/>
    <n v="0"/>
    <n v="1"/>
    <n v="1"/>
    <n v="0"/>
    <n v="0"/>
    <n v="0"/>
    <n v="0"/>
    <n v="1"/>
    <n v="27"/>
  </r>
  <r>
    <x v="5"/>
    <s v="ITA"/>
    <x v="4"/>
    <x v="4"/>
    <n v="4083956555"/>
    <n v="1425084984"/>
    <n v="3"/>
    <n v="0"/>
    <n v="3"/>
    <n v="10"/>
    <n v="13"/>
    <n v="9"/>
    <n v="9"/>
    <n v="0"/>
    <n v="0"/>
    <n v="13"/>
    <n v="373"/>
  </r>
  <r>
    <x v="5"/>
    <s v="ITA"/>
    <x v="5"/>
    <x v="5"/>
    <n v="4449436681"/>
    <n v="113417208"/>
    <n v="86"/>
    <n v="11"/>
    <n v="97"/>
    <n v="116"/>
    <n v="213"/>
    <n v="70"/>
    <n v="72"/>
    <n v="0"/>
    <n v="4"/>
    <n v="217"/>
    <n v="1550"/>
  </r>
  <r>
    <x v="5"/>
    <s v="ITA"/>
    <x v="6"/>
    <x v="6"/>
    <n v="456494354"/>
    <n v="1376813649"/>
    <n v="0"/>
    <n v="0"/>
    <n v="0"/>
    <n v="0"/>
    <n v="0"/>
    <n v="0"/>
    <n v="0"/>
    <n v="0"/>
    <n v="0"/>
    <n v="0"/>
    <n v="189"/>
  </r>
  <r>
    <x v="5"/>
    <s v="ITA"/>
    <x v="7"/>
    <x v="7"/>
    <n v="4189277044"/>
    <n v="1248366722"/>
    <n v="3"/>
    <n v="0"/>
    <n v="3"/>
    <n v="0"/>
    <n v="3"/>
    <n v="3"/>
    <n v="3"/>
    <n v="3"/>
    <n v="0"/>
    <n v="6"/>
    <n v="679"/>
  </r>
  <r>
    <x v="5"/>
    <s v="ITA"/>
    <x v="8"/>
    <x v="8"/>
    <n v="4441149315"/>
    <n v="89326992"/>
    <n v="4"/>
    <n v="1"/>
    <n v="5"/>
    <n v="33"/>
    <n v="38"/>
    <n v="19"/>
    <n v="23"/>
    <n v="4"/>
    <n v="0"/>
    <n v="42"/>
    <n v="121"/>
  </r>
  <r>
    <x v="5"/>
    <s v="ITA"/>
    <x v="9"/>
    <x v="9"/>
    <n v="4546679409"/>
    <n v="9190347404"/>
    <n v="256"/>
    <n v="80"/>
    <n v="336"/>
    <n v="216"/>
    <n v="552"/>
    <n v="78"/>
    <n v="84"/>
    <n v="40"/>
    <n v="23"/>
    <n v="615"/>
    <n v="5723"/>
  </r>
  <r>
    <x v="5"/>
    <s v="ITA"/>
    <x v="10"/>
    <x v="10"/>
    <n v="4361675973"/>
    <n v="135188753"/>
    <n v="6"/>
    <n v="2"/>
    <n v="8"/>
    <n v="3"/>
    <n v="11"/>
    <n v="5"/>
    <n v="5"/>
    <n v="0"/>
    <n v="0"/>
    <n v="11"/>
    <n v="68"/>
  </r>
  <r>
    <x v="5"/>
    <s v="ITA"/>
    <x v="11"/>
    <x v="11"/>
    <n v="4155774754"/>
    <n v="1465916051"/>
    <n v="0"/>
    <n v="0"/>
    <n v="0"/>
    <n v="0"/>
    <n v="0"/>
    <n v="0"/>
    <n v="0"/>
    <n v="0"/>
    <n v="0"/>
    <n v="0"/>
    <n v="0"/>
  </r>
  <r>
    <x v="5"/>
    <s v="ITA"/>
    <x v="12"/>
    <x v="12"/>
    <n v="450732745"/>
    <n v="7680687483"/>
    <n v="7"/>
    <n v="0"/>
    <n v="7"/>
    <n v="4"/>
    <n v="11"/>
    <n v="0"/>
    <n v="0"/>
    <n v="0"/>
    <n v="0"/>
    <n v="11"/>
    <n v="308"/>
  </r>
  <r>
    <x v="5"/>
    <s v="ITA"/>
    <x v="13"/>
    <x v="13"/>
    <n v="4112559576"/>
    <n v="1686736689"/>
    <n v="1"/>
    <n v="0"/>
    <n v="1"/>
    <n v="2"/>
    <n v="3"/>
    <n v="0"/>
    <n v="0"/>
    <n v="0"/>
    <n v="0"/>
    <n v="3"/>
    <n v="252"/>
  </r>
  <r>
    <x v="5"/>
    <s v="ITA"/>
    <x v="14"/>
    <x v="14"/>
    <n v="3921531192"/>
    <n v="9110616306"/>
    <n v="0"/>
    <n v="0"/>
    <n v="0"/>
    <n v="0"/>
    <n v="0"/>
    <n v="0"/>
    <n v="0"/>
    <n v="0"/>
    <n v="0"/>
    <n v="0"/>
    <n v="1"/>
  </r>
  <r>
    <x v="5"/>
    <s v="ITA"/>
    <x v="15"/>
    <x v="15"/>
    <n v="3811569725"/>
    <n v="133623567"/>
    <n v="1"/>
    <n v="0"/>
    <n v="1"/>
    <n v="1"/>
    <n v="2"/>
    <n v="0"/>
    <n v="0"/>
    <n v="2"/>
    <n v="0"/>
    <n v="4"/>
    <n v="6"/>
  </r>
  <r>
    <x v="5"/>
    <s v="ITA"/>
    <x v="16"/>
    <x v="16"/>
    <n v="4376923077"/>
    <n v="1125588885"/>
    <n v="7"/>
    <n v="0"/>
    <n v="7"/>
    <n v="3"/>
    <n v="10"/>
    <n v="3"/>
    <n v="3"/>
    <n v="1"/>
    <n v="0"/>
    <n v="11"/>
    <n v="531"/>
  </r>
  <r>
    <x v="5"/>
    <s v="ITA"/>
    <x v="2"/>
    <x v="17"/>
    <n v="4606893511"/>
    <n v="1112123097"/>
    <n v="0"/>
    <n v="0"/>
    <n v="0"/>
    <n v="0"/>
    <n v="0"/>
    <n v="0"/>
    <n v="0"/>
    <n v="0"/>
    <n v="0"/>
    <n v="0"/>
    <n v="43"/>
  </r>
  <r>
    <x v="5"/>
    <s v="ITA"/>
    <x v="17"/>
    <x v="18"/>
    <n v="4310675841"/>
    <n v="1238824698"/>
    <n v="0"/>
    <n v="0"/>
    <n v="0"/>
    <n v="0"/>
    <n v="0"/>
    <n v="0"/>
    <n v="0"/>
    <n v="0"/>
    <n v="0"/>
    <n v="0"/>
    <n v="31"/>
  </r>
  <r>
    <x v="5"/>
    <s v="ITA"/>
    <x v="18"/>
    <x v="19"/>
    <n v="4573750286"/>
    <n v="7320149366"/>
    <n v="0"/>
    <n v="0"/>
    <n v="0"/>
    <n v="0"/>
    <n v="0"/>
    <n v="0"/>
    <n v="0"/>
    <n v="0"/>
    <n v="0"/>
    <n v="0"/>
    <n v="9"/>
  </r>
  <r>
    <x v="5"/>
    <s v="ITA"/>
    <x v="19"/>
    <x v="20"/>
    <n v="4543490485"/>
    <n v="1233845213"/>
    <n v="24"/>
    <n v="11"/>
    <n v="35"/>
    <n v="154"/>
    <n v="189"/>
    <n v="40"/>
    <n v="40"/>
    <n v="0"/>
    <n v="2"/>
    <n v="191"/>
    <n v="8659"/>
  </r>
  <r>
    <x v="6"/>
    <s v="ITA"/>
    <x v="0"/>
    <x v="0"/>
    <n v="4235122196"/>
    <n v="1339843823"/>
    <n v="3"/>
    <n v="0"/>
    <n v="3"/>
    <n v="2"/>
    <n v="5"/>
    <n v="3"/>
    <n v="3"/>
    <n v="0"/>
    <n v="0"/>
    <n v="5"/>
    <n v="52"/>
  </r>
  <r>
    <x v="6"/>
    <s v="ITA"/>
    <x v="1"/>
    <x v="1"/>
    <n v="4063947052"/>
    <n v="1580514834"/>
    <n v="0"/>
    <n v="0"/>
    <n v="0"/>
    <n v="0"/>
    <n v="0"/>
    <n v="0"/>
    <n v="0"/>
    <n v="0"/>
    <n v="0"/>
    <n v="0"/>
    <n v="39"/>
  </r>
  <r>
    <x v="6"/>
    <s v="ITA"/>
    <x v="2"/>
    <x v="2"/>
    <n v="4649933453"/>
    <n v="1135662422"/>
    <n v="1"/>
    <n v="0"/>
    <n v="1"/>
    <n v="0"/>
    <n v="1"/>
    <n v="0"/>
    <n v="0"/>
    <n v="0"/>
    <n v="0"/>
    <n v="1"/>
    <n v="20"/>
  </r>
  <r>
    <x v="6"/>
    <s v="ITA"/>
    <x v="3"/>
    <x v="3"/>
    <n v="3890597598"/>
    <n v="1659440194"/>
    <n v="0"/>
    <n v="0"/>
    <n v="0"/>
    <n v="1"/>
    <n v="1"/>
    <n v="0"/>
    <n v="0"/>
    <n v="0"/>
    <n v="0"/>
    <n v="1"/>
    <n v="35"/>
  </r>
  <r>
    <x v="6"/>
    <s v="ITA"/>
    <x v="4"/>
    <x v="4"/>
    <n v="4083956555"/>
    <n v="1425084984"/>
    <n v="4"/>
    <n v="0"/>
    <n v="4"/>
    <n v="13"/>
    <n v="17"/>
    <n v="4"/>
    <n v="4"/>
    <n v="0"/>
    <n v="0"/>
    <n v="17"/>
    <n v="373"/>
  </r>
  <r>
    <x v="6"/>
    <s v="ITA"/>
    <x v="5"/>
    <x v="5"/>
    <n v="4449436681"/>
    <n v="113417208"/>
    <n v="127"/>
    <n v="13"/>
    <n v="140"/>
    <n v="137"/>
    <n v="277"/>
    <n v="64"/>
    <n v="68"/>
    <n v="0"/>
    <n v="8"/>
    <n v="285"/>
    <n v="1795"/>
  </r>
  <r>
    <x v="6"/>
    <s v="ITA"/>
    <x v="6"/>
    <x v="6"/>
    <n v="456494354"/>
    <n v="1376813649"/>
    <n v="0"/>
    <n v="0"/>
    <n v="0"/>
    <n v="6"/>
    <n v="6"/>
    <n v="6"/>
    <n v="6"/>
    <n v="0"/>
    <n v="0"/>
    <n v="6"/>
    <n v="243"/>
  </r>
  <r>
    <x v="6"/>
    <s v="ITA"/>
    <x v="7"/>
    <x v="7"/>
    <n v="4189277044"/>
    <n v="1248366722"/>
    <n v="3"/>
    <n v="0"/>
    <n v="3"/>
    <n v="0"/>
    <n v="3"/>
    <n v="0"/>
    <n v="0"/>
    <n v="3"/>
    <n v="0"/>
    <n v="6"/>
    <n v="724"/>
  </r>
  <r>
    <x v="6"/>
    <s v="ITA"/>
    <x v="8"/>
    <x v="8"/>
    <n v="4441149315"/>
    <n v="89326992"/>
    <n v="12"/>
    <n v="1"/>
    <n v="13"/>
    <n v="8"/>
    <n v="21"/>
    <n v="-17"/>
    <n v="-17"/>
    <n v="4"/>
    <n v="0"/>
    <n v="25"/>
    <n v="121"/>
  </r>
  <r>
    <x v="6"/>
    <s v="ITA"/>
    <x v="9"/>
    <x v="9"/>
    <n v="4546679409"/>
    <n v="9190347404"/>
    <n v="406"/>
    <n v="106"/>
    <n v="512"/>
    <n v="375"/>
    <n v="887"/>
    <n v="335"/>
    <n v="369"/>
    <n v="73"/>
    <n v="24"/>
    <n v="984"/>
    <n v="6879"/>
  </r>
  <r>
    <x v="6"/>
    <s v="ITA"/>
    <x v="10"/>
    <x v="10"/>
    <n v="4361675973"/>
    <n v="135188753"/>
    <n v="12"/>
    <n v="5"/>
    <n v="17"/>
    <n v="8"/>
    <n v="25"/>
    <n v="14"/>
    <n v="14"/>
    <n v="0"/>
    <n v="0"/>
    <n v="25"/>
    <n v="101"/>
  </r>
  <r>
    <x v="6"/>
    <s v="ITA"/>
    <x v="11"/>
    <x v="11"/>
    <n v="4155774754"/>
    <n v="1465916051"/>
    <n v="0"/>
    <n v="0"/>
    <n v="0"/>
    <n v="0"/>
    <n v="0"/>
    <n v="0"/>
    <n v="0"/>
    <n v="0"/>
    <n v="0"/>
    <n v="0"/>
    <n v="6"/>
  </r>
  <r>
    <x v="6"/>
    <s v="ITA"/>
    <x v="12"/>
    <x v="12"/>
    <n v="450732745"/>
    <n v="7680687483"/>
    <n v="11"/>
    <n v="2"/>
    <n v="13"/>
    <n v="36"/>
    <n v="49"/>
    <n v="38"/>
    <n v="38"/>
    <n v="0"/>
    <n v="0"/>
    <n v="49"/>
    <n v="362"/>
  </r>
  <r>
    <x v="6"/>
    <s v="ITA"/>
    <x v="13"/>
    <x v="13"/>
    <n v="4112559576"/>
    <n v="1686736689"/>
    <n v="1"/>
    <n v="0"/>
    <n v="1"/>
    <n v="2"/>
    <n v="3"/>
    <n v="0"/>
    <n v="0"/>
    <n v="0"/>
    <n v="0"/>
    <n v="3"/>
    <n v="262"/>
  </r>
  <r>
    <x v="6"/>
    <s v="ITA"/>
    <x v="14"/>
    <x v="14"/>
    <n v="3921531192"/>
    <n v="9110616306"/>
    <n v="0"/>
    <n v="0"/>
    <n v="0"/>
    <n v="0"/>
    <n v="0"/>
    <n v="0"/>
    <n v="0"/>
    <n v="0"/>
    <n v="0"/>
    <n v="0"/>
    <n v="29"/>
  </r>
  <r>
    <x v="6"/>
    <s v="ITA"/>
    <x v="15"/>
    <x v="15"/>
    <n v="3811569725"/>
    <n v="133623567"/>
    <n v="1"/>
    <n v="0"/>
    <n v="1"/>
    <n v="6"/>
    <n v="7"/>
    <n v="5"/>
    <n v="5"/>
    <n v="2"/>
    <n v="0"/>
    <n v="9"/>
    <n v="291"/>
  </r>
  <r>
    <x v="6"/>
    <s v="ITA"/>
    <x v="16"/>
    <x v="16"/>
    <n v="4376923077"/>
    <n v="1125588885"/>
    <n v="7"/>
    <n v="0"/>
    <n v="7"/>
    <n v="5"/>
    <n v="12"/>
    <n v="2"/>
    <n v="2"/>
    <n v="1"/>
    <n v="0"/>
    <n v="13"/>
    <n v="572"/>
  </r>
  <r>
    <x v="6"/>
    <s v="ITA"/>
    <x v="2"/>
    <x v="17"/>
    <n v="4606893511"/>
    <n v="1112123097"/>
    <n v="0"/>
    <n v="0"/>
    <n v="0"/>
    <n v="0"/>
    <n v="0"/>
    <n v="0"/>
    <n v="0"/>
    <n v="0"/>
    <n v="0"/>
    <n v="0"/>
    <n v="122"/>
  </r>
  <r>
    <x v="6"/>
    <s v="ITA"/>
    <x v="17"/>
    <x v="18"/>
    <n v="4310675841"/>
    <n v="1238824698"/>
    <n v="0"/>
    <n v="0"/>
    <n v="0"/>
    <n v="2"/>
    <n v="2"/>
    <n v="2"/>
    <n v="2"/>
    <n v="0"/>
    <n v="0"/>
    <n v="2"/>
    <n v="35"/>
  </r>
  <r>
    <x v="6"/>
    <s v="ITA"/>
    <x v="18"/>
    <x v="19"/>
    <n v="4573750286"/>
    <n v="7320149366"/>
    <n v="0"/>
    <n v="0"/>
    <n v="0"/>
    <n v="0"/>
    <n v="0"/>
    <n v="0"/>
    <n v="0"/>
    <n v="0"/>
    <n v="0"/>
    <n v="0"/>
    <n v="10"/>
  </r>
  <r>
    <x v="6"/>
    <s v="ITA"/>
    <x v="19"/>
    <x v="20"/>
    <n v="4543490485"/>
    <n v="1233845213"/>
    <n v="51"/>
    <n v="13"/>
    <n v="64"/>
    <n v="197"/>
    <n v="261"/>
    <n v="72"/>
    <n v="72"/>
    <n v="0"/>
    <n v="2"/>
    <n v="263"/>
    <n v="9056"/>
  </r>
  <r>
    <x v="7"/>
    <s v="ITA"/>
    <x v="0"/>
    <x v="0"/>
    <n v="4235122196"/>
    <n v="1339843823"/>
    <n v="3"/>
    <n v="0"/>
    <n v="3"/>
    <n v="2"/>
    <n v="5"/>
    <n v="0"/>
    <n v="0"/>
    <n v="0"/>
    <n v="0"/>
    <n v="5"/>
    <n v="52"/>
  </r>
  <r>
    <x v="7"/>
    <s v="ITA"/>
    <x v="1"/>
    <x v="1"/>
    <n v="4063947052"/>
    <n v="1580514834"/>
    <n v="0"/>
    <n v="0"/>
    <n v="0"/>
    <n v="0"/>
    <n v="0"/>
    <n v="0"/>
    <n v="0"/>
    <n v="0"/>
    <n v="0"/>
    <n v="0"/>
    <n v="39"/>
  </r>
  <r>
    <x v="7"/>
    <s v="ITA"/>
    <x v="2"/>
    <x v="2"/>
    <n v="4649933453"/>
    <n v="1135662422"/>
    <n v="1"/>
    <n v="0"/>
    <n v="1"/>
    <n v="0"/>
    <n v="1"/>
    <n v="0"/>
    <n v="0"/>
    <n v="0"/>
    <n v="0"/>
    <n v="1"/>
    <n v="20"/>
  </r>
  <r>
    <x v="7"/>
    <s v="ITA"/>
    <x v="3"/>
    <x v="3"/>
    <n v="3890597598"/>
    <n v="1659440194"/>
    <n v="0"/>
    <n v="0"/>
    <n v="0"/>
    <n v="1"/>
    <n v="1"/>
    <n v="0"/>
    <n v="0"/>
    <n v="0"/>
    <n v="0"/>
    <n v="1"/>
    <n v="39"/>
  </r>
  <r>
    <x v="7"/>
    <s v="ITA"/>
    <x v="4"/>
    <x v="4"/>
    <n v="4083956555"/>
    <n v="1425084984"/>
    <n v="4"/>
    <n v="0"/>
    <n v="4"/>
    <n v="13"/>
    <n v="17"/>
    <n v="0"/>
    <n v="0"/>
    <n v="0"/>
    <n v="0"/>
    <n v="17"/>
    <n v="373"/>
  </r>
  <r>
    <x v="7"/>
    <s v="ITA"/>
    <x v="5"/>
    <x v="5"/>
    <n v="4449436681"/>
    <n v="113417208"/>
    <n v="148"/>
    <n v="16"/>
    <n v="164"/>
    <n v="160"/>
    <n v="324"/>
    <n v="47"/>
    <n v="50"/>
    <n v="0"/>
    <n v="11"/>
    <n v="335"/>
    <n v="1973"/>
  </r>
  <r>
    <x v="7"/>
    <s v="ITA"/>
    <x v="6"/>
    <x v="6"/>
    <n v="456494354"/>
    <n v="1376813649"/>
    <n v="0"/>
    <n v="0"/>
    <n v="0"/>
    <n v="9"/>
    <n v="9"/>
    <n v="3"/>
    <n v="3"/>
    <n v="0"/>
    <n v="0"/>
    <n v="9"/>
    <n v="269"/>
  </r>
  <r>
    <x v="7"/>
    <s v="ITA"/>
    <x v="7"/>
    <x v="7"/>
    <n v="4189277044"/>
    <n v="1248366722"/>
    <n v="3"/>
    <n v="0"/>
    <n v="3"/>
    <n v="1"/>
    <n v="4"/>
    <n v="1"/>
    <n v="1"/>
    <n v="3"/>
    <n v="0"/>
    <n v="7"/>
    <n v="773"/>
  </r>
  <r>
    <x v="7"/>
    <s v="ITA"/>
    <x v="8"/>
    <x v="8"/>
    <n v="4441149315"/>
    <n v="89326992"/>
    <n v="12"/>
    <n v="1"/>
    <n v="13"/>
    <n v="5"/>
    <n v="18"/>
    <n v="-3"/>
    <n v="-3"/>
    <n v="4"/>
    <n v="0"/>
    <n v="22"/>
    <n v="121"/>
  </r>
  <r>
    <x v="7"/>
    <s v="ITA"/>
    <x v="9"/>
    <x v="9"/>
    <n v="4546679409"/>
    <n v="9190347404"/>
    <n v="478"/>
    <n v="127"/>
    <n v="605"/>
    <n v="472"/>
    <n v="1077"/>
    <n v="190"/>
    <n v="270"/>
    <n v="139"/>
    <n v="38"/>
    <n v="1254"/>
    <n v="7925"/>
  </r>
  <r>
    <x v="7"/>
    <s v="ITA"/>
    <x v="10"/>
    <x v="10"/>
    <n v="4361675973"/>
    <n v="135188753"/>
    <n v="17"/>
    <n v="6"/>
    <n v="23"/>
    <n v="11"/>
    <n v="34"/>
    <n v="9"/>
    <n v="10"/>
    <n v="0"/>
    <n v="1"/>
    <n v="35"/>
    <n v="137"/>
  </r>
  <r>
    <x v="7"/>
    <s v="ITA"/>
    <x v="11"/>
    <x v="11"/>
    <n v="4155774754"/>
    <n v="1465916051"/>
    <n v="0"/>
    <n v="0"/>
    <n v="0"/>
    <n v="0"/>
    <n v="0"/>
    <n v="0"/>
    <n v="0"/>
    <n v="0"/>
    <n v="0"/>
    <n v="0"/>
    <n v="13"/>
  </r>
  <r>
    <x v="7"/>
    <s v="ITA"/>
    <x v="12"/>
    <x v="12"/>
    <n v="450732745"/>
    <n v="7680687483"/>
    <n v="12"/>
    <n v="2"/>
    <n v="14"/>
    <n v="37"/>
    <n v="51"/>
    <n v="2"/>
    <n v="2"/>
    <n v="0"/>
    <n v="0"/>
    <n v="51"/>
    <n v="434"/>
  </r>
  <r>
    <x v="7"/>
    <s v="ITA"/>
    <x v="13"/>
    <x v="13"/>
    <n v="4112559576"/>
    <n v="1686736689"/>
    <n v="2"/>
    <n v="0"/>
    <n v="2"/>
    <n v="2"/>
    <n v="4"/>
    <n v="1"/>
    <n v="1"/>
    <n v="0"/>
    <n v="0"/>
    <n v="4"/>
    <n v="278"/>
  </r>
  <r>
    <x v="7"/>
    <s v="ITA"/>
    <x v="14"/>
    <x v="14"/>
    <n v="3921531192"/>
    <n v="9110616306"/>
    <n v="0"/>
    <n v="0"/>
    <n v="0"/>
    <n v="0"/>
    <n v="0"/>
    <n v="0"/>
    <n v="0"/>
    <n v="0"/>
    <n v="0"/>
    <n v="0"/>
    <n v="29"/>
  </r>
  <r>
    <x v="7"/>
    <s v="ITA"/>
    <x v="15"/>
    <x v="15"/>
    <n v="3811569725"/>
    <n v="133623567"/>
    <n v="2"/>
    <n v="0"/>
    <n v="2"/>
    <n v="3"/>
    <n v="5"/>
    <n v="-2"/>
    <n v="-2"/>
    <n v="2"/>
    <n v="0"/>
    <n v="7"/>
    <n v="307"/>
  </r>
  <r>
    <x v="7"/>
    <s v="ITA"/>
    <x v="16"/>
    <x v="16"/>
    <n v="4376923077"/>
    <n v="1125588885"/>
    <n v="7"/>
    <n v="0"/>
    <n v="7"/>
    <n v="5"/>
    <n v="12"/>
    <n v="0"/>
    <n v="0"/>
    <n v="1"/>
    <n v="0"/>
    <n v="13"/>
    <n v="613"/>
  </r>
  <r>
    <x v="7"/>
    <s v="ITA"/>
    <x v="2"/>
    <x v="17"/>
    <n v="4606893511"/>
    <n v="1112123097"/>
    <n v="0"/>
    <n v="0"/>
    <n v="0"/>
    <n v="0"/>
    <n v="0"/>
    <n v="0"/>
    <n v="0"/>
    <n v="0"/>
    <n v="0"/>
    <n v="0"/>
    <n v="122"/>
  </r>
  <r>
    <x v="7"/>
    <s v="ITA"/>
    <x v="17"/>
    <x v="18"/>
    <n v="4310675841"/>
    <n v="1238824698"/>
    <n v="0"/>
    <n v="0"/>
    <n v="0"/>
    <n v="2"/>
    <n v="2"/>
    <n v="0"/>
    <n v="0"/>
    <n v="0"/>
    <n v="0"/>
    <n v="2"/>
    <n v="35"/>
  </r>
  <r>
    <x v="7"/>
    <s v="ITA"/>
    <x v="18"/>
    <x v="19"/>
    <n v="4573750286"/>
    <n v="7320149366"/>
    <n v="0"/>
    <n v="0"/>
    <n v="0"/>
    <n v="0"/>
    <n v="0"/>
    <n v="0"/>
    <n v="0"/>
    <n v="0"/>
    <n v="0"/>
    <n v="0"/>
    <n v="11"/>
  </r>
  <r>
    <x v="7"/>
    <s v="ITA"/>
    <x v="19"/>
    <x v="20"/>
    <n v="4543490485"/>
    <n v="1233845213"/>
    <n v="53"/>
    <n v="14"/>
    <n v="67"/>
    <n v="204"/>
    <n v="271"/>
    <n v="10"/>
    <n v="10"/>
    <n v="0"/>
    <n v="2"/>
    <n v="273"/>
    <n v="9782"/>
  </r>
  <r>
    <x v="8"/>
    <s v="ITA"/>
    <x v="0"/>
    <x v="0"/>
    <n v="4235122196"/>
    <n v="1339843823"/>
    <n v="5"/>
    <n v="0"/>
    <n v="5"/>
    <n v="1"/>
    <n v="6"/>
    <n v="1"/>
    <n v="1"/>
    <n v="0"/>
    <n v="0"/>
    <n v="6"/>
    <n v="52"/>
  </r>
  <r>
    <x v="8"/>
    <s v="ITA"/>
    <x v="1"/>
    <x v="1"/>
    <n v="4063947052"/>
    <n v="1580514834"/>
    <n v="0"/>
    <n v="0"/>
    <n v="0"/>
    <n v="1"/>
    <n v="1"/>
    <n v="1"/>
    <n v="1"/>
    <n v="0"/>
    <n v="0"/>
    <n v="1"/>
    <n v="42"/>
  </r>
  <r>
    <x v="8"/>
    <s v="ITA"/>
    <x v="2"/>
    <x v="2"/>
    <n v="4649933453"/>
    <n v="1135662422"/>
    <n v="1"/>
    <n v="0"/>
    <n v="1"/>
    <n v="0"/>
    <n v="1"/>
    <n v="0"/>
    <n v="0"/>
    <n v="0"/>
    <n v="0"/>
    <n v="1"/>
    <n v="20"/>
  </r>
  <r>
    <x v="8"/>
    <s v="ITA"/>
    <x v="3"/>
    <x v="3"/>
    <n v="3890597598"/>
    <n v="1659440194"/>
    <n v="0"/>
    <n v="0"/>
    <n v="0"/>
    <n v="1"/>
    <n v="1"/>
    <n v="0"/>
    <n v="0"/>
    <n v="0"/>
    <n v="0"/>
    <n v="1"/>
    <n v="39"/>
  </r>
  <r>
    <x v="8"/>
    <s v="ITA"/>
    <x v="4"/>
    <x v="4"/>
    <n v="4083956555"/>
    <n v="1425084984"/>
    <n v="11"/>
    <n v="0"/>
    <n v="11"/>
    <n v="19"/>
    <n v="30"/>
    <n v="13"/>
    <n v="13"/>
    <n v="0"/>
    <n v="0"/>
    <n v="30"/>
    <n v="405"/>
  </r>
  <r>
    <x v="8"/>
    <s v="ITA"/>
    <x v="5"/>
    <x v="5"/>
    <n v="4449436681"/>
    <n v="113417208"/>
    <n v="187"/>
    <n v="24"/>
    <n v="211"/>
    <n v="187"/>
    <n v="398"/>
    <n v="74"/>
    <n v="85"/>
    <n v="4"/>
    <n v="18"/>
    <n v="420"/>
    <n v="2012"/>
  </r>
  <r>
    <x v="8"/>
    <s v="ITA"/>
    <x v="6"/>
    <x v="6"/>
    <n v="456494354"/>
    <n v="1376813649"/>
    <n v="1"/>
    <n v="0"/>
    <n v="1"/>
    <n v="12"/>
    <n v="13"/>
    <n v="4"/>
    <n v="4"/>
    <n v="0"/>
    <n v="0"/>
    <n v="13"/>
    <n v="354"/>
  </r>
  <r>
    <x v="8"/>
    <s v="ITA"/>
    <x v="7"/>
    <x v="7"/>
    <n v="4189277044"/>
    <n v="1248366722"/>
    <n v="10"/>
    <n v="0"/>
    <n v="10"/>
    <n v="1"/>
    <n v="11"/>
    <n v="7"/>
    <n v="7"/>
    <n v="3"/>
    <n v="0"/>
    <n v="14"/>
    <n v="877"/>
  </r>
  <r>
    <x v="8"/>
    <s v="ITA"/>
    <x v="8"/>
    <x v="8"/>
    <n v="4441149315"/>
    <n v="89326992"/>
    <n v="12"/>
    <n v="2"/>
    <n v="14"/>
    <n v="5"/>
    <n v="19"/>
    <n v="1"/>
    <n v="2"/>
    <n v="4"/>
    <n v="1"/>
    <n v="24"/>
    <n v="121"/>
  </r>
  <r>
    <x v="8"/>
    <s v="ITA"/>
    <x v="9"/>
    <x v="9"/>
    <n v="4546679409"/>
    <n v="9190347404"/>
    <n v="698"/>
    <n v="167"/>
    <n v="865"/>
    <n v="461"/>
    <n v="1326"/>
    <n v="249"/>
    <n v="266"/>
    <n v="139"/>
    <n v="55"/>
    <n v="1520"/>
    <n v="9577"/>
  </r>
  <r>
    <x v="8"/>
    <s v="ITA"/>
    <x v="10"/>
    <x v="10"/>
    <n v="4361675973"/>
    <n v="135188753"/>
    <n v="27"/>
    <n v="13"/>
    <n v="40"/>
    <n v="19"/>
    <n v="59"/>
    <n v="25"/>
    <n v="26"/>
    <n v="0"/>
    <n v="2"/>
    <n v="61"/>
    <n v="200"/>
  </r>
  <r>
    <x v="8"/>
    <s v="ITA"/>
    <x v="11"/>
    <x v="11"/>
    <n v="4155774754"/>
    <n v="1465916051"/>
    <n v="3"/>
    <n v="0"/>
    <n v="3"/>
    <n v="0"/>
    <n v="3"/>
    <n v="3"/>
    <n v="3"/>
    <n v="0"/>
    <n v="0"/>
    <n v="3"/>
    <n v="13"/>
  </r>
  <r>
    <x v="8"/>
    <s v="ITA"/>
    <x v="12"/>
    <x v="12"/>
    <n v="450732745"/>
    <n v="7680687483"/>
    <n v="13"/>
    <n v="3"/>
    <n v="16"/>
    <n v="40"/>
    <n v="56"/>
    <n v="5"/>
    <n v="5"/>
    <n v="0"/>
    <n v="0"/>
    <n v="56"/>
    <n v="458"/>
  </r>
  <r>
    <x v="8"/>
    <s v="ITA"/>
    <x v="13"/>
    <x v="13"/>
    <n v="4112559576"/>
    <n v="1686736689"/>
    <n v="2"/>
    <n v="0"/>
    <n v="2"/>
    <n v="4"/>
    <n v="6"/>
    <n v="2"/>
    <n v="2"/>
    <n v="0"/>
    <n v="0"/>
    <n v="6"/>
    <n v="298"/>
  </r>
  <r>
    <x v="8"/>
    <s v="ITA"/>
    <x v="14"/>
    <x v="14"/>
    <n v="3921531192"/>
    <n v="9110616306"/>
    <n v="1"/>
    <n v="0"/>
    <n v="1"/>
    <n v="0"/>
    <n v="1"/>
    <n v="1"/>
    <n v="1"/>
    <n v="0"/>
    <n v="0"/>
    <n v="1"/>
    <n v="29"/>
  </r>
  <r>
    <x v="8"/>
    <s v="ITA"/>
    <x v="15"/>
    <x v="15"/>
    <n v="3811569725"/>
    <n v="133623567"/>
    <n v="2"/>
    <n v="0"/>
    <n v="2"/>
    <n v="3"/>
    <n v="5"/>
    <n v="0"/>
    <n v="0"/>
    <n v="2"/>
    <n v="0"/>
    <n v="7"/>
    <n v="307"/>
  </r>
  <r>
    <x v="8"/>
    <s v="ITA"/>
    <x v="16"/>
    <x v="16"/>
    <n v="4376923077"/>
    <n v="1125588885"/>
    <n v="10"/>
    <n v="0"/>
    <n v="10"/>
    <n v="8"/>
    <n v="18"/>
    <n v="6"/>
    <n v="6"/>
    <n v="1"/>
    <n v="0"/>
    <n v="19"/>
    <n v="697"/>
  </r>
  <r>
    <x v="8"/>
    <s v="ITA"/>
    <x v="2"/>
    <x v="17"/>
    <n v="4606893511"/>
    <n v="1112123097"/>
    <n v="1"/>
    <n v="0"/>
    <n v="1"/>
    <n v="3"/>
    <n v="4"/>
    <n v="4"/>
    <n v="4"/>
    <n v="0"/>
    <n v="0"/>
    <n v="4"/>
    <n v="122"/>
  </r>
  <r>
    <x v="8"/>
    <s v="ITA"/>
    <x v="17"/>
    <x v="18"/>
    <n v="4310675841"/>
    <n v="1238824698"/>
    <n v="1"/>
    <n v="1"/>
    <n v="2"/>
    <n v="6"/>
    <n v="8"/>
    <n v="6"/>
    <n v="6"/>
    <n v="0"/>
    <n v="0"/>
    <n v="8"/>
    <n v="45"/>
  </r>
  <r>
    <x v="8"/>
    <s v="ITA"/>
    <x v="18"/>
    <x v="19"/>
    <n v="4573750286"/>
    <n v="7320149366"/>
    <n v="0"/>
    <n v="0"/>
    <n v="0"/>
    <n v="0"/>
    <n v="0"/>
    <n v="0"/>
    <n v="0"/>
    <n v="0"/>
    <n v="0"/>
    <n v="0"/>
    <n v="12"/>
  </r>
  <r>
    <x v="8"/>
    <s v="ITA"/>
    <x v="19"/>
    <x v="20"/>
    <n v="4543490485"/>
    <n v="1233845213"/>
    <n v="49"/>
    <n v="19"/>
    <n v="68"/>
    <n v="229"/>
    <n v="297"/>
    <n v="26"/>
    <n v="34"/>
    <n v="7"/>
    <n v="3"/>
    <n v="307"/>
    <n v="10176"/>
  </r>
  <r>
    <x v="9"/>
    <s v="ITA"/>
    <x v="0"/>
    <x v="0"/>
    <n v="4235122196"/>
    <n v="1339843823"/>
    <n v="7"/>
    <n v="0"/>
    <n v="7"/>
    <n v="0"/>
    <n v="7"/>
    <n v="1"/>
    <n v="1"/>
    <n v="0"/>
    <n v="0"/>
    <n v="7"/>
    <n v="85"/>
  </r>
  <r>
    <x v="9"/>
    <s v="ITA"/>
    <x v="1"/>
    <x v="1"/>
    <n v="4063947052"/>
    <n v="1580514834"/>
    <n v="0"/>
    <n v="0"/>
    <n v="0"/>
    <n v="1"/>
    <n v="1"/>
    <n v="0"/>
    <n v="0"/>
    <n v="0"/>
    <n v="0"/>
    <n v="1"/>
    <n v="48"/>
  </r>
  <r>
    <x v="9"/>
    <s v="ITA"/>
    <x v="2"/>
    <x v="2"/>
    <n v="4649933453"/>
    <n v="1135662422"/>
    <n v="1"/>
    <n v="0"/>
    <n v="1"/>
    <n v="0"/>
    <n v="1"/>
    <n v="0"/>
    <n v="0"/>
    <n v="0"/>
    <n v="0"/>
    <n v="1"/>
    <n v="20"/>
  </r>
  <r>
    <x v="9"/>
    <s v="ITA"/>
    <x v="3"/>
    <x v="3"/>
    <n v="3890597598"/>
    <n v="1659440194"/>
    <n v="0"/>
    <n v="0"/>
    <n v="0"/>
    <n v="1"/>
    <n v="1"/>
    <n v="0"/>
    <n v="0"/>
    <n v="0"/>
    <n v="0"/>
    <n v="1"/>
    <n v="46"/>
  </r>
  <r>
    <x v="9"/>
    <s v="ITA"/>
    <x v="4"/>
    <x v="4"/>
    <n v="4083956555"/>
    <n v="1425084984"/>
    <n v="11"/>
    <n v="0"/>
    <n v="11"/>
    <n v="20"/>
    <n v="31"/>
    <n v="1"/>
    <n v="1"/>
    <n v="0"/>
    <n v="0"/>
    <n v="31"/>
    <n v="429"/>
  </r>
  <r>
    <x v="9"/>
    <s v="ITA"/>
    <x v="5"/>
    <x v="5"/>
    <n v="4449436681"/>
    <n v="113417208"/>
    <n v="256"/>
    <n v="26"/>
    <n v="282"/>
    <n v="234"/>
    <n v="516"/>
    <n v="118"/>
    <n v="124"/>
    <n v="6"/>
    <n v="22"/>
    <n v="544"/>
    <n v="2500"/>
  </r>
  <r>
    <x v="9"/>
    <s v="ITA"/>
    <x v="6"/>
    <x v="6"/>
    <n v="456494354"/>
    <n v="1376813649"/>
    <n v="3"/>
    <n v="0"/>
    <n v="3"/>
    <n v="15"/>
    <n v="18"/>
    <n v="5"/>
    <n v="5"/>
    <n v="0"/>
    <n v="0"/>
    <n v="18"/>
    <n v="376"/>
  </r>
  <r>
    <x v="9"/>
    <s v="ITA"/>
    <x v="7"/>
    <x v="7"/>
    <n v="4189277044"/>
    <n v="1248366722"/>
    <n v="15"/>
    <n v="3"/>
    <n v="18"/>
    <n v="9"/>
    <n v="27"/>
    <n v="16"/>
    <n v="16"/>
    <n v="3"/>
    <n v="0"/>
    <n v="30"/>
    <n v="995"/>
  </r>
  <r>
    <x v="9"/>
    <s v="ITA"/>
    <x v="8"/>
    <x v="8"/>
    <n v="4441149315"/>
    <n v="89326992"/>
    <n v="10"/>
    <n v="3"/>
    <n v="13"/>
    <n v="8"/>
    <n v="21"/>
    <n v="2"/>
    <n v="2"/>
    <n v="4"/>
    <n v="1"/>
    <n v="26"/>
    <n v="133"/>
  </r>
  <r>
    <x v="9"/>
    <s v="ITA"/>
    <x v="9"/>
    <x v="9"/>
    <n v="4546679409"/>
    <n v="9190347404"/>
    <n v="877"/>
    <n v="209"/>
    <n v="1086"/>
    <n v="411"/>
    <n v="1497"/>
    <n v="171"/>
    <n v="300"/>
    <n v="250"/>
    <n v="73"/>
    <n v="1820"/>
    <n v="12138"/>
  </r>
  <r>
    <x v="9"/>
    <s v="ITA"/>
    <x v="10"/>
    <x v="10"/>
    <n v="4361675973"/>
    <n v="135188753"/>
    <n v="34"/>
    <n v="15"/>
    <n v="49"/>
    <n v="31"/>
    <n v="80"/>
    <n v="21"/>
    <n v="23"/>
    <n v="0"/>
    <n v="4"/>
    <n v="84"/>
    <n v="288"/>
  </r>
  <r>
    <x v="9"/>
    <s v="ITA"/>
    <x v="11"/>
    <x v="11"/>
    <n v="4155774754"/>
    <n v="1465916051"/>
    <n v="3"/>
    <n v="0"/>
    <n v="3"/>
    <n v="0"/>
    <n v="3"/>
    <n v="0"/>
    <n v="0"/>
    <n v="0"/>
    <n v="0"/>
    <n v="3"/>
    <n v="19"/>
  </r>
  <r>
    <x v="9"/>
    <s v="ITA"/>
    <x v="12"/>
    <x v="12"/>
    <n v="450732745"/>
    <n v="7680687483"/>
    <n v="26"/>
    <n v="13"/>
    <n v="39"/>
    <n v="43"/>
    <n v="82"/>
    <n v="26"/>
    <n v="26"/>
    <n v="0"/>
    <n v="0"/>
    <n v="82"/>
    <n v="543"/>
  </r>
  <r>
    <x v="9"/>
    <s v="ITA"/>
    <x v="13"/>
    <x v="13"/>
    <n v="4112559576"/>
    <n v="1686736689"/>
    <n v="4"/>
    <n v="0"/>
    <n v="4"/>
    <n v="3"/>
    <n v="7"/>
    <n v="1"/>
    <n v="3"/>
    <n v="1"/>
    <n v="1"/>
    <n v="9"/>
    <n v="322"/>
  </r>
  <r>
    <x v="9"/>
    <s v="ITA"/>
    <x v="14"/>
    <x v="14"/>
    <n v="3921531192"/>
    <n v="9110616306"/>
    <n v="1"/>
    <n v="0"/>
    <n v="1"/>
    <n v="1"/>
    <n v="2"/>
    <n v="1"/>
    <n v="1"/>
    <n v="0"/>
    <n v="0"/>
    <n v="2"/>
    <n v="42"/>
  </r>
  <r>
    <x v="9"/>
    <s v="ITA"/>
    <x v="15"/>
    <x v="15"/>
    <n v="3811569725"/>
    <n v="133623567"/>
    <n v="5"/>
    <n v="0"/>
    <n v="5"/>
    <n v="11"/>
    <n v="16"/>
    <n v="11"/>
    <n v="11"/>
    <n v="2"/>
    <n v="0"/>
    <n v="18"/>
    <n v="367"/>
  </r>
  <r>
    <x v="9"/>
    <s v="ITA"/>
    <x v="16"/>
    <x v="16"/>
    <n v="4376923077"/>
    <n v="1125588885"/>
    <n v="15"/>
    <n v="2"/>
    <n v="17"/>
    <n v="20"/>
    <n v="37"/>
    <n v="19"/>
    <n v="19"/>
    <n v="1"/>
    <n v="0"/>
    <n v="38"/>
    <n v="776"/>
  </r>
  <r>
    <x v="9"/>
    <s v="ITA"/>
    <x v="2"/>
    <x v="17"/>
    <n v="4606893511"/>
    <n v="1112123097"/>
    <n v="1"/>
    <n v="0"/>
    <n v="1"/>
    <n v="4"/>
    <n v="5"/>
    <n v="1"/>
    <n v="1"/>
    <n v="0"/>
    <n v="0"/>
    <n v="5"/>
    <n v="122"/>
  </r>
  <r>
    <x v="9"/>
    <s v="ITA"/>
    <x v="17"/>
    <x v="18"/>
    <n v="4310675841"/>
    <n v="1238824698"/>
    <n v="1"/>
    <n v="1"/>
    <n v="2"/>
    <n v="7"/>
    <n v="9"/>
    <n v="1"/>
    <n v="1"/>
    <n v="0"/>
    <n v="0"/>
    <n v="9"/>
    <n v="58"/>
  </r>
  <r>
    <x v="9"/>
    <s v="ITA"/>
    <x v="18"/>
    <x v="19"/>
    <n v="4573750286"/>
    <n v="7320149366"/>
    <n v="0"/>
    <n v="0"/>
    <n v="0"/>
    <n v="0"/>
    <n v="0"/>
    <n v="0"/>
    <n v="0"/>
    <n v="0"/>
    <n v="0"/>
    <n v="0"/>
    <n v="15"/>
  </r>
  <r>
    <x v="9"/>
    <s v="ITA"/>
    <x v="19"/>
    <x v="20"/>
    <n v="4543490485"/>
    <n v="1233845213"/>
    <n v="76"/>
    <n v="23"/>
    <n v="99"/>
    <n v="246"/>
    <n v="345"/>
    <n v="48"/>
    <n v="53"/>
    <n v="9"/>
    <n v="6"/>
    <n v="360"/>
    <n v="10515"/>
  </r>
  <r>
    <x v="10"/>
    <s v="ITA"/>
    <x v="0"/>
    <x v="0"/>
    <n v="4235122196"/>
    <n v="1339843823"/>
    <n v="8"/>
    <n v="0"/>
    <n v="8"/>
    <n v="0"/>
    <n v="8"/>
    <n v="1"/>
    <n v="1"/>
    <n v="0"/>
    <n v="0"/>
    <n v="8"/>
    <n v="96"/>
  </r>
  <r>
    <x v="10"/>
    <s v="ITA"/>
    <x v="1"/>
    <x v="1"/>
    <n v="4063947052"/>
    <n v="1580514834"/>
    <n v="0"/>
    <n v="0"/>
    <n v="0"/>
    <n v="1"/>
    <n v="1"/>
    <n v="0"/>
    <n v="0"/>
    <n v="0"/>
    <n v="0"/>
    <n v="1"/>
    <n v="54"/>
  </r>
  <r>
    <x v="10"/>
    <s v="ITA"/>
    <x v="2"/>
    <x v="2"/>
    <n v="4649933453"/>
    <n v="1135662422"/>
    <n v="1"/>
    <n v="0"/>
    <n v="1"/>
    <n v="0"/>
    <n v="1"/>
    <n v="0"/>
    <n v="0"/>
    <n v="0"/>
    <n v="0"/>
    <n v="1"/>
    <n v="20"/>
  </r>
  <r>
    <x v="10"/>
    <s v="ITA"/>
    <x v="3"/>
    <x v="3"/>
    <n v="3890597598"/>
    <n v="1659440194"/>
    <n v="1"/>
    <n v="0"/>
    <n v="1"/>
    <n v="1"/>
    <n v="2"/>
    <n v="1"/>
    <n v="1"/>
    <n v="0"/>
    <n v="0"/>
    <n v="2"/>
    <n v="53"/>
  </r>
  <r>
    <x v="10"/>
    <s v="ITA"/>
    <x v="4"/>
    <x v="4"/>
    <n v="4083956555"/>
    <n v="1425084984"/>
    <n v="12"/>
    <n v="0"/>
    <n v="12"/>
    <n v="33"/>
    <n v="45"/>
    <n v="14"/>
    <n v="14"/>
    <n v="0"/>
    <n v="0"/>
    <n v="45"/>
    <n v="471"/>
  </r>
  <r>
    <x v="10"/>
    <s v="ITA"/>
    <x v="5"/>
    <x v="5"/>
    <n v="4449436681"/>
    <n v="113417208"/>
    <n v="327"/>
    <n v="32"/>
    <n v="359"/>
    <n v="299"/>
    <n v="658"/>
    <n v="142"/>
    <n v="154"/>
    <n v="10"/>
    <n v="30"/>
    <n v="698"/>
    <n v="2884"/>
  </r>
  <r>
    <x v="10"/>
    <s v="ITA"/>
    <x v="6"/>
    <x v="6"/>
    <n v="456494354"/>
    <n v="1376813649"/>
    <n v="4"/>
    <n v="0"/>
    <n v="4"/>
    <n v="17"/>
    <n v="21"/>
    <n v="3"/>
    <n v="3"/>
    <n v="0"/>
    <n v="0"/>
    <n v="21"/>
    <n v="397"/>
  </r>
  <r>
    <x v="10"/>
    <s v="ITA"/>
    <x v="7"/>
    <x v="7"/>
    <n v="4189277044"/>
    <n v="1248366722"/>
    <n v="20"/>
    <n v="7"/>
    <n v="27"/>
    <n v="14"/>
    <n v="41"/>
    <n v="14"/>
    <n v="14"/>
    <n v="3"/>
    <n v="0"/>
    <n v="44"/>
    <n v="1175"/>
  </r>
  <r>
    <x v="10"/>
    <s v="ITA"/>
    <x v="8"/>
    <x v="8"/>
    <n v="4441149315"/>
    <n v="89326992"/>
    <n v="11"/>
    <n v="3"/>
    <n v="14"/>
    <n v="7"/>
    <n v="21"/>
    <n v="0"/>
    <n v="2"/>
    <n v="4"/>
    <n v="3"/>
    <n v="28"/>
    <n v="146"/>
  </r>
  <r>
    <x v="10"/>
    <s v="ITA"/>
    <x v="9"/>
    <x v="9"/>
    <n v="4546679409"/>
    <n v="9190347404"/>
    <n v="1169"/>
    <n v="244"/>
    <n v="1413"/>
    <n v="364"/>
    <n v="1777"/>
    <n v="280"/>
    <n v="431"/>
    <n v="376"/>
    <n v="98"/>
    <n v="2251"/>
    <n v="12354"/>
  </r>
  <r>
    <x v="10"/>
    <s v="ITA"/>
    <x v="10"/>
    <x v="10"/>
    <n v="4361675973"/>
    <n v="135188753"/>
    <n v="57"/>
    <n v="19"/>
    <n v="76"/>
    <n v="44"/>
    <n v="120"/>
    <n v="40"/>
    <n v="40"/>
    <n v="0"/>
    <n v="4"/>
    <n v="124"/>
    <n v="413"/>
  </r>
  <r>
    <x v="10"/>
    <s v="ITA"/>
    <x v="11"/>
    <x v="11"/>
    <n v="4155774754"/>
    <n v="1465916051"/>
    <n v="4"/>
    <n v="0"/>
    <n v="4"/>
    <n v="3"/>
    <n v="7"/>
    <n v="4"/>
    <n v="4"/>
    <n v="0"/>
    <n v="0"/>
    <n v="7"/>
    <n v="24"/>
  </r>
  <r>
    <x v="10"/>
    <s v="ITA"/>
    <x v="12"/>
    <x v="12"/>
    <n v="450732745"/>
    <n v="7680687483"/>
    <n v="43"/>
    <n v="17"/>
    <n v="60"/>
    <n v="46"/>
    <n v="106"/>
    <n v="24"/>
    <n v="26"/>
    <n v="0"/>
    <n v="2"/>
    <n v="108"/>
    <n v="543"/>
  </r>
  <r>
    <x v="10"/>
    <s v="ITA"/>
    <x v="13"/>
    <x v="13"/>
    <n v="4112559576"/>
    <n v="1686736689"/>
    <n v="5"/>
    <n v="1"/>
    <n v="6"/>
    <n v="6"/>
    <n v="12"/>
    <n v="5"/>
    <n v="5"/>
    <n v="1"/>
    <n v="1"/>
    <n v="14"/>
    <n v="359"/>
  </r>
  <r>
    <x v="10"/>
    <s v="ITA"/>
    <x v="14"/>
    <x v="14"/>
    <n v="3921531192"/>
    <n v="9110616306"/>
    <n v="2"/>
    <n v="0"/>
    <n v="2"/>
    <n v="0"/>
    <n v="2"/>
    <n v="0"/>
    <n v="0"/>
    <n v="0"/>
    <n v="0"/>
    <n v="2"/>
    <n v="50"/>
  </r>
  <r>
    <x v="10"/>
    <s v="ITA"/>
    <x v="15"/>
    <x v="15"/>
    <n v="3811569725"/>
    <n v="133623567"/>
    <n v="5"/>
    <n v="0"/>
    <n v="5"/>
    <n v="11"/>
    <n v="16"/>
    <n v="0"/>
    <n v="0"/>
    <n v="2"/>
    <n v="0"/>
    <n v="18"/>
    <n v="367"/>
  </r>
  <r>
    <x v="10"/>
    <s v="ITA"/>
    <x v="16"/>
    <x v="16"/>
    <n v="4376923077"/>
    <n v="1125588885"/>
    <n v="26"/>
    <n v="3"/>
    <n v="29"/>
    <n v="31"/>
    <n v="60"/>
    <n v="23"/>
    <n v="23"/>
    <n v="1"/>
    <n v="0"/>
    <n v="61"/>
    <n v="776"/>
  </r>
  <r>
    <x v="10"/>
    <s v="ITA"/>
    <x v="2"/>
    <x v="17"/>
    <n v="4606893511"/>
    <n v="1112123097"/>
    <n v="2"/>
    <n v="0"/>
    <n v="2"/>
    <n v="5"/>
    <n v="7"/>
    <n v="2"/>
    <n v="2"/>
    <n v="0"/>
    <n v="0"/>
    <n v="7"/>
    <n v="122"/>
  </r>
  <r>
    <x v="10"/>
    <s v="ITA"/>
    <x v="17"/>
    <x v="18"/>
    <n v="4310675841"/>
    <n v="1238824698"/>
    <n v="1"/>
    <n v="1"/>
    <n v="2"/>
    <n v="7"/>
    <n v="9"/>
    <n v="0"/>
    <n v="0"/>
    <n v="0"/>
    <n v="0"/>
    <n v="9"/>
    <n v="88"/>
  </r>
  <r>
    <x v="10"/>
    <s v="ITA"/>
    <x v="18"/>
    <x v="19"/>
    <n v="4573750286"/>
    <n v="7320149366"/>
    <n v="0"/>
    <n v="0"/>
    <n v="0"/>
    <n v="2"/>
    <n v="2"/>
    <n v="2"/>
    <n v="2"/>
    <n v="0"/>
    <n v="0"/>
    <n v="2"/>
    <n v="21"/>
  </r>
  <r>
    <x v="10"/>
    <s v="ITA"/>
    <x v="19"/>
    <x v="20"/>
    <n v="4543490485"/>
    <n v="1233845213"/>
    <n v="92"/>
    <n v="24"/>
    <n v="116"/>
    <n v="264"/>
    <n v="380"/>
    <n v="35"/>
    <n v="47"/>
    <n v="17"/>
    <n v="10"/>
    <n v="407"/>
    <n v="11949"/>
  </r>
  <r>
    <x v="11"/>
    <s v="ITA"/>
    <x v="0"/>
    <x v="0"/>
    <n v="4235122196"/>
    <n v="1339843823"/>
    <n v="9"/>
    <n v="0"/>
    <n v="9"/>
    <n v="0"/>
    <n v="9"/>
    <n v="1"/>
    <n v="1"/>
    <n v="0"/>
    <n v="0"/>
    <n v="9"/>
    <n v="96"/>
  </r>
  <r>
    <x v="11"/>
    <s v="ITA"/>
    <x v="1"/>
    <x v="1"/>
    <n v="4063947052"/>
    <n v="1580514834"/>
    <n v="1"/>
    <n v="0"/>
    <n v="1"/>
    <n v="2"/>
    <n v="3"/>
    <n v="2"/>
    <n v="2"/>
    <n v="0"/>
    <n v="0"/>
    <n v="3"/>
    <n v="63"/>
  </r>
  <r>
    <x v="11"/>
    <s v="ITA"/>
    <x v="2"/>
    <x v="2"/>
    <n v="4649933453"/>
    <n v="1135662422"/>
    <n v="4"/>
    <n v="0"/>
    <n v="4"/>
    <n v="0"/>
    <n v="4"/>
    <n v="3"/>
    <n v="3"/>
    <n v="0"/>
    <n v="0"/>
    <n v="4"/>
    <n v="36"/>
  </r>
  <r>
    <x v="11"/>
    <s v="ITA"/>
    <x v="3"/>
    <x v="3"/>
    <n v="3890597598"/>
    <n v="1659440194"/>
    <n v="2"/>
    <n v="0"/>
    <n v="2"/>
    <n v="2"/>
    <n v="4"/>
    <n v="2"/>
    <n v="2"/>
    <n v="0"/>
    <n v="0"/>
    <n v="4"/>
    <n v="99"/>
  </r>
  <r>
    <x v="11"/>
    <s v="ITA"/>
    <x v="4"/>
    <x v="4"/>
    <n v="4083956555"/>
    <n v="1425084984"/>
    <n v="12"/>
    <n v="0"/>
    <n v="12"/>
    <n v="45"/>
    <n v="57"/>
    <n v="12"/>
    <n v="12"/>
    <n v="0"/>
    <n v="0"/>
    <n v="57"/>
    <n v="471"/>
  </r>
  <r>
    <x v="11"/>
    <s v="ITA"/>
    <x v="5"/>
    <x v="5"/>
    <n v="4449436681"/>
    <n v="113417208"/>
    <n v="397"/>
    <n v="53"/>
    <n v="450"/>
    <n v="366"/>
    <n v="816"/>
    <n v="158"/>
    <n v="172"/>
    <n v="17"/>
    <n v="37"/>
    <n v="870"/>
    <n v="3136"/>
  </r>
  <r>
    <x v="11"/>
    <s v="ITA"/>
    <x v="6"/>
    <x v="6"/>
    <n v="456494354"/>
    <n v="1376813649"/>
    <n v="4"/>
    <n v="0"/>
    <n v="4"/>
    <n v="24"/>
    <n v="28"/>
    <n v="7"/>
    <n v="10"/>
    <n v="3"/>
    <n v="0"/>
    <n v="31"/>
    <n v="577"/>
  </r>
  <r>
    <x v="11"/>
    <s v="ITA"/>
    <x v="7"/>
    <x v="7"/>
    <n v="4189277044"/>
    <n v="1248366722"/>
    <n v="26"/>
    <n v="8"/>
    <n v="34"/>
    <n v="16"/>
    <n v="50"/>
    <n v="9"/>
    <n v="10"/>
    <n v="3"/>
    <n v="1"/>
    <n v="54"/>
    <n v="1373"/>
  </r>
  <r>
    <x v="11"/>
    <s v="ITA"/>
    <x v="8"/>
    <x v="8"/>
    <n v="4441149315"/>
    <n v="89326992"/>
    <n v="12"/>
    <n v="5"/>
    <n v="17"/>
    <n v="7"/>
    <n v="24"/>
    <n v="3"/>
    <n v="4"/>
    <n v="5"/>
    <n v="3"/>
    <n v="32"/>
    <n v="229"/>
  </r>
  <r>
    <x v="11"/>
    <s v="ITA"/>
    <x v="9"/>
    <x v="9"/>
    <n v="4546679409"/>
    <n v="9190347404"/>
    <n v="1622"/>
    <n v="309"/>
    <n v="1931"/>
    <n v="77"/>
    <n v="2008"/>
    <n v="231"/>
    <n v="361"/>
    <n v="469"/>
    <n v="135"/>
    <n v="2612"/>
    <n v="13556"/>
  </r>
  <r>
    <x v="11"/>
    <s v="ITA"/>
    <x v="10"/>
    <x v="10"/>
    <n v="4361675973"/>
    <n v="135188753"/>
    <n v="73"/>
    <n v="20"/>
    <n v="93"/>
    <n v="62"/>
    <n v="155"/>
    <n v="35"/>
    <n v="35"/>
    <n v="0"/>
    <n v="4"/>
    <n v="159"/>
    <n v="585"/>
  </r>
  <r>
    <x v="11"/>
    <s v="ITA"/>
    <x v="11"/>
    <x v="11"/>
    <n v="4155774754"/>
    <n v="1465916051"/>
    <n v="3"/>
    <n v="2"/>
    <n v="5"/>
    <n v="7"/>
    <n v="12"/>
    <n v="5"/>
    <n v="5"/>
    <n v="0"/>
    <n v="0"/>
    <n v="12"/>
    <n v="104"/>
  </r>
  <r>
    <x v="11"/>
    <s v="ITA"/>
    <x v="12"/>
    <x v="12"/>
    <n v="450732745"/>
    <n v="7680687483"/>
    <n v="57"/>
    <n v="30"/>
    <n v="87"/>
    <n v="52"/>
    <n v="139"/>
    <n v="33"/>
    <n v="35"/>
    <n v="0"/>
    <n v="4"/>
    <n v="143"/>
    <n v="793"/>
  </r>
  <r>
    <x v="11"/>
    <s v="ITA"/>
    <x v="13"/>
    <x v="13"/>
    <n v="4112559576"/>
    <n v="1686736689"/>
    <n v="5"/>
    <n v="1"/>
    <n v="6"/>
    <n v="9"/>
    <n v="15"/>
    <n v="3"/>
    <n v="3"/>
    <n v="1"/>
    <n v="1"/>
    <n v="17"/>
    <n v="395"/>
  </r>
  <r>
    <x v="11"/>
    <s v="ITA"/>
    <x v="14"/>
    <x v="14"/>
    <n v="3921531192"/>
    <n v="9110616306"/>
    <n v="2"/>
    <n v="0"/>
    <n v="2"/>
    <n v="3"/>
    <n v="5"/>
    <n v="3"/>
    <n v="3"/>
    <n v="0"/>
    <n v="0"/>
    <n v="5"/>
    <n v="99"/>
  </r>
  <r>
    <x v="11"/>
    <s v="ITA"/>
    <x v="15"/>
    <x v="15"/>
    <n v="3811569725"/>
    <n v="133623567"/>
    <n v="7"/>
    <n v="0"/>
    <n v="7"/>
    <n v="15"/>
    <n v="22"/>
    <n v="6"/>
    <n v="6"/>
    <n v="2"/>
    <n v="0"/>
    <n v="24"/>
    <n v="367"/>
  </r>
  <r>
    <x v="11"/>
    <s v="ITA"/>
    <x v="16"/>
    <x v="16"/>
    <n v="4376923077"/>
    <n v="1125588885"/>
    <n v="35"/>
    <n v="5"/>
    <n v="40"/>
    <n v="38"/>
    <n v="78"/>
    <n v="18"/>
    <n v="18"/>
    <n v="1"/>
    <n v="0"/>
    <n v="79"/>
    <n v="1097"/>
  </r>
  <r>
    <x v="11"/>
    <s v="ITA"/>
    <x v="2"/>
    <x v="17"/>
    <n v="4606893511"/>
    <n v="1112123097"/>
    <n v="4"/>
    <n v="0"/>
    <n v="4"/>
    <n v="6"/>
    <n v="10"/>
    <n v="3"/>
    <n v="3"/>
    <n v="0"/>
    <n v="0"/>
    <n v="10"/>
    <n v="122"/>
  </r>
  <r>
    <x v="11"/>
    <s v="ITA"/>
    <x v="17"/>
    <x v="18"/>
    <n v="4310675841"/>
    <n v="1238824698"/>
    <n v="2"/>
    <n v="2"/>
    <n v="4"/>
    <n v="12"/>
    <n v="16"/>
    <n v="7"/>
    <n v="7"/>
    <n v="0"/>
    <n v="0"/>
    <n v="16"/>
    <n v="110"/>
  </r>
  <r>
    <x v="11"/>
    <s v="ITA"/>
    <x v="18"/>
    <x v="19"/>
    <n v="4573750286"/>
    <n v="7320149366"/>
    <n v="0"/>
    <n v="0"/>
    <n v="0"/>
    <n v="7"/>
    <n v="7"/>
    <n v="5"/>
    <n v="5"/>
    <n v="0"/>
    <n v="0"/>
    <n v="7"/>
    <n v="28"/>
  </r>
  <r>
    <x v="11"/>
    <s v="ITA"/>
    <x v="19"/>
    <x v="20"/>
    <n v="4543490485"/>
    <n v="1233845213"/>
    <n v="117"/>
    <n v="27"/>
    <n v="144"/>
    <n v="310"/>
    <n v="454"/>
    <n v="74"/>
    <n v="81"/>
    <n v="22"/>
    <n v="12"/>
    <n v="488"/>
    <n v="13023"/>
  </r>
  <r>
    <x v="12"/>
    <s v="ITA"/>
    <x v="0"/>
    <x v="0"/>
    <n v="4235122196"/>
    <n v="1339843823"/>
    <n v="11"/>
    <n v="0"/>
    <n v="11"/>
    <n v="0"/>
    <n v="11"/>
    <n v="2"/>
    <n v="2"/>
    <n v="0"/>
    <n v="0"/>
    <n v="11"/>
    <n v="123"/>
  </r>
  <r>
    <x v="12"/>
    <s v="ITA"/>
    <x v="1"/>
    <x v="1"/>
    <n v="4063947052"/>
    <n v="1580514834"/>
    <n v="1"/>
    <n v="0"/>
    <n v="1"/>
    <n v="2"/>
    <n v="3"/>
    <n v="0"/>
    <n v="0"/>
    <n v="0"/>
    <n v="0"/>
    <n v="3"/>
    <n v="75"/>
  </r>
  <r>
    <x v="12"/>
    <s v="ITA"/>
    <x v="2"/>
    <x v="2"/>
    <n v="4649933453"/>
    <n v="1135662422"/>
    <n v="8"/>
    <n v="0"/>
    <n v="8"/>
    <n v="1"/>
    <n v="9"/>
    <n v="5"/>
    <n v="5"/>
    <n v="0"/>
    <n v="0"/>
    <n v="9"/>
    <n v="36"/>
  </r>
  <r>
    <x v="12"/>
    <s v="ITA"/>
    <x v="3"/>
    <x v="3"/>
    <n v="3890597598"/>
    <n v="1659440194"/>
    <n v="2"/>
    <n v="0"/>
    <n v="2"/>
    <n v="2"/>
    <n v="4"/>
    <n v="0"/>
    <n v="0"/>
    <n v="0"/>
    <n v="0"/>
    <n v="4"/>
    <n v="113"/>
  </r>
  <r>
    <x v="12"/>
    <s v="ITA"/>
    <x v="4"/>
    <x v="4"/>
    <n v="4083956555"/>
    <n v="1425084984"/>
    <n v="16"/>
    <n v="0"/>
    <n v="16"/>
    <n v="45"/>
    <n v="61"/>
    <n v="4"/>
    <n v="4"/>
    <n v="0"/>
    <n v="0"/>
    <n v="61"/>
    <n v="612"/>
  </r>
  <r>
    <x v="12"/>
    <s v="ITA"/>
    <x v="5"/>
    <x v="5"/>
    <n v="4449436681"/>
    <n v="113417208"/>
    <n v="464"/>
    <n v="64"/>
    <n v="528"/>
    <n v="409"/>
    <n v="937"/>
    <n v="121"/>
    <n v="140"/>
    <n v="25"/>
    <n v="48"/>
    <n v="1010"/>
    <n v="3604"/>
  </r>
  <r>
    <x v="12"/>
    <s v="ITA"/>
    <x v="6"/>
    <x v="6"/>
    <n v="456494354"/>
    <n v="1376813649"/>
    <n v="7"/>
    <n v="1"/>
    <n v="8"/>
    <n v="31"/>
    <n v="39"/>
    <n v="11"/>
    <n v="11"/>
    <n v="3"/>
    <n v="0"/>
    <n v="42"/>
    <n v="577"/>
  </r>
  <r>
    <x v="12"/>
    <s v="ITA"/>
    <x v="7"/>
    <x v="7"/>
    <n v="4189277044"/>
    <n v="1248366722"/>
    <n v="43"/>
    <n v="8"/>
    <n v="51"/>
    <n v="21"/>
    <n v="72"/>
    <n v="22"/>
    <n v="22"/>
    <n v="3"/>
    <n v="1"/>
    <n v="76"/>
    <n v="1582"/>
  </r>
  <r>
    <x v="12"/>
    <s v="ITA"/>
    <x v="8"/>
    <x v="8"/>
    <n v="4441149315"/>
    <n v="89326992"/>
    <n v="26"/>
    <n v="6"/>
    <n v="32"/>
    <n v="10"/>
    <n v="42"/>
    <n v="18"/>
    <n v="19"/>
    <n v="5"/>
    <n v="4"/>
    <n v="51"/>
    <n v="331"/>
  </r>
  <r>
    <x v="12"/>
    <s v="ITA"/>
    <x v="9"/>
    <x v="9"/>
    <n v="4546679409"/>
    <n v="9190347404"/>
    <n v="1661"/>
    <n v="359"/>
    <n v="2020"/>
    <n v="722"/>
    <n v="2742"/>
    <n v="734"/>
    <n v="808"/>
    <n v="524"/>
    <n v="154"/>
    <n v="3420"/>
    <n v="15778"/>
  </r>
  <r>
    <x v="12"/>
    <s v="ITA"/>
    <x v="10"/>
    <x v="10"/>
    <n v="4361675973"/>
    <n v="135188753"/>
    <n v="94"/>
    <n v="36"/>
    <n v="130"/>
    <n v="71"/>
    <n v="201"/>
    <n v="46"/>
    <n v="48"/>
    <n v="0"/>
    <n v="6"/>
    <n v="207"/>
    <n v="816"/>
  </r>
  <r>
    <x v="12"/>
    <s v="ITA"/>
    <x v="11"/>
    <x v="11"/>
    <n v="4155774754"/>
    <n v="1465916051"/>
    <n v="3"/>
    <n v="2"/>
    <n v="5"/>
    <n v="9"/>
    <n v="14"/>
    <n v="2"/>
    <n v="2"/>
    <n v="0"/>
    <n v="0"/>
    <n v="14"/>
    <n v="112"/>
  </r>
  <r>
    <x v="12"/>
    <s v="ITA"/>
    <x v="12"/>
    <x v="12"/>
    <n v="450732745"/>
    <n v="7680687483"/>
    <n v="110"/>
    <n v="38"/>
    <n v="148"/>
    <n v="54"/>
    <n v="202"/>
    <n v="63"/>
    <n v="64"/>
    <n v="0"/>
    <n v="5"/>
    <n v="207"/>
    <n v="1046"/>
  </r>
  <r>
    <x v="12"/>
    <s v="ITA"/>
    <x v="13"/>
    <x v="13"/>
    <n v="4112559576"/>
    <n v="1686736689"/>
    <n v="9"/>
    <n v="2"/>
    <n v="11"/>
    <n v="12"/>
    <n v="23"/>
    <n v="8"/>
    <n v="9"/>
    <n v="1"/>
    <n v="2"/>
    <n v="26"/>
    <n v="395"/>
  </r>
  <r>
    <x v="12"/>
    <s v="ITA"/>
    <x v="14"/>
    <x v="14"/>
    <n v="3921531192"/>
    <n v="9110616306"/>
    <n v="2"/>
    <n v="0"/>
    <n v="2"/>
    <n v="3"/>
    <n v="5"/>
    <n v="0"/>
    <n v="0"/>
    <n v="0"/>
    <n v="0"/>
    <n v="5"/>
    <n v="99"/>
  </r>
  <r>
    <x v="12"/>
    <s v="ITA"/>
    <x v="15"/>
    <x v="15"/>
    <n v="3811569725"/>
    <n v="133623567"/>
    <n v="8"/>
    <n v="0"/>
    <n v="8"/>
    <n v="25"/>
    <n v="33"/>
    <n v="11"/>
    <n v="11"/>
    <n v="2"/>
    <n v="0"/>
    <n v="35"/>
    <n v="643"/>
  </r>
  <r>
    <x v="12"/>
    <s v="ITA"/>
    <x v="16"/>
    <x v="16"/>
    <n v="4376923077"/>
    <n v="1125588885"/>
    <n v="54"/>
    <n v="7"/>
    <n v="61"/>
    <n v="51"/>
    <n v="112"/>
    <n v="34"/>
    <n v="34"/>
    <n v="1"/>
    <n v="0"/>
    <n v="113"/>
    <n v="1331"/>
  </r>
  <r>
    <x v="12"/>
    <s v="ITA"/>
    <x v="2"/>
    <x v="17"/>
    <n v="4606893511"/>
    <n v="1112123097"/>
    <n v="6"/>
    <n v="1"/>
    <n v="7"/>
    <n v="7"/>
    <n v="14"/>
    <n v="4"/>
    <n v="4"/>
    <n v="0"/>
    <n v="0"/>
    <n v="14"/>
    <n v="194"/>
  </r>
  <r>
    <x v="12"/>
    <s v="ITA"/>
    <x v="17"/>
    <x v="18"/>
    <n v="4310675841"/>
    <n v="1238824698"/>
    <n v="2"/>
    <n v="2"/>
    <n v="4"/>
    <n v="20"/>
    <n v="24"/>
    <n v="8"/>
    <n v="8"/>
    <n v="0"/>
    <n v="0"/>
    <n v="24"/>
    <n v="134"/>
  </r>
  <r>
    <x v="12"/>
    <s v="ITA"/>
    <x v="18"/>
    <x v="19"/>
    <n v="4573750286"/>
    <n v="7320149366"/>
    <n v="1"/>
    <n v="0"/>
    <n v="1"/>
    <n v="7"/>
    <n v="8"/>
    <n v="1"/>
    <n v="1"/>
    <n v="0"/>
    <n v="0"/>
    <n v="8"/>
    <n v="32"/>
  </r>
  <r>
    <x v="12"/>
    <s v="ITA"/>
    <x v="19"/>
    <x v="20"/>
    <n v="4543490485"/>
    <n v="1233845213"/>
    <n v="123"/>
    <n v="41"/>
    <n v="164"/>
    <n v="341"/>
    <n v="505"/>
    <n v="51"/>
    <n v="55"/>
    <n v="25"/>
    <n v="13"/>
    <n v="543"/>
    <n v="14429"/>
  </r>
  <r>
    <x v="13"/>
    <s v="ITA"/>
    <x v="0"/>
    <x v="0"/>
    <n v="4235122196"/>
    <n v="1339843823"/>
    <n v="14"/>
    <n v="0"/>
    <n v="14"/>
    <n v="3"/>
    <n v="17"/>
    <n v="6"/>
    <n v="6"/>
    <n v="0"/>
    <n v="0"/>
    <n v="17"/>
    <n v="163"/>
  </r>
  <r>
    <x v="13"/>
    <s v="ITA"/>
    <x v="1"/>
    <x v="1"/>
    <n v="4063947052"/>
    <n v="1580514834"/>
    <n v="2"/>
    <n v="0"/>
    <n v="2"/>
    <n v="2"/>
    <n v="4"/>
    <n v="1"/>
    <n v="1"/>
    <n v="0"/>
    <n v="0"/>
    <n v="4"/>
    <n v="123"/>
  </r>
  <r>
    <x v="13"/>
    <s v="ITA"/>
    <x v="2"/>
    <x v="2"/>
    <n v="4649933453"/>
    <n v="1135662422"/>
    <n v="8"/>
    <n v="0"/>
    <n v="8"/>
    <n v="1"/>
    <n v="9"/>
    <n v="0"/>
    <n v="0"/>
    <n v="0"/>
    <n v="0"/>
    <n v="9"/>
    <n v="36"/>
  </r>
  <r>
    <x v="13"/>
    <s v="ITA"/>
    <x v="3"/>
    <x v="3"/>
    <n v="3890597598"/>
    <n v="1659440194"/>
    <n v="5"/>
    <n v="0"/>
    <n v="5"/>
    <n v="4"/>
    <n v="9"/>
    <n v="5"/>
    <n v="5"/>
    <n v="0"/>
    <n v="0"/>
    <n v="9"/>
    <n v="113"/>
  </r>
  <r>
    <x v="13"/>
    <s v="ITA"/>
    <x v="4"/>
    <x v="4"/>
    <n v="4083956555"/>
    <n v="1425084984"/>
    <n v="30"/>
    <n v="7"/>
    <n v="37"/>
    <n v="63"/>
    <n v="100"/>
    <n v="39"/>
    <n v="40"/>
    <n v="1"/>
    <n v="0"/>
    <n v="101"/>
    <n v="980"/>
  </r>
  <r>
    <x v="13"/>
    <s v="ITA"/>
    <x v="5"/>
    <x v="5"/>
    <n v="4449436681"/>
    <n v="113417208"/>
    <n v="542"/>
    <n v="75"/>
    <n v="617"/>
    <n v="480"/>
    <n v="1097"/>
    <n v="160"/>
    <n v="170"/>
    <n v="27"/>
    <n v="56"/>
    <n v="1180"/>
    <n v="4344"/>
  </r>
  <r>
    <x v="13"/>
    <s v="ITA"/>
    <x v="6"/>
    <x v="6"/>
    <n v="456494354"/>
    <n v="1376813649"/>
    <n v="7"/>
    <n v="1"/>
    <n v="8"/>
    <n v="45"/>
    <n v="53"/>
    <n v="14"/>
    <n v="15"/>
    <n v="3"/>
    <n v="1"/>
    <n v="57"/>
    <n v="997"/>
  </r>
  <r>
    <x v="13"/>
    <s v="ITA"/>
    <x v="7"/>
    <x v="7"/>
    <n v="4189277044"/>
    <n v="1248366722"/>
    <n v="47"/>
    <n v="8"/>
    <n v="55"/>
    <n v="26"/>
    <n v="81"/>
    <n v="9"/>
    <n v="11"/>
    <n v="3"/>
    <n v="3"/>
    <n v="87"/>
    <n v="1929"/>
  </r>
  <r>
    <x v="13"/>
    <s v="ITA"/>
    <x v="8"/>
    <x v="8"/>
    <n v="4441149315"/>
    <n v="89326992"/>
    <n v="39"/>
    <n v="11"/>
    <n v="50"/>
    <n v="17"/>
    <n v="67"/>
    <n v="25"/>
    <n v="27"/>
    <n v="5"/>
    <n v="6"/>
    <n v="78"/>
    <n v="401"/>
  </r>
  <r>
    <x v="13"/>
    <s v="ITA"/>
    <x v="9"/>
    <x v="9"/>
    <n v="4546679409"/>
    <n v="9190347404"/>
    <n v="2217"/>
    <n v="399"/>
    <n v="2616"/>
    <n v="756"/>
    <n v="3372"/>
    <n v="630"/>
    <n v="769"/>
    <n v="550"/>
    <n v="267"/>
    <n v="4189"/>
    <n v="18534"/>
  </r>
  <r>
    <x v="13"/>
    <s v="ITA"/>
    <x v="10"/>
    <x v="10"/>
    <n v="4361675973"/>
    <n v="135188753"/>
    <n v="110"/>
    <n v="41"/>
    <n v="151"/>
    <n v="114"/>
    <n v="265"/>
    <n v="64"/>
    <n v="65"/>
    <n v="0"/>
    <n v="7"/>
    <n v="272"/>
    <n v="1025"/>
  </r>
  <r>
    <x v="13"/>
    <s v="ITA"/>
    <x v="11"/>
    <x v="11"/>
    <n v="4155774754"/>
    <n v="1465916051"/>
    <n v="4"/>
    <n v="2"/>
    <n v="6"/>
    <n v="8"/>
    <n v="14"/>
    <n v="0"/>
    <n v="0"/>
    <n v="0"/>
    <n v="0"/>
    <n v="14"/>
    <n v="116"/>
  </r>
  <r>
    <x v="13"/>
    <s v="ITA"/>
    <x v="12"/>
    <x v="12"/>
    <n v="450732745"/>
    <n v="7680687483"/>
    <n v="245"/>
    <n v="45"/>
    <n v="290"/>
    <n v="65"/>
    <n v="355"/>
    <n v="153"/>
    <n v="153"/>
    <n v="0"/>
    <n v="5"/>
    <n v="360"/>
    <n v="1636"/>
  </r>
  <r>
    <x v="13"/>
    <s v="ITA"/>
    <x v="13"/>
    <x v="13"/>
    <n v="4112559576"/>
    <n v="1686736689"/>
    <n v="17"/>
    <n v="3"/>
    <n v="20"/>
    <n v="16"/>
    <n v="36"/>
    <n v="13"/>
    <n v="14"/>
    <n v="1"/>
    <n v="3"/>
    <n v="40"/>
    <n v="627"/>
  </r>
  <r>
    <x v="13"/>
    <s v="ITA"/>
    <x v="14"/>
    <x v="14"/>
    <n v="3921531192"/>
    <n v="9110616306"/>
    <n v="5"/>
    <n v="0"/>
    <n v="5"/>
    <n v="6"/>
    <n v="11"/>
    <n v="6"/>
    <n v="6"/>
    <n v="0"/>
    <n v="0"/>
    <n v="11"/>
    <n v="149"/>
  </r>
  <r>
    <x v="13"/>
    <s v="ITA"/>
    <x v="15"/>
    <x v="15"/>
    <n v="3811569725"/>
    <n v="133623567"/>
    <n v="18"/>
    <n v="0"/>
    <n v="18"/>
    <n v="33"/>
    <n v="51"/>
    <n v="18"/>
    <n v="18"/>
    <n v="2"/>
    <n v="0"/>
    <n v="53"/>
    <n v="791"/>
  </r>
  <r>
    <x v="13"/>
    <s v="ITA"/>
    <x v="16"/>
    <x v="16"/>
    <n v="4376923077"/>
    <n v="1125588885"/>
    <n v="91"/>
    <n v="7"/>
    <n v="98"/>
    <n v="67"/>
    <n v="165"/>
    <n v="53"/>
    <n v="53"/>
    <n v="1"/>
    <n v="0"/>
    <n v="166"/>
    <n v="1618"/>
  </r>
  <r>
    <x v="13"/>
    <s v="ITA"/>
    <x v="2"/>
    <x v="17"/>
    <n v="4606893511"/>
    <n v="1112123097"/>
    <n v="7"/>
    <n v="2"/>
    <n v="9"/>
    <n v="14"/>
    <n v="23"/>
    <n v="9"/>
    <n v="9"/>
    <n v="0"/>
    <n v="0"/>
    <n v="23"/>
    <n v="228"/>
  </r>
  <r>
    <x v="13"/>
    <s v="ITA"/>
    <x v="17"/>
    <x v="18"/>
    <n v="4310675841"/>
    <n v="1238824698"/>
    <n v="2"/>
    <n v="2"/>
    <n v="4"/>
    <n v="22"/>
    <n v="26"/>
    <n v="2"/>
    <n v="2"/>
    <n v="0"/>
    <n v="0"/>
    <n v="26"/>
    <n v="168"/>
  </r>
  <r>
    <x v="13"/>
    <s v="ITA"/>
    <x v="18"/>
    <x v="19"/>
    <n v="4573750286"/>
    <n v="7320149366"/>
    <n v="1"/>
    <n v="0"/>
    <n v="1"/>
    <n v="8"/>
    <n v="9"/>
    <n v="1"/>
    <n v="1"/>
    <n v="0"/>
    <n v="0"/>
    <n v="9"/>
    <n v="41"/>
  </r>
  <r>
    <x v="13"/>
    <s v="ITA"/>
    <x v="19"/>
    <x v="20"/>
    <n v="4543490485"/>
    <n v="1233845213"/>
    <n v="146"/>
    <n v="47"/>
    <n v="193"/>
    <n v="430"/>
    <n v="623"/>
    <n v="118"/>
    <n v="127"/>
    <n v="29"/>
    <n v="18"/>
    <n v="670"/>
    <n v="15918"/>
  </r>
  <r>
    <x v="14"/>
    <s v="ITA"/>
    <x v="0"/>
    <x v="0"/>
    <n v="4235122196"/>
    <n v="1339843823"/>
    <n v="25"/>
    <n v="0"/>
    <n v="25"/>
    <n v="5"/>
    <n v="30"/>
    <n v="13"/>
    <n v="13"/>
    <n v="0"/>
    <n v="0"/>
    <n v="30"/>
    <n v="237"/>
  </r>
  <r>
    <x v="14"/>
    <s v="ITA"/>
    <x v="1"/>
    <x v="1"/>
    <n v="4063947052"/>
    <n v="1580514834"/>
    <n v="2"/>
    <n v="0"/>
    <n v="2"/>
    <n v="3"/>
    <n v="5"/>
    <n v="1"/>
    <n v="1"/>
    <n v="0"/>
    <n v="0"/>
    <n v="5"/>
    <n v="135"/>
  </r>
  <r>
    <x v="14"/>
    <s v="ITA"/>
    <x v="2"/>
    <x v="2"/>
    <n v="4649933453"/>
    <n v="1135662422"/>
    <n v="8"/>
    <n v="0"/>
    <n v="8"/>
    <n v="1"/>
    <n v="9"/>
    <n v="0"/>
    <n v="0"/>
    <n v="0"/>
    <n v="0"/>
    <n v="9"/>
    <n v="36"/>
  </r>
  <r>
    <x v="14"/>
    <s v="ITA"/>
    <x v="3"/>
    <x v="3"/>
    <n v="3890597598"/>
    <n v="1659440194"/>
    <n v="8"/>
    <n v="0"/>
    <n v="8"/>
    <n v="1"/>
    <n v="9"/>
    <n v="0"/>
    <n v="2"/>
    <n v="2"/>
    <n v="0"/>
    <n v="11"/>
    <n v="173"/>
  </r>
  <r>
    <x v="14"/>
    <s v="ITA"/>
    <x v="4"/>
    <x v="4"/>
    <n v="4083956555"/>
    <n v="1425084984"/>
    <n v="42"/>
    <n v="8"/>
    <n v="50"/>
    <n v="69"/>
    <n v="119"/>
    <n v="19"/>
    <n v="19"/>
    <n v="1"/>
    <n v="0"/>
    <n v="120"/>
    <n v="980"/>
  </r>
  <r>
    <x v="14"/>
    <s v="ITA"/>
    <x v="5"/>
    <x v="5"/>
    <n v="4449436681"/>
    <n v="113417208"/>
    <n v="576"/>
    <n v="90"/>
    <n v="666"/>
    <n v="620"/>
    <n v="1286"/>
    <n v="189"/>
    <n v="206"/>
    <n v="30"/>
    <n v="70"/>
    <n v="1386"/>
    <n v="4906"/>
  </r>
  <r>
    <x v="14"/>
    <s v="ITA"/>
    <x v="6"/>
    <x v="6"/>
    <n v="456494354"/>
    <n v="1376813649"/>
    <n v="18"/>
    <n v="1"/>
    <n v="19"/>
    <n v="70"/>
    <n v="89"/>
    <n v="36"/>
    <n v="36"/>
    <n v="3"/>
    <n v="1"/>
    <n v="93"/>
    <n v="1344"/>
  </r>
  <r>
    <x v="14"/>
    <s v="ITA"/>
    <x v="7"/>
    <x v="7"/>
    <n v="4189277044"/>
    <n v="1248366722"/>
    <n v="55"/>
    <n v="8"/>
    <n v="63"/>
    <n v="31"/>
    <n v="94"/>
    <n v="13"/>
    <n v="15"/>
    <n v="3"/>
    <n v="5"/>
    <n v="102"/>
    <n v="1929"/>
  </r>
  <r>
    <x v="14"/>
    <s v="ITA"/>
    <x v="8"/>
    <x v="8"/>
    <n v="4441149315"/>
    <n v="89326992"/>
    <n v="60"/>
    <n v="17"/>
    <n v="77"/>
    <n v="20"/>
    <n v="97"/>
    <n v="30"/>
    <n v="31"/>
    <n v="5"/>
    <n v="7"/>
    <n v="109"/>
    <n v="611"/>
  </r>
  <r>
    <x v="14"/>
    <s v="ITA"/>
    <x v="9"/>
    <x v="9"/>
    <n v="4546679409"/>
    <n v="9190347404"/>
    <n v="2802"/>
    <n v="440"/>
    <n v="3242"/>
    <n v="1248"/>
    <n v="4490"/>
    <n v="1118"/>
    <n v="1280"/>
    <n v="646"/>
    <n v="333"/>
    <n v="5469"/>
    <n v="20135"/>
  </r>
  <r>
    <x v="14"/>
    <s v="ITA"/>
    <x v="10"/>
    <x v="10"/>
    <n v="4361675973"/>
    <n v="135188753"/>
    <n v="136"/>
    <n v="47"/>
    <n v="183"/>
    <n v="130"/>
    <n v="313"/>
    <n v="48"/>
    <n v="51"/>
    <n v="0"/>
    <n v="10"/>
    <n v="323"/>
    <n v="1250"/>
  </r>
  <r>
    <x v="14"/>
    <s v="ITA"/>
    <x v="11"/>
    <x v="11"/>
    <n v="4155774754"/>
    <n v="1465916051"/>
    <n v="4"/>
    <n v="2"/>
    <n v="6"/>
    <n v="8"/>
    <n v="14"/>
    <n v="0"/>
    <n v="0"/>
    <n v="0"/>
    <n v="0"/>
    <n v="14"/>
    <n v="212"/>
  </r>
  <r>
    <x v="14"/>
    <s v="ITA"/>
    <x v="12"/>
    <x v="12"/>
    <n v="450732745"/>
    <n v="7680687483"/>
    <n v="222"/>
    <n v="50"/>
    <n v="272"/>
    <n v="65"/>
    <n v="337"/>
    <n v="-18"/>
    <n v="-10"/>
    <n v="0"/>
    <n v="13"/>
    <n v="350"/>
    <n v="1681"/>
  </r>
  <r>
    <x v="14"/>
    <s v="ITA"/>
    <x v="13"/>
    <x v="13"/>
    <n v="4112559576"/>
    <n v="1686736689"/>
    <n v="20"/>
    <n v="6"/>
    <n v="26"/>
    <n v="20"/>
    <n v="46"/>
    <n v="10"/>
    <n v="10"/>
    <n v="1"/>
    <n v="3"/>
    <n v="50"/>
    <n v="685"/>
  </r>
  <r>
    <x v="14"/>
    <s v="ITA"/>
    <x v="14"/>
    <x v="14"/>
    <n v="3921531192"/>
    <n v="9110616306"/>
    <n v="8"/>
    <n v="0"/>
    <n v="8"/>
    <n v="11"/>
    <n v="19"/>
    <n v="8"/>
    <n v="8"/>
    <n v="0"/>
    <n v="0"/>
    <n v="19"/>
    <n v="185"/>
  </r>
  <r>
    <x v="14"/>
    <s v="ITA"/>
    <x v="15"/>
    <x v="15"/>
    <n v="3811569725"/>
    <n v="133623567"/>
    <n v="19"/>
    <n v="0"/>
    <n v="19"/>
    <n v="33"/>
    <n v="52"/>
    <n v="1"/>
    <n v="1"/>
    <n v="2"/>
    <n v="0"/>
    <n v="54"/>
    <n v="836"/>
  </r>
  <r>
    <x v="14"/>
    <s v="ITA"/>
    <x v="16"/>
    <x v="16"/>
    <n v="4376923077"/>
    <n v="1125588885"/>
    <n v="107"/>
    <n v="9"/>
    <n v="116"/>
    <n v="90"/>
    <n v="206"/>
    <n v="41"/>
    <n v="42"/>
    <n v="1"/>
    <n v="1"/>
    <n v="208"/>
    <n v="2018"/>
  </r>
  <r>
    <x v="14"/>
    <s v="ITA"/>
    <x v="2"/>
    <x v="17"/>
    <n v="4606893511"/>
    <n v="1112123097"/>
    <n v="10"/>
    <n v="2"/>
    <n v="12"/>
    <n v="21"/>
    <n v="33"/>
    <n v="10"/>
    <n v="10"/>
    <n v="0"/>
    <n v="0"/>
    <n v="33"/>
    <n v="267"/>
  </r>
  <r>
    <x v="14"/>
    <s v="ITA"/>
    <x v="17"/>
    <x v="18"/>
    <n v="4310675841"/>
    <n v="1238824698"/>
    <n v="4"/>
    <n v="2"/>
    <n v="6"/>
    <n v="22"/>
    <n v="28"/>
    <n v="2"/>
    <n v="2"/>
    <n v="0"/>
    <n v="0"/>
    <n v="28"/>
    <n v="183"/>
  </r>
  <r>
    <x v="14"/>
    <s v="ITA"/>
    <x v="18"/>
    <x v="19"/>
    <n v="4573750286"/>
    <n v="7320149366"/>
    <n v="4"/>
    <n v="0"/>
    <n v="4"/>
    <n v="11"/>
    <n v="15"/>
    <n v="6"/>
    <n v="6"/>
    <n v="0"/>
    <n v="0"/>
    <n v="15"/>
    <n v="67"/>
  </r>
  <r>
    <x v="14"/>
    <s v="ITA"/>
    <x v="19"/>
    <x v="20"/>
    <n v="4543490485"/>
    <n v="1233845213"/>
    <n v="186"/>
    <n v="51"/>
    <n v="237"/>
    <n v="457"/>
    <n v="694"/>
    <n v="71"/>
    <n v="74"/>
    <n v="30"/>
    <n v="20"/>
    <n v="744"/>
    <n v="15956"/>
  </r>
  <r>
    <x v="15"/>
    <s v="ITA"/>
    <x v="0"/>
    <x v="0"/>
    <n v="4235122196"/>
    <n v="1339843823"/>
    <n v="17"/>
    <n v="9"/>
    <n v="26"/>
    <n v="11"/>
    <n v="37"/>
    <n v="7"/>
    <n v="8"/>
    <n v="0"/>
    <n v="1"/>
    <n v="38"/>
    <n v="310"/>
  </r>
  <r>
    <x v="15"/>
    <s v="ITA"/>
    <x v="1"/>
    <x v="1"/>
    <n v="4063947052"/>
    <n v="1580514834"/>
    <n v="2"/>
    <n v="0"/>
    <n v="2"/>
    <n v="5"/>
    <n v="7"/>
    <n v="2"/>
    <n v="2"/>
    <n v="0"/>
    <n v="0"/>
    <n v="7"/>
    <n v="148"/>
  </r>
  <r>
    <x v="15"/>
    <s v="ITA"/>
    <x v="2"/>
    <x v="2"/>
    <n v="4649933453"/>
    <n v="1135662422"/>
    <n v="17"/>
    <n v="1"/>
    <n v="18"/>
    <n v="20"/>
    <n v="38"/>
    <n v="29"/>
    <n v="29"/>
    <n v="0"/>
    <n v="0"/>
    <n v="38"/>
    <n v="36"/>
  </r>
  <r>
    <x v="15"/>
    <s v="ITA"/>
    <x v="3"/>
    <x v="3"/>
    <n v="3890597598"/>
    <n v="1659440194"/>
    <n v="8"/>
    <n v="2"/>
    <n v="10"/>
    <n v="1"/>
    <n v="11"/>
    <n v="2"/>
    <n v="2"/>
    <n v="2"/>
    <n v="0"/>
    <n v="13"/>
    <n v="360"/>
  </r>
  <r>
    <x v="15"/>
    <s v="ITA"/>
    <x v="4"/>
    <x v="4"/>
    <n v="4083956555"/>
    <n v="1425084984"/>
    <n v="33"/>
    <n v="8"/>
    <n v="41"/>
    <n v="85"/>
    <n v="126"/>
    <n v="7"/>
    <n v="7"/>
    <n v="1"/>
    <n v="0"/>
    <n v="127"/>
    <n v="1141"/>
  </r>
  <r>
    <x v="15"/>
    <s v="ITA"/>
    <x v="5"/>
    <x v="5"/>
    <n v="4449436681"/>
    <n v="113417208"/>
    <n v="669"/>
    <n v="98"/>
    <n v="767"/>
    <n v="650"/>
    <n v="1417"/>
    <n v="131"/>
    <n v="147"/>
    <n v="31"/>
    <n v="85"/>
    <n v="1533"/>
    <n v="5494"/>
  </r>
  <r>
    <x v="15"/>
    <s v="ITA"/>
    <x v="6"/>
    <x v="6"/>
    <n v="456494354"/>
    <n v="1376813649"/>
    <n v="27"/>
    <n v="6"/>
    <n v="33"/>
    <n v="77"/>
    <n v="110"/>
    <n v="21"/>
    <n v="23"/>
    <n v="3"/>
    <n v="3"/>
    <n v="116"/>
    <n v="1602"/>
  </r>
  <r>
    <x v="15"/>
    <s v="ITA"/>
    <x v="7"/>
    <x v="7"/>
    <n v="4189277044"/>
    <n v="1248366722"/>
    <n v="50"/>
    <n v="15"/>
    <n v="65"/>
    <n v="34"/>
    <n v="99"/>
    <n v="5"/>
    <n v="14"/>
    <n v="11"/>
    <n v="6"/>
    <n v="116"/>
    <n v="3591"/>
  </r>
  <r>
    <x v="15"/>
    <s v="ITA"/>
    <x v="8"/>
    <x v="8"/>
    <n v="4441149315"/>
    <n v="89326992"/>
    <n v="57"/>
    <n v="29"/>
    <n v="86"/>
    <n v="42"/>
    <n v="128"/>
    <n v="31"/>
    <n v="32"/>
    <n v="5"/>
    <n v="8"/>
    <n v="141"/>
    <n v="694"/>
  </r>
  <r>
    <x v="15"/>
    <s v="ITA"/>
    <x v="9"/>
    <x v="9"/>
    <n v="4546679409"/>
    <n v="9190347404"/>
    <n v="3319"/>
    <n v="466"/>
    <n v="3785"/>
    <n v="642"/>
    <n v="4427"/>
    <n v="-63"/>
    <n v="322"/>
    <n v="896"/>
    <n v="468"/>
    <n v="5791"/>
    <n v="21479"/>
  </r>
  <r>
    <x v="15"/>
    <s v="ITA"/>
    <x v="10"/>
    <x v="10"/>
    <n v="4361675973"/>
    <n v="135188753"/>
    <n v="152"/>
    <n v="54"/>
    <n v="206"/>
    <n v="175"/>
    <n v="381"/>
    <n v="68"/>
    <n v="71"/>
    <n v="0"/>
    <n v="13"/>
    <n v="394"/>
    <n v="1437"/>
  </r>
  <r>
    <x v="15"/>
    <s v="ITA"/>
    <x v="11"/>
    <x v="11"/>
    <n v="4155774754"/>
    <n v="1465916051"/>
    <n v="3"/>
    <n v="3"/>
    <n v="6"/>
    <n v="9"/>
    <n v="15"/>
    <n v="1"/>
    <n v="1"/>
    <n v="0"/>
    <n v="0"/>
    <n v="15"/>
    <n v="225"/>
  </r>
  <r>
    <x v="15"/>
    <s v="ITA"/>
    <x v="12"/>
    <x v="12"/>
    <n v="450732745"/>
    <n v="7680687483"/>
    <n v="306"/>
    <n v="66"/>
    <n v="372"/>
    <n v="64"/>
    <n v="436"/>
    <n v="99"/>
    <n v="103"/>
    <n v="0"/>
    <n v="17"/>
    <n v="453"/>
    <n v="2374"/>
  </r>
  <r>
    <x v="15"/>
    <s v="ITA"/>
    <x v="13"/>
    <x v="13"/>
    <n v="4112559576"/>
    <n v="1686736689"/>
    <n v="28"/>
    <n v="6"/>
    <n v="34"/>
    <n v="21"/>
    <n v="55"/>
    <n v="9"/>
    <n v="9"/>
    <n v="1"/>
    <n v="3"/>
    <n v="59"/>
    <n v="747"/>
  </r>
  <r>
    <x v="15"/>
    <s v="ITA"/>
    <x v="14"/>
    <x v="14"/>
    <n v="3921531192"/>
    <n v="9110616306"/>
    <n v="9"/>
    <n v="0"/>
    <n v="9"/>
    <n v="11"/>
    <n v="20"/>
    <n v="1"/>
    <n v="1"/>
    <n v="0"/>
    <n v="0"/>
    <n v="20"/>
    <n v="204"/>
  </r>
  <r>
    <x v="15"/>
    <s v="ITA"/>
    <x v="15"/>
    <x v="15"/>
    <n v="3811569725"/>
    <n v="133623567"/>
    <n v="17"/>
    <n v="2"/>
    <n v="19"/>
    <n v="41"/>
    <n v="60"/>
    <n v="8"/>
    <n v="8"/>
    <n v="2"/>
    <n v="0"/>
    <n v="62"/>
    <n v="955"/>
  </r>
  <r>
    <x v="15"/>
    <s v="ITA"/>
    <x v="16"/>
    <x v="16"/>
    <n v="4376923077"/>
    <n v="1125588885"/>
    <n v="91"/>
    <n v="40"/>
    <n v="131"/>
    <n v="129"/>
    <n v="260"/>
    <n v="54"/>
    <n v="56"/>
    <n v="3"/>
    <n v="1"/>
    <n v="264"/>
    <n v="2573"/>
  </r>
  <r>
    <x v="15"/>
    <s v="ITA"/>
    <x v="2"/>
    <x v="17"/>
    <n v="4606893511"/>
    <n v="1112123097"/>
    <n v="19"/>
    <n v="3"/>
    <n v="22"/>
    <n v="28"/>
    <n v="50"/>
    <n v="17"/>
    <n v="19"/>
    <n v="2"/>
    <n v="0"/>
    <n v="52"/>
    <n v="399"/>
  </r>
  <r>
    <x v="15"/>
    <s v="ITA"/>
    <x v="17"/>
    <x v="18"/>
    <n v="4310675841"/>
    <n v="1238824698"/>
    <n v="8"/>
    <n v="2"/>
    <n v="10"/>
    <n v="27"/>
    <n v="37"/>
    <n v="9"/>
    <n v="9"/>
    <n v="0"/>
    <n v="0"/>
    <n v="37"/>
    <n v="260"/>
  </r>
  <r>
    <x v="15"/>
    <s v="ITA"/>
    <x v="18"/>
    <x v="19"/>
    <n v="4573750286"/>
    <n v="7320149366"/>
    <n v="2"/>
    <n v="0"/>
    <n v="2"/>
    <n v="15"/>
    <n v="17"/>
    <n v="2"/>
    <n v="2"/>
    <n v="0"/>
    <n v="0"/>
    <n v="17"/>
    <n v="89"/>
  </r>
  <r>
    <x v="15"/>
    <s v="ITA"/>
    <x v="19"/>
    <x v="20"/>
    <n v="4543490485"/>
    <n v="1233845213"/>
    <n v="204"/>
    <n v="67"/>
    <n v="271"/>
    <n v="512"/>
    <n v="783"/>
    <n v="89"/>
    <n v="112"/>
    <n v="47"/>
    <n v="26"/>
    <n v="856"/>
    <n v="16643"/>
  </r>
  <r>
    <x v="16"/>
    <s v="ITA"/>
    <x v="0"/>
    <x v="0"/>
    <n v="4235122196"/>
    <n v="1339843823"/>
    <n v="17"/>
    <n v="9"/>
    <n v="26"/>
    <n v="11"/>
    <n v="37"/>
    <n v="0"/>
    <n v="0"/>
    <n v="0"/>
    <n v="1"/>
    <n v="38"/>
    <n v="310"/>
  </r>
  <r>
    <x v="16"/>
    <s v="ITA"/>
    <x v="1"/>
    <x v="1"/>
    <n v="4063947052"/>
    <n v="1580514834"/>
    <n v="1"/>
    <n v="1"/>
    <n v="2"/>
    <n v="6"/>
    <n v="8"/>
    <n v="1"/>
    <n v="1"/>
    <n v="0"/>
    <n v="0"/>
    <n v="8"/>
    <n v="155"/>
  </r>
  <r>
    <x v="16"/>
    <s v="ITA"/>
    <x v="2"/>
    <x v="2"/>
    <n v="4649933453"/>
    <n v="1135662422"/>
    <n v="8"/>
    <n v="4"/>
    <n v="12"/>
    <n v="63"/>
    <n v="75"/>
    <n v="37"/>
    <n v="37"/>
    <n v="0"/>
    <n v="0"/>
    <n v="75"/>
    <n v="75"/>
  </r>
  <r>
    <x v="16"/>
    <s v="ITA"/>
    <x v="3"/>
    <x v="3"/>
    <n v="3890597598"/>
    <n v="1659440194"/>
    <n v="10"/>
    <n v="2"/>
    <n v="12"/>
    <n v="5"/>
    <n v="17"/>
    <n v="6"/>
    <n v="6"/>
    <n v="2"/>
    <n v="0"/>
    <n v="19"/>
    <n v="405"/>
  </r>
  <r>
    <x v="16"/>
    <s v="ITA"/>
    <x v="4"/>
    <x v="4"/>
    <n v="4083956555"/>
    <n v="1425084984"/>
    <n v="56"/>
    <n v="11"/>
    <n v="67"/>
    <n v="82"/>
    <n v="149"/>
    <n v="23"/>
    <n v="27"/>
    <n v="4"/>
    <n v="1"/>
    <n v="154"/>
    <n v="1375"/>
  </r>
  <r>
    <x v="16"/>
    <s v="ITA"/>
    <x v="5"/>
    <x v="5"/>
    <n v="4449436681"/>
    <n v="113417208"/>
    <n v="745"/>
    <n v="104"/>
    <n v="849"/>
    <n v="739"/>
    <n v="1588"/>
    <n v="171"/>
    <n v="206"/>
    <n v="38"/>
    <n v="113"/>
    <n v="1739"/>
    <n v="6640"/>
  </r>
  <r>
    <x v="16"/>
    <s v="ITA"/>
    <x v="6"/>
    <x v="6"/>
    <n v="456494354"/>
    <n v="1376813649"/>
    <n v="16"/>
    <n v="5"/>
    <n v="21"/>
    <n v="89"/>
    <n v="110"/>
    <n v="0"/>
    <n v="10"/>
    <n v="10"/>
    <n v="6"/>
    <n v="126"/>
    <n v="2073"/>
  </r>
  <r>
    <x v="16"/>
    <s v="ITA"/>
    <x v="7"/>
    <x v="7"/>
    <n v="4189277044"/>
    <n v="1248366722"/>
    <n v="67"/>
    <n v="18"/>
    <n v="85"/>
    <n v="40"/>
    <n v="125"/>
    <n v="26"/>
    <n v="34"/>
    <n v="19"/>
    <n v="6"/>
    <n v="150"/>
    <n v="3591"/>
  </r>
  <r>
    <x v="16"/>
    <s v="ITA"/>
    <x v="8"/>
    <x v="8"/>
    <n v="4441149315"/>
    <n v="89326992"/>
    <n v="74"/>
    <n v="34"/>
    <n v="108"/>
    <n v="73"/>
    <n v="181"/>
    <n v="53"/>
    <n v="53"/>
    <n v="5"/>
    <n v="8"/>
    <n v="194"/>
    <n v="1025"/>
  </r>
  <r>
    <x v="16"/>
    <s v="ITA"/>
    <x v="9"/>
    <x v="9"/>
    <n v="4546679409"/>
    <n v="9190347404"/>
    <n v="3852"/>
    <n v="560"/>
    <n v="4412"/>
    <n v="1351"/>
    <n v="5763"/>
    <n v="1336"/>
    <n v="1489"/>
    <n v="900"/>
    <n v="617"/>
    <n v="7280"/>
    <n v="25629"/>
  </r>
  <r>
    <x v="16"/>
    <s v="ITA"/>
    <x v="10"/>
    <x v="10"/>
    <n v="4361675973"/>
    <n v="135188753"/>
    <n v="212"/>
    <n v="66"/>
    <n v="278"/>
    <n v="183"/>
    <n v="461"/>
    <n v="80"/>
    <n v="85"/>
    <n v="0"/>
    <n v="18"/>
    <n v="479"/>
    <n v="1656"/>
  </r>
  <r>
    <x v="16"/>
    <s v="ITA"/>
    <x v="11"/>
    <x v="11"/>
    <n v="4155774754"/>
    <n v="1465916051"/>
    <n v="4"/>
    <n v="3"/>
    <n v="7"/>
    <n v="9"/>
    <n v="16"/>
    <n v="1"/>
    <n v="1"/>
    <n v="0"/>
    <n v="0"/>
    <n v="16"/>
    <n v="233"/>
  </r>
  <r>
    <x v="16"/>
    <s v="ITA"/>
    <x v="12"/>
    <x v="12"/>
    <n v="450732745"/>
    <n v="7680687483"/>
    <n v="319"/>
    <n v="75"/>
    <n v="394"/>
    <n v="86"/>
    <n v="480"/>
    <n v="44"/>
    <n v="48"/>
    <n v="0"/>
    <n v="21"/>
    <n v="501"/>
    <n v="2431"/>
  </r>
  <r>
    <x v="16"/>
    <s v="ITA"/>
    <x v="13"/>
    <x v="13"/>
    <n v="4112559576"/>
    <n v="1686736689"/>
    <n v="38"/>
    <n v="4"/>
    <n v="42"/>
    <n v="29"/>
    <n v="71"/>
    <n v="16"/>
    <n v="18"/>
    <n v="1"/>
    <n v="5"/>
    <n v="77"/>
    <n v="909"/>
  </r>
  <r>
    <x v="16"/>
    <s v="ITA"/>
    <x v="14"/>
    <x v="14"/>
    <n v="3921531192"/>
    <n v="9110616306"/>
    <n v="10"/>
    <n v="0"/>
    <n v="10"/>
    <n v="27"/>
    <n v="37"/>
    <n v="17"/>
    <n v="17"/>
    <n v="0"/>
    <n v="0"/>
    <n v="37"/>
    <n v="283"/>
  </r>
  <r>
    <x v="16"/>
    <s v="ITA"/>
    <x v="15"/>
    <x v="15"/>
    <n v="3811569725"/>
    <n v="133623567"/>
    <n v="23"/>
    <n v="1"/>
    <n v="24"/>
    <n v="57"/>
    <n v="81"/>
    <n v="21"/>
    <n v="21"/>
    <n v="2"/>
    <n v="0"/>
    <n v="83"/>
    <n v="1194"/>
  </r>
  <r>
    <x v="16"/>
    <s v="ITA"/>
    <x v="16"/>
    <x v="16"/>
    <n v="4376923077"/>
    <n v="1125588885"/>
    <n v="87"/>
    <n v="54"/>
    <n v="141"/>
    <n v="173"/>
    <n v="314"/>
    <n v="54"/>
    <n v="56"/>
    <n v="5"/>
    <n v="1"/>
    <n v="320"/>
    <n v="2804"/>
  </r>
  <r>
    <x v="16"/>
    <s v="ITA"/>
    <x v="2"/>
    <x v="17"/>
    <n v="4606893511"/>
    <n v="1112123097"/>
    <n v="28"/>
    <n v="4"/>
    <n v="32"/>
    <n v="42"/>
    <n v="74"/>
    <n v="24"/>
    <n v="25"/>
    <n v="3"/>
    <n v="0"/>
    <n v="77"/>
    <n v="527"/>
  </r>
  <r>
    <x v="16"/>
    <s v="ITA"/>
    <x v="17"/>
    <x v="18"/>
    <n v="4310675841"/>
    <n v="1238824698"/>
    <n v="7"/>
    <n v="5"/>
    <n v="12"/>
    <n v="32"/>
    <n v="44"/>
    <n v="7"/>
    <n v="9"/>
    <n v="2"/>
    <n v="0"/>
    <n v="46"/>
    <n v="340"/>
  </r>
  <r>
    <x v="16"/>
    <s v="ITA"/>
    <x v="18"/>
    <x v="19"/>
    <n v="4573750286"/>
    <n v="7320149366"/>
    <n v="2"/>
    <n v="0"/>
    <n v="2"/>
    <n v="17"/>
    <n v="19"/>
    <n v="2"/>
    <n v="3"/>
    <n v="0"/>
    <n v="1"/>
    <n v="20"/>
    <n v="99"/>
  </r>
  <r>
    <x v="16"/>
    <s v="ITA"/>
    <x v="19"/>
    <x v="20"/>
    <n v="4543490485"/>
    <n v="1233845213"/>
    <n v="262"/>
    <n v="68"/>
    <n v="330"/>
    <n v="610"/>
    <n v="940"/>
    <n v="157"/>
    <n v="167"/>
    <n v="54"/>
    <n v="29"/>
    <n v="1023"/>
    <n v="21400"/>
  </r>
  <r>
    <x v="17"/>
    <s v="ITA"/>
    <x v="0"/>
    <x v="0"/>
    <n v="4235122196"/>
    <n v="1339843823"/>
    <n v="47"/>
    <n v="12"/>
    <n v="59"/>
    <n v="19"/>
    <n v="78"/>
    <n v="41"/>
    <n v="46"/>
    <n v="4"/>
    <n v="2"/>
    <n v="84"/>
    <n v="867"/>
  </r>
  <r>
    <x v="17"/>
    <s v="ITA"/>
    <x v="1"/>
    <x v="1"/>
    <n v="4063947052"/>
    <n v="1580514834"/>
    <n v="1"/>
    <n v="1"/>
    <n v="2"/>
    <n v="6"/>
    <n v="8"/>
    <n v="0"/>
    <n v="0"/>
    <n v="0"/>
    <n v="0"/>
    <n v="8"/>
    <n v="155"/>
  </r>
  <r>
    <x v="17"/>
    <s v="ITA"/>
    <x v="2"/>
    <x v="2"/>
    <n v="4649933453"/>
    <n v="1135662422"/>
    <n v="21"/>
    <n v="4"/>
    <n v="25"/>
    <n v="78"/>
    <n v="103"/>
    <n v="28"/>
    <n v="29"/>
    <n v="0"/>
    <n v="1"/>
    <n v="104"/>
    <n v="607"/>
  </r>
  <r>
    <x v="17"/>
    <s v="ITA"/>
    <x v="3"/>
    <x v="3"/>
    <n v="3890597598"/>
    <n v="1659440194"/>
    <n v="14"/>
    <n v="2"/>
    <n v="16"/>
    <n v="16"/>
    <n v="32"/>
    <n v="15"/>
    <n v="14"/>
    <n v="1"/>
    <n v="0"/>
    <n v="33"/>
    <n v="483"/>
  </r>
  <r>
    <x v="17"/>
    <s v="ITA"/>
    <x v="4"/>
    <x v="4"/>
    <n v="4083956555"/>
    <n v="1425084984"/>
    <n v="56"/>
    <n v="11"/>
    <n v="67"/>
    <n v="107"/>
    <n v="174"/>
    <n v="25"/>
    <n v="25"/>
    <n v="4"/>
    <n v="1"/>
    <n v="179"/>
    <n v="1551"/>
  </r>
  <r>
    <x v="17"/>
    <s v="ITA"/>
    <x v="5"/>
    <x v="5"/>
    <n v="4449436681"/>
    <n v="113417208"/>
    <n v="814"/>
    <n v="112"/>
    <n v="926"/>
    <n v="832"/>
    <n v="1758"/>
    <n v="170"/>
    <n v="208"/>
    <n v="43"/>
    <n v="146"/>
    <n v="1947"/>
    <n v="7600"/>
  </r>
  <r>
    <x v="17"/>
    <s v="ITA"/>
    <x v="6"/>
    <x v="6"/>
    <n v="456494354"/>
    <n v="1376813649"/>
    <n v="23"/>
    <n v="10"/>
    <n v="33"/>
    <n v="115"/>
    <n v="148"/>
    <n v="38"/>
    <n v="41"/>
    <n v="11"/>
    <n v="8"/>
    <n v="167"/>
    <n v="2604"/>
  </r>
  <r>
    <x v="17"/>
    <s v="ITA"/>
    <x v="7"/>
    <x v="7"/>
    <n v="4189277044"/>
    <n v="1248366722"/>
    <n v="85"/>
    <n v="20"/>
    <n v="105"/>
    <n v="67"/>
    <n v="172"/>
    <n v="47"/>
    <n v="50"/>
    <n v="19"/>
    <n v="9"/>
    <n v="200"/>
    <n v="5592"/>
  </r>
  <r>
    <x v="17"/>
    <s v="ITA"/>
    <x v="8"/>
    <x v="8"/>
    <n v="4441149315"/>
    <n v="89326992"/>
    <n v="100"/>
    <n v="36"/>
    <n v="136"/>
    <n v="107"/>
    <n v="243"/>
    <n v="62"/>
    <n v="80"/>
    <n v="20"/>
    <n v="11"/>
    <n v="274"/>
    <n v="1174"/>
  </r>
  <r>
    <x v="17"/>
    <s v="ITA"/>
    <x v="9"/>
    <x v="9"/>
    <n v="4546679409"/>
    <n v="9190347404"/>
    <n v="4247"/>
    <n v="605"/>
    <n v="4852"/>
    <n v="2044"/>
    <n v="6896"/>
    <n v="1133"/>
    <n v="1445"/>
    <n v="1085"/>
    <n v="744"/>
    <n v="8725"/>
    <n v="29534"/>
  </r>
  <r>
    <x v="17"/>
    <s v="ITA"/>
    <x v="10"/>
    <x v="10"/>
    <n v="4361675973"/>
    <n v="135188753"/>
    <n v="254"/>
    <n v="76"/>
    <n v="330"/>
    <n v="240"/>
    <n v="570"/>
    <n v="109"/>
    <n v="113"/>
    <n v="0"/>
    <n v="22"/>
    <n v="592"/>
    <n v="1907"/>
  </r>
  <r>
    <x v="17"/>
    <s v="ITA"/>
    <x v="11"/>
    <x v="11"/>
    <n v="4155774754"/>
    <n v="1465916051"/>
    <n v="4"/>
    <n v="3"/>
    <n v="7"/>
    <n v="9"/>
    <n v="16"/>
    <n v="0"/>
    <n v="0"/>
    <n v="0"/>
    <n v="0"/>
    <n v="16"/>
    <n v="238"/>
  </r>
  <r>
    <x v="17"/>
    <s v="ITA"/>
    <x v="12"/>
    <x v="12"/>
    <n v="450732745"/>
    <n v="7680687483"/>
    <n v="368"/>
    <n v="97"/>
    <n v="465"/>
    <n v="89"/>
    <n v="554"/>
    <n v="74"/>
    <n v="79"/>
    <n v="0"/>
    <n v="26"/>
    <n v="580"/>
    <n v="2879"/>
  </r>
  <r>
    <x v="17"/>
    <s v="ITA"/>
    <x v="13"/>
    <x v="13"/>
    <n v="4112559576"/>
    <n v="1686736689"/>
    <n v="58"/>
    <n v="2"/>
    <n v="60"/>
    <n v="38"/>
    <n v="98"/>
    <n v="27"/>
    <n v="27"/>
    <n v="1"/>
    <n v="5"/>
    <n v="104"/>
    <n v="1269"/>
  </r>
  <r>
    <x v="17"/>
    <s v="ITA"/>
    <x v="14"/>
    <x v="14"/>
    <n v="3921531192"/>
    <n v="9110616306"/>
    <n v="12"/>
    <n v="0"/>
    <n v="12"/>
    <n v="27"/>
    <n v="39"/>
    <n v="2"/>
    <n v="2"/>
    <n v="0"/>
    <n v="0"/>
    <n v="39"/>
    <n v="302"/>
  </r>
  <r>
    <x v="17"/>
    <s v="ITA"/>
    <x v="15"/>
    <x v="15"/>
    <n v="3811569725"/>
    <n v="133623567"/>
    <n v="28"/>
    <n v="5"/>
    <n v="33"/>
    <n v="78"/>
    <n v="111"/>
    <n v="30"/>
    <n v="32"/>
    <n v="2"/>
    <n v="2"/>
    <n v="115"/>
    <n v="1477"/>
  </r>
  <r>
    <x v="17"/>
    <s v="ITA"/>
    <x v="16"/>
    <x v="16"/>
    <n v="4376923077"/>
    <n v="1125588885"/>
    <n v="100"/>
    <n v="59"/>
    <n v="159"/>
    <n v="193"/>
    <n v="352"/>
    <n v="38"/>
    <n v="44"/>
    <n v="7"/>
    <n v="5"/>
    <n v="364"/>
    <n v="3165"/>
  </r>
  <r>
    <x v="17"/>
    <s v="ITA"/>
    <x v="2"/>
    <x v="17"/>
    <n v="4606893511"/>
    <n v="1112123097"/>
    <n v="43"/>
    <n v="5"/>
    <n v="48"/>
    <n v="54"/>
    <n v="102"/>
    <n v="28"/>
    <n v="30"/>
    <n v="4"/>
    <n v="1"/>
    <n v="107"/>
    <n v="593"/>
  </r>
  <r>
    <x v="17"/>
    <s v="ITA"/>
    <x v="17"/>
    <x v="18"/>
    <n v="4310675841"/>
    <n v="1238824698"/>
    <n v="8"/>
    <n v="8"/>
    <n v="16"/>
    <n v="46"/>
    <n v="62"/>
    <n v="18"/>
    <n v="18"/>
    <n v="2"/>
    <n v="0"/>
    <n v="64"/>
    <n v="458"/>
  </r>
  <r>
    <x v="17"/>
    <s v="ITA"/>
    <x v="18"/>
    <x v="19"/>
    <n v="4573750286"/>
    <n v="7320149366"/>
    <n v="7"/>
    <n v="0"/>
    <n v="7"/>
    <n v="19"/>
    <n v="26"/>
    <n v="7"/>
    <n v="7"/>
    <n v="0"/>
    <n v="1"/>
    <n v="27"/>
    <n v="118"/>
  </r>
  <r>
    <x v="17"/>
    <s v="ITA"/>
    <x v="19"/>
    <x v="20"/>
    <n v="4543490485"/>
    <n v="1233845213"/>
    <n v="360"/>
    <n v="85"/>
    <n v="445"/>
    <n v="852"/>
    <n v="1297"/>
    <n v="357"/>
    <n v="361"/>
    <n v="55"/>
    <n v="32"/>
    <n v="1384"/>
    <n v="23438"/>
  </r>
  <r>
    <x v="18"/>
    <s v="ITA"/>
    <x v="0"/>
    <x v="0"/>
    <n v="4235122196"/>
    <n v="1339843823"/>
    <n v="42"/>
    <n v="14"/>
    <n v="56"/>
    <n v="27"/>
    <n v="83"/>
    <n v="5"/>
    <n v="5"/>
    <n v="4"/>
    <n v="2"/>
    <n v="89"/>
    <n v="958"/>
  </r>
  <r>
    <x v="18"/>
    <s v="ITA"/>
    <x v="1"/>
    <x v="1"/>
    <n v="4063947052"/>
    <n v="1580514834"/>
    <n v="1"/>
    <n v="1"/>
    <n v="2"/>
    <n v="8"/>
    <n v="10"/>
    <n v="2"/>
    <n v="2"/>
    <n v="0"/>
    <n v="0"/>
    <n v="10"/>
    <n v="155"/>
  </r>
  <r>
    <x v="18"/>
    <s v="ITA"/>
    <x v="2"/>
    <x v="2"/>
    <n v="4649933453"/>
    <n v="1135662422"/>
    <n v="20"/>
    <n v="5"/>
    <n v="25"/>
    <n v="98"/>
    <n v="123"/>
    <n v="20"/>
    <n v="21"/>
    <n v="0"/>
    <n v="2"/>
    <n v="125"/>
    <n v="811"/>
  </r>
  <r>
    <x v="18"/>
    <s v="ITA"/>
    <x v="3"/>
    <x v="3"/>
    <n v="3890597598"/>
    <n v="1659440194"/>
    <n v="18"/>
    <n v="3"/>
    <n v="21"/>
    <n v="16"/>
    <n v="37"/>
    <n v="5"/>
    <n v="5"/>
    <n v="1"/>
    <n v="0"/>
    <n v="38"/>
    <n v="504"/>
  </r>
  <r>
    <x v="18"/>
    <s v="ITA"/>
    <x v="4"/>
    <x v="4"/>
    <n v="4083956555"/>
    <n v="1425084984"/>
    <n v="60"/>
    <n v="19"/>
    <n v="79"/>
    <n v="134"/>
    <n v="213"/>
    <n v="39"/>
    <n v="41"/>
    <n v="5"/>
    <n v="2"/>
    <n v="220"/>
    <n v="1671"/>
  </r>
  <r>
    <x v="18"/>
    <s v="ITA"/>
    <x v="5"/>
    <x v="5"/>
    <n v="4449436681"/>
    <n v="113417208"/>
    <n v="942"/>
    <n v="128"/>
    <n v="1070"/>
    <n v="941"/>
    <n v="2011"/>
    <n v="253"/>
    <n v="316"/>
    <n v="51"/>
    <n v="201"/>
    <n v="2263"/>
    <n v="8787"/>
  </r>
  <r>
    <x v="18"/>
    <s v="ITA"/>
    <x v="6"/>
    <x v="6"/>
    <n v="456494354"/>
    <n v="1376813649"/>
    <n v="59"/>
    <n v="8"/>
    <n v="67"/>
    <n v="169"/>
    <n v="236"/>
    <n v="88"/>
    <n v="90"/>
    <n v="11"/>
    <n v="10"/>
    <n v="257"/>
    <n v="3149"/>
  </r>
  <r>
    <x v="18"/>
    <s v="ITA"/>
    <x v="7"/>
    <x v="7"/>
    <n v="4189277044"/>
    <n v="1248366722"/>
    <n v="122"/>
    <n v="24"/>
    <n v="146"/>
    <n v="96"/>
    <n v="242"/>
    <n v="70"/>
    <n v="77"/>
    <n v="24"/>
    <n v="11"/>
    <n v="277"/>
    <n v="6491"/>
  </r>
  <r>
    <x v="18"/>
    <s v="ITA"/>
    <x v="8"/>
    <x v="8"/>
    <n v="4441149315"/>
    <n v="89326992"/>
    <n v="128"/>
    <n v="44"/>
    <n v="172"/>
    <n v="132"/>
    <n v="304"/>
    <n v="61"/>
    <n v="71"/>
    <n v="24"/>
    <n v="17"/>
    <n v="345"/>
    <n v="1442"/>
  </r>
  <r>
    <x v="18"/>
    <s v="ITA"/>
    <x v="9"/>
    <x v="9"/>
    <n v="4546679409"/>
    <n v="9190347404"/>
    <n v="4435"/>
    <n v="650"/>
    <n v="5085"/>
    <n v="2647"/>
    <n v="7732"/>
    <n v="836"/>
    <n v="1095"/>
    <n v="1198"/>
    <n v="890"/>
    <n v="9820"/>
    <n v="32700"/>
  </r>
  <r>
    <x v="18"/>
    <s v="ITA"/>
    <x v="10"/>
    <x v="10"/>
    <n v="4361675973"/>
    <n v="135188753"/>
    <n v="337"/>
    <n v="85"/>
    <n v="422"/>
    <n v="276"/>
    <n v="698"/>
    <n v="128"/>
    <n v="133"/>
    <n v="0"/>
    <n v="27"/>
    <n v="725"/>
    <n v="2218"/>
  </r>
  <r>
    <x v="18"/>
    <s v="ITA"/>
    <x v="11"/>
    <x v="11"/>
    <n v="4155774754"/>
    <n v="1465916051"/>
    <n v="5"/>
    <n v="3"/>
    <n v="8"/>
    <n v="9"/>
    <n v="17"/>
    <n v="1"/>
    <n v="1"/>
    <n v="0"/>
    <n v="0"/>
    <n v="17"/>
    <n v="243"/>
  </r>
  <r>
    <x v="18"/>
    <s v="ITA"/>
    <x v="12"/>
    <x v="12"/>
    <n v="450732745"/>
    <n v="7680687483"/>
    <n v="556"/>
    <n v="135"/>
    <n v="691"/>
    <n v="103"/>
    <n v="794"/>
    <n v="240"/>
    <n v="260"/>
    <n v="0"/>
    <n v="46"/>
    <n v="840"/>
    <n v="3105"/>
  </r>
  <r>
    <x v="18"/>
    <s v="ITA"/>
    <x v="13"/>
    <x v="13"/>
    <n v="4112559576"/>
    <n v="1686736689"/>
    <n v="77"/>
    <n v="2"/>
    <n v="79"/>
    <n v="42"/>
    <n v="121"/>
    <n v="23"/>
    <n v="25"/>
    <n v="3"/>
    <n v="5"/>
    <n v="129"/>
    <n v="1449"/>
  </r>
  <r>
    <x v="18"/>
    <s v="ITA"/>
    <x v="14"/>
    <x v="14"/>
    <n v="3921531192"/>
    <n v="9110616306"/>
    <n v="12"/>
    <n v="0"/>
    <n v="12"/>
    <n v="31"/>
    <n v="43"/>
    <n v="4"/>
    <n v="4"/>
    <n v="0"/>
    <n v="0"/>
    <n v="43"/>
    <n v="504"/>
  </r>
  <r>
    <x v="18"/>
    <s v="ITA"/>
    <x v="15"/>
    <x v="15"/>
    <n v="3811569725"/>
    <n v="133623567"/>
    <n v="37"/>
    <n v="7"/>
    <n v="44"/>
    <n v="82"/>
    <n v="126"/>
    <n v="15"/>
    <n v="15"/>
    <n v="2"/>
    <n v="2"/>
    <n v="130"/>
    <n v="1950"/>
  </r>
  <r>
    <x v="18"/>
    <s v="ITA"/>
    <x v="16"/>
    <x v="16"/>
    <n v="4376923077"/>
    <n v="1125588885"/>
    <n v="134"/>
    <n v="77"/>
    <n v="211"/>
    <n v="244"/>
    <n v="455"/>
    <n v="103"/>
    <n v="106"/>
    <n v="10"/>
    <n v="5"/>
    <n v="470"/>
    <n v="4049"/>
  </r>
  <r>
    <x v="18"/>
    <s v="ITA"/>
    <x v="2"/>
    <x v="17"/>
    <n v="4606893511"/>
    <n v="1112123097"/>
    <n v="58"/>
    <n v="6"/>
    <n v="64"/>
    <n v="93"/>
    <n v="157"/>
    <n v="55"/>
    <n v="56"/>
    <n v="4"/>
    <n v="2"/>
    <n v="163"/>
    <n v="846"/>
  </r>
  <r>
    <x v="18"/>
    <s v="ITA"/>
    <x v="17"/>
    <x v="18"/>
    <n v="4310675841"/>
    <n v="1238824698"/>
    <n v="11"/>
    <n v="10"/>
    <n v="21"/>
    <n v="52"/>
    <n v="73"/>
    <n v="11"/>
    <n v="12"/>
    <n v="2"/>
    <n v="1"/>
    <n v="76"/>
    <n v="576"/>
  </r>
  <r>
    <x v="18"/>
    <s v="ITA"/>
    <x v="18"/>
    <x v="19"/>
    <n v="4573750286"/>
    <n v="7320149366"/>
    <n v="6"/>
    <n v="0"/>
    <n v="6"/>
    <n v="21"/>
    <n v="27"/>
    <n v="1"/>
    <n v="1"/>
    <n v="0"/>
    <n v="1"/>
    <n v="28"/>
    <n v="189"/>
  </r>
  <r>
    <x v="18"/>
    <s v="ITA"/>
    <x v="19"/>
    <x v="20"/>
    <n v="4543490485"/>
    <n v="1233845213"/>
    <n v="366"/>
    <n v="107"/>
    <n v="473"/>
    <n v="980"/>
    <n v="1453"/>
    <n v="156"/>
    <n v="211"/>
    <n v="100"/>
    <n v="42"/>
    <n v="1595"/>
    <n v="25691"/>
  </r>
  <r>
    <x v="19"/>
    <s v="ITA"/>
    <x v="0"/>
    <x v="0"/>
    <n v="4235122196"/>
    <n v="1339843823"/>
    <n v="51"/>
    <n v="14"/>
    <n v="65"/>
    <n v="41"/>
    <n v="106"/>
    <n v="23"/>
    <n v="23"/>
    <n v="4"/>
    <n v="2"/>
    <n v="112"/>
    <n v="1232"/>
  </r>
  <r>
    <x v="19"/>
    <s v="ITA"/>
    <x v="1"/>
    <x v="1"/>
    <n v="4063947052"/>
    <n v="1580514834"/>
    <n v="0"/>
    <n v="2"/>
    <n v="2"/>
    <n v="8"/>
    <n v="10"/>
    <n v="0"/>
    <n v="0"/>
    <n v="0"/>
    <n v="0"/>
    <n v="10"/>
    <n v="155"/>
  </r>
  <r>
    <x v="19"/>
    <s v="ITA"/>
    <x v="2"/>
    <x v="2"/>
    <n v="4649933453"/>
    <n v="1135662422"/>
    <n v="26"/>
    <n v="7"/>
    <n v="33"/>
    <n v="137"/>
    <n v="170"/>
    <n v="47"/>
    <n v="48"/>
    <n v="0"/>
    <n v="3"/>
    <n v="173"/>
    <n v="1135"/>
  </r>
  <r>
    <x v="19"/>
    <s v="ITA"/>
    <x v="3"/>
    <x v="3"/>
    <n v="3890597598"/>
    <n v="1659440194"/>
    <n v="22"/>
    <n v="4"/>
    <n v="26"/>
    <n v="33"/>
    <n v="59"/>
    <n v="22"/>
    <n v="22"/>
    <n v="1"/>
    <n v="0"/>
    <n v="60"/>
    <n v="711"/>
  </r>
  <r>
    <x v="19"/>
    <s v="ITA"/>
    <x v="4"/>
    <x v="4"/>
    <n v="4083956555"/>
    <n v="1425084984"/>
    <n v="72"/>
    <n v="17"/>
    <n v="89"/>
    <n v="154"/>
    <n v="243"/>
    <n v="30"/>
    <n v="52"/>
    <n v="23"/>
    <n v="6"/>
    <n v="272"/>
    <n v="1936"/>
  </r>
  <r>
    <x v="19"/>
    <s v="ITA"/>
    <x v="5"/>
    <x v="5"/>
    <n v="4449436681"/>
    <n v="113417208"/>
    <n v="1076"/>
    <n v="152"/>
    <n v="1228"/>
    <n v="1121"/>
    <n v="2349"/>
    <n v="338"/>
    <n v="381"/>
    <n v="54"/>
    <n v="241"/>
    <n v="2644"/>
    <n v="10043"/>
  </r>
  <r>
    <x v="19"/>
    <s v="ITA"/>
    <x v="6"/>
    <x v="6"/>
    <n v="456494354"/>
    <n v="1376813649"/>
    <n v="67"/>
    <n v="11"/>
    <n v="78"/>
    <n v="193"/>
    <n v="271"/>
    <n v="35"/>
    <n v="44"/>
    <n v="17"/>
    <n v="13"/>
    <n v="301"/>
    <n v="3376"/>
  </r>
  <r>
    <x v="19"/>
    <s v="ITA"/>
    <x v="7"/>
    <x v="7"/>
    <n v="4189277044"/>
    <n v="1248366722"/>
    <n v="181"/>
    <n v="25"/>
    <n v="206"/>
    <n v="114"/>
    <n v="320"/>
    <n v="78"/>
    <n v="80"/>
    <n v="24"/>
    <n v="13"/>
    <n v="357"/>
    <n v="7335"/>
  </r>
  <r>
    <x v="19"/>
    <s v="ITA"/>
    <x v="8"/>
    <x v="8"/>
    <n v="4441149315"/>
    <n v="89326992"/>
    <n v="213"/>
    <n v="62"/>
    <n v="275"/>
    <n v="109"/>
    <n v="384"/>
    <n v="80"/>
    <n v="118"/>
    <n v="52"/>
    <n v="27"/>
    <n v="463"/>
    <n v="1750"/>
  </r>
  <r>
    <x v="19"/>
    <s v="ITA"/>
    <x v="9"/>
    <x v="9"/>
    <n v="4546679409"/>
    <n v="9190347404"/>
    <n v="4898"/>
    <n v="732"/>
    <n v="5630"/>
    <n v="3429"/>
    <n v="9059"/>
    <n v="1327"/>
    <n v="1865"/>
    <n v="1660"/>
    <n v="966"/>
    <n v="11685"/>
    <n v="37138"/>
  </r>
  <r>
    <x v="19"/>
    <s v="ITA"/>
    <x v="10"/>
    <x v="10"/>
    <n v="4361675973"/>
    <n v="135188753"/>
    <n v="449"/>
    <n v="93"/>
    <n v="542"/>
    <n v="321"/>
    <n v="863"/>
    <n v="165"/>
    <n v="174"/>
    <n v="0"/>
    <n v="36"/>
    <n v="899"/>
    <n v="2561"/>
  </r>
  <r>
    <x v="19"/>
    <s v="ITA"/>
    <x v="11"/>
    <x v="11"/>
    <n v="4155774754"/>
    <n v="1465916051"/>
    <n v="5"/>
    <n v="3"/>
    <n v="8"/>
    <n v="9"/>
    <n v="17"/>
    <n v="0"/>
    <n v="0"/>
    <n v="0"/>
    <n v="0"/>
    <n v="17"/>
    <n v="247"/>
  </r>
  <r>
    <x v="19"/>
    <s v="ITA"/>
    <x v="12"/>
    <x v="12"/>
    <n v="450732745"/>
    <n v="7680687483"/>
    <n v="538"/>
    <n v="150"/>
    <n v="688"/>
    <n v="126"/>
    <n v="814"/>
    <n v="20"/>
    <n v="33"/>
    <n v="0"/>
    <n v="59"/>
    <n v="873"/>
    <n v="3680"/>
  </r>
  <r>
    <x v="19"/>
    <s v="ITA"/>
    <x v="13"/>
    <x v="13"/>
    <n v="4112559576"/>
    <n v="1686736689"/>
    <n v="91"/>
    <n v="6"/>
    <n v="97"/>
    <n v="59"/>
    <n v="156"/>
    <n v="35"/>
    <n v="37"/>
    <n v="2"/>
    <n v="8"/>
    <n v="166"/>
    <n v="1681"/>
  </r>
  <r>
    <x v="19"/>
    <s v="ITA"/>
    <x v="14"/>
    <x v="14"/>
    <n v="3921531192"/>
    <n v="9110616306"/>
    <n v="14"/>
    <n v="0"/>
    <n v="14"/>
    <n v="33"/>
    <n v="47"/>
    <n v="4"/>
    <n v="4"/>
    <n v="0"/>
    <n v="0"/>
    <n v="47"/>
    <n v="530"/>
  </r>
  <r>
    <x v="19"/>
    <s v="ITA"/>
    <x v="15"/>
    <x v="15"/>
    <n v="3811569725"/>
    <n v="133623567"/>
    <n v="42"/>
    <n v="11"/>
    <n v="53"/>
    <n v="97"/>
    <n v="150"/>
    <n v="24"/>
    <n v="26"/>
    <n v="4"/>
    <n v="2"/>
    <n v="156"/>
    <n v="2100"/>
  </r>
  <r>
    <x v="19"/>
    <s v="ITA"/>
    <x v="16"/>
    <x v="16"/>
    <n v="4376923077"/>
    <n v="1125588885"/>
    <n v="160"/>
    <n v="87"/>
    <n v="247"/>
    <n v="367"/>
    <n v="614"/>
    <n v="159"/>
    <n v="160"/>
    <n v="10"/>
    <n v="6"/>
    <n v="630"/>
    <n v="4595"/>
  </r>
  <r>
    <x v="19"/>
    <s v="ITA"/>
    <x v="2"/>
    <x v="17"/>
    <n v="4606893511"/>
    <n v="1112123097"/>
    <n v="68"/>
    <n v="12"/>
    <n v="80"/>
    <n v="119"/>
    <n v="199"/>
    <n v="42"/>
    <n v="43"/>
    <n v="5"/>
    <n v="2"/>
    <n v="206"/>
    <n v="1006"/>
  </r>
  <r>
    <x v="19"/>
    <s v="ITA"/>
    <x v="17"/>
    <x v="18"/>
    <n v="4310675841"/>
    <n v="1238824698"/>
    <n v="21"/>
    <n v="11"/>
    <n v="32"/>
    <n v="71"/>
    <n v="103"/>
    <n v="30"/>
    <n v="31"/>
    <n v="3"/>
    <n v="1"/>
    <n v="107"/>
    <n v="748"/>
  </r>
  <r>
    <x v="19"/>
    <s v="ITA"/>
    <x v="18"/>
    <x v="19"/>
    <n v="4573750286"/>
    <n v="7320149366"/>
    <n v="12"/>
    <n v="0"/>
    <n v="12"/>
    <n v="29"/>
    <n v="41"/>
    <n v="14"/>
    <n v="14"/>
    <n v="0"/>
    <n v="1"/>
    <n v="42"/>
    <n v="231"/>
  </r>
  <r>
    <x v="19"/>
    <s v="ITA"/>
    <x v="19"/>
    <x v="20"/>
    <n v="4543490485"/>
    <n v="1233845213"/>
    <n v="366"/>
    <n v="119"/>
    <n v="485"/>
    <n v="1290"/>
    <n v="1775"/>
    <n v="322"/>
    <n v="342"/>
    <n v="107"/>
    <n v="55"/>
    <n v="1937"/>
    <n v="26980"/>
  </r>
  <r>
    <x v="20"/>
    <s v="ITA"/>
    <x v="0"/>
    <x v="0"/>
    <n v="4235122196"/>
    <n v="1339843823"/>
    <n v="72"/>
    <n v="28"/>
    <n v="100"/>
    <n v="28"/>
    <n v="128"/>
    <n v="22"/>
    <n v="25"/>
    <n v="6"/>
    <n v="3"/>
    <n v="137"/>
    <n v="1419"/>
  </r>
  <r>
    <x v="20"/>
    <s v="ITA"/>
    <x v="1"/>
    <x v="1"/>
    <n v="4063947052"/>
    <n v="1580514834"/>
    <n v="0"/>
    <n v="2"/>
    <n v="2"/>
    <n v="9"/>
    <n v="11"/>
    <n v="1"/>
    <n v="1"/>
    <n v="0"/>
    <n v="0"/>
    <n v="11"/>
    <n v="208"/>
  </r>
  <r>
    <x v="20"/>
    <s v="ITA"/>
    <x v="2"/>
    <x v="2"/>
    <n v="4649933453"/>
    <n v="1135662422"/>
    <n v="50"/>
    <n v="4"/>
    <n v="54"/>
    <n v="145"/>
    <n v="199"/>
    <n v="29"/>
    <n v="31"/>
    <n v="0"/>
    <n v="5"/>
    <n v="204"/>
    <n v="1497"/>
  </r>
  <r>
    <x v="20"/>
    <s v="ITA"/>
    <x v="3"/>
    <x v="3"/>
    <n v="3890597598"/>
    <n v="1659440194"/>
    <n v="32"/>
    <n v="6"/>
    <n v="38"/>
    <n v="28"/>
    <n v="66"/>
    <n v="7"/>
    <n v="8"/>
    <n v="1"/>
    <n v="1"/>
    <n v="68"/>
    <n v="884"/>
  </r>
  <r>
    <x v="20"/>
    <s v="ITA"/>
    <x v="4"/>
    <x v="4"/>
    <n v="4083956555"/>
    <n v="1425084984"/>
    <n v="73"/>
    <n v="22"/>
    <n v="95"/>
    <n v="201"/>
    <n v="296"/>
    <n v="53"/>
    <n v="61"/>
    <n v="28"/>
    <n v="9"/>
    <n v="333"/>
    <n v="2213"/>
  </r>
  <r>
    <x v="20"/>
    <s v="ITA"/>
    <x v="5"/>
    <x v="5"/>
    <n v="4449436681"/>
    <n v="113417208"/>
    <n v="1215"/>
    <n v="169"/>
    <n v="1384"/>
    <n v="1357"/>
    <n v="2741"/>
    <n v="392"/>
    <n v="449"/>
    <n v="68"/>
    <n v="284"/>
    <n v="3093"/>
    <n v="12054"/>
  </r>
  <r>
    <x v="20"/>
    <s v="ITA"/>
    <x v="6"/>
    <x v="6"/>
    <n v="456494354"/>
    <n v="1376813649"/>
    <n v="98"/>
    <n v="12"/>
    <n v="110"/>
    <n v="206"/>
    <n v="316"/>
    <n v="45"/>
    <n v="46"/>
    <n v="17"/>
    <n v="14"/>
    <n v="347"/>
    <n v="3407"/>
  </r>
  <r>
    <x v="20"/>
    <s v="ITA"/>
    <x v="7"/>
    <x v="7"/>
    <n v="4189277044"/>
    <n v="1248366722"/>
    <n v="223"/>
    <n v="31"/>
    <n v="254"/>
    <n v="142"/>
    <n v="396"/>
    <n v="76"/>
    <n v="79"/>
    <n v="24"/>
    <n v="16"/>
    <n v="436"/>
    <n v="8345"/>
  </r>
  <r>
    <x v="20"/>
    <s v="ITA"/>
    <x v="8"/>
    <x v="8"/>
    <n v="4441149315"/>
    <n v="89326992"/>
    <n v="253"/>
    <n v="66"/>
    <n v="319"/>
    <n v="174"/>
    <n v="493"/>
    <n v="109"/>
    <n v="96"/>
    <n v="33"/>
    <n v="33"/>
    <n v="559"/>
    <n v="1973"/>
  </r>
  <r>
    <x v="20"/>
    <s v="ITA"/>
    <x v="9"/>
    <x v="9"/>
    <n v="4546679409"/>
    <n v="9190347404"/>
    <n v="5500"/>
    <n v="767"/>
    <n v="6267"/>
    <n v="3776"/>
    <n v="10043"/>
    <n v="984"/>
    <n v="1587"/>
    <n v="2011"/>
    <n v="1218"/>
    <n v="13272"/>
    <n v="40369"/>
  </r>
  <r>
    <x v="20"/>
    <s v="ITA"/>
    <x v="10"/>
    <x v="10"/>
    <n v="4361675973"/>
    <n v="135188753"/>
    <n v="521"/>
    <n v="98"/>
    <n v="619"/>
    <n v="468"/>
    <n v="1087"/>
    <n v="224"/>
    <n v="234"/>
    <n v="0"/>
    <n v="46"/>
    <n v="1133"/>
    <n v="2946"/>
  </r>
  <r>
    <x v="20"/>
    <s v="ITA"/>
    <x v="11"/>
    <x v="11"/>
    <n v="4155774754"/>
    <n v="1465916051"/>
    <n v="3"/>
    <n v="4"/>
    <n v="7"/>
    <n v="10"/>
    <n v="17"/>
    <n v="0"/>
    <n v="0"/>
    <n v="0"/>
    <n v="0"/>
    <n v="17"/>
    <n v="248"/>
  </r>
  <r>
    <x v="20"/>
    <s v="ITA"/>
    <x v="12"/>
    <x v="12"/>
    <n v="450732745"/>
    <n v="7680687483"/>
    <n v="726"/>
    <n v="171"/>
    <n v="897"/>
    <n v="133"/>
    <n v="1030"/>
    <n v="216"/>
    <n v="238"/>
    <n v="0"/>
    <n v="81"/>
    <n v="1111"/>
    <n v="4375"/>
  </r>
  <r>
    <x v="20"/>
    <s v="ITA"/>
    <x v="13"/>
    <x v="13"/>
    <n v="4112559576"/>
    <n v="1686736689"/>
    <n v="116"/>
    <n v="6"/>
    <n v="122"/>
    <n v="90"/>
    <n v="212"/>
    <n v="56"/>
    <n v="64"/>
    <n v="2"/>
    <n v="16"/>
    <n v="230"/>
    <n v="2017"/>
  </r>
  <r>
    <x v="20"/>
    <s v="ITA"/>
    <x v="14"/>
    <x v="14"/>
    <n v="3921531192"/>
    <n v="9110616306"/>
    <n v="16"/>
    <n v="0"/>
    <n v="16"/>
    <n v="59"/>
    <n v="75"/>
    <n v="28"/>
    <n v="30"/>
    <n v="0"/>
    <n v="2"/>
    <n v="77"/>
    <n v="613"/>
  </r>
  <r>
    <x v="20"/>
    <s v="ITA"/>
    <x v="15"/>
    <x v="15"/>
    <n v="3811569725"/>
    <n v="133623567"/>
    <n v="56"/>
    <n v="15"/>
    <n v="71"/>
    <n v="108"/>
    <n v="179"/>
    <n v="29"/>
    <n v="32"/>
    <n v="7"/>
    <n v="2"/>
    <n v="188"/>
    <n v="2452"/>
  </r>
  <r>
    <x v="20"/>
    <s v="ITA"/>
    <x v="16"/>
    <x v="16"/>
    <n v="4376923077"/>
    <n v="1125588885"/>
    <n v="175"/>
    <n v="107"/>
    <n v="282"/>
    <n v="481"/>
    <n v="763"/>
    <n v="149"/>
    <n v="151"/>
    <n v="10"/>
    <n v="8"/>
    <n v="781"/>
    <n v="5132"/>
  </r>
  <r>
    <x v="20"/>
    <s v="ITA"/>
    <x v="2"/>
    <x v="17"/>
    <n v="4606893511"/>
    <n v="1112123097"/>
    <n v="73"/>
    <n v="19"/>
    <n v="92"/>
    <n v="275"/>
    <n v="367"/>
    <n v="168"/>
    <n v="172"/>
    <n v="5"/>
    <n v="6"/>
    <n v="378"/>
    <n v="1006"/>
  </r>
  <r>
    <x v="20"/>
    <s v="ITA"/>
    <x v="17"/>
    <x v="18"/>
    <n v="4310675841"/>
    <n v="1238824698"/>
    <n v="25"/>
    <n v="13"/>
    <n v="38"/>
    <n v="101"/>
    <n v="139"/>
    <n v="36"/>
    <n v="36"/>
    <n v="3"/>
    <n v="1"/>
    <n v="143"/>
    <n v="965"/>
  </r>
  <r>
    <x v="20"/>
    <s v="ITA"/>
    <x v="18"/>
    <x v="19"/>
    <n v="4573750286"/>
    <n v="7320149366"/>
    <n v="10"/>
    <n v="3"/>
    <n v="13"/>
    <n v="43"/>
    <n v="56"/>
    <n v="15"/>
    <n v="15"/>
    <n v="0"/>
    <n v="1"/>
    <n v="57"/>
    <n v="230"/>
  </r>
  <r>
    <x v="20"/>
    <s v="ITA"/>
    <x v="19"/>
    <x v="20"/>
    <n v="4543490485"/>
    <n v="1233845213"/>
    <n v="426"/>
    <n v="129"/>
    <n v="555"/>
    <n v="1434"/>
    <n v="1989"/>
    <n v="214"/>
    <n v="235"/>
    <n v="120"/>
    <n v="63"/>
    <n v="2172"/>
    <n v="32546"/>
  </r>
  <r>
    <x v="21"/>
    <s v="ITA"/>
    <x v="0"/>
    <x v="0"/>
    <n v="4235122196"/>
    <n v="1339843823"/>
    <n v="71"/>
    <n v="37"/>
    <n v="108"/>
    <n v="57"/>
    <n v="165"/>
    <n v="37"/>
    <n v="39"/>
    <n v="7"/>
    <n v="4"/>
    <n v="176"/>
    <n v="1533"/>
  </r>
  <r>
    <x v="21"/>
    <s v="ITA"/>
    <x v="1"/>
    <x v="1"/>
    <n v="4063947052"/>
    <n v="1580514834"/>
    <n v="1"/>
    <n v="2"/>
    <n v="3"/>
    <n v="9"/>
    <n v="12"/>
    <n v="1"/>
    <n v="1"/>
    <n v="0"/>
    <n v="0"/>
    <n v="12"/>
    <n v="230"/>
  </r>
  <r>
    <x v="21"/>
    <s v="ITA"/>
    <x v="2"/>
    <x v="2"/>
    <n v="4649933453"/>
    <n v="1135662422"/>
    <n v="53"/>
    <n v="11"/>
    <n v="64"/>
    <n v="171"/>
    <n v="235"/>
    <n v="36"/>
    <n v="37"/>
    <n v="0"/>
    <n v="6"/>
    <n v="241"/>
    <n v="1740"/>
  </r>
  <r>
    <x v="21"/>
    <s v="ITA"/>
    <x v="3"/>
    <x v="3"/>
    <n v="3890597598"/>
    <n v="1659440194"/>
    <n v="36"/>
    <n v="7"/>
    <n v="43"/>
    <n v="44"/>
    <n v="87"/>
    <n v="21"/>
    <n v="21"/>
    <n v="1"/>
    <n v="1"/>
    <n v="89"/>
    <n v="1030"/>
  </r>
  <r>
    <x v="21"/>
    <s v="ITA"/>
    <x v="4"/>
    <x v="4"/>
    <n v="4083956555"/>
    <n v="1425084984"/>
    <n v="103"/>
    <n v="22"/>
    <n v="125"/>
    <n v="238"/>
    <n v="363"/>
    <n v="67"/>
    <n v="67"/>
    <n v="28"/>
    <n v="9"/>
    <n v="400"/>
    <n v="2517"/>
  </r>
  <r>
    <x v="21"/>
    <s v="ITA"/>
    <x v="5"/>
    <x v="5"/>
    <n v="4449436681"/>
    <n v="113417208"/>
    <n v="1362"/>
    <n v="197"/>
    <n v="1559"/>
    <n v="1529"/>
    <n v="3088"/>
    <n v="347"/>
    <n v="429"/>
    <n v="88"/>
    <n v="346"/>
    <n v="3522"/>
    <n v="13096"/>
  </r>
  <r>
    <x v="21"/>
    <s v="ITA"/>
    <x v="6"/>
    <x v="6"/>
    <n v="456494354"/>
    <n v="1376813649"/>
    <n v="96"/>
    <n v="19"/>
    <n v="115"/>
    <n v="231"/>
    <n v="346"/>
    <n v="30"/>
    <n v="39"/>
    <n v="18"/>
    <n v="22"/>
    <n v="386"/>
    <n v="4851"/>
  </r>
  <r>
    <x v="21"/>
    <s v="ITA"/>
    <x v="7"/>
    <x v="7"/>
    <n v="4189277044"/>
    <n v="1248366722"/>
    <n v="267"/>
    <n v="31"/>
    <n v="298"/>
    <n v="174"/>
    <n v="472"/>
    <n v="76"/>
    <n v="87"/>
    <n v="32"/>
    <n v="19"/>
    <n v="523"/>
    <n v="9330"/>
  </r>
  <r>
    <x v="21"/>
    <s v="ITA"/>
    <x v="8"/>
    <x v="8"/>
    <n v="4441149315"/>
    <n v="89326992"/>
    <n v="255"/>
    <n v="73"/>
    <n v="328"/>
    <n v="247"/>
    <n v="575"/>
    <n v="82"/>
    <n v="108"/>
    <n v="42"/>
    <n v="50"/>
    <n v="667"/>
    <n v="2189"/>
  </r>
  <r>
    <x v="21"/>
    <s v="ITA"/>
    <x v="9"/>
    <x v="9"/>
    <n v="4546679409"/>
    <n v="9190347404"/>
    <n v="6171"/>
    <n v="823"/>
    <n v="6994"/>
    <n v="3867"/>
    <n v="10861"/>
    <n v="818"/>
    <n v="1377"/>
    <n v="2368"/>
    <n v="1420"/>
    <n v="14649"/>
    <n v="43565"/>
  </r>
  <r>
    <x v="21"/>
    <s v="ITA"/>
    <x v="10"/>
    <x v="10"/>
    <n v="4361675973"/>
    <n v="135188753"/>
    <n v="528"/>
    <n v="110"/>
    <n v="638"/>
    <n v="547"/>
    <n v="1185"/>
    <n v="98"/>
    <n v="109"/>
    <n v="0"/>
    <n v="57"/>
    <n v="1242"/>
    <n v="3225"/>
  </r>
  <r>
    <x v="21"/>
    <s v="ITA"/>
    <x v="11"/>
    <x v="11"/>
    <n v="4155774754"/>
    <n v="1465916051"/>
    <n v="3"/>
    <n v="5"/>
    <n v="8"/>
    <n v="7"/>
    <n v="15"/>
    <n v="-2"/>
    <n v="4"/>
    <n v="5"/>
    <n v="1"/>
    <n v="21"/>
    <n v="253"/>
  </r>
  <r>
    <x v="21"/>
    <s v="ITA"/>
    <x v="12"/>
    <x v="12"/>
    <n v="450732745"/>
    <n v="7680687483"/>
    <n v="1045"/>
    <n v="186"/>
    <n v="1231"/>
    <n v="174"/>
    <n v="1405"/>
    <n v="375"/>
    <n v="405"/>
    <n v="0"/>
    <n v="111"/>
    <n v="1516"/>
    <n v="5588"/>
  </r>
  <r>
    <x v="21"/>
    <s v="ITA"/>
    <x v="13"/>
    <x v="13"/>
    <n v="4112559576"/>
    <n v="1686736689"/>
    <n v="116"/>
    <n v="6"/>
    <n v="122"/>
    <n v="90"/>
    <n v="212"/>
    <n v="0"/>
    <n v="0"/>
    <n v="2"/>
    <n v="16"/>
    <n v="230"/>
    <n v="2017"/>
  </r>
  <r>
    <x v="21"/>
    <s v="ITA"/>
    <x v="14"/>
    <x v="14"/>
    <n v="3921531192"/>
    <n v="9110616306"/>
    <n v="39"/>
    <n v="0"/>
    <n v="39"/>
    <n v="66"/>
    <n v="105"/>
    <n v="30"/>
    <n v="30"/>
    <n v="0"/>
    <n v="2"/>
    <n v="107"/>
    <n v="797"/>
  </r>
  <r>
    <x v="21"/>
    <s v="ITA"/>
    <x v="15"/>
    <x v="15"/>
    <n v="3811569725"/>
    <n v="133623567"/>
    <n v="75"/>
    <n v="20"/>
    <n v="95"/>
    <n v="108"/>
    <n v="203"/>
    <n v="24"/>
    <n v="25"/>
    <n v="8"/>
    <n v="2"/>
    <n v="213"/>
    <n v="2653"/>
  </r>
  <r>
    <x v="21"/>
    <s v="ITA"/>
    <x v="16"/>
    <x v="16"/>
    <n v="4376923077"/>
    <n v="1125588885"/>
    <n v="175"/>
    <n v="107"/>
    <n v="282"/>
    <n v="559"/>
    <n v="841"/>
    <n v="78"/>
    <n v="85"/>
    <n v="11"/>
    <n v="14"/>
    <n v="866"/>
    <n v="5910"/>
  </r>
  <r>
    <x v="21"/>
    <s v="ITA"/>
    <x v="2"/>
    <x v="17"/>
    <n v="4606893511"/>
    <n v="1112123097"/>
    <n v="73"/>
    <n v="19"/>
    <n v="92"/>
    <n v="275"/>
    <n v="367"/>
    <n v="0"/>
    <n v="0"/>
    <n v="5"/>
    <n v="6"/>
    <n v="378"/>
    <n v="1006"/>
  </r>
  <r>
    <x v="21"/>
    <s v="ITA"/>
    <x v="17"/>
    <x v="18"/>
    <n v="4310675841"/>
    <n v="1238824698"/>
    <n v="30"/>
    <n v="15"/>
    <n v="45"/>
    <n v="114"/>
    <n v="159"/>
    <n v="20"/>
    <n v="21"/>
    <n v="4"/>
    <n v="1"/>
    <n v="164"/>
    <n v="1093"/>
  </r>
  <r>
    <x v="21"/>
    <s v="ITA"/>
    <x v="18"/>
    <x v="19"/>
    <n v="4573750286"/>
    <n v="7320149366"/>
    <n v="28"/>
    <n v="5"/>
    <n v="33"/>
    <n v="70"/>
    <n v="103"/>
    <n v="47"/>
    <n v="48"/>
    <n v="0"/>
    <n v="2"/>
    <n v="105"/>
    <n v="287"/>
  </r>
  <r>
    <x v="21"/>
    <s v="ITA"/>
    <x v="19"/>
    <x v="20"/>
    <n v="4543490485"/>
    <n v="1233845213"/>
    <n v="498"/>
    <n v="156"/>
    <n v="654"/>
    <n v="1620"/>
    <n v="2274"/>
    <n v="285"/>
    <n v="301"/>
    <n v="130"/>
    <n v="69"/>
    <n v="2473"/>
    <n v="35052"/>
  </r>
  <r>
    <x v="22"/>
    <s v="ITA"/>
    <x v="0"/>
    <x v="0"/>
    <n v="4235122196"/>
    <n v="1339843823"/>
    <n v="94"/>
    <n v="32"/>
    <n v="126"/>
    <n v="90"/>
    <n v="216"/>
    <n v="51"/>
    <n v="53"/>
    <n v="7"/>
    <n v="6"/>
    <n v="229"/>
    <n v="1688"/>
  </r>
  <r>
    <x v="22"/>
    <s v="ITA"/>
    <x v="1"/>
    <x v="1"/>
    <n v="4063947052"/>
    <n v="1580514834"/>
    <n v="5"/>
    <n v="2"/>
    <n v="7"/>
    <n v="13"/>
    <n v="20"/>
    <n v="8"/>
    <n v="8"/>
    <n v="0"/>
    <n v="0"/>
    <n v="20"/>
    <n v="262"/>
  </r>
  <r>
    <x v="22"/>
    <s v="ITA"/>
    <x v="2"/>
    <x v="2"/>
    <n v="4649933453"/>
    <n v="1135662422"/>
    <n v="71"/>
    <n v="11"/>
    <n v="82"/>
    <n v="200"/>
    <n v="282"/>
    <n v="47"/>
    <n v="50"/>
    <n v="1"/>
    <n v="8"/>
    <n v="291"/>
    <n v="2149"/>
  </r>
  <r>
    <x v="22"/>
    <s v="ITA"/>
    <x v="3"/>
    <x v="3"/>
    <n v="3890597598"/>
    <n v="1659440194"/>
    <n v="45"/>
    <n v="10"/>
    <n v="55"/>
    <n v="57"/>
    <n v="112"/>
    <n v="25"/>
    <n v="25"/>
    <n v="1"/>
    <n v="1"/>
    <n v="114"/>
    <n v="1293"/>
  </r>
  <r>
    <x v="22"/>
    <s v="ITA"/>
    <x v="4"/>
    <x v="4"/>
    <n v="4083956555"/>
    <n v="1425084984"/>
    <n v="127"/>
    <n v="24"/>
    <n v="151"/>
    <n v="272"/>
    <n v="423"/>
    <n v="60"/>
    <n v="60"/>
    <n v="28"/>
    <n v="9"/>
    <n v="460"/>
    <n v="2685"/>
  </r>
  <r>
    <x v="22"/>
    <s v="ITA"/>
    <x v="5"/>
    <x v="5"/>
    <n v="4449436681"/>
    <n v="113417208"/>
    <n v="1566"/>
    <n v="223"/>
    <n v="1789"/>
    <n v="1615"/>
    <n v="3404"/>
    <n v="316"/>
    <n v="409"/>
    <n v="134"/>
    <n v="393"/>
    <n v="3931"/>
    <n v="14510"/>
  </r>
  <r>
    <x v="22"/>
    <s v="ITA"/>
    <x v="6"/>
    <x v="6"/>
    <n v="456494354"/>
    <n v="1376813649"/>
    <n v="104"/>
    <n v="21"/>
    <n v="125"/>
    <n v="222"/>
    <n v="347"/>
    <n v="1"/>
    <n v="8"/>
    <n v="17"/>
    <n v="30"/>
    <n v="394"/>
    <n v="4958"/>
  </r>
  <r>
    <x v="22"/>
    <s v="ITA"/>
    <x v="7"/>
    <x v="7"/>
    <n v="4189277044"/>
    <n v="1248366722"/>
    <n v="314"/>
    <n v="44"/>
    <n v="358"/>
    <n v="192"/>
    <n v="550"/>
    <n v="78"/>
    <n v="84"/>
    <n v="34"/>
    <n v="23"/>
    <n v="607"/>
    <n v="9436"/>
  </r>
  <r>
    <x v="22"/>
    <s v="ITA"/>
    <x v="8"/>
    <x v="8"/>
    <n v="4441149315"/>
    <n v="89326992"/>
    <n v="299"/>
    <n v="85"/>
    <n v="384"/>
    <n v="277"/>
    <n v="661"/>
    <n v="86"/>
    <n v="111"/>
    <n v="57"/>
    <n v="60"/>
    <n v="778"/>
    <n v="2509"/>
  </r>
  <r>
    <x v="22"/>
    <s v="ITA"/>
    <x v="9"/>
    <x v="9"/>
    <n v="4546679409"/>
    <n v="9190347404"/>
    <n v="6953"/>
    <n v="879"/>
    <n v="7832"/>
    <n v="4263"/>
    <n v="12095"/>
    <n v="1234"/>
    <n v="1571"/>
    <n v="2485"/>
    <n v="1640"/>
    <n v="16220"/>
    <n v="46449"/>
  </r>
  <r>
    <x v="22"/>
    <s v="ITA"/>
    <x v="10"/>
    <x v="10"/>
    <n v="4361675973"/>
    <n v="135188753"/>
    <n v="599"/>
    <n v="109"/>
    <n v="708"/>
    <n v="594"/>
    <n v="1302"/>
    <n v="117"/>
    <n v="129"/>
    <n v="0"/>
    <n v="69"/>
    <n v="1371"/>
    <n v="3225"/>
  </r>
  <r>
    <x v="22"/>
    <s v="ITA"/>
    <x v="11"/>
    <x v="11"/>
    <n v="4155774754"/>
    <n v="1465916051"/>
    <n v="7"/>
    <n v="5"/>
    <n v="12"/>
    <n v="7"/>
    <n v="19"/>
    <n v="4"/>
    <n v="4"/>
    <n v="5"/>
    <n v="1"/>
    <n v="25"/>
    <n v="301"/>
  </r>
  <r>
    <x v="22"/>
    <s v="ITA"/>
    <x v="12"/>
    <x v="12"/>
    <n v="450732745"/>
    <n v="7680687483"/>
    <n v="1378"/>
    <n v="206"/>
    <n v="1584"/>
    <n v="180"/>
    <n v="1764"/>
    <n v="359"/>
    <n v="381"/>
    <n v="0"/>
    <n v="133"/>
    <n v="1897"/>
    <n v="6543"/>
  </r>
  <r>
    <x v="22"/>
    <s v="ITA"/>
    <x v="13"/>
    <x v="13"/>
    <n v="4112559576"/>
    <n v="1686736689"/>
    <n v="155"/>
    <n v="14"/>
    <n v="169"/>
    <n v="151"/>
    <n v="320"/>
    <n v="108"/>
    <n v="110"/>
    <n v="2"/>
    <n v="18"/>
    <n v="340"/>
    <n v="3077"/>
  </r>
  <r>
    <x v="22"/>
    <s v="ITA"/>
    <x v="14"/>
    <x v="14"/>
    <n v="3921531192"/>
    <n v="9110616306"/>
    <n v="36"/>
    <n v="4"/>
    <n v="40"/>
    <n v="75"/>
    <n v="115"/>
    <n v="10"/>
    <n v="10"/>
    <n v="0"/>
    <n v="2"/>
    <n v="117"/>
    <n v="1003"/>
  </r>
  <r>
    <x v="22"/>
    <s v="ITA"/>
    <x v="15"/>
    <x v="15"/>
    <n v="3811569725"/>
    <n v="133623567"/>
    <n v="86"/>
    <n v="28"/>
    <n v="114"/>
    <n v="112"/>
    <n v="226"/>
    <n v="23"/>
    <n v="24"/>
    <n v="8"/>
    <n v="3"/>
    <n v="237"/>
    <n v="2916"/>
  </r>
  <r>
    <x v="22"/>
    <s v="ITA"/>
    <x v="16"/>
    <x v="16"/>
    <n v="4376923077"/>
    <n v="1125588885"/>
    <n v="329"/>
    <n v="143"/>
    <n v="472"/>
    <n v="552"/>
    <n v="1024"/>
    <n v="183"/>
    <n v="187"/>
    <n v="12"/>
    <n v="17"/>
    <n v="1053"/>
    <n v="6727"/>
  </r>
  <r>
    <x v="22"/>
    <s v="ITA"/>
    <x v="2"/>
    <x v="17"/>
    <n v="4606893511"/>
    <n v="1112123097"/>
    <n v="107"/>
    <n v="22"/>
    <n v="129"/>
    <n v="239"/>
    <n v="368"/>
    <n v="1"/>
    <n v="7"/>
    <n v="10"/>
    <n v="7"/>
    <n v="385"/>
    <n v="1727"/>
  </r>
  <r>
    <x v="22"/>
    <s v="ITA"/>
    <x v="17"/>
    <x v="18"/>
    <n v="4310675841"/>
    <n v="1238824698"/>
    <n v="36"/>
    <n v="21"/>
    <n v="57"/>
    <n v="135"/>
    <n v="192"/>
    <n v="33"/>
    <n v="33"/>
    <n v="4"/>
    <n v="1"/>
    <n v="197"/>
    <n v="1323"/>
  </r>
  <r>
    <x v="22"/>
    <s v="ITA"/>
    <x v="18"/>
    <x v="19"/>
    <n v="4573750286"/>
    <n v="7320149366"/>
    <n v="35"/>
    <n v="6"/>
    <n v="41"/>
    <n v="93"/>
    <n v="134"/>
    <n v="31"/>
    <n v="31"/>
    <n v="0"/>
    <n v="2"/>
    <n v="136"/>
    <n v="398"/>
  </r>
  <r>
    <x v="22"/>
    <s v="ITA"/>
    <x v="19"/>
    <x v="20"/>
    <n v="4543490485"/>
    <n v="1233845213"/>
    <n v="548"/>
    <n v="171"/>
    <n v="719"/>
    <n v="1769"/>
    <n v="2488"/>
    <n v="214"/>
    <n v="231"/>
    <n v="136"/>
    <n v="80"/>
    <n v="2704"/>
    <n v="35478"/>
  </r>
  <r>
    <x v="23"/>
    <s v="ITA"/>
    <x v="0"/>
    <x v="0"/>
    <n v="4235122196"/>
    <n v="1339843823"/>
    <n v="99"/>
    <n v="41"/>
    <n v="140"/>
    <n v="109"/>
    <n v="249"/>
    <n v="33"/>
    <n v="34"/>
    <n v="7"/>
    <n v="7"/>
    <n v="263"/>
    <n v="2054"/>
  </r>
  <r>
    <x v="23"/>
    <s v="ITA"/>
    <x v="1"/>
    <x v="1"/>
    <n v="4063947052"/>
    <n v="1580514834"/>
    <n v="9"/>
    <n v="2"/>
    <n v="11"/>
    <n v="16"/>
    <n v="27"/>
    <n v="7"/>
    <n v="7"/>
    <n v="0"/>
    <n v="0"/>
    <n v="27"/>
    <n v="262"/>
  </r>
  <r>
    <x v="23"/>
    <s v="ITA"/>
    <x v="2"/>
    <x v="2"/>
    <n v="4649933453"/>
    <n v="1135662422"/>
    <n v="79"/>
    <n v="18"/>
    <n v="97"/>
    <n v="269"/>
    <n v="366"/>
    <n v="84"/>
    <n v="85"/>
    <n v="1"/>
    <n v="9"/>
    <n v="376"/>
    <n v="2844"/>
  </r>
  <r>
    <x v="23"/>
    <s v="ITA"/>
    <x v="3"/>
    <x v="3"/>
    <n v="3890597598"/>
    <n v="1659440194"/>
    <n v="45"/>
    <n v="11"/>
    <n v="56"/>
    <n v="70"/>
    <n v="126"/>
    <n v="14"/>
    <n v="15"/>
    <n v="2"/>
    <n v="1"/>
    <n v="129"/>
    <n v="1668"/>
  </r>
  <r>
    <x v="23"/>
    <s v="ITA"/>
    <x v="4"/>
    <x v="4"/>
    <n v="4083956555"/>
    <n v="1425084984"/>
    <n v="127"/>
    <n v="24"/>
    <n v="151"/>
    <n v="272"/>
    <n v="423"/>
    <n v="0"/>
    <n v="0"/>
    <n v="28"/>
    <n v="9"/>
    <n v="460"/>
    <n v="2685"/>
  </r>
  <r>
    <x v="23"/>
    <s v="ITA"/>
    <x v="5"/>
    <x v="5"/>
    <n v="4449436681"/>
    <n v="113417208"/>
    <n v="1784"/>
    <n v="247"/>
    <n v="2031"/>
    <n v="1884"/>
    <n v="3915"/>
    <n v="511"/>
    <n v="594"/>
    <n v="152"/>
    <n v="458"/>
    <n v="4525"/>
    <n v="15461"/>
  </r>
  <r>
    <x v="23"/>
    <s v="ITA"/>
    <x v="6"/>
    <x v="6"/>
    <n v="456494354"/>
    <n v="1376813649"/>
    <n v="128"/>
    <n v="27"/>
    <n v="155"/>
    <n v="261"/>
    <n v="416"/>
    <n v="69"/>
    <n v="68"/>
    <n v="15"/>
    <n v="31"/>
    <n v="462"/>
    <n v="4958"/>
  </r>
  <r>
    <x v="23"/>
    <s v="ITA"/>
    <x v="7"/>
    <x v="7"/>
    <n v="4189277044"/>
    <n v="1248366722"/>
    <n v="374"/>
    <n v="44"/>
    <n v="418"/>
    <n v="232"/>
    <n v="650"/>
    <n v="100"/>
    <n v="117"/>
    <n v="42"/>
    <n v="32"/>
    <n v="724"/>
    <n v="11145"/>
  </r>
  <r>
    <x v="23"/>
    <s v="ITA"/>
    <x v="8"/>
    <x v="8"/>
    <n v="4441149315"/>
    <n v="89326992"/>
    <n v="401"/>
    <n v="100"/>
    <n v="501"/>
    <n v="243"/>
    <n v="744"/>
    <n v="83"/>
    <n v="109"/>
    <n v="70"/>
    <n v="73"/>
    <n v="887"/>
    <n v="2912"/>
  </r>
  <r>
    <x v="23"/>
    <s v="ITA"/>
    <x v="9"/>
    <x v="9"/>
    <n v="4546679409"/>
    <n v="9190347404"/>
    <n v="7285"/>
    <n v="924"/>
    <n v="8209"/>
    <n v="4057"/>
    <n v="12266"/>
    <n v="171"/>
    <n v="1493"/>
    <n v="3488"/>
    <n v="1959"/>
    <n v="17713"/>
    <n v="48983"/>
  </r>
  <r>
    <x v="23"/>
    <s v="ITA"/>
    <x v="10"/>
    <x v="10"/>
    <n v="4361675973"/>
    <n v="135188753"/>
    <n v="638"/>
    <n v="119"/>
    <n v="757"/>
    <n v="719"/>
    <n v="1476"/>
    <n v="174"/>
    <n v="197"/>
    <n v="0"/>
    <n v="92"/>
    <n v="1568"/>
    <n v="4109"/>
  </r>
  <r>
    <x v="23"/>
    <s v="ITA"/>
    <x v="11"/>
    <x v="11"/>
    <n v="4155774754"/>
    <n v="1465916051"/>
    <n v="7"/>
    <n v="6"/>
    <n v="13"/>
    <n v="8"/>
    <n v="21"/>
    <n v="2"/>
    <n v="3"/>
    <n v="6"/>
    <n v="1"/>
    <n v="28"/>
    <n v="361"/>
  </r>
  <r>
    <x v="23"/>
    <s v="ITA"/>
    <x v="12"/>
    <x v="12"/>
    <n v="450732745"/>
    <n v="7680687483"/>
    <n v="1780"/>
    <n v="227"/>
    <n v="2007"/>
    <n v="180"/>
    <n v="2187"/>
    <n v="423"/>
    <n v="444"/>
    <n v="0"/>
    <n v="154"/>
    <n v="2341"/>
    <n v="7516"/>
  </r>
  <r>
    <x v="23"/>
    <s v="ITA"/>
    <x v="13"/>
    <x v="13"/>
    <n v="4112559576"/>
    <n v="1686736689"/>
    <n v="156"/>
    <n v="30"/>
    <n v="186"/>
    <n v="176"/>
    <n v="362"/>
    <n v="42"/>
    <n v="43"/>
    <n v="2"/>
    <n v="19"/>
    <n v="383"/>
    <n v="3433"/>
  </r>
  <r>
    <x v="23"/>
    <s v="ITA"/>
    <x v="14"/>
    <x v="14"/>
    <n v="3921531192"/>
    <n v="9110616306"/>
    <n v="42"/>
    <n v="7"/>
    <n v="49"/>
    <n v="83"/>
    <n v="132"/>
    <n v="17"/>
    <n v="17"/>
    <n v="0"/>
    <n v="2"/>
    <n v="134"/>
    <n v="1135"/>
  </r>
  <r>
    <x v="23"/>
    <s v="ITA"/>
    <x v="15"/>
    <x v="15"/>
    <n v="3811569725"/>
    <n v="133623567"/>
    <n v="100"/>
    <n v="29"/>
    <n v="129"/>
    <n v="138"/>
    <n v="267"/>
    <n v="41"/>
    <n v="45"/>
    <n v="12"/>
    <n v="3"/>
    <n v="282"/>
    <n v="3294"/>
  </r>
  <r>
    <x v="23"/>
    <s v="ITA"/>
    <x v="16"/>
    <x v="16"/>
    <n v="4376923077"/>
    <n v="1125588885"/>
    <n v="427"/>
    <n v="160"/>
    <n v="587"/>
    <n v="704"/>
    <n v="1291"/>
    <n v="267"/>
    <n v="277"/>
    <n v="17"/>
    <n v="22"/>
    <n v="1330"/>
    <n v="7606"/>
  </r>
  <r>
    <x v="23"/>
    <s v="ITA"/>
    <x v="2"/>
    <x v="17"/>
    <n v="4606893511"/>
    <n v="1112123097"/>
    <n v="141"/>
    <n v="22"/>
    <n v="163"/>
    <n v="273"/>
    <n v="436"/>
    <n v="68"/>
    <n v="70"/>
    <n v="12"/>
    <n v="7"/>
    <n v="455"/>
    <n v="2187"/>
  </r>
  <r>
    <x v="23"/>
    <s v="ITA"/>
    <x v="17"/>
    <x v="18"/>
    <n v="4310675841"/>
    <n v="1238824698"/>
    <n v="54"/>
    <n v="21"/>
    <n v="75"/>
    <n v="166"/>
    <n v="241"/>
    <n v="49"/>
    <n v="50"/>
    <n v="4"/>
    <n v="2"/>
    <n v="247"/>
    <n v="1601"/>
  </r>
  <r>
    <x v="23"/>
    <s v="ITA"/>
    <x v="18"/>
    <x v="19"/>
    <n v="4573750286"/>
    <n v="7320149366"/>
    <n v="41"/>
    <n v="3"/>
    <n v="44"/>
    <n v="118"/>
    <n v="162"/>
    <n v="28"/>
    <n v="29"/>
    <n v="0"/>
    <n v="3"/>
    <n v="165"/>
    <n v="486"/>
  </r>
  <r>
    <x v="23"/>
    <s v="ITA"/>
    <x v="19"/>
    <x v="20"/>
    <n v="4543490485"/>
    <n v="1233845213"/>
    <n v="646"/>
    <n v="195"/>
    <n v="841"/>
    <n v="2112"/>
    <n v="2953"/>
    <n v="465"/>
    <n v="510"/>
    <n v="167"/>
    <n v="94"/>
    <n v="3214"/>
    <n v="40841"/>
  </r>
  <r>
    <x v="24"/>
    <s v="ITA"/>
    <x v="0"/>
    <x v="0"/>
    <n v="4235122196"/>
    <n v="1339843823"/>
    <n v="181"/>
    <n v="47"/>
    <n v="228"/>
    <n v="138"/>
    <n v="366"/>
    <n v="117"/>
    <n v="122"/>
    <n v="8"/>
    <n v="11"/>
    <n v="385"/>
    <n v="2409"/>
  </r>
  <r>
    <x v="24"/>
    <s v="ITA"/>
    <x v="1"/>
    <x v="1"/>
    <n v="4063947052"/>
    <n v="1580514834"/>
    <n v="8"/>
    <n v="5"/>
    <n v="13"/>
    <n v="24"/>
    <n v="37"/>
    <n v="10"/>
    <n v="10"/>
    <n v="0"/>
    <n v="0"/>
    <n v="37"/>
    <n v="353"/>
  </r>
  <r>
    <x v="24"/>
    <s v="ITA"/>
    <x v="2"/>
    <x v="2"/>
    <n v="4649933453"/>
    <n v="1135662422"/>
    <n v="87"/>
    <n v="18"/>
    <n v="105"/>
    <n v="316"/>
    <n v="421"/>
    <n v="55"/>
    <n v="60"/>
    <n v="1"/>
    <n v="14"/>
    <n v="436"/>
    <n v="3568"/>
  </r>
  <r>
    <x v="24"/>
    <s v="ITA"/>
    <x v="3"/>
    <x v="3"/>
    <n v="3890597598"/>
    <n v="1659440194"/>
    <n v="60"/>
    <n v="13"/>
    <n v="73"/>
    <n v="91"/>
    <n v="164"/>
    <n v="38"/>
    <n v="40"/>
    <n v="2"/>
    <n v="3"/>
    <n v="169"/>
    <n v="2342"/>
  </r>
  <r>
    <x v="24"/>
    <s v="ITA"/>
    <x v="4"/>
    <x v="4"/>
    <n v="4083956555"/>
    <n v="1425084984"/>
    <n v="213"/>
    <n v="36"/>
    <n v="249"/>
    <n v="356"/>
    <n v="605"/>
    <n v="182"/>
    <n v="192"/>
    <n v="30"/>
    <n v="17"/>
    <n v="652"/>
    <n v="3544"/>
  </r>
  <r>
    <x v="24"/>
    <s v="ITA"/>
    <x v="5"/>
    <x v="5"/>
    <n v="4449436681"/>
    <n v="113417208"/>
    <n v="1900"/>
    <n v="260"/>
    <n v="2160"/>
    <n v="2346"/>
    <n v="4506"/>
    <n v="591"/>
    <n v="689"/>
    <n v="177"/>
    <n v="531"/>
    <n v="5214"/>
    <n v="18344"/>
  </r>
  <r>
    <x v="24"/>
    <s v="ITA"/>
    <x v="6"/>
    <x v="6"/>
    <n v="456494354"/>
    <n v="1376813649"/>
    <n v="134"/>
    <n v="29"/>
    <n v="163"/>
    <n v="359"/>
    <n v="522"/>
    <n v="106"/>
    <n v="137"/>
    <n v="41"/>
    <n v="36"/>
    <n v="599"/>
    <n v="4052"/>
  </r>
  <r>
    <x v="24"/>
    <s v="ITA"/>
    <x v="7"/>
    <x v="7"/>
    <n v="4189277044"/>
    <n v="1248366722"/>
    <n v="426"/>
    <n v="45"/>
    <n v="471"/>
    <n v="270"/>
    <n v="741"/>
    <n v="91"/>
    <n v="99"/>
    <n v="44"/>
    <n v="38"/>
    <n v="823"/>
    <n v="11145"/>
  </r>
  <r>
    <x v="24"/>
    <s v="ITA"/>
    <x v="8"/>
    <x v="8"/>
    <n v="4441149315"/>
    <n v="89326992"/>
    <n v="491"/>
    <n v="112"/>
    <n v="603"/>
    <n v="280"/>
    <n v="883"/>
    <n v="139"/>
    <n v="172"/>
    <n v="85"/>
    <n v="91"/>
    <n v="1059"/>
    <n v="3348"/>
  </r>
  <r>
    <x v="24"/>
    <s v="ITA"/>
    <x v="9"/>
    <x v="9"/>
    <n v="4546679409"/>
    <n v="9190347404"/>
    <n v="7387"/>
    <n v="1006"/>
    <n v="8393"/>
    <n v="5545"/>
    <n v="13938"/>
    <n v="1672"/>
    <n v="2171"/>
    <n v="3778"/>
    <n v="2168"/>
    <n v="19884"/>
    <n v="52244"/>
  </r>
  <r>
    <x v="24"/>
    <s v="ITA"/>
    <x v="10"/>
    <x v="10"/>
    <n v="4361675973"/>
    <n v="135188753"/>
    <n v="656"/>
    <n v="141"/>
    <n v="797"/>
    <n v="825"/>
    <n v="1622"/>
    <n v="146"/>
    <n v="169"/>
    <n v="0"/>
    <n v="115"/>
    <n v="1737"/>
    <n v="4512"/>
  </r>
  <r>
    <x v="24"/>
    <s v="ITA"/>
    <x v="11"/>
    <x v="11"/>
    <n v="4155774754"/>
    <n v="1465916051"/>
    <n v="19"/>
    <n v="6"/>
    <n v="25"/>
    <n v="13"/>
    <n v="38"/>
    <n v="17"/>
    <n v="18"/>
    <n v="6"/>
    <n v="2"/>
    <n v="46"/>
    <n v="426"/>
  </r>
  <r>
    <x v="24"/>
    <s v="ITA"/>
    <x v="12"/>
    <x v="12"/>
    <n v="450732745"/>
    <n v="7680687483"/>
    <n v="2279"/>
    <n v="257"/>
    <n v="2536"/>
    <n v="218"/>
    <n v="2754"/>
    <n v="567"/>
    <n v="591"/>
    <n v="3"/>
    <n v="175"/>
    <n v="2932"/>
    <n v="8853"/>
  </r>
  <r>
    <x v="24"/>
    <s v="ITA"/>
    <x v="13"/>
    <x v="13"/>
    <n v="4112559576"/>
    <n v="1686736689"/>
    <n v="173"/>
    <n v="31"/>
    <n v="204"/>
    <n v="245"/>
    <n v="449"/>
    <n v="87"/>
    <n v="95"/>
    <n v="4"/>
    <n v="25"/>
    <n v="478"/>
    <n v="4046"/>
  </r>
  <r>
    <x v="24"/>
    <s v="ITA"/>
    <x v="14"/>
    <x v="14"/>
    <n v="3921531192"/>
    <n v="9110616306"/>
    <n v="43"/>
    <n v="9"/>
    <n v="52"/>
    <n v="152"/>
    <n v="204"/>
    <n v="72"/>
    <n v="72"/>
    <n v="0"/>
    <n v="2"/>
    <n v="206"/>
    <n v="1334"/>
  </r>
  <r>
    <x v="24"/>
    <s v="ITA"/>
    <x v="15"/>
    <x v="15"/>
    <n v="3811569725"/>
    <n v="133623567"/>
    <n v="143"/>
    <n v="36"/>
    <n v="179"/>
    <n v="142"/>
    <n v="321"/>
    <n v="54"/>
    <n v="58"/>
    <n v="15"/>
    <n v="4"/>
    <n v="340"/>
    <n v="3961"/>
  </r>
  <r>
    <x v="24"/>
    <s v="ITA"/>
    <x v="16"/>
    <x v="16"/>
    <n v="4376923077"/>
    <n v="1125588885"/>
    <n v="501"/>
    <n v="178"/>
    <n v="679"/>
    <n v="743"/>
    <n v="1422"/>
    <n v="131"/>
    <n v="152"/>
    <n v="22"/>
    <n v="38"/>
    <n v="1482"/>
    <n v="8873"/>
  </r>
  <r>
    <x v="24"/>
    <s v="ITA"/>
    <x v="2"/>
    <x v="17"/>
    <n v="4606893511"/>
    <n v="1112123097"/>
    <n v="169"/>
    <n v="30"/>
    <n v="199"/>
    <n v="292"/>
    <n v="491"/>
    <n v="55"/>
    <n v="68"/>
    <n v="20"/>
    <n v="12"/>
    <n v="523"/>
    <n v="2203"/>
  </r>
  <r>
    <x v="24"/>
    <s v="ITA"/>
    <x v="17"/>
    <x v="18"/>
    <n v="4310675841"/>
    <n v="1238824698"/>
    <n v="69"/>
    <n v="21"/>
    <n v="90"/>
    <n v="238"/>
    <n v="328"/>
    <n v="87"/>
    <n v="87"/>
    <n v="4"/>
    <n v="2"/>
    <n v="334"/>
    <n v="1954"/>
  </r>
  <r>
    <x v="24"/>
    <s v="ITA"/>
    <x v="18"/>
    <x v="19"/>
    <n v="4573750286"/>
    <n v="7320149366"/>
    <n v="47"/>
    <n v="9"/>
    <n v="56"/>
    <n v="153"/>
    <n v="209"/>
    <n v="47"/>
    <n v="50"/>
    <n v="0"/>
    <n v="6"/>
    <n v="215"/>
    <n v="608"/>
  </r>
  <r>
    <x v="24"/>
    <s v="ITA"/>
    <x v="19"/>
    <x v="20"/>
    <n v="4543490485"/>
    <n v="1233845213"/>
    <n v="771"/>
    <n v="209"/>
    <n v="980"/>
    <n v="2189"/>
    <n v="3169"/>
    <n v="216"/>
    <n v="270"/>
    <n v="200"/>
    <n v="115"/>
    <n v="3484"/>
    <n v="44658"/>
  </r>
  <r>
    <x v="25"/>
    <s v="ITA"/>
    <x v="0"/>
    <x v="0"/>
    <n v="4235122196"/>
    <n v="1339843823"/>
    <n v="190"/>
    <n v="48"/>
    <n v="238"/>
    <n v="184"/>
    <n v="422"/>
    <n v="56"/>
    <n v="64"/>
    <n v="10"/>
    <n v="17"/>
    <n v="449"/>
    <n v="2695"/>
  </r>
  <r>
    <x v="25"/>
    <s v="ITA"/>
    <x v="1"/>
    <x v="1"/>
    <n v="4063947052"/>
    <n v="1580514834"/>
    <n v="8"/>
    <n v="5"/>
    <n v="13"/>
    <n v="39"/>
    <n v="52"/>
    <n v="15"/>
    <n v="15"/>
    <n v="0"/>
    <n v="0"/>
    <n v="52"/>
    <n v="443"/>
  </r>
  <r>
    <x v="25"/>
    <s v="ITA"/>
    <x v="2"/>
    <x v="2"/>
    <n v="4649933453"/>
    <n v="1135662422"/>
    <n v="99"/>
    <n v="24"/>
    <n v="123"/>
    <n v="407"/>
    <n v="530"/>
    <n v="109"/>
    <n v="112"/>
    <n v="1"/>
    <n v="17"/>
    <n v="548"/>
    <n v="4433"/>
  </r>
  <r>
    <x v="25"/>
    <s v="ITA"/>
    <x v="3"/>
    <x v="3"/>
    <n v="3890597598"/>
    <n v="1659440194"/>
    <n v="71"/>
    <n v="16"/>
    <n v="87"/>
    <n v="114"/>
    <n v="201"/>
    <n v="37"/>
    <n v="38"/>
    <n v="2"/>
    <n v="4"/>
    <n v="207"/>
    <n v="2690"/>
  </r>
  <r>
    <x v="25"/>
    <s v="ITA"/>
    <x v="4"/>
    <x v="4"/>
    <n v="4083956555"/>
    <n v="1425084984"/>
    <n v="130"/>
    <n v="41"/>
    <n v="171"/>
    <n v="531"/>
    <n v="702"/>
    <n v="97"/>
    <n v="97"/>
    <n v="30"/>
    <n v="17"/>
    <n v="749"/>
    <n v="3845"/>
  </r>
  <r>
    <x v="25"/>
    <s v="ITA"/>
    <x v="5"/>
    <x v="5"/>
    <n v="4449436681"/>
    <n v="113417208"/>
    <n v="2083"/>
    <n v="267"/>
    <n v="2350"/>
    <n v="2739"/>
    <n v="5089"/>
    <n v="583"/>
    <n v="754"/>
    <n v="239"/>
    <n v="640"/>
    <n v="5968"/>
    <n v="20753"/>
  </r>
  <r>
    <x v="25"/>
    <s v="ITA"/>
    <x v="6"/>
    <x v="6"/>
    <n v="456494354"/>
    <n v="1376813649"/>
    <n v="143"/>
    <n v="32"/>
    <n v="175"/>
    <n v="380"/>
    <n v="555"/>
    <n v="33"/>
    <n v="57"/>
    <n v="63"/>
    <n v="38"/>
    <n v="656"/>
    <n v="4964"/>
  </r>
  <r>
    <x v="25"/>
    <s v="ITA"/>
    <x v="7"/>
    <x v="7"/>
    <n v="4189277044"/>
    <n v="1248366722"/>
    <n v="537"/>
    <n v="47"/>
    <n v="584"/>
    <n v="328"/>
    <n v="912"/>
    <n v="171"/>
    <n v="185"/>
    <n v="53"/>
    <n v="43"/>
    <n v="1008"/>
    <n v="13889"/>
  </r>
  <r>
    <x v="25"/>
    <s v="ITA"/>
    <x v="8"/>
    <x v="8"/>
    <n v="4441149315"/>
    <n v="89326992"/>
    <n v="573"/>
    <n v="121"/>
    <n v="694"/>
    <n v="307"/>
    <n v="1001"/>
    <n v="118"/>
    <n v="162"/>
    <n v="101"/>
    <n v="119"/>
    <n v="1221"/>
    <n v="3794"/>
  </r>
  <r>
    <x v="25"/>
    <s v="ITA"/>
    <x v="9"/>
    <x v="9"/>
    <n v="4546679409"/>
    <n v="9190347404"/>
    <n v="7735"/>
    <n v="1050"/>
    <n v="8785"/>
    <n v="6635"/>
    <n v="15420"/>
    <n v="1482"/>
    <n v="2380"/>
    <n v="4295"/>
    <n v="2549"/>
    <n v="22264"/>
    <n v="57174"/>
  </r>
  <r>
    <x v="25"/>
    <s v="ITA"/>
    <x v="10"/>
    <x v="10"/>
    <n v="4361675973"/>
    <n v="135188753"/>
    <n v="704"/>
    <n v="138"/>
    <n v="842"/>
    <n v="1002"/>
    <n v="1844"/>
    <n v="222"/>
    <n v="244"/>
    <n v="0"/>
    <n v="137"/>
    <n v="1981"/>
    <n v="5170"/>
  </r>
  <r>
    <x v="25"/>
    <s v="ITA"/>
    <x v="11"/>
    <x v="11"/>
    <n v="4155774754"/>
    <n v="1465916051"/>
    <n v="20"/>
    <n v="6"/>
    <n v="26"/>
    <n v="13"/>
    <n v="39"/>
    <n v="1"/>
    <n v="4"/>
    <n v="6"/>
    <n v="5"/>
    <n v="50"/>
    <n v="426"/>
  </r>
  <r>
    <x v="25"/>
    <s v="ITA"/>
    <x v="12"/>
    <x v="12"/>
    <n v="450732745"/>
    <n v="7680687483"/>
    <n v="1541"/>
    <n v="280"/>
    <n v="1821"/>
    <n v="1423"/>
    <n v="3244"/>
    <n v="490"/>
    <n v="529"/>
    <n v="8"/>
    <n v="209"/>
    <n v="3461"/>
    <n v="9975"/>
  </r>
  <r>
    <x v="25"/>
    <s v="ITA"/>
    <x v="13"/>
    <x v="13"/>
    <n v="4112559576"/>
    <n v="1686736689"/>
    <n v="191"/>
    <n v="31"/>
    <n v="222"/>
    <n v="329"/>
    <n v="551"/>
    <n v="102"/>
    <n v="103"/>
    <n v="4"/>
    <n v="26"/>
    <n v="581"/>
    <n v="4789"/>
  </r>
  <r>
    <x v="25"/>
    <s v="ITA"/>
    <x v="14"/>
    <x v="14"/>
    <n v="3921531192"/>
    <n v="9110616306"/>
    <n v="56"/>
    <n v="15"/>
    <n v="71"/>
    <n v="217"/>
    <n v="288"/>
    <n v="84"/>
    <n v="87"/>
    <n v="3"/>
    <n v="2"/>
    <n v="293"/>
    <n v="1912"/>
  </r>
  <r>
    <x v="25"/>
    <s v="ITA"/>
    <x v="15"/>
    <x v="15"/>
    <n v="3811569725"/>
    <n v="133623567"/>
    <n v="168"/>
    <n v="42"/>
    <n v="210"/>
    <n v="169"/>
    <n v="379"/>
    <n v="58"/>
    <n v="68"/>
    <n v="25"/>
    <n v="4"/>
    <n v="408"/>
    <n v="4468"/>
  </r>
  <r>
    <x v="25"/>
    <s v="ITA"/>
    <x v="16"/>
    <x v="16"/>
    <n v="4376923077"/>
    <n v="1125588885"/>
    <n v="601"/>
    <n v="189"/>
    <n v="790"/>
    <n v="923"/>
    <n v="1713"/>
    <n v="291"/>
    <n v="311"/>
    <n v="33"/>
    <n v="47"/>
    <n v="1793"/>
    <n v="10405"/>
  </r>
  <r>
    <x v="25"/>
    <s v="ITA"/>
    <x v="2"/>
    <x v="17"/>
    <n v="4606893511"/>
    <n v="1112123097"/>
    <n v="198"/>
    <n v="34"/>
    <n v="232"/>
    <n v="368"/>
    <n v="600"/>
    <n v="109"/>
    <n v="119"/>
    <n v="29"/>
    <n v="13"/>
    <n v="642"/>
    <n v="2656"/>
  </r>
  <r>
    <x v="25"/>
    <s v="ITA"/>
    <x v="17"/>
    <x v="18"/>
    <n v="4310675841"/>
    <n v="1238824698"/>
    <n v="75"/>
    <n v="24"/>
    <n v="99"/>
    <n v="285"/>
    <n v="384"/>
    <n v="56"/>
    <n v="61"/>
    <n v="4"/>
    <n v="7"/>
    <n v="395"/>
    <n v="2303"/>
  </r>
  <r>
    <x v="25"/>
    <s v="ITA"/>
    <x v="18"/>
    <x v="19"/>
    <n v="4573750286"/>
    <n v="7320149366"/>
    <n v="54"/>
    <n v="9"/>
    <n v="63"/>
    <n v="194"/>
    <n v="257"/>
    <n v="48"/>
    <n v="49"/>
    <n v="0"/>
    <n v="7"/>
    <n v="264"/>
    <n v="814"/>
  </r>
  <r>
    <x v="25"/>
    <s v="ITA"/>
    <x v="19"/>
    <x v="20"/>
    <n v="4543490485"/>
    <n v="1233845213"/>
    <n v="843"/>
    <n v="236"/>
    <n v="1079"/>
    <n v="2598"/>
    <n v="3677"/>
    <n v="508"/>
    <n v="547"/>
    <n v="223"/>
    <n v="131"/>
    <n v="4031"/>
    <n v="49288"/>
  </r>
  <r>
    <x v="26"/>
    <s v="ITA"/>
    <x v="0"/>
    <x v="0"/>
    <n v="4235122196"/>
    <n v="1339843823"/>
    <n v="185"/>
    <n v="44"/>
    <n v="229"/>
    <n v="265"/>
    <n v="494"/>
    <n v="72"/>
    <n v="80"/>
    <n v="13"/>
    <n v="22"/>
    <n v="529"/>
    <n v="3035"/>
  </r>
  <r>
    <x v="26"/>
    <s v="ITA"/>
    <x v="1"/>
    <x v="1"/>
    <n v="4063947052"/>
    <n v="1580514834"/>
    <n v="12"/>
    <n v="7"/>
    <n v="19"/>
    <n v="47"/>
    <n v="66"/>
    <n v="14"/>
    <n v="14"/>
    <n v="0"/>
    <n v="0"/>
    <n v="66"/>
    <n v="522"/>
  </r>
  <r>
    <x v="26"/>
    <s v="ITA"/>
    <x v="2"/>
    <x v="2"/>
    <n v="4649933453"/>
    <n v="1135662422"/>
    <n v="127"/>
    <n v="30"/>
    <n v="157"/>
    <n v="443"/>
    <n v="600"/>
    <n v="70"/>
    <n v="73"/>
    <n v="1"/>
    <n v="20"/>
    <n v="621"/>
    <n v="5179"/>
  </r>
  <r>
    <x v="26"/>
    <s v="ITA"/>
    <x v="3"/>
    <x v="3"/>
    <n v="3890597598"/>
    <n v="1659440194"/>
    <n v="73"/>
    <n v="16"/>
    <n v="89"/>
    <n v="136"/>
    <n v="225"/>
    <n v="24"/>
    <n v="28"/>
    <n v="5"/>
    <n v="5"/>
    <n v="235"/>
    <n v="3050"/>
  </r>
  <r>
    <x v="26"/>
    <s v="ITA"/>
    <x v="4"/>
    <x v="4"/>
    <n v="4083956555"/>
    <n v="1425084984"/>
    <n v="233"/>
    <n v="87"/>
    <n v="320"/>
    <n v="473"/>
    <n v="793"/>
    <n v="91"/>
    <n v="95"/>
    <n v="29"/>
    <n v="22"/>
    <n v="844"/>
    <n v="4448"/>
  </r>
  <r>
    <x v="26"/>
    <s v="ITA"/>
    <x v="5"/>
    <x v="5"/>
    <n v="4449436681"/>
    <n v="113417208"/>
    <n v="2267"/>
    <n v="265"/>
    <n v="2532"/>
    <n v="3129"/>
    <n v="5661"/>
    <n v="572"/>
    <n v="737"/>
    <n v="329"/>
    <n v="715"/>
    <n v="6705"/>
    <n v="24620"/>
  </r>
  <r>
    <x v="26"/>
    <s v="ITA"/>
    <x v="6"/>
    <x v="6"/>
    <n v="456494354"/>
    <n v="1376813649"/>
    <n v="152"/>
    <n v="37"/>
    <n v="189"/>
    <n v="477"/>
    <n v="666"/>
    <n v="111"/>
    <n v="134"/>
    <n v="82"/>
    <n v="42"/>
    <n v="790"/>
    <n v="5955"/>
  </r>
  <r>
    <x v="26"/>
    <s v="ITA"/>
    <x v="7"/>
    <x v="7"/>
    <n v="4189277044"/>
    <n v="1248366722"/>
    <n v="591"/>
    <n v="70"/>
    <n v="661"/>
    <n v="425"/>
    <n v="1086"/>
    <n v="174"/>
    <n v="182"/>
    <n v="54"/>
    <n v="50"/>
    <n v="1190"/>
    <n v="13889"/>
  </r>
  <r>
    <x v="26"/>
    <s v="ITA"/>
    <x v="8"/>
    <x v="8"/>
    <n v="4441149315"/>
    <n v="89326992"/>
    <n v="598"/>
    <n v="129"/>
    <n v="727"/>
    <n v="432"/>
    <n v="1159"/>
    <n v="158"/>
    <n v="215"/>
    <n v="125"/>
    <n v="152"/>
    <n v="1436"/>
    <n v="4304"/>
  </r>
  <r>
    <x v="26"/>
    <s v="ITA"/>
    <x v="9"/>
    <x v="9"/>
    <n v="4546679409"/>
    <n v="9190347404"/>
    <n v="8258"/>
    <n v="1093"/>
    <n v="9351"/>
    <n v="8019"/>
    <n v="17370"/>
    <n v="1950"/>
    <n v="3251"/>
    <n v="5050"/>
    <n v="3095"/>
    <n v="25515"/>
    <n v="66730"/>
  </r>
  <r>
    <x v="26"/>
    <s v="ITA"/>
    <x v="10"/>
    <x v="10"/>
    <n v="4361675973"/>
    <n v="135188753"/>
    <n v="742"/>
    <n v="141"/>
    <n v="883"/>
    <n v="1114"/>
    <n v="1997"/>
    <n v="153"/>
    <n v="172"/>
    <n v="2"/>
    <n v="154"/>
    <n v="2153"/>
    <n v="5740"/>
  </r>
  <r>
    <x v="26"/>
    <s v="ITA"/>
    <x v="11"/>
    <x v="11"/>
    <n v="4155774754"/>
    <n v="1465916051"/>
    <n v="21"/>
    <n v="6"/>
    <n v="27"/>
    <n v="20"/>
    <n v="47"/>
    <n v="8"/>
    <n v="11"/>
    <n v="7"/>
    <n v="7"/>
    <n v="61"/>
    <n v="449"/>
  </r>
  <r>
    <x v="26"/>
    <s v="ITA"/>
    <x v="12"/>
    <x v="12"/>
    <n v="450732745"/>
    <n v="7680687483"/>
    <n v="1976"/>
    <n v="301"/>
    <n v="2277"/>
    <n v="1229"/>
    <n v="3506"/>
    <n v="262"/>
    <n v="291"/>
    <n v="8"/>
    <n v="238"/>
    <n v="3752"/>
    <n v="10701"/>
  </r>
  <r>
    <x v="26"/>
    <s v="ITA"/>
    <x v="13"/>
    <x v="13"/>
    <n v="4112559576"/>
    <n v="1686736689"/>
    <n v="209"/>
    <n v="33"/>
    <n v="242"/>
    <n v="400"/>
    <n v="642"/>
    <n v="91"/>
    <n v="94"/>
    <n v="4"/>
    <n v="29"/>
    <n v="675"/>
    <n v="5617"/>
  </r>
  <r>
    <x v="26"/>
    <s v="ITA"/>
    <x v="14"/>
    <x v="14"/>
    <n v="3921531192"/>
    <n v="9110616306"/>
    <n v="65"/>
    <n v="16"/>
    <n v="81"/>
    <n v="240"/>
    <n v="321"/>
    <n v="33"/>
    <n v="37"/>
    <n v="5"/>
    <n v="4"/>
    <n v="330"/>
    <n v="2297"/>
  </r>
  <r>
    <x v="26"/>
    <s v="ITA"/>
    <x v="15"/>
    <x v="15"/>
    <n v="3811569725"/>
    <n v="133623567"/>
    <n v="206"/>
    <n v="48"/>
    <n v="254"/>
    <n v="204"/>
    <n v="458"/>
    <n v="79"/>
    <n v="82"/>
    <n v="26"/>
    <n v="6"/>
    <n v="490"/>
    <n v="4883"/>
  </r>
  <r>
    <x v="26"/>
    <s v="ITA"/>
    <x v="16"/>
    <x v="16"/>
    <n v="4376923077"/>
    <n v="1125588885"/>
    <n v="664"/>
    <n v="202"/>
    <n v="866"/>
    <n v="1039"/>
    <n v="1905"/>
    <n v="192"/>
    <n v="219"/>
    <n v="35"/>
    <n v="72"/>
    <n v="2012"/>
    <n v="11909"/>
  </r>
  <r>
    <x v="26"/>
    <s v="ITA"/>
    <x v="2"/>
    <x v="17"/>
    <n v="4606893511"/>
    <n v="1112123097"/>
    <n v="233"/>
    <n v="39"/>
    <n v="272"/>
    <n v="448"/>
    <n v="720"/>
    <n v="120"/>
    <n v="140"/>
    <n v="34"/>
    <n v="28"/>
    <n v="782"/>
    <n v="2656"/>
  </r>
  <r>
    <x v="26"/>
    <s v="ITA"/>
    <x v="17"/>
    <x v="18"/>
    <n v="4310675841"/>
    <n v="1238824698"/>
    <n v="92"/>
    <n v="29"/>
    <n v="121"/>
    <n v="326"/>
    <n v="447"/>
    <n v="63"/>
    <n v="67"/>
    <n v="5"/>
    <n v="10"/>
    <n v="462"/>
    <n v="2712"/>
  </r>
  <r>
    <x v="26"/>
    <s v="ITA"/>
    <x v="18"/>
    <x v="19"/>
    <n v="4573750286"/>
    <n v="7320149366"/>
    <n v="62"/>
    <n v="15"/>
    <n v="77"/>
    <n v="227"/>
    <n v="304"/>
    <n v="47"/>
    <n v="49"/>
    <n v="1"/>
    <n v="8"/>
    <n v="313"/>
    <n v="884"/>
  </r>
  <r>
    <x v="26"/>
    <s v="ITA"/>
    <x v="19"/>
    <x v="20"/>
    <n v="4543490485"/>
    <n v="1233845213"/>
    <n v="942"/>
    <n v="249"/>
    <n v="1191"/>
    <n v="3023"/>
    <n v="4214"/>
    <n v="537"/>
    <n v="586"/>
    <n v="257"/>
    <n v="146"/>
    <n v="4617"/>
    <n v="53642"/>
  </r>
  <r>
    <x v="27"/>
    <s v="ITA"/>
    <x v="0"/>
    <x v="0"/>
    <n v="4235122196"/>
    <n v="1339843823"/>
    <n v="218"/>
    <n v="49"/>
    <n v="267"/>
    <n v="272"/>
    <n v="539"/>
    <n v="45"/>
    <n v="58"/>
    <n v="15"/>
    <n v="33"/>
    <n v="587"/>
    <n v="3375"/>
  </r>
  <r>
    <x v="27"/>
    <s v="ITA"/>
    <x v="1"/>
    <x v="1"/>
    <n v="4063947052"/>
    <n v="1580514834"/>
    <n v="13"/>
    <n v="10"/>
    <n v="23"/>
    <n v="58"/>
    <n v="81"/>
    <n v="15"/>
    <n v="15"/>
    <n v="0"/>
    <n v="0"/>
    <n v="81"/>
    <n v="643"/>
  </r>
  <r>
    <x v="27"/>
    <s v="ITA"/>
    <x v="2"/>
    <x v="2"/>
    <n v="4649933453"/>
    <n v="1135662422"/>
    <n v="146"/>
    <n v="32"/>
    <n v="178"/>
    <n v="470"/>
    <n v="648"/>
    <n v="48"/>
    <n v="57"/>
    <n v="7"/>
    <n v="23"/>
    <n v="678"/>
    <n v="5718"/>
  </r>
  <r>
    <x v="27"/>
    <s v="ITA"/>
    <x v="3"/>
    <x v="3"/>
    <n v="3890597598"/>
    <n v="1659440194"/>
    <n v="77"/>
    <n v="17"/>
    <n v="94"/>
    <n v="166"/>
    <n v="260"/>
    <n v="35"/>
    <n v="38"/>
    <n v="5"/>
    <n v="8"/>
    <n v="273"/>
    <n v="3666"/>
  </r>
  <r>
    <x v="27"/>
    <s v="ITA"/>
    <x v="4"/>
    <x v="4"/>
    <n v="4083956555"/>
    <n v="1425084984"/>
    <n v="243"/>
    <n v="99"/>
    <n v="342"/>
    <n v="524"/>
    <n v="866"/>
    <n v="73"/>
    <n v="92"/>
    <n v="41"/>
    <n v="29"/>
    <n v="936"/>
    <n v="4943"/>
  </r>
  <r>
    <x v="27"/>
    <s v="ITA"/>
    <x v="5"/>
    <x v="5"/>
    <n v="4449436681"/>
    <n v="113417208"/>
    <n v="2429"/>
    <n v="269"/>
    <n v="2698"/>
    <n v="3692"/>
    <n v="6390"/>
    <n v="729"/>
    <n v="850"/>
    <n v="349"/>
    <n v="816"/>
    <n v="7555"/>
    <n v="28022"/>
  </r>
  <r>
    <x v="27"/>
    <s v="ITA"/>
    <x v="6"/>
    <x v="6"/>
    <n v="456494354"/>
    <n v="1376813649"/>
    <n v="163"/>
    <n v="47"/>
    <n v="210"/>
    <n v="528"/>
    <n v="738"/>
    <n v="72"/>
    <n v="84"/>
    <n v="89"/>
    <n v="47"/>
    <n v="874"/>
    <n v="6761"/>
  </r>
  <r>
    <x v="27"/>
    <s v="ITA"/>
    <x v="7"/>
    <x v="7"/>
    <n v="4189277044"/>
    <n v="1248366722"/>
    <n v="671"/>
    <n v="79"/>
    <n v="750"/>
    <n v="522"/>
    <n v="1272"/>
    <n v="186"/>
    <n v="193"/>
    <n v="58"/>
    <n v="53"/>
    <n v="1383"/>
    <n v="17845"/>
  </r>
  <r>
    <x v="27"/>
    <s v="ITA"/>
    <x v="8"/>
    <x v="8"/>
    <n v="4441149315"/>
    <n v="89326992"/>
    <n v="736"/>
    <n v="132"/>
    <n v="868"/>
    <n v="483"/>
    <n v="1351"/>
    <n v="192"/>
    <n v="229"/>
    <n v="143"/>
    <n v="171"/>
    <n v="1665"/>
    <n v="4995"/>
  </r>
  <r>
    <x v="27"/>
    <s v="ITA"/>
    <x v="9"/>
    <x v="9"/>
    <n v="4546679409"/>
    <n v="9190347404"/>
    <n v="9439"/>
    <n v="1142"/>
    <n v="10581"/>
    <n v="7304"/>
    <n v="17885"/>
    <n v="515"/>
    <n v="1691"/>
    <n v="5865"/>
    <n v="3456"/>
    <n v="27206"/>
    <n v="70598"/>
  </r>
  <r>
    <x v="27"/>
    <s v="ITA"/>
    <x v="10"/>
    <x v="10"/>
    <n v="4361675973"/>
    <n v="135188753"/>
    <n v="816"/>
    <n v="138"/>
    <n v="954"/>
    <n v="1277"/>
    <n v="2231"/>
    <n v="234"/>
    <n v="268"/>
    <n v="6"/>
    <n v="184"/>
    <n v="2421"/>
    <n v="6391"/>
  </r>
  <r>
    <x v="27"/>
    <s v="ITA"/>
    <x v="11"/>
    <x v="11"/>
    <n v="4155774754"/>
    <n v="1465916051"/>
    <n v="24"/>
    <n v="7"/>
    <n v="31"/>
    <n v="21"/>
    <n v="52"/>
    <n v="5"/>
    <n v="5"/>
    <n v="7"/>
    <n v="7"/>
    <n v="66"/>
    <n v="532"/>
  </r>
  <r>
    <x v="27"/>
    <s v="ITA"/>
    <x v="12"/>
    <x v="12"/>
    <n v="450732745"/>
    <n v="7680687483"/>
    <n v="2118"/>
    <n v="308"/>
    <n v="2426"/>
    <n v="1701"/>
    <n v="4127"/>
    <n v="621"/>
    <n v="668"/>
    <n v="10"/>
    <n v="283"/>
    <n v="4420"/>
    <n v="12701"/>
  </r>
  <r>
    <x v="27"/>
    <s v="ITA"/>
    <x v="13"/>
    <x v="13"/>
    <n v="4112559576"/>
    <n v="1686736689"/>
    <n v="252"/>
    <n v="37"/>
    <n v="289"/>
    <n v="459"/>
    <n v="748"/>
    <n v="106"/>
    <n v="111"/>
    <n v="7"/>
    <n v="31"/>
    <n v="786"/>
    <n v="6160"/>
  </r>
  <r>
    <x v="27"/>
    <s v="ITA"/>
    <x v="14"/>
    <x v="14"/>
    <n v="3921531192"/>
    <n v="9110616306"/>
    <n v="67"/>
    <n v="16"/>
    <n v="83"/>
    <n v="244"/>
    <n v="327"/>
    <n v="6"/>
    <n v="9"/>
    <n v="5"/>
    <n v="7"/>
    <n v="339"/>
    <n v="2402"/>
  </r>
  <r>
    <x v="27"/>
    <s v="ITA"/>
    <x v="15"/>
    <x v="15"/>
    <n v="3811569725"/>
    <n v="133623567"/>
    <n v="220"/>
    <n v="55"/>
    <n v="275"/>
    <n v="321"/>
    <n v="596"/>
    <n v="138"/>
    <n v="140"/>
    <n v="26"/>
    <n v="8"/>
    <n v="630"/>
    <n v="5580"/>
  </r>
  <r>
    <x v="27"/>
    <s v="ITA"/>
    <x v="16"/>
    <x v="16"/>
    <n v="4376923077"/>
    <n v="1125588885"/>
    <n v="706"/>
    <n v="215"/>
    <n v="921"/>
    <n v="1223"/>
    <n v="2144"/>
    <n v="239"/>
    <n v="265"/>
    <n v="42"/>
    <n v="91"/>
    <n v="2277"/>
    <n v="13264"/>
  </r>
  <r>
    <x v="27"/>
    <s v="ITA"/>
    <x v="2"/>
    <x v="17"/>
    <n v="4606893511"/>
    <n v="1112123097"/>
    <n v="235"/>
    <n v="46"/>
    <n v="281"/>
    <n v="604"/>
    <n v="885"/>
    <n v="165"/>
    <n v="172"/>
    <n v="34"/>
    <n v="35"/>
    <n v="954"/>
    <n v="3050"/>
  </r>
  <r>
    <x v="27"/>
    <s v="ITA"/>
    <x v="17"/>
    <x v="18"/>
    <n v="4310675841"/>
    <n v="1238824698"/>
    <n v="97"/>
    <n v="35"/>
    <n v="132"/>
    <n v="368"/>
    <n v="500"/>
    <n v="53"/>
    <n v="59"/>
    <n v="5"/>
    <n v="16"/>
    <n v="521"/>
    <n v="3135"/>
  </r>
  <r>
    <x v="27"/>
    <s v="ITA"/>
    <x v="18"/>
    <x v="19"/>
    <n v="4573750286"/>
    <n v="7320149366"/>
    <n v="63"/>
    <n v="21"/>
    <n v="84"/>
    <n v="270"/>
    <n v="354"/>
    <n v="50"/>
    <n v="51"/>
    <n v="1"/>
    <n v="9"/>
    <n v="364"/>
    <n v="950"/>
  </r>
  <r>
    <x v="27"/>
    <s v="ITA"/>
    <x v="19"/>
    <x v="20"/>
    <n v="4543490485"/>
    <n v="1233845213"/>
    <n v="1113"/>
    <n v="255"/>
    <n v="1368"/>
    <n v="3276"/>
    <n v="4644"/>
    <n v="430"/>
    <n v="505"/>
    <n v="309"/>
    <n v="169"/>
    <n v="5122"/>
    <n v="57671"/>
  </r>
  <r>
    <x v="28"/>
    <s v="ITA"/>
    <x v="0"/>
    <x v="0"/>
    <n v="4235122196"/>
    <n v="1339843823"/>
    <n v="228"/>
    <n v="52"/>
    <n v="280"/>
    <n v="325"/>
    <n v="605"/>
    <n v="66"/>
    <n v="76"/>
    <n v="20"/>
    <n v="38"/>
    <n v="663"/>
    <n v="3674"/>
  </r>
  <r>
    <x v="28"/>
    <s v="ITA"/>
    <x v="1"/>
    <x v="1"/>
    <n v="4063947052"/>
    <n v="1580514834"/>
    <n v="15"/>
    <n v="12"/>
    <n v="27"/>
    <n v="62"/>
    <n v="89"/>
    <n v="8"/>
    <n v="9"/>
    <n v="0"/>
    <n v="1"/>
    <n v="90"/>
    <n v="696"/>
  </r>
  <r>
    <x v="28"/>
    <s v="ITA"/>
    <x v="2"/>
    <x v="2"/>
    <n v="4649933453"/>
    <n v="1135662422"/>
    <n v="145"/>
    <n v="33"/>
    <n v="178"/>
    <n v="510"/>
    <n v="688"/>
    <n v="40"/>
    <n v="46"/>
    <n v="7"/>
    <n v="29"/>
    <n v="724"/>
    <n v="6084"/>
  </r>
  <r>
    <x v="28"/>
    <s v="ITA"/>
    <x v="3"/>
    <x v="3"/>
    <n v="3890597598"/>
    <n v="1659440194"/>
    <n v="82"/>
    <n v="20"/>
    <n v="102"/>
    <n v="178"/>
    <n v="280"/>
    <n v="20"/>
    <n v="19"/>
    <n v="5"/>
    <n v="7"/>
    <n v="292"/>
    <n v="4073"/>
  </r>
  <r>
    <x v="28"/>
    <s v="ITA"/>
    <x v="4"/>
    <x v="4"/>
    <n v="4083956555"/>
    <n v="1425084984"/>
    <n v="266"/>
    <n v="110"/>
    <n v="376"/>
    <n v="553"/>
    <n v="929"/>
    <n v="63"/>
    <n v="90"/>
    <n v="48"/>
    <n v="49"/>
    <n v="1026"/>
    <n v="5813"/>
  </r>
  <r>
    <x v="28"/>
    <s v="ITA"/>
    <x v="5"/>
    <x v="5"/>
    <n v="4449436681"/>
    <n v="113417208"/>
    <n v="2846"/>
    <n v="276"/>
    <n v="3122"/>
    <n v="4098"/>
    <n v="7220"/>
    <n v="830"/>
    <n v="980"/>
    <n v="423"/>
    <n v="892"/>
    <n v="8535"/>
    <n v="31200"/>
  </r>
  <r>
    <x v="28"/>
    <s v="ITA"/>
    <x v="6"/>
    <x v="6"/>
    <n v="456494354"/>
    <n v="1376813649"/>
    <n v="185"/>
    <n v="41"/>
    <n v="226"/>
    <n v="545"/>
    <n v="771"/>
    <n v="33"/>
    <n v="56"/>
    <n v="105"/>
    <n v="54"/>
    <n v="930"/>
    <n v="7424"/>
  </r>
  <r>
    <x v="28"/>
    <s v="ITA"/>
    <x v="7"/>
    <x v="7"/>
    <n v="4189277044"/>
    <n v="1248366722"/>
    <n v="718"/>
    <n v="96"/>
    <n v="814"/>
    <n v="600"/>
    <n v="1414"/>
    <n v="142"/>
    <n v="157"/>
    <n v="63"/>
    <n v="63"/>
    <n v="1540"/>
    <n v="18371"/>
  </r>
  <r>
    <x v="28"/>
    <s v="ITA"/>
    <x v="8"/>
    <x v="8"/>
    <n v="4441149315"/>
    <n v="89326992"/>
    <n v="761"/>
    <n v="133"/>
    <n v="894"/>
    <n v="659"/>
    <n v="1553"/>
    <n v="202"/>
    <n v="259"/>
    <n v="159"/>
    <n v="212"/>
    <n v="1924"/>
    <n v="5538"/>
  </r>
  <r>
    <x v="28"/>
    <s v="ITA"/>
    <x v="9"/>
    <x v="9"/>
    <n v="4546679409"/>
    <n v="9190347404"/>
    <n v="9266"/>
    <n v="1183"/>
    <n v="10449"/>
    <n v="8461"/>
    <n v="18910"/>
    <n v="1025"/>
    <n v="1555"/>
    <n v="6075"/>
    <n v="3776"/>
    <n v="28761"/>
    <n v="73242"/>
  </r>
  <r>
    <x v="28"/>
    <s v="ITA"/>
    <x v="10"/>
    <x v="10"/>
    <n v="4361675973"/>
    <n v="135188753"/>
    <n v="882"/>
    <n v="148"/>
    <n v="1030"/>
    <n v="1328"/>
    <n v="2358"/>
    <n v="127"/>
    <n v="148"/>
    <n v="8"/>
    <n v="203"/>
    <n v="2569"/>
    <n v="6782"/>
  </r>
  <r>
    <x v="28"/>
    <s v="ITA"/>
    <x v="11"/>
    <x v="11"/>
    <n v="4155774754"/>
    <n v="1465916051"/>
    <n v="25"/>
    <n v="7"/>
    <n v="32"/>
    <n v="18"/>
    <n v="50"/>
    <n v="-2"/>
    <n v="1"/>
    <n v="10"/>
    <n v="7"/>
    <n v="67"/>
    <n v="532"/>
  </r>
  <r>
    <x v="28"/>
    <s v="ITA"/>
    <x v="12"/>
    <x v="12"/>
    <n v="450732745"/>
    <n v="7680687483"/>
    <n v="2194"/>
    <n v="343"/>
    <n v="2537"/>
    <n v="1992"/>
    <n v="4529"/>
    <n v="402"/>
    <n v="441"/>
    <n v="17"/>
    <n v="315"/>
    <n v="4861"/>
    <n v="13560"/>
  </r>
  <r>
    <x v="28"/>
    <s v="ITA"/>
    <x v="13"/>
    <x v="13"/>
    <n v="4112559576"/>
    <n v="1686736689"/>
    <n v="285"/>
    <n v="45"/>
    <n v="330"/>
    <n v="532"/>
    <n v="862"/>
    <n v="114"/>
    <n v="120"/>
    <n v="7"/>
    <n v="37"/>
    <n v="906"/>
    <n v="6761"/>
  </r>
  <r>
    <x v="28"/>
    <s v="ITA"/>
    <x v="14"/>
    <x v="14"/>
    <n v="3921531192"/>
    <n v="9110616306"/>
    <n v="76"/>
    <n v="18"/>
    <n v="94"/>
    <n v="249"/>
    <n v="343"/>
    <n v="16"/>
    <n v="20"/>
    <n v="5"/>
    <n v="11"/>
    <n v="359"/>
    <n v="2568"/>
  </r>
  <r>
    <x v="28"/>
    <s v="ITA"/>
    <x v="15"/>
    <x v="15"/>
    <n v="3811569725"/>
    <n v="133623567"/>
    <n v="250"/>
    <n v="60"/>
    <n v="310"/>
    <n v="371"/>
    <n v="681"/>
    <n v="85"/>
    <n v="91"/>
    <n v="27"/>
    <n v="13"/>
    <n v="721"/>
    <n v="6375"/>
  </r>
  <r>
    <x v="28"/>
    <s v="ITA"/>
    <x v="16"/>
    <x v="16"/>
    <n v="4376923077"/>
    <n v="1125588885"/>
    <n v="838"/>
    <n v="238"/>
    <n v="1076"/>
    <n v="1225"/>
    <n v="2301"/>
    <n v="157"/>
    <n v="184"/>
    <n v="51"/>
    <n v="109"/>
    <n v="2461"/>
    <n v="13851"/>
  </r>
  <r>
    <x v="28"/>
    <s v="ITA"/>
    <x v="2"/>
    <x v="17"/>
    <n v="4606893511"/>
    <n v="1112123097"/>
    <n v="249"/>
    <n v="46"/>
    <n v="295"/>
    <n v="619"/>
    <n v="914"/>
    <n v="29"/>
    <n v="69"/>
    <n v="68"/>
    <n v="41"/>
    <n v="1023"/>
    <n v="3150"/>
  </r>
  <r>
    <x v="28"/>
    <s v="ITA"/>
    <x v="17"/>
    <x v="18"/>
    <n v="4310675841"/>
    <n v="1238824698"/>
    <n v="106"/>
    <n v="42"/>
    <n v="148"/>
    <n v="408"/>
    <n v="556"/>
    <n v="56"/>
    <n v="56"/>
    <n v="5"/>
    <n v="16"/>
    <n v="577"/>
    <n v="3561"/>
  </r>
  <r>
    <x v="28"/>
    <s v="ITA"/>
    <x v="18"/>
    <x v="19"/>
    <n v="4573750286"/>
    <n v="7320149366"/>
    <n v="69"/>
    <n v="20"/>
    <n v="89"/>
    <n v="290"/>
    <n v="379"/>
    <n v="25"/>
    <n v="29"/>
    <n v="2"/>
    <n v="12"/>
    <n v="393"/>
    <n v="1098"/>
  </r>
  <r>
    <x v="28"/>
    <s v="ITA"/>
    <x v="19"/>
    <x v="20"/>
    <n v="4543490485"/>
    <n v="1233845213"/>
    <n v="1206"/>
    <n v="281"/>
    <n v="1487"/>
    <n v="3499"/>
    <n v="4986"/>
    <n v="342"/>
    <n v="383"/>
    <n v="327"/>
    <n v="192"/>
    <n v="5505"/>
    <n v="61115"/>
  </r>
  <r>
    <x v="29"/>
    <s v="ITA"/>
    <x v="0"/>
    <x v="0"/>
    <n v="4235122196"/>
    <n v="1339843823"/>
    <n v="234"/>
    <n v="57"/>
    <n v="291"/>
    <n v="331"/>
    <n v="622"/>
    <n v="17"/>
    <n v="26"/>
    <n v="21"/>
    <n v="46"/>
    <n v="689"/>
    <n v="4294"/>
  </r>
  <r>
    <x v="29"/>
    <s v="ITA"/>
    <x v="1"/>
    <x v="1"/>
    <n v="4063947052"/>
    <n v="1580514834"/>
    <n v="14"/>
    <n v="12"/>
    <n v="26"/>
    <n v="65"/>
    <n v="91"/>
    <n v="2"/>
    <n v="2"/>
    <n v="0"/>
    <n v="1"/>
    <n v="92"/>
    <n v="744"/>
  </r>
  <r>
    <x v="29"/>
    <s v="ITA"/>
    <x v="2"/>
    <x v="2"/>
    <n v="4649933453"/>
    <n v="1135662422"/>
    <n v="166"/>
    <n v="38"/>
    <n v="204"/>
    <n v="495"/>
    <n v="699"/>
    <n v="11"/>
    <n v="57"/>
    <n v="44"/>
    <n v="38"/>
    <n v="781"/>
    <n v="6509"/>
  </r>
  <r>
    <x v="29"/>
    <s v="ITA"/>
    <x v="3"/>
    <x v="3"/>
    <n v="3890597598"/>
    <n v="1659440194"/>
    <n v="88"/>
    <n v="21"/>
    <n v="109"/>
    <n v="195"/>
    <n v="304"/>
    <n v="24"/>
    <n v="27"/>
    <n v="5"/>
    <n v="10"/>
    <n v="319"/>
    <n v="4486"/>
  </r>
  <r>
    <x v="29"/>
    <s v="ITA"/>
    <x v="4"/>
    <x v="4"/>
    <n v="4083956555"/>
    <n v="1425084984"/>
    <n v="345"/>
    <n v="181"/>
    <n v="526"/>
    <n v="466"/>
    <n v="992"/>
    <n v="63"/>
    <n v="75"/>
    <n v="53"/>
    <n v="56"/>
    <n v="1101"/>
    <n v="6297"/>
  </r>
  <r>
    <x v="29"/>
    <s v="ITA"/>
    <x v="5"/>
    <x v="5"/>
    <n v="4449436681"/>
    <n v="113417208"/>
    <n v="2974"/>
    <n v="291"/>
    <n v="3265"/>
    <n v="4446"/>
    <n v="7711"/>
    <n v="491"/>
    <n v="719"/>
    <n v="558"/>
    <n v="985"/>
    <n v="9254"/>
    <n v="33527"/>
  </r>
  <r>
    <x v="29"/>
    <s v="ITA"/>
    <x v="6"/>
    <x v="6"/>
    <n v="456494354"/>
    <n v="1376813649"/>
    <n v="195"/>
    <n v="49"/>
    <n v="244"/>
    <n v="604"/>
    <n v="848"/>
    <n v="77"/>
    <n v="62"/>
    <n v="80"/>
    <n v="64"/>
    <n v="992"/>
    <n v="8526"/>
  </r>
  <r>
    <x v="29"/>
    <s v="ITA"/>
    <x v="7"/>
    <x v="7"/>
    <n v="4189277044"/>
    <n v="1248366722"/>
    <n v="747"/>
    <n v="94"/>
    <n v="841"/>
    <n v="704"/>
    <n v="1545"/>
    <n v="131"/>
    <n v="188"/>
    <n v="103"/>
    <n v="80"/>
    <n v="1728"/>
    <n v="18371"/>
  </r>
  <r>
    <x v="29"/>
    <s v="ITA"/>
    <x v="8"/>
    <x v="8"/>
    <n v="4441149315"/>
    <n v="89326992"/>
    <n v="803"/>
    <n v="147"/>
    <n v="950"/>
    <n v="742"/>
    <n v="1692"/>
    <n v="139"/>
    <n v="192"/>
    <n v="193"/>
    <n v="231"/>
    <n v="2116"/>
    <n v="5992"/>
  </r>
  <r>
    <x v="29"/>
    <s v="ITA"/>
    <x v="9"/>
    <x v="9"/>
    <n v="4546679409"/>
    <n v="9190347404"/>
    <n v="9711"/>
    <n v="1194"/>
    <n v="10905"/>
    <n v="8963"/>
    <n v="19868"/>
    <n v="958"/>
    <n v="1942"/>
    <n v="6657"/>
    <n v="4178"/>
    <n v="30703"/>
    <n v="76695"/>
  </r>
  <r>
    <x v="29"/>
    <s v="ITA"/>
    <x v="10"/>
    <x v="10"/>
    <n v="4361675973"/>
    <n v="135188753"/>
    <n v="862"/>
    <n v="149"/>
    <n v="1011"/>
    <n v="1486"/>
    <n v="2497"/>
    <n v="139"/>
    <n v="167"/>
    <n v="8"/>
    <n v="231"/>
    <n v="2736"/>
    <n v="7229"/>
  </r>
  <r>
    <x v="29"/>
    <s v="ITA"/>
    <x v="11"/>
    <x v="11"/>
    <n v="4155774754"/>
    <n v="1465916051"/>
    <n v="27"/>
    <n v="7"/>
    <n v="34"/>
    <n v="21"/>
    <n v="55"/>
    <n v="5"/>
    <n v="6"/>
    <n v="10"/>
    <n v="8"/>
    <n v="73"/>
    <n v="572"/>
  </r>
  <r>
    <x v="29"/>
    <s v="ITA"/>
    <x v="12"/>
    <x v="12"/>
    <n v="450732745"/>
    <n v="7680687483"/>
    <n v="2404"/>
    <n v="360"/>
    <n v="2764"/>
    <n v="2360"/>
    <n v="5124"/>
    <n v="595"/>
    <n v="654"/>
    <n v="17"/>
    <n v="374"/>
    <n v="5515"/>
    <n v="15469"/>
  </r>
  <r>
    <x v="29"/>
    <s v="ITA"/>
    <x v="13"/>
    <x v="13"/>
    <n v="4112559576"/>
    <n v="1686736689"/>
    <n v="317"/>
    <n v="57"/>
    <n v="374"/>
    <n v="566"/>
    <n v="940"/>
    <n v="78"/>
    <n v="99"/>
    <n v="21"/>
    <n v="44"/>
    <n v="1005"/>
    <n v="7345"/>
  </r>
  <r>
    <x v="29"/>
    <s v="ITA"/>
    <x v="14"/>
    <x v="14"/>
    <n v="3921531192"/>
    <n v="9110616306"/>
    <n v="80"/>
    <n v="19"/>
    <n v="99"/>
    <n v="296"/>
    <n v="395"/>
    <n v="52"/>
    <n v="62"/>
    <n v="11"/>
    <n v="15"/>
    <n v="421"/>
    <n v="2859"/>
  </r>
  <r>
    <x v="29"/>
    <s v="ITA"/>
    <x v="15"/>
    <x v="15"/>
    <n v="3811569725"/>
    <n v="133623567"/>
    <n v="250"/>
    <n v="60"/>
    <n v="310"/>
    <n v="489"/>
    <n v="799"/>
    <n v="118"/>
    <n v="125"/>
    <n v="27"/>
    <n v="20"/>
    <n v="846"/>
    <n v="7170"/>
  </r>
  <r>
    <x v="29"/>
    <s v="ITA"/>
    <x v="16"/>
    <x v="16"/>
    <n v="4376923077"/>
    <n v="1125588885"/>
    <n v="918"/>
    <n v="244"/>
    <n v="1162"/>
    <n v="1357"/>
    <n v="2519"/>
    <n v="218"/>
    <n v="238"/>
    <n v="51"/>
    <n v="129"/>
    <n v="2699"/>
    <n v="15701"/>
  </r>
  <r>
    <x v="29"/>
    <s v="ITA"/>
    <x v="2"/>
    <x v="17"/>
    <n v="4606893511"/>
    <n v="1112123097"/>
    <n v="308"/>
    <n v="49"/>
    <n v="357"/>
    <n v="618"/>
    <n v="975"/>
    <n v="61"/>
    <n v="87"/>
    <n v="79"/>
    <n v="56"/>
    <n v="1110"/>
    <n v="3712"/>
  </r>
  <r>
    <x v="29"/>
    <s v="ITA"/>
    <x v="17"/>
    <x v="18"/>
    <n v="4310675841"/>
    <n v="1238824698"/>
    <n v="105"/>
    <n v="43"/>
    <n v="148"/>
    <n v="476"/>
    <n v="624"/>
    <n v="68"/>
    <n v="71"/>
    <n v="5"/>
    <n v="19"/>
    <n v="648"/>
    <n v="4108"/>
  </r>
  <r>
    <x v="29"/>
    <s v="ITA"/>
    <x v="18"/>
    <x v="19"/>
    <n v="4573750286"/>
    <n v="7320149366"/>
    <n v="71"/>
    <n v="20"/>
    <n v="91"/>
    <n v="288"/>
    <n v="379"/>
    <n v="0"/>
    <n v="7"/>
    <n v="2"/>
    <n v="19"/>
    <n v="400"/>
    <n v="1180"/>
  </r>
  <r>
    <x v="29"/>
    <s v="ITA"/>
    <x v="19"/>
    <x v="20"/>
    <n v="4543490485"/>
    <n v="1233845213"/>
    <n v="1318"/>
    <n v="304"/>
    <n v="1622"/>
    <n v="3729"/>
    <n v="5351"/>
    <n v="365"/>
    <n v="443"/>
    <n v="381"/>
    <n v="216"/>
    <n v="5948"/>
    <n v="66178"/>
  </r>
  <r>
    <x v="30"/>
    <s v="ITA"/>
    <x v="0"/>
    <x v="0"/>
    <n v="4235122196"/>
    <n v="1339843823"/>
    <n v="248"/>
    <n v="59"/>
    <n v="307"/>
    <n v="431"/>
    <n v="738"/>
    <n v="116"/>
    <n v="124"/>
    <n v="23"/>
    <n v="52"/>
    <n v="813"/>
    <n v="4982"/>
  </r>
  <r>
    <x v="30"/>
    <s v="ITA"/>
    <x v="1"/>
    <x v="1"/>
    <n v="4063947052"/>
    <n v="1580514834"/>
    <n v="20"/>
    <n v="14"/>
    <n v="34"/>
    <n v="78"/>
    <n v="112"/>
    <n v="21"/>
    <n v="21"/>
    <n v="0"/>
    <n v="1"/>
    <n v="113"/>
    <n v="857"/>
  </r>
  <r>
    <x v="30"/>
    <s v="ITA"/>
    <x v="2"/>
    <x v="2"/>
    <n v="4649933453"/>
    <n v="1135662422"/>
    <n v="190"/>
    <n v="40"/>
    <n v="230"/>
    <n v="518"/>
    <n v="748"/>
    <n v="49"/>
    <n v="77"/>
    <n v="67"/>
    <n v="43"/>
    <n v="858"/>
    <n v="6649"/>
  </r>
  <r>
    <x v="30"/>
    <s v="ITA"/>
    <x v="3"/>
    <x v="3"/>
    <n v="3890597598"/>
    <n v="1659440194"/>
    <n v="93"/>
    <n v="23"/>
    <n v="116"/>
    <n v="217"/>
    <n v="333"/>
    <n v="29"/>
    <n v="32"/>
    <n v="7"/>
    <n v="11"/>
    <n v="351"/>
    <n v="5058"/>
  </r>
  <r>
    <x v="30"/>
    <s v="ITA"/>
    <x v="4"/>
    <x v="4"/>
    <n v="4083956555"/>
    <n v="1425084984"/>
    <n v="318"/>
    <n v="123"/>
    <n v="441"/>
    <n v="631"/>
    <n v="1072"/>
    <n v="80"/>
    <n v="98"/>
    <n v="53"/>
    <n v="74"/>
    <n v="1199"/>
    <n v="6972"/>
  </r>
  <r>
    <x v="30"/>
    <s v="ITA"/>
    <x v="5"/>
    <x v="5"/>
    <n v="4449436681"/>
    <n v="113417208"/>
    <n v="3180"/>
    <n v="294"/>
    <n v="3474"/>
    <n v="4782"/>
    <n v="8256"/>
    <n v="545"/>
    <n v="800"/>
    <n v="721"/>
    <n v="1077"/>
    <n v="10054"/>
    <n v="38045"/>
  </r>
  <r>
    <x v="30"/>
    <s v="ITA"/>
    <x v="6"/>
    <x v="6"/>
    <n v="456494354"/>
    <n v="1376813649"/>
    <n v="200"/>
    <n v="52"/>
    <n v="252"/>
    <n v="659"/>
    <n v="911"/>
    <n v="63"/>
    <n v="147"/>
    <n v="158"/>
    <n v="70"/>
    <n v="1139"/>
    <n v="9494"/>
  </r>
  <r>
    <x v="30"/>
    <s v="ITA"/>
    <x v="7"/>
    <x v="7"/>
    <n v="4189277044"/>
    <n v="1248366722"/>
    <n v="805"/>
    <n v="101"/>
    <n v="906"/>
    <n v="769"/>
    <n v="1675"/>
    <n v="130"/>
    <n v="173"/>
    <n v="131"/>
    <n v="95"/>
    <n v="1901"/>
    <n v="20669"/>
  </r>
  <r>
    <x v="30"/>
    <s v="ITA"/>
    <x v="8"/>
    <x v="8"/>
    <n v="4441149315"/>
    <n v="89326992"/>
    <n v="927"/>
    <n v="147"/>
    <n v="1074"/>
    <n v="752"/>
    <n v="1826"/>
    <n v="134"/>
    <n v="189"/>
    <n v="225"/>
    <n v="254"/>
    <n v="2305"/>
    <n v="6602"/>
  </r>
  <r>
    <x v="30"/>
    <s v="ITA"/>
    <x v="9"/>
    <x v="9"/>
    <n v="4546679409"/>
    <n v="9190347404"/>
    <n v="10026"/>
    <n v="1236"/>
    <n v="11262"/>
    <n v="9329"/>
    <n v="20591"/>
    <n v="723"/>
    <n v="1643"/>
    <n v="7281"/>
    <n v="4474"/>
    <n v="32346"/>
    <n v="81666"/>
  </r>
  <r>
    <x v="30"/>
    <s v="ITA"/>
    <x v="10"/>
    <x v="10"/>
    <n v="4361675973"/>
    <n v="135188753"/>
    <n v="938"/>
    <n v="148"/>
    <n v="1086"/>
    <n v="1553"/>
    <n v="2639"/>
    <n v="142"/>
    <n v="198"/>
    <n v="8"/>
    <n v="287"/>
    <n v="2934"/>
    <n v="7896"/>
  </r>
  <r>
    <x v="30"/>
    <s v="ITA"/>
    <x v="11"/>
    <x v="11"/>
    <n v="4155774754"/>
    <n v="1465916051"/>
    <n v="26"/>
    <n v="7"/>
    <n v="33"/>
    <n v="20"/>
    <n v="53"/>
    <n v="-2"/>
    <n v="0"/>
    <n v="12"/>
    <n v="8"/>
    <n v="73"/>
    <n v="580"/>
  </r>
  <r>
    <x v="30"/>
    <s v="ITA"/>
    <x v="12"/>
    <x v="12"/>
    <n v="450732745"/>
    <n v="7680687483"/>
    <n v="2544"/>
    <n v="381"/>
    <n v="2925"/>
    <n v="2631"/>
    <n v="5556"/>
    <n v="432"/>
    <n v="509"/>
    <n v="19"/>
    <n v="449"/>
    <n v="6024"/>
    <n v="16655"/>
  </r>
  <r>
    <x v="30"/>
    <s v="ITA"/>
    <x v="13"/>
    <x v="13"/>
    <n v="4112559576"/>
    <n v="1686736689"/>
    <n v="349"/>
    <n v="64"/>
    <n v="413"/>
    <n v="610"/>
    <n v="1023"/>
    <n v="83"/>
    <n v="88"/>
    <n v="22"/>
    <n v="48"/>
    <n v="1093"/>
    <n v="8223"/>
  </r>
  <r>
    <x v="30"/>
    <s v="ITA"/>
    <x v="14"/>
    <x v="14"/>
    <n v="3921531192"/>
    <n v="9110616306"/>
    <n v="82"/>
    <n v="19"/>
    <n v="101"/>
    <n v="311"/>
    <n v="412"/>
    <n v="17"/>
    <n v="21"/>
    <n v="12"/>
    <n v="18"/>
    <n v="442"/>
    <n v="3019"/>
  </r>
  <r>
    <x v="30"/>
    <s v="ITA"/>
    <x v="15"/>
    <x v="15"/>
    <n v="3811569725"/>
    <n v="133623567"/>
    <n v="259"/>
    <n v="80"/>
    <n v="339"/>
    <n v="597"/>
    <n v="936"/>
    <n v="137"/>
    <n v="148"/>
    <n v="33"/>
    <n v="25"/>
    <n v="994"/>
    <n v="8312"/>
  </r>
  <r>
    <x v="30"/>
    <s v="ITA"/>
    <x v="16"/>
    <x v="16"/>
    <n v="4376923077"/>
    <n v="1125588885"/>
    <n v="999"/>
    <n v="251"/>
    <n v="1250"/>
    <n v="1526"/>
    <n v="2776"/>
    <n v="257"/>
    <n v="273"/>
    <n v="54"/>
    <n v="142"/>
    <n v="2972"/>
    <n v="17868"/>
  </r>
  <r>
    <x v="30"/>
    <s v="ITA"/>
    <x v="2"/>
    <x v="17"/>
    <n v="4606893511"/>
    <n v="1112123097"/>
    <n v="308"/>
    <n v="65"/>
    <n v="373"/>
    <n v="685"/>
    <n v="1058"/>
    <n v="83"/>
    <n v="112"/>
    <n v="90"/>
    <n v="74"/>
    <n v="1222"/>
    <n v="4114"/>
  </r>
  <r>
    <x v="30"/>
    <s v="ITA"/>
    <x v="17"/>
    <x v="18"/>
    <n v="4310675841"/>
    <n v="1238824698"/>
    <n v="123"/>
    <n v="44"/>
    <n v="167"/>
    <n v="519"/>
    <n v="686"/>
    <n v="62"/>
    <n v="62"/>
    <n v="5"/>
    <n v="19"/>
    <n v="710"/>
    <n v="4707"/>
  </r>
  <r>
    <x v="30"/>
    <s v="ITA"/>
    <x v="18"/>
    <x v="19"/>
    <n v="4573750286"/>
    <n v="7320149366"/>
    <n v="70"/>
    <n v="25"/>
    <n v="95"/>
    <n v="280"/>
    <n v="375"/>
    <n v="-4"/>
    <n v="1"/>
    <n v="2"/>
    <n v="24"/>
    <n v="401"/>
    <n v="1200"/>
  </r>
  <r>
    <x v="30"/>
    <s v="ITA"/>
    <x v="19"/>
    <x v="20"/>
    <n v="4543490485"/>
    <n v="1233845213"/>
    <n v="1407"/>
    <n v="316"/>
    <n v="1723"/>
    <n v="4022"/>
    <n v="5745"/>
    <n v="394"/>
    <n v="494"/>
    <n v="439"/>
    <n v="258"/>
    <n v="6442"/>
    <n v="70877"/>
  </r>
  <r>
    <x v="31"/>
    <s v="ITA"/>
    <x v="0"/>
    <x v="0"/>
    <n v="4235122196"/>
    <n v="1339843823"/>
    <n v="280"/>
    <n v="64"/>
    <n v="344"/>
    <n v="516"/>
    <n v="860"/>
    <n v="122"/>
    <n v="133"/>
    <n v="23"/>
    <n v="63"/>
    <n v="946"/>
    <n v="5488"/>
  </r>
  <r>
    <x v="31"/>
    <s v="ITA"/>
    <x v="1"/>
    <x v="1"/>
    <n v="4063947052"/>
    <n v="1580514834"/>
    <n v="22"/>
    <n v="16"/>
    <n v="38"/>
    <n v="95"/>
    <n v="133"/>
    <n v="21"/>
    <n v="21"/>
    <n v="0"/>
    <n v="1"/>
    <n v="134"/>
    <n v="1046"/>
  </r>
  <r>
    <x v="31"/>
    <s v="ITA"/>
    <x v="2"/>
    <x v="2"/>
    <n v="4649933453"/>
    <n v="1135662422"/>
    <n v="223"/>
    <n v="43"/>
    <n v="266"/>
    <n v="525"/>
    <n v="791"/>
    <n v="43"/>
    <n v="48"/>
    <n v="67"/>
    <n v="48"/>
    <n v="906"/>
    <n v="7744"/>
  </r>
  <r>
    <x v="31"/>
    <s v="ITA"/>
    <x v="3"/>
    <x v="3"/>
    <n v="3890597598"/>
    <n v="1659440194"/>
    <n v="101"/>
    <n v="23"/>
    <n v="124"/>
    <n v="248"/>
    <n v="372"/>
    <n v="39"/>
    <n v="42"/>
    <n v="7"/>
    <n v="14"/>
    <n v="393"/>
    <n v="5933"/>
  </r>
  <r>
    <x v="31"/>
    <s v="ITA"/>
    <x v="4"/>
    <x v="4"/>
    <n v="4083956555"/>
    <n v="1425084984"/>
    <n v="448"/>
    <n v="114"/>
    <n v="562"/>
    <n v="607"/>
    <n v="1169"/>
    <n v="97"/>
    <n v="111"/>
    <n v="58"/>
    <n v="83"/>
    <n v="1310"/>
    <n v="8346"/>
  </r>
  <r>
    <x v="31"/>
    <s v="ITA"/>
    <x v="5"/>
    <x v="5"/>
    <n v="4449436681"/>
    <n v="113417208"/>
    <n v="3354"/>
    <n v="301"/>
    <n v="3655"/>
    <n v="5195"/>
    <n v="8850"/>
    <n v="594"/>
    <n v="762"/>
    <n v="792"/>
    <n v="1174"/>
    <n v="10816"/>
    <n v="42395"/>
  </r>
  <r>
    <x v="31"/>
    <s v="ITA"/>
    <x v="6"/>
    <x v="6"/>
    <n v="456494354"/>
    <n v="1376813649"/>
    <n v="212"/>
    <n v="54"/>
    <n v="266"/>
    <n v="688"/>
    <n v="954"/>
    <n v="43"/>
    <n v="84"/>
    <n v="197"/>
    <n v="72"/>
    <n v="1223"/>
    <n v="10721"/>
  </r>
  <r>
    <x v="31"/>
    <s v="ITA"/>
    <x v="7"/>
    <x v="7"/>
    <n v="4189277044"/>
    <n v="1248366722"/>
    <n v="878"/>
    <n v="113"/>
    <n v="991"/>
    <n v="844"/>
    <n v="1835"/>
    <n v="160"/>
    <n v="195"/>
    <n v="155"/>
    <n v="106"/>
    <n v="2096"/>
    <n v="22771"/>
  </r>
  <r>
    <x v="31"/>
    <s v="ITA"/>
    <x v="8"/>
    <x v="8"/>
    <n v="4441149315"/>
    <n v="89326992"/>
    <n v="998"/>
    <n v="154"/>
    <n v="1152"/>
    <n v="875"/>
    <n v="2027"/>
    <n v="201"/>
    <n v="262"/>
    <n v="260"/>
    <n v="280"/>
    <n v="2567"/>
    <n v="7304"/>
  </r>
  <r>
    <x v="31"/>
    <s v="ITA"/>
    <x v="9"/>
    <x v="9"/>
    <n v="4546679409"/>
    <n v="9190347404"/>
    <n v="10681"/>
    <n v="1263"/>
    <n v="11944"/>
    <n v="10245"/>
    <n v="22189"/>
    <n v="1598"/>
    <n v="2543"/>
    <n v="7839"/>
    <n v="4861"/>
    <n v="34889"/>
    <n v="87713"/>
  </r>
  <r>
    <x v="31"/>
    <s v="ITA"/>
    <x v="10"/>
    <x v="10"/>
    <n v="4361675973"/>
    <n v="135188753"/>
    <n v="977"/>
    <n v="166"/>
    <n v="1143"/>
    <n v="1652"/>
    <n v="2795"/>
    <n v="156"/>
    <n v="180"/>
    <n v="9"/>
    <n v="310"/>
    <n v="3114"/>
    <n v="8623"/>
  </r>
  <r>
    <x v="31"/>
    <s v="ITA"/>
    <x v="11"/>
    <x v="11"/>
    <n v="4155774754"/>
    <n v="1465916051"/>
    <n v="27"/>
    <n v="8"/>
    <n v="35"/>
    <n v="46"/>
    <n v="81"/>
    <n v="28"/>
    <n v="30"/>
    <n v="14"/>
    <n v="8"/>
    <n v="103"/>
    <n v="670"/>
  </r>
  <r>
    <x v="31"/>
    <s v="ITA"/>
    <x v="12"/>
    <x v="12"/>
    <n v="450732745"/>
    <n v="7680687483"/>
    <n v="2633"/>
    <n v="408"/>
    <n v="3041"/>
    <n v="2909"/>
    <n v="5950"/>
    <n v="394"/>
    <n v="510"/>
    <n v="135"/>
    <n v="449"/>
    <n v="6534"/>
    <n v="18054"/>
  </r>
  <r>
    <x v="31"/>
    <s v="ITA"/>
    <x v="13"/>
    <x v="13"/>
    <n v="4112559576"/>
    <n v="1686736689"/>
    <n v="480"/>
    <n v="76"/>
    <n v="556"/>
    <n v="539"/>
    <n v="1095"/>
    <n v="72"/>
    <n v="89"/>
    <n v="22"/>
    <n v="65"/>
    <n v="1182"/>
    <n v="9191"/>
  </r>
  <r>
    <x v="31"/>
    <s v="ITA"/>
    <x v="14"/>
    <x v="14"/>
    <n v="3921531192"/>
    <n v="9110616306"/>
    <n v="92"/>
    <n v="20"/>
    <n v="112"/>
    <n v="350"/>
    <n v="462"/>
    <n v="50"/>
    <n v="52"/>
    <n v="13"/>
    <n v="19"/>
    <n v="494"/>
    <n v="3461"/>
  </r>
  <r>
    <x v="31"/>
    <s v="ITA"/>
    <x v="15"/>
    <x v="15"/>
    <n v="3811569725"/>
    <n v="133623567"/>
    <n v="346"/>
    <n v="68"/>
    <n v="414"/>
    <n v="681"/>
    <n v="1095"/>
    <n v="159"/>
    <n v="170"/>
    <n v="36"/>
    <n v="33"/>
    <n v="1164"/>
    <n v="9658"/>
  </r>
  <r>
    <x v="31"/>
    <s v="ITA"/>
    <x v="16"/>
    <x v="16"/>
    <n v="4376923077"/>
    <n v="1125588885"/>
    <n v="1037"/>
    <n v="259"/>
    <n v="1296"/>
    <n v="1677"/>
    <n v="2973"/>
    <n v="197"/>
    <n v="254"/>
    <n v="95"/>
    <n v="158"/>
    <n v="3226"/>
    <n v="20952"/>
  </r>
  <r>
    <x v="31"/>
    <s v="ITA"/>
    <x v="2"/>
    <x v="17"/>
    <n v="4606893511"/>
    <n v="1112123097"/>
    <n v="300"/>
    <n v="66"/>
    <n v="366"/>
    <n v="728"/>
    <n v="1094"/>
    <n v="36"/>
    <n v="75"/>
    <n v="117"/>
    <n v="86"/>
    <n v="1297"/>
    <n v="4600"/>
  </r>
  <r>
    <x v="31"/>
    <s v="ITA"/>
    <x v="17"/>
    <x v="18"/>
    <n v="4310675841"/>
    <n v="1238824698"/>
    <n v="144"/>
    <n v="46"/>
    <n v="190"/>
    <n v="580"/>
    <n v="770"/>
    <n v="84"/>
    <n v="92"/>
    <n v="12"/>
    <n v="20"/>
    <n v="802"/>
    <n v="5428"/>
  </r>
  <r>
    <x v="31"/>
    <s v="ITA"/>
    <x v="18"/>
    <x v="19"/>
    <n v="4573750286"/>
    <n v="7320149366"/>
    <n v="73"/>
    <n v="24"/>
    <n v="97"/>
    <n v="281"/>
    <n v="378"/>
    <n v="3"/>
    <n v="7"/>
    <n v="2"/>
    <n v="28"/>
    <n v="408"/>
    <n v="1203"/>
  </r>
  <r>
    <x v="31"/>
    <s v="ITA"/>
    <x v="19"/>
    <x v="20"/>
    <n v="4543490485"/>
    <n v="1233845213"/>
    <n v="1447"/>
    <n v="326"/>
    <n v="1773"/>
    <n v="4367"/>
    <n v="6140"/>
    <n v="395"/>
    <n v="493"/>
    <n v="508"/>
    <n v="287"/>
    <n v="6935"/>
    <n v="79759"/>
  </r>
  <r>
    <x v="32"/>
    <s v="ITA"/>
    <x v="0"/>
    <x v="0"/>
    <n v="4235122196"/>
    <n v="1339843823"/>
    <n v="289"/>
    <n v="71"/>
    <n v="360"/>
    <n v="565"/>
    <n v="925"/>
    <n v="65"/>
    <n v="71"/>
    <n v="24"/>
    <n v="68"/>
    <n v="1017"/>
    <n v="6109"/>
  </r>
  <r>
    <x v="32"/>
    <s v="ITA"/>
    <x v="1"/>
    <x v="1"/>
    <n v="4063947052"/>
    <n v="1580514834"/>
    <n v="22"/>
    <n v="15"/>
    <n v="37"/>
    <n v="110"/>
    <n v="147"/>
    <n v="14"/>
    <n v="17"/>
    <n v="1"/>
    <n v="3"/>
    <n v="151"/>
    <n v="1254"/>
  </r>
  <r>
    <x v="32"/>
    <s v="ITA"/>
    <x v="2"/>
    <x v="2"/>
    <n v="4649933453"/>
    <n v="1135662422"/>
    <n v="249"/>
    <n v="45"/>
    <n v="294"/>
    <n v="539"/>
    <n v="833"/>
    <n v="42"/>
    <n v="97"/>
    <n v="110"/>
    <n v="60"/>
    <n v="1003"/>
    <n v="8520"/>
  </r>
  <r>
    <x v="32"/>
    <s v="ITA"/>
    <x v="3"/>
    <x v="3"/>
    <n v="3890597598"/>
    <n v="1659440194"/>
    <n v="103"/>
    <n v="22"/>
    <n v="125"/>
    <n v="344"/>
    <n v="469"/>
    <n v="97"/>
    <n v="101"/>
    <n v="7"/>
    <n v="18"/>
    <n v="494"/>
    <n v="6901"/>
  </r>
  <r>
    <x v="32"/>
    <s v="ITA"/>
    <x v="4"/>
    <x v="4"/>
    <n v="4083956555"/>
    <n v="1425084984"/>
    <n v="456"/>
    <n v="113"/>
    <n v="569"/>
    <n v="723"/>
    <n v="1292"/>
    <n v="123"/>
    <n v="144"/>
    <n v="64"/>
    <n v="98"/>
    <n v="1454"/>
    <n v="9613"/>
  </r>
  <r>
    <x v="32"/>
    <s v="ITA"/>
    <x v="5"/>
    <x v="5"/>
    <n v="4449436681"/>
    <n v="113417208"/>
    <n v="3461"/>
    <n v="308"/>
    <n v="3769"/>
    <n v="5592"/>
    <n v="9361"/>
    <n v="511"/>
    <n v="772"/>
    <n v="960"/>
    <n v="1267"/>
    <n v="11588"/>
    <n v="47798"/>
  </r>
  <r>
    <x v="32"/>
    <s v="ITA"/>
    <x v="6"/>
    <x v="6"/>
    <n v="456494354"/>
    <n v="1376813649"/>
    <n v="222"/>
    <n v="57"/>
    <n v="279"/>
    <n v="748"/>
    <n v="1027"/>
    <n v="73"/>
    <n v="94"/>
    <n v="214"/>
    <n v="76"/>
    <n v="1317"/>
    <n v="11841"/>
  </r>
  <r>
    <x v="32"/>
    <s v="ITA"/>
    <x v="7"/>
    <x v="7"/>
    <n v="4189277044"/>
    <n v="1248366722"/>
    <n v="992"/>
    <n v="126"/>
    <n v="1118"/>
    <n v="895"/>
    <n v="2013"/>
    <n v="178"/>
    <n v="199"/>
    <n v="164"/>
    <n v="118"/>
    <n v="2295"/>
    <n v="24106"/>
  </r>
  <r>
    <x v="32"/>
    <s v="ITA"/>
    <x v="8"/>
    <x v="8"/>
    <n v="4441149315"/>
    <n v="89326992"/>
    <n v="1023"/>
    <n v="157"/>
    <n v="1180"/>
    <n v="880"/>
    <n v="2060"/>
    <n v="33"/>
    <n v="129"/>
    <n v="305"/>
    <n v="331"/>
    <n v="2696"/>
    <n v="7804"/>
  </r>
  <r>
    <x v="32"/>
    <s v="ITA"/>
    <x v="9"/>
    <x v="9"/>
    <n v="4546679409"/>
    <n v="9190347404"/>
    <n v="11137"/>
    <n v="1292"/>
    <n v="12429"/>
    <n v="11466"/>
    <n v="23895"/>
    <n v="1706"/>
    <n v="2409"/>
    <n v="8001"/>
    <n v="5402"/>
    <n v="37298"/>
    <n v="95860"/>
  </r>
  <r>
    <x v="32"/>
    <s v="ITA"/>
    <x v="10"/>
    <x v="10"/>
    <n v="4361675973"/>
    <n v="135188753"/>
    <n v="979"/>
    <n v="162"/>
    <n v="1141"/>
    <n v="1709"/>
    <n v="2850"/>
    <n v="55"/>
    <n v="82"/>
    <n v="10"/>
    <n v="336"/>
    <n v="3196"/>
    <n v="9060"/>
  </r>
  <r>
    <x v="32"/>
    <s v="ITA"/>
    <x v="11"/>
    <x v="11"/>
    <n v="4155774754"/>
    <n v="1465916051"/>
    <n v="26"/>
    <n v="9"/>
    <n v="35"/>
    <n v="51"/>
    <n v="86"/>
    <n v="5"/>
    <n v="6"/>
    <n v="14"/>
    <n v="9"/>
    <n v="109"/>
    <n v="710"/>
  </r>
  <r>
    <x v="32"/>
    <s v="ITA"/>
    <x v="12"/>
    <x v="12"/>
    <n v="450732745"/>
    <n v="7680687483"/>
    <n v="2852"/>
    <n v="431"/>
    <n v="3283"/>
    <n v="3064"/>
    <n v="6347"/>
    <n v="397"/>
    <n v="558"/>
    <n v="176"/>
    <n v="569"/>
    <n v="7092"/>
    <n v="19705"/>
  </r>
  <r>
    <x v="32"/>
    <s v="ITA"/>
    <x v="13"/>
    <x v="13"/>
    <n v="4112559576"/>
    <n v="1686736689"/>
    <n v="530"/>
    <n v="82"/>
    <n v="612"/>
    <n v="624"/>
    <n v="1236"/>
    <n v="141"/>
    <n v="152"/>
    <n v="29"/>
    <n v="69"/>
    <n v="1334"/>
    <n v="10233"/>
  </r>
  <r>
    <x v="32"/>
    <s v="ITA"/>
    <x v="14"/>
    <x v="14"/>
    <n v="3921531192"/>
    <n v="9110616306"/>
    <n v="93"/>
    <n v="19"/>
    <n v="112"/>
    <n v="384"/>
    <n v="496"/>
    <n v="34"/>
    <n v="36"/>
    <n v="13"/>
    <n v="21"/>
    <n v="530"/>
    <n v="3801"/>
  </r>
  <r>
    <x v="32"/>
    <s v="ITA"/>
    <x v="15"/>
    <x v="15"/>
    <n v="3811569725"/>
    <n v="133623567"/>
    <n v="425"/>
    <n v="75"/>
    <n v="500"/>
    <n v="658"/>
    <n v="1158"/>
    <n v="63"/>
    <n v="86"/>
    <n v="53"/>
    <n v="39"/>
    <n v="1250"/>
    <n v="11079"/>
  </r>
  <r>
    <x v="32"/>
    <s v="ITA"/>
    <x v="16"/>
    <x v="16"/>
    <n v="4376923077"/>
    <n v="1125588885"/>
    <n v="1053"/>
    <n v="274"/>
    <n v="1327"/>
    <n v="1843"/>
    <n v="3170"/>
    <n v="197"/>
    <n v="224"/>
    <n v="103"/>
    <n v="177"/>
    <n v="3450"/>
    <n v="23746"/>
  </r>
  <r>
    <x v="32"/>
    <s v="ITA"/>
    <x v="2"/>
    <x v="17"/>
    <n v="4606893511"/>
    <n v="1112123097"/>
    <n v="341"/>
    <n v="66"/>
    <n v="407"/>
    <n v="757"/>
    <n v="1164"/>
    <n v="70"/>
    <n v="94"/>
    <n v="125"/>
    <n v="102"/>
    <n v="1391"/>
    <n v="4923"/>
  </r>
  <r>
    <x v="32"/>
    <s v="ITA"/>
    <x v="17"/>
    <x v="18"/>
    <n v="4310675841"/>
    <n v="1238824698"/>
    <n v="149"/>
    <n v="46"/>
    <n v="195"/>
    <n v="629"/>
    <n v="824"/>
    <n v="54"/>
    <n v="82"/>
    <n v="39"/>
    <n v="21"/>
    <n v="884"/>
    <n v="6137"/>
  </r>
  <r>
    <x v="32"/>
    <s v="ITA"/>
    <x v="18"/>
    <x v="19"/>
    <n v="4573750286"/>
    <n v="7320149366"/>
    <n v="91"/>
    <n v="24"/>
    <n v="115"/>
    <n v="298"/>
    <n v="413"/>
    <n v="35"/>
    <n v="44"/>
    <n v="2"/>
    <n v="37"/>
    <n v="452"/>
    <n v="1252"/>
  </r>
  <r>
    <x v="32"/>
    <s v="ITA"/>
    <x v="19"/>
    <x v="20"/>
    <n v="4543490485"/>
    <n v="1233845213"/>
    <n v="1536"/>
    <n v="338"/>
    <n v="1874"/>
    <n v="4774"/>
    <n v="6648"/>
    <n v="508"/>
    <n v="562"/>
    <n v="536"/>
    <n v="313"/>
    <n v="7497"/>
    <n v="83627"/>
  </r>
  <r>
    <x v="33"/>
    <s v="ITA"/>
    <x v="0"/>
    <x v="0"/>
    <n v="4235122196"/>
    <n v="1339843823"/>
    <n v="311"/>
    <n v="70"/>
    <n v="381"/>
    <n v="646"/>
    <n v="1027"/>
    <n v="102"/>
    <n v="116"/>
    <n v="30"/>
    <n v="76"/>
    <n v="1133"/>
    <n v="7003"/>
  </r>
  <r>
    <x v="33"/>
    <s v="ITA"/>
    <x v="1"/>
    <x v="1"/>
    <n v="4063947052"/>
    <n v="1580514834"/>
    <n v="26"/>
    <n v="19"/>
    <n v="45"/>
    <n v="133"/>
    <n v="178"/>
    <n v="31"/>
    <n v="31"/>
    <n v="1"/>
    <n v="3"/>
    <n v="182"/>
    <n v="1421"/>
  </r>
  <r>
    <x v="33"/>
    <s v="ITA"/>
    <x v="2"/>
    <x v="2"/>
    <n v="4649933453"/>
    <n v="1135662422"/>
    <n v="225"/>
    <n v="51"/>
    <n v="276"/>
    <n v="653"/>
    <n v="929"/>
    <n v="96"/>
    <n v="106"/>
    <n v="116"/>
    <n v="64"/>
    <n v="1109"/>
    <n v="9168"/>
  </r>
  <r>
    <x v="33"/>
    <s v="ITA"/>
    <x v="3"/>
    <x v="3"/>
    <n v="3890597598"/>
    <n v="1659440194"/>
    <n v="107"/>
    <n v="22"/>
    <n v="129"/>
    <n v="394"/>
    <n v="523"/>
    <n v="54"/>
    <n v="61"/>
    <n v="11"/>
    <n v="21"/>
    <n v="555"/>
    <n v="7760"/>
  </r>
  <r>
    <x v="33"/>
    <s v="ITA"/>
    <x v="4"/>
    <x v="4"/>
    <n v="4083956555"/>
    <n v="1425084984"/>
    <n v="463"/>
    <n v="132"/>
    <n v="595"/>
    <n v="812"/>
    <n v="1407"/>
    <n v="115"/>
    <n v="138"/>
    <n v="76"/>
    <n v="109"/>
    <n v="1592"/>
    <n v="10616"/>
  </r>
  <r>
    <x v="33"/>
    <s v="ITA"/>
    <x v="5"/>
    <x v="5"/>
    <n v="4449436681"/>
    <n v="113417208"/>
    <n v="3695"/>
    <n v="316"/>
    <n v="4011"/>
    <n v="5953"/>
    <n v="9964"/>
    <n v="603"/>
    <n v="795"/>
    <n v="1075"/>
    <n v="1344"/>
    <n v="12383"/>
    <n v="52991"/>
  </r>
  <r>
    <x v="33"/>
    <s v="ITA"/>
    <x v="6"/>
    <x v="6"/>
    <n v="456494354"/>
    <n v="1376813649"/>
    <n v="223"/>
    <n v="59"/>
    <n v="282"/>
    <n v="838"/>
    <n v="1120"/>
    <n v="93"/>
    <n v="119"/>
    <n v="229"/>
    <n v="87"/>
    <n v="1436"/>
    <n v="12723"/>
  </r>
  <r>
    <x v="33"/>
    <s v="ITA"/>
    <x v="7"/>
    <x v="7"/>
    <n v="4189277044"/>
    <n v="1248366722"/>
    <n v="985"/>
    <n v="133"/>
    <n v="1118"/>
    <n v="1063"/>
    <n v="2181"/>
    <n v="168"/>
    <n v="210"/>
    <n v="200"/>
    <n v="124"/>
    <n v="2505"/>
    <n v="27179"/>
  </r>
  <r>
    <x v="33"/>
    <s v="ITA"/>
    <x v="8"/>
    <x v="8"/>
    <n v="4441149315"/>
    <n v="89326992"/>
    <n v="1031"/>
    <n v="167"/>
    <n v="1198"/>
    <n v="888"/>
    <n v="2086"/>
    <n v="26"/>
    <n v="126"/>
    <n v="378"/>
    <n v="358"/>
    <n v="2822"/>
    <n v="8177"/>
  </r>
  <r>
    <x v="33"/>
    <s v="ITA"/>
    <x v="9"/>
    <x v="9"/>
    <n v="4546679409"/>
    <n v="9190347404"/>
    <n v="11152"/>
    <n v="1319"/>
    <n v="12471"/>
    <n v="12038"/>
    <n v="24509"/>
    <n v="614"/>
    <n v="2117"/>
    <n v="8962"/>
    <n v="5944"/>
    <n v="39415"/>
    <n v="102503"/>
  </r>
  <r>
    <x v="33"/>
    <s v="ITA"/>
    <x v="10"/>
    <x v="10"/>
    <n v="4361675973"/>
    <n v="135188753"/>
    <n v="987"/>
    <n v="166"/>
    <n v="1153"/>
    <n v="1846"/>
    <n v="2999"/>
    <n v="149"/>
    <n v="177"/>
    <n v="10"/>
    <n v="364"/>
    <n v="3373"/>
    <n v="9884"/>
  </r>
  <r>
    <x v="33"/>
    <s v="ITA"/>
    <x v="11"/>
    <x v="11"/>
    <n v="4155774754"/>
    <n v="1465916051"/>
    <n v="26"/>
    <n v="9"/>
    <n v="35"/>
    <n v="63"/>
    <n v="98"/>
    <n v="12"/>
    <n v="14"/>
    <n v="16"/>
    <n v="9"/>
    <n v="123"/>
    <n v="807"/>
  </r>
  <r>
    <x v="33"/>
    <s v="ITA"/>
    <x v="12"/>
    <x v="12"/>
    <n v="450732745"/>
    <n v="7680687483"/>
    <n v="3094"/>
    <n v="439"/>
    <n v="3533"/>
    <n v="3318"/>
    <n v="6851"/>
    <n v="504"/>
    <n v="579"/>
    <n v="203"/>
    <n v="617"/>
    <n v="7671"/>
    <n v="21511"/>
  </r>
  <r>
    <x v="33"/>
    <s v="ITA"/>
    <x v="13"/>
    <x v="13"/>
    <n v="4112559576"/>
    <n v="1686736689"/>
    <n v="563"/>
    <n v="98"/>
    <n v="661"/>
    <n v="697"/>
    <n v="1358"/>
    <n v="122"/>
    <n v="124"/>
    <n v="29"/>
    <n v="71"/>
    <n v="1458"/>
    <n v="11500"/>
  </r>
  <r>
    <x v="33"/>
    <s v="ITA"/>
    <x v="14"/>
    <x v="14"/>
    <n v="3921531192"/>
    <n v="9110616306"/>
    <n v="95"/>
    <n v="22"/>
    <n v="117"/>
    <n v="452"/>
    <n v="569"/>
    <n v="73"/>
    <n v="94"/>
    <n v="29"/>
    <n v="26"/>
    <n v="624"/>
    <n v="4225"/>
  </r>
  <r>
    <x v="33"/>
    <s v="ITA"/>
    <x v="15"/>
    <x v="15"/>
    <n v="3811569725"/>
    <n v="133623567"/>
    <n v="441"/>
    <n v="71"/>
    <n v="512"/>
    <n v="730"/>
    <n v="1242"/>
    <n v="84"/>
    <n v="109"/>
    <n v="60"/>
    <n v="57"/>
    <n v="1359"/>
    <n v="13096"/>
  </r>
  <r>
    <x v="33"/>
    <s v="ITA"/>
    <x v="16"/>
    <x v="16"/>
    <n v="4376923077"/>
    <n v="1125588885"/>
    <n v="1093"/>
    <n v="277"/>
    <n v="1370"/>
    <n v="2141"/>
    <n v="3511"/>
    <n v="341"/>
    <n v="367"/>
    <n v="108"/>
    <n v="198"/>
    <n v="3817"/>
    <n v="25613"/>
  </r>
  <r>
    <x v="33"/>
    <s v="ITA"/>
    <x v="2"/>
    <x v="17"/>
    <n v="4606893511"/>
    <n v="1112123097"/>
    <n v="351"/>
    <n v="72"/>
    <n v="423"/>
    <n v="811"/>
    <n v="1234"/>
    <n v="70"/>
    <n v="114"/>
    <n v="151"/>
    <n v="120"/>
    <n v="1505"/>
    <n v="5561"/>
  </r>
  <r>
    <x v="33"/>
    <s v="ITA"/>
    <x v="17"/>
    <x v="18"/>
    <n v="4310675841"/>
    <n v="1238824698"/>
    <n v="159"/>
    <n v="44"/>
    <n v="203"/>
    <n v="695"/>
    <n v="898"/>
    <n v="74"/>
    <n v="85"/>
    <n v="43"/>
    <n v="28"/>
    <n v="969"/>
    <n v="7028"/>
  </r>
  <r>
    <x v="33"/>
    <s v="ITA"/>
    <x v="18"/>
    <x v="19"/>
    <n v="4573750286"/>
    <n v="7320149366"/>
    <n v="90"/>
    <n v="26"/>
    <n v="116"/>
    <n v="352"/>
    <n v="468"/>
    <n v="55"/>
    <n v="59"/>
    <n v="2"/>
    <n v="41"/>
    <n v="511"/>
    <n v="1380"/>
  </r>
  <r>
    <x v="33"/>
    <s v="ITA"/>
    <x v="19"/>
    <x v="20"/>
    <n v="4543490485"/>
    <n v="1233845213"/>
    <n v="1559"/>
    <n v="344"/>
    <n v="1903"/>
    <n v="5010"/>
    <n v="6913"/>
    <n v="265"/>
    <n v="433"/>
    <n v="655"/>
    <n v="362"/>
    <n v="7930"/>
    <n v="89380"/>
  </r>
  <r>
    <x v="34"/>
    <s v="ITA"/>
    <x v="0"/>
    <x v="0"/>
    <n v="4235122196"/>
    <n v="1339843823"/>
    <n v="329"/>
    <n v="68"/>
    <n v="397"/>
    <n v="772"/>
    <n v="1169"/>
    <n v="142"/>
    <n v="160"/>
    <n v="36"/>
    <n v="88"/>
    <n v="1293"/>
    <n v="7730"/>
  </r>
  <r>
    <x v="34"/>
    <s v="ITA"/>
    <x v="1"/>
    <x v="1"/>
    <n v="4063947052"/>
    <n v="1580514834"/>
    <n v="32"/>
    <n v="18"/>
    <n v="50"/>
    <n v="147"/>
    <n v="197"/>
    <n v="19"/>
    <n v="20"/>
    <n v="1"/>
    <n v="4"/>
    <n v="202"/>
    <n v="1585"/>
  </r>
  <r>
    <x v="34"/>
    <s v="ITA"/>
    <x v="2"/>
    <x v="2"/>
    <n v="4649933453"/>
    <n v="1135662422"/>
    <n v="234"/>
    <n v="56"/>
    <n v="290"/>
    <n v="744"/>
    <n v="1034"/>
    <n v="105"/>
    <n v="105"/>
    <n v="116"/>
    <n v="64"/>
    <n v="1214"/>
    <n v="10137"/>
  </r>
  <r>
    <x v="34"/>
    <s v="ITA"/>
    <x v="3"/>
    <x v="3"/>
    <n v="3890597598"/>
    <n v="1659440194"/>
    <n v="124"/>
    <n v="19"/>
    <n v="143"/>
    <n v="434"/>
    <n v="577"/>
    <n v="54"/>
    <n v="59"/>
    <n v="12"/>
    <n v="25"/>
    <n v="614"/>
    <n v="8485"/>
  </r>
  <r>
    <x v="34"/>
    <s v="ITA"/>
    <x v="4"/>
    <x v="4"/>
    <n v="4083956555"/>
    <n v="1425084984"/>
    <n v="476"/>
    <n v="135"/>
    <n v="611"/>
    <n v="945"/>
    <n v="1556"/>
    <n v="149"/>
    <n v="167"/>
    <n v="86"/>
    <n v="117"/>
    <n v="1759"/>
    <n v="11805"/>
  </r>
  <r>
    <x v="34"/>
    <s v="ITA"/>
    <x v="5"/>
    <x v="5"/>
    <n v="4449436681"/>
    <n v="113417208"/>
    <n v="3769"/>
    <n v="333"/>
    <n v="4102"/>
    <n v="6433"/>
    <n v="10535"/>
    <n v="571"/>
    <n v="736"/>
    <n v="1141"/>
    <n v="1443"/>
    <n v="13119"/>
    <n v="52991"/>
  </r>
  <r>
    <x v="34"/>
    <s v="ITA"/>
    <x v="6"/>
    <x v="6"/>
    <n v="456494354"/>
    <n v="1376813649"/>
    <n v="236"/>
    <n v="60"/>
    <n v="296"/>
    <n v="845"/>
    <n v="1141"/>
    <n v="21"/>
    <n v="44"/>
    <n v="241"/>
    <n v="98"/>
    <n v="1480"/>
    <n v="13397"/>
  </r>
  <r>
    <x v="34"/>
    <s v="ITA"/>
    <x v="7"/>
    <x v="7"/>
    <n v="4189277044"/>
    <n v="1248366722"/>
    <n v="1062"/>
    <n v="133"/>
    <n v="1195"/>
    <n v="1167"/>
    <n v="2362"/>
    <n v="181"/>
    <n v="201"/>
    <n v="208"/>
    <n v="136"/>
    <n v="2706"/>
    <n v="27744"/>
  </r>
  <r>
    <x v="34"/>
    <s v="ITA"/>
    <x v="8"/>
    <x v="8"/>
    <n v="4441149315"/>
    <n v="89326992"/>
    <n v="1077"/>
    <n v="166"/>
    <n v="1243"/>
    <n v="1036"/>
    <n v="2279"/>
    <n v="193"/>
    <n v="254"/>
    <n v="420"/>
    <n v="377"/>
    <n v="3076"/>
    <n v="9100"/>
  </r>
  <r>
    <x v="34"/>
    <s v="ITA"/>
    <x v="9"/>
    <x v="9"/>
    <n v="4546679409"/>
    <n v="9190347404"/>
    <n v="11613"/>
    <n v="1328"/>
    <n v="12941"/>
    <n v="12451"/>
    <n v="25392"/>
    <n v="883"/>
    <n v="1592"/>
    <n v="9255"/>
    <n v="6360"/>
    <n v="41007"/>
    <n v="107398"/>
  </r>
  <r>
    <x v="34"/>
    <s v="ITA"/>
    <x v="10"/>
    <x v="10"/>
    <n v="4361675973"/>
    <n v="135188753"/>
    <n v="1000"/>
    <n v="168"/>
    <n v="1168"/>
    <n v="1992"/>
    <n v="3160"/>
    <n v="161"/>
    <n v="185"/>
    <n v="12"/>
    <n v="386"/>
    <n v="3558"/>
    <n v="10431"/>
  </r>
  <r>
    <x v="34"/>
    <s v="ITA"/>
    <x v="11"/>
    <x v="11"/>
    <n v="4155774754"/>
    <n v="1465916051"/>
    <n v="25"/>
    <n v="9"/>
    <n v="34"/>
    <n v="66"/>
    <n v="100"/>
    <n v="2"/>
    <n v="4"/>
    <n v="18"/>
    <n v="9"/>
    <n v="127"/>
    <n v="918"/>
  </r>
  <r>
    <x v="34"/>
    <s v="ITA"/>
    <x v="12"/>
    <x v="12"/>
    <n v="450732745"/>
    <n v="7680687483"/>
    <n v="2985"/>
    <n v="443"/>
    <n v="3428"/>
    <n v="3840"/>
    <n v="7268"/>
    <n v="417"/>
    <n v="535"/>
    <n v="254"/>
    <n v="684"/>
    <n v="8206"/>
    <n v="24058"/>
  </r>
  <r>
    <x v="34"/>
    <s v="ITA"/>
    <x v="13"/>
    <x v="13"/>
    <n v="4112559576"/>
    <n v="1686736689"/>
    <n v="559"/>
    <n v="99"/>
    <n v="658"/>
    <n v="774"/>
    <n v="1432"/>
    <n v="74"/>
    <n v="91"/>
    <n v="31"/>
    <n v="86"/>
    <n v="1549"/>
    <n v="12361"/>
  </r>
  <r>
    <x v="34"/>
    <s v="ITA"/>
    <x v="14"/>
    <x v="14"/>
    <n v="3921531192"/>
    <n v="9110616306"/>
    <n v="105"/>
    <n v="23"/>
    <n v="128"/>
    <n v="454"/>
    <n v="582"/>
    <n v="13"/>
    <n v="14"/>
    <n v="29"/>
    <n v="27"/>
    <n v="638"/>
    <n v="4598"/>
  </r>
  <r>
    <x v="34"/>
    <s v="ITA"/>
    <x v="15"/>
    <x v="15"/>
    <n v="3811569725"/>
    <n v="133623567"/>
    <n v="451"/>
    <n v="71"/>
    <n v="522"/>
    <n v="808"/>
    <n v="1330"/>
    <n v="88"/>
    <n v="101"/>
    <n v="65"/>
    <n v="65"/>
    <n v="1460"/>
    <n v="13814"/>
  </r>
  <r>
    <x v="34"/>
    <s v="ITA"/>
    <x v="16"/>
    <x v="16"/>
    <n v="4376923077"/>
    <n v="1125588885"/>
    <n v="1111"/>
    <n v="275"/>
    <n v="1386"/>
    <n v="2400"/>
    <n v="3786"/>
    <n v="275"/>
    <n v="305"/>
    <n v="121"/>
    <n v="215"/>
    <n v="4122"/>
    <n v="27579"/>
  </r>
  <r>
    <x v="34"/>
    <s v="ITA"/>
    <x v="2"/>
    <x v="17"/>
    <n v="4606893511"/>
    <n v="1112123097"/>
    <n v="356"/>
    <n v="75"/>
    <n v="431"/>
    <n v="862"/>
    <n v="1293"/>
    <n v="59"/>
    <n v="89"/>
    <n v="172"/>
    <n v="129"/>
    <n v="1594"/>
    <n v="5950"/>
  </r>
  <r>
    <x v="34"/>
    <s v="ITA"/>
    <x v="17"/>
    <x v="18"/>
    <n v="4310675841"/>
    <n v="1238824698"/>
    <n v="166"/>
    <n v="46"/>
    <n v="212"/>
    <n v="685"/>
    <n v="897"/>
    <n v="-1"/>
    <n v="54"/>
    <n v="95"/>
    <n v="31"/>
    <n v="1023"/>
    <n v="7685"/>
  </r>
  <r>
    <x v="34"/>
    <s v="ITA"/>
    <x v="18"/>
    <x v="19"/>
    <n v="4573750286"/>
    <n v="7320149366"/>
    <n v="90"/>
    <n v="26"/>
    <n v="116"/>
    <n v="423"/>
    <n v="539"/>
    <n v="71"/>
    <n v="73"/>
    <n v="2"/>
    <n v="43"/>
    <n v="584"/>
    <n v="1480"/>
  </r>
  <r>
    <x v="34"/>
    <s v="ITA"/>
    <x v="19"/>
    <x v="20"/>
    <n v="4543490485"/>
    <n v="1233845213"/>
    <n v="1586"/>
    <n v="355"/>
    <n v="1941"/>
    <n v="5310"/>
    <n v="7251"/>
    <n v="338"/>
    <n v="428"/>
    <n v="715"/>
    <n v="392"/>
    <n v="8358"/>
    <n v="94784"/>
  </r>
  <r>
    <x v="35"/>
    <s v="ITA"/>
    <x v="0"/>
    <x v="0"/>
    <n v="4235122196"/>
    <n v="1339843823"/>
    <n v="322"/>
    <n v="69"/>
    <n v="391"/>
    <n v="778"/>
    <n v="1169"/>
    <n v="0"/>
    <n v="52"/>
    <n v="74"/>
    <n v="102"/>
    <n v="1345"/>
    <n v="7948"/>
  </r>
  <r>
    <x v="35"/>
    <s v="ITA"/>
    <x v="1"/>
    <x v="1"/>
    <n v="4063947052"/>
    <n v="1580514834"/>
    <n v="36"/>
    <n v="18"/>
    <n v="54"/>
    <n v="154"/>
    <n v="208"/>
    <n v="11"/>
    <n v="12"/>
    <n v="1"/>
    <n v="5"/>
    <n v="214"/>
    <n v="1833"/>
  </r>
  <r>
    <x v="35"/>
    <s v="ITA"/>
    <x v="2"/>
    <x v="2"/>
    <n v="4649933453"/>
    <n v="1135662422"/>
    <n v="231"/>
    <n v="62"/>
    <n v="293"/>
    <n v="805"/>
    <n v="1098"/>
    <n v="64"/>
    <n v="111"/>
    <n v="153"/>
    <n v="74"/>
    <n v="1325"/>
    <n v="10640"/>
  </r>
  <r>
    <x v="35"/>
    <s v="ITA"/>
    <x v="3"/>
    <x v="3"/>
    <n v="3890597598"/>
    <n v="1659440194"/>
    <n v="130"/>
    <n v="18"/>
    <n v="148"/>
    <n v="454"/>
    <n v="602"/>
    <n v="25"/>
    <n v="33"/>
    <n v="14"/>
    <n v="31"/>
    <n v="647"/>
    <n v="9013"/>
  </r>
  <r>
    <x v="35"/>
    <s v="ITA"/>
    <x v="4"/>
    <x v="4"/>
    <n v="4083956555"/>
    <n v="1425084984"/>
    <n v="468"/>
    <n v="126"/>
    <n v="594"/>
    <n v="1145"/>
    <n v="1739"/>
    <n v="183"/>
    <n v="193"/>
    <n v="88"/>
    <n v="125"/>
    <n v="1952"/>
    <n v="12969"/>
  </r>
  <r>
    <x v="35"/>
    <s v="ITA"/>
    <x v="5"/>
    <x v="5"/>
    <n v="4449436681"/>
    <n v="113417208"/>
    <n v="3779"/>
    <n v="351"/>
    <n v="4130"/>
    <n v="6636"/>
    <n v="10766"/>
    <n v="231"/>
    <n v="412"/>
    <n v="1227"/>
    <n v="1538"/>
    <n v="13531"/>
    <n v="50990"/>
  </r>
  <r>
    <x v="35"/>
    <s v="ITA"/>
    <x v="6"/>
    <x v="6"/>
    <n v="456494354"/>
    <n v="1376813649"/>
    <n v="229"/>
    <n v="60"/>
    <n v="289"/>
    <n v="820"/>
    <n v="1109"/>
    <n v="-32"/>
    <n v="21"/>
    <n v="285"/>
    <n v="107"/>
    <n v="1501"/>
    <n v="14003"/>
  </r>
  <r>
    <x v="35"/>
    <s v="ITA"/>
    <x v="7"/>
    <x v="7"/>
    <n v="4189277044"/>
    <n v="1248366722"/>
    <n v="1079"/>
    <n v="154"/>
    <n v="1233"/>
    <n v="1264"/>
    <n v="2497"/>
    <n v="135"/>
    <n v="208"/>
    <n v="267"/>
    <n v="150"/>
    <n v="2914"/>
    <n v="32846"/>
  </r>
  <r>
    <x v="35"/>
    <s v="ITA"/>
    <x v="8"/>
    <x v="8"/>
    <n v="4441149315"/>
    <n v="89326992"/>
    <n v="1142"/>
    <n v="175"/>
    <n v="1317"/>
    <n v="1066"/>
    <n v="2383"/>
    <n v="104"/>
    <n v="141"/>
    <n v="437"/>
    <n v="397"/>
    <n v="3217"/>
    <n v="9677"/>
  </r>
  <r>
    <x v="35"/>
    <s v="ITA"/>
    <x v="9"/>
    <x v="9"/>
    <n v="4546679409"/>
    <n v="9190347404"/>
    <n v="11815"/>
    <n v="1330"/>
    <n v="13145"/>
    <n v="11861"/>
    <n v="25006"/>
    <n v="-386"/>
    <n v="1154"/>
    <n v="10337"/>
    <n v="6818"/>
    <n v="42161"/>
    <n v="111057"/>
  </r>
  <r>
    <x v="35"/>
    <s v="ITA"/>
    <x v="10"/>
    <x v="10"/>
    <n v="4361675973"/>
    <n v="135188753"/>
    <n v="998"/>
    <n v="167"/>
    <n v="1165"/>
    <n v="2086"/>
    <n v="3251"/>
    <n v="91"/>
    <n v="126"/>
    <n v="16"/>
    <n v="417"/>
    <n v="3684"/>
    <n v="10979"/>
  </r>
  <r>
    <x v="35"/>
    <s v="ITA"/>
    <x v="11"/>
    <x v="11"/>
    <n v="4155774754"/>
    <n v="1465916051"/>
    <n v="27"/>
    <n v="8"/>
    <n v="35"/>
    <n v="72"/>
    <n v="107"/>
    <n v="7"/>
    <n v="7"/>
    <n v="18"/>
    <n v="9"/>
    <n v="134"/>
    <n v="955"/>
  </r>
  <r>
    <x v="35"/>
    <s v="ITA"/>
    <x v="12"/>
    <x v="12"/>
    <n v="450732745"/>
    <n v="7680687483"/>
    <n v="2985"/>
    <n v="452"/>
    <n v="3437"/>
    <n v="4218"/>
    <n v="7655"/>
    <n v="387"/>
    <n v="506"/>
    <n v="308"/>
    <n v="749"/>
    <n v="8712"/>
    <n v="25478"/>
  </r>
  <r>
    <x v="35"/>
    <s v="ITA"/>
    <x v="13"/>
    <x v="13"/>
    <n v="4112559576"/>
    <n v="1686736689"/>
    <n v="590"/>
    <n v="106"/>
    <n v="696"/>
    <n v="889"/>
    <n v="1585"/>
    <n v="153"/>
    <n v="163"/>
    <n v="36"/>
    <n v="91"/>
    <n v="1712"/>
    <n v="13117"/>
  </r>
  <r>
    <x v="35"/>
    <s v="ITA"/>
    <x v="14"/>
    <x v="14"/>
    <n v="3921531192"/>
    <n v="9110616306"/>
    <n v="113"/>
    <n v="24"/>
    <n v="137"/>
    <n v="485"/>
    <n v="622"/>
    <n v="40"/>
    <n v="44"/>
    <n v="32"/>
    <n v="28"/>
    <n v="682"/>
    <n v="4993"/>
  </r>
  <r>
    <x v="35"/>
    <s v="ITA"/>
    <x v="15"/>
    <x v="15"/>
    <n v="3811569725"/>
    <n v="133623567"/>
    <n v="484"/>
    <n v="75"/>
    <n v="559"/>
    <n v="849"/>
    <n v="1408"/>
    <n v="78"/>
    <n v="95"/>
    <n v="71"/>
    <n v="76"/>
    <n v="1555"/>
    <n v="14758"/>
  </r>
  <r>
    <x v="35"/>
    <s v="ITA"/>
    <x v="16"/>
    <x v="16"/>
    <n v="4376923077"/>
    <n v="1125588885"/>
    <n v="1116"/>
    <n v="279"/>
    <n v="1395"/>
    <n v="2655"/>
    <n v="4050"/>
    <n v="264"/>
    <n v="290"/>
    <n v="131"/>
    <n v="231"/>
    <n v="4412"/>
    <n v="30099"/>
  </r>
  <r>
    <x v="35"/>
    <s v="ITA"/>
    <x v="2"/>
    <x v="17"/>
    <n v="4606893511"/>
    <n v="1112123097"/>
    <n v="353"/>
    <n v="78"/>
    <n v="431"/>
    <n v="926"/>
    <n v="1357"/>
    <n v="64"/>
    <n v="88"/>
    <n v="178"/>
    <n v="147"/>
    <n v="1682"/>
    <n v="6377"/>
  </r>
  <r>
    <x v="35"/>
    <s v="ITA"/>
    <x v="17"/>
    <x v="18"/>
    <n v="4310675841"/>
    <n v="1238824698"/>
    <n v="173"/>
    <n v="47"/>
    <n v="220"/>
    <n v="614"/>
    <n v="834"/>
    <n v="-63"/>
    <n v="28"/>
    <n v="184"/>
    <n v="33"/>
    <n v="1051"/>
    <n v="8150"/>
  </r>
  <r>
    <x v="35"/>
    <s v="ITA"/>
    <x v="18"/>
    <x v="19"/>
    <n v="4573750286"/>
    <n v="7320149366"/>
    <n v="92"/>
    <n v="26"/>
    <n v="118"/>
    <n v="400"/>
    <n v="518"/>
    <n v="-21"/>
    <n v="0"/>
    <n v="16"/>
    <n v="50"/>
    <n v="584"/>
    <n v="1536"/>
  </r>
  <r>
    <x v="35"/>
    <s v="ITA"/>
    <x v="19"/>
    <x v="20"/>
    <n v="4543490485"/>
    <n v="1233845213"/>
    <n v="1633"/>
    <n v="356"/>
    <n v="1989"/>
    <n v="5575"/>
    <n v="7564"/>
    <n v="313"/>
    <n v="366"/>
    <n v="747"/>
    <n v="413"/>
    <n v="8724"/>
    <n v="99941"/>
  </r>
  <r>
    <x v="36"/>
    <s v="ITA"/>
    <x v="0"/>
    <x v="0"/>
    <n v="4235122196"/>
    <n v="1339843823"/>
    <n v="335"/>
    <n v="73"/>
    <n v="408"/>
    <n v="783"/>
    <n v="1191"/>
    <n v="22"/>
    <n v="56"/>
    <n v="95"/>
    <n v="115"/>
    <n v="1401"/>
    <n v="8758"/>
  </r>
  <r>
    <x v="36"/>
    <s v="ITA"/>
    <x v="1"/>
    <x v="1"/>
    <n v="4063947052"/>
    <n v="1580514834"/>
    <n v="37"/>
    <n v="17"/>
    <n v="54"/>
    <n v="162"/>
    <n v="216"/>
    <n v="8"/>
    <n v="12"/>
    <n v="3"/>
    <n v="7"/>
    <n v="226"/>
    <n v="2043"/>
  </r>
  <r>
    <x v="36"/>
    <s v="ITA"/>
    <x v="2"/>
    <x v="2"/>
    <n v="4649933453"/>
    <n v="1135662422"/>
    <n v="249"/>
    <n v="62"/>
    <n v="311"/>
    <n v="831"/>
    <n v="1142"/>
    <n v="44"/>
    <n v="46"/>
    <n v="153"/>
    <n v="76"/>
    <n v="1371"/>
    <n v="11275"/>
  </r>
  <r>
    <x v="36"/>
    <s v="ITA"/>
    <x v="3"/>
    <x v="3"/>
    <n v="3890597598"/>
    <n v="1659440194"/>
    <n v="132"/>
    <n v="17"/>
    <n v="149"/>
    <n v="457"/>
    <n v="606"/>
    <n v="4"/>
    <n v="12"/>
    <n v="17"/>
    <n v="36"/>
    <n v="659"/>
    <n v="9327"/>
  </r>
  <r>
    <x v="36"/>
    <s v="ITA"/>
    <x v="4"/>
    <x v="4"/>
    <n v="4083956555"/>
    <n v="1425084984"/>
    <n v="501"/>
    <n v="133"/>
    <n v="634"/>
    <n v="1237"/>
    <n v="1871"/>
    <n v="132"/>
    <n v="140"/>
    <n v="88"/>
    <n v="133"/>
    <n v="2092"/>
    <n v="14403"/>
  </r>
  <r>
    <x v="36"/>
    <s v="ITA"/>
    <x v="5"/>
    <x v="5"/>
    <n v="4449436681"/>
    <n v="113417208"/>
    <n v="3765"/>
    <n v="353"/>
    <n v="4118"/>
    <n v="6835"/>
    <n v="10953"/>
    <n v="187"/>
    <n v="543"/>
    <n v="1477"/>
    <n v="1644"/>
    <n v="14074"/>
    <n v="54532"/>
  </r>
  <r>
    <x v="36"/>
    <s v="ITA"/>
    <x v="6"/>
    <x v="6"/>
    <n v="456494354"/>
    <n v="1376813649"/>
    <n v="215"/>
    <n v="60"/>
    <n v="275"/>
    <n v="885"/>
    <n v="1160"/>
    <n v="51"/>
    <n v="92"/>
    <n v="320"/>
    <n v="113"/>
    <n v="1593"/>
    <n v="14899"/>
  </r>
  <r>
    <x v="36"/>
    <s v="ITA"/>
    <x v="7"/>
    <x v="7"/>
    <n v="4189277044"/>
    <n v="1248366722"/>
    <n v="1127"/>
    <n v="173"/>
    <n v="1300"/>
    <n v="1342"/>
    <n v="2642"/>
    <n v="145"/>
    <n v="181"/>
    <n v="291"/>
    <n v="162"/>
    <n v="3095"/>
    <n v="34677"/>
  </r>
  <r>
    <x v="36"/>
    <s v="ITA"/>
    <x v="8"/>
    <x v="8"/>
    <n v="4441149315"/>
    <n v="89326992"/>
    <n v="1153"/>
    <n v="179"/>
    <n v="1332"/>
    <n v="1176"/>
    <n v="2508"/>
    <n v="125"/>
    <n v="199"/>
    <n v="480"/>
    <n v="428"/>
    <n v="3416"/>
    <n v="10376"/>
  </r>
  <r>
    <x v="36"/>
    <s v="ITA"/>
    <x v="9"/>
    <x v="9"/>
    <n v="4546679409"/>
    <n v="9190347404"/>
    <n v="11883"/>
    <n v="1324"/>
    <n v="13207"/>
    <n v="11917"/>
    <n v="25124"/>
    <n v="118"/>
    <n v="1047"/>
    <n v="10885"/>
    <n v="7199"/>
    <n v="43208"/>
    <n v="114640"/>
  </r>
  <r>
    <x v="36"/>
    <s v="ITA"/>
    <x v="10"/>
    <x v="10"/>
    <n v="4361675973"/>
    <n v="135188753"/>
    <n v="946"/>
    <n v="169"/>
    <n v="1115"/>
    <n v="2237"/>
    <n v="3352"/>
    <n v="101"/>
    <n v="141"/>
    <n v="21"/>
    <n v="452"/>
    <n v="3825"/>
    <n v="11724"/>
  </r>
  <r>
    <x v="36"/>
    <s v="ITA"/>
    <x v="11"/>
    <x v="11"/>
    <n v="4155774754"/>
    <n v="1465916051"/>
    <n v="29"/>
    <n v="8"/>
    <n v="37"/>
    <n v="80"/>
    <n v="117"/>
    <n v="10"/>
    <n v="10"/>
    <n v="18"/>
    <n v="9"/>
    <n v="144"/>
    <n v="1049"/>
  </r>
  <r>
    <x v="36"/>
    <s v="ITA"/>
    <x v="12"/>
    <x v="12"/>
    <n v="450732745"/>
    <n v="7680687483"/>
    <n v="3174"/>
    <n v="452"/>
    <n v="3626"/>
    <n v="4456"/>
    <n v="8082"/>
    <n v="427"/>
    <n v="589"/>
    <n v="365"/>
    <n v="854"/>
    <n v="9301"/>
    <n v="27658"/>
  </r>
  <r>
    <x v="36"/>
    <s v="ITA"/>
    <x v="13"/>
    <x v="13"/>
    <n v="4112559576"/>
    <n v="1686736689"/>
    <n v="609"/>
    <n v="105"/>
    <n v="714"/>
    <n v="940"/>
    <n v="1654"/>
    <n v="69"/>
    <n v="91"/>
    <n v="39"/>
    <n v="110"/>
    <n v="1803"/>
    <n v="14073"/>
  </r>
  <r>
    <x v="36"/>
    <s v="ITA"/>
    <x v="14"/>
    <x v="14"/>
    <n v="3921531192"/>
    <n v="9110616306"/>
    <n v="113"/>
    <n v="28"/>
    <n v="141"/>
    <n v="516"/>
    <n v="657"/>
    <n v="35"/>
    <n v="40"/>
    <n v="34"/>
    <n v="31"/>
    <n v="722"/>
    <n v="5257"/>
  </r>
  <r>
    <x v="36"/>
    <s v="ITA"/>
    <x v="15"/>
    <x v="15"/>
    <n v="3811569725"/>
    <n v="133623567"/>
    <n v="503"/>
    <n v="72"/>
    <n v="575"/>
    <n v="917"/>
    <n v="1492"/>
    <n v="84"/>
    <n v="92"/>
    <n v="74"/>
    <n v="81"/>
    <n v="1647"/>
    <n v="15634"/>
  </r>
  <r>
    <x v="36"/>
    <s v="ITA"/>
    <x v="16"/>
    <x v="16"/>
    <n v="4376923077"/>
    <n v="1125588885"/>
    <n v="1120"/>
    <n v="293"/>
    <n v="1413"/>
    <n v="2813"/>
    <n v="4226"/>
    <n v="176"/>
    <n v="196"/>
    <n v="138"/>
    <n v="244"/>
    <n v="4608"/>
    <n v="33165"/>
  </r>
  <r>
    <x v="36"/>
    <s v="ITA"/>
    <x v="2"/>
    <x v="17"/>
    <n v="4606893511"/>
    <n v="1112123097"/>
    <n v="354"/>
    <n v="80"/>
    <n v="434"/>
    <n v="955"/>
    <n v="1389"/>
    <n v="32"/>
    <n v="64"/>
    <n v="193"/>
    <n v="164"/>
    <n v="1746"/>
    <n v="6973"/>
  </r>
  <r>
    <x v="36"/>
    <s v="ITA"/>
    <x v="17"/>
    <x v="18"/>
    <n v="4310675841"/>
    <n v="1238824698"/>
    <n v="176"/>
    <n v="43"/>
    <n v="219"/>
    <n v="632"/>
    <n v="851"/>
    <n v="17"/>
    <n v="27"/>
    <n v="190"/>
    <n v="37"/>
    <n v="1078"/>
    <n v="8685"/>
  </r>
  <r>
    <x v="36"/>
    <s v="ITA"/>
    <x v="18"/>
    <x v="19"/>
    <n v="4573750286"/>
    <n v="7320149366"/>
    <n v="91"/>
    <n v="26"/>
    <n v="117"/>
    <n v="435"/>
    <n v="552"/>
    <n v="34"/>
    <n v="44"/>
    <n v="20"/>
    <n v="56"/>
    <n v="628"/>
    <n v="1582"/>
  </r>
  <r>
    <x v="36"/>
    <s v="ITA"/>
    <x v="19"/>
    <x v="20"/>
    <n v="4543490485"/>
    <n v="1233845213"/>
    <n v="1680"/>
    <n v="356"/>
    <n v="2036"/>
    <n v="5814"/>
    <n v="7850"/>
    <n v="286"/>
    <n v="431"/>
    <n v="828"/>
    <n v="477"/>
    <n v="9155"/>
    <n v="106238"/>
  </r>
  <r>
    <x v="37"/>
    <s v="ITA"/>
    <x v="0"/>
    <x v="0"/>
    <n v="4235122196"/>
    <n v="1339843823"/>
    <n v="342"/>
    <n v="71"/>
    <n v="413"/>
    <n v="798"/>
    <n v="1211"/>
    <n v="20"/>
    <n v="35"/>
    <n v="102"/>
    <n v="123"/>
    <n v="1436"/>
    <n v="9610"/>
  </r>
  <r>
    <x v="37"/>
    <s v="ITA"/>
    <x v="1"/>
    <x v="1"/>
    <n v="4063947052"/>
    <n v="1580514834"/>
    <n v="39"/>
    <n v="15"/>
    <n v="54"/>
    <n v="171"/>
    <n v="225"/>
    <n v="9"/>
    <n v="11"/>
    <n v="3"/>
    <n v="9"/>
    <n v="237"/>
    <n v="2262"/>
  </r>
  <r>
    <x v="37"/>
    <s v="ITA"/>
    <x v="2"/>
    <x v="2"/>
    <n v="4649933453"/>
    <n v="1135662422"/>
    <n v="269"/>
    <n v="57"/>
    <n v="326"/>
    <n v="786"/>
    <n v="1112"/>
    <n v="-30"/>
    <n v="47"/>
    <n v="190"/>
    <n v="116"/>
    <n v="1418"/>
    <n v="11951"/>
  </r>
  <r>
    <x v="37"/>
    <s v="ITA"/>
    <x v="3"/>
    <x v="3"/>
    <n v="3890597598"/>
    <n v="1659440194"/>
    <n v="144"/>
    <n v="16"/>
    <n v="160"/>
    <n v="450"/>
    <n v="610"/>
    <n v="4"/>
    <n v="10"/>
    <n v="21"/>
    <n v="38"/>
    <n v="669"/>
    <n v="9983"/>
  </r>
  <r>
    <x v="37"/>
    <s v="ITA"/>
    <x v="4"/>
    <x v="4"/>
    <n v="4083956555"/>
    <n v="1425084984"/>
    <n v="478"/>
    <n v="129"/>
    <n v="607"/>
    <n v="1369"/>
    <n v="1976"/>
    <n v="105"/>
    <n v="139"/>
    <n v="107"/>
    <n v="148"/>
    <n v="2231"/>
    <n v="15728"/>
  </r>
  <r>
    <x v="37"/>
    <s v="ITA"/>
    <x v="5"/>
    <x v="5"/>
    <n v="4449436681"/>
    <n v="113417208"/>
    <n v="3898"/>
    <n v="359"/>
    <n v="4257"/>
    <n v="7232"/>
    <n v="11489"/>
    <n v="536"/>
    <n v="713"/>
    <n v="1566"/>
    <n v="1732"/>
    <n v="14787"/>
    <n v="58457"/>
  </r>
  <r>
    <x v="37"/>
    <s v="ITA"/>
    <x v="6"/>
    <x v="6"/>
    <n v="456494354"/>
    <n v="1376813649"/>
    <n v="206"/>
    <n v="60"/>
    <n v="266"/>
    <n v="940"/>
    <n v="1206"/>
    <n v="46"/>
    <n v="92"/>
    <n v="357"/>
    <n v="122"/>
    <n v="1685"/>
    <n v="15987"/>
  </r>
  <r>
    <x v="37"/>
    <s v="ITA"/>
    <x v="7"/>
    <x v="7"/>
    <n v="4189277044"/>
    <n v="1248366722"/>
    <n v="1131"/>
    <n v="177"/>
    <n v="1308"/>
    <n v="1450"/>
    <n v="2758"/>
    <n v="116"/>
    <n v="169"/>
    <n v="337"/>
    <n v="169"/>
    <n v="3264"/>
    <n v="35810"/>
  </r>
  <r>
    <x v="37"/>
    <s v="ITA"/>
    <x v="8"/>
    <x v="8"/>
    <n v="4441149315"/>
    <n v="89326992"/>
    <n v="1114"/>
    <n v="179"/>
    <n v="1293"/>
    <n v="1352"/>
    <n v="2645"/>
    <n v="137"/>
    <n v="244"/>
    <n v="555"/>
    <n v="460"/>
    <n v="3660"/>
    <n v="11334"/>
  </r>
  <r>
    <x v="37"/>
    <s v="ITA"/>
    <x v="9"/>
    <x v="9"/>
    <n v="4546679409"/>
    <n v="9190347404"/>
    <n v="11927"/>
    <n v="1342"/>
    <n v="13269"/>
    <n v="12496"/>
    <n v="25765"/>
    <n v="641"/>
    <n v="1565"/>
    <n v="11415"/>
    <n v="7593"/>
    <n v="44773"/>
    <n v="121449"/>
  </r>
  <r>
    <x v="37"/>
    <s v="ITA"/>
    <x v="10"/>
    <x v="10"/>
    <n v="4361675973"/>
    <n v="135188753"/>
    <n v="984"/>
    <n v="168"/>
    <n v="1152"/>
    <n v="2304"/>
    <n v="3456"/>
    <n v="104"/>
    <n v="137"/>
    <n v="29"/>
    <n v="477"/>
    <n v="3962"/>
    <n v="12296"/>
  </r>
  <r>
    <x v="37"/>
    <s v="ITA"/>
    <x v="11"/>
    <x v="11"/>
    <n v="4155774754"/>
    <n v="1465916051"/>
    <n v="32"/>
    <n v="8"/>
    <n v="40"/>
    <n v="91"/>
    <n v="131"/>
    <n v="14"/>
    <n v="16"/>
    <n v="19"/>
    <n v="10"/>
    <n v="160"/>
    <n v="1157"/>
  </r>
  <r>
    <x v="37"/>
    <s v="ITA"/>
    <x v="12"/>
    <x v="12"/>
    <n v="450732745"/>
    <n v="7680687483"/>
    <n v="3146"/>
    <n v="453"/>
    <n v="3599"/>
    <n v="4871"/>
    <n v="8470"/>
    <n v="388"/>
    <n v="494"/>
    <n v="439"/>
    <n v="886"/>
    <n v="9795"/>
    <n v="30060"/>
  </r>
  <r>
    <x v="37"/>
    <s v="ITA"/>
    <x v="13"/>
    <x v="13"/>
    <n v="4112559576"/>
    <n v="1686736689"/>
    <n v="637"/>
    <n v="107"/>
    <n v="744"/>
    <n v="1012"/>
    <n v="1756"/>
    <n v="102"/>
    <n v="143"/>
    <n v="61"/>
    <n v="129"/>
    <n v="1946"/>
    <n v="15209"/>
  </r>
  <r>
    <x v="37"/>
    <s v="ITA"/>
    <x v="14"/>
    <x v="14"/>
    <n v="3921531192"/>
    <n v="9110616306"/>
    <n v="119"/>
    <n v="27"/>
    <n v="146"/>
    <n v="529"/>
    <n v="675"/>
    <n v="18"/>
    <n v="23"/>
    <n v="36"/>
    <n v="34"/>
    <n v="745"/>
    <n v="5501"/>
  </r>
  <r>
    <x v="37"/>
    <s v="ITA"/>
    <x v="15"/>
    <x v="15"/>
    <n v="3811569725"/>
    <n v="133623567"/>
    <n v="496"/>
    <n v="72"/>
    <n v="568"/>
    <n v="976"/>
    <n v="1544"/>
    <n v="52"/>
    <n v="71"/>
    <n v="86"/>
    <n v="88"/>
    <n v="1718"/>
    <n v="16836"/>
  </r>
  <r>
    <x v="37"/>
    <s v="ITA"/>
    <x v="16"/>
    <x v="16"/>
    <n v="4376923077"/>
    <n v="1125588885"/>
    <n v="1120"/>
    <n v="297"/>
    <n v="1417"/>
    <n v="3015"/>
    <n v="4432"/>
    <n v="206"/>
    <n v="259"/>
    <n v="182"/>
    <n v="253"/>
    <n v="4867"/>
    <n v="36575"/>
  </r>
  <r>
    <x v="37"/>
    <s v="ITA"/>
    <x v="2"/>
    <x v="17"/>
    <n v="4606893511"/>
    <n v="1112123097"/>
    <n v="345"/>
    <n v="76"/>
    <n v="421"/>
    <n v="1062"/>
    <n v="1483"/>
    <n v="94"/>
    <n v="124"/>
    <n v="214"/>
    <n v="173"/>
    <n v="1870"/>
    <n v="7675"/>
  </r>
  <r>
    <x v="37"/>
    <s v="ITA"/>
    <x v="17"/>
    <x v="18"/>
    <n v="4310675841"/>
    <n v="1238824698"/>
    <n v="173"/>
    <n v="45"/>
    <n v="218"/>
    <n v="646"/>
    <n v="864"/>
    <n v="13"/>
    <n v="17"/>
    <n v="194"/>
    <n v="37"/>
    <n v="1095"/>
    <n v="9080"/>
  </r>
  <r>
    <x v="37"/>
    <s v="ITA"/>
    <x v="18"/>
    <x v="19"/>
    <n v="4573750286"/>
    <n v="7320149366"/>
    <n v="85"/>
    <n v="27"/>
    <n v="112"/>
    <n v="428"/>
    <n v="540"/>
    <n v="-12"/>
    <n v="3"/>
    <n v="32"/>
    <n v="59"/>
    <n v="631"/>
    <n v="1717"/>
  </r>
  <r>
    <x v="37"/>
    <s v="ITA"/>
    <x v="19"/>
    <x v="20"/>
    <n v="4543490485"/>
    <n v="1233845213"/>
    <n v="1718"/>
    <n v="350"/>
    <n v="2068"/>
    <n v="6156"/>
    <n v="8224"/>
    <n v="374"/>
    <n v="470"/>
    <n v="902"/>
    <n v="499"/>
    <n v="9625"/>
    <n v="112746"/>
  </r>
  <r>
    <x v="38"/>
    <s v="ITA"/>
    <x v="0"/>
    <x v="0"/>
    <n v="4235122196"/>
    <n v="1339843823"/>
    <n v="341"/>
    <n v="75"/>
    <n v="416"/>
    <n v="835"/>
    <n v="1251"/>
    <n v="40"/>
    <n v="61"/>
    <n v="113"/>
    <n v="133"/>
    <n v="1497"/>
    <n v="10647"/>
  </r>
  <r>
    <x v="38"/>
    <s v="ITA"/>
    <x v="1"/>
    <x v="1"/>
    <n v="4063947052"/>
    <n v="1580514834"/>
    <n v="38"/>
    <n v="19"/>
    <n v="57"/>
    <n v="176"/>
    <n v="233"/>
    <n v="8"/>
    <n v="9"/>
    <n v="3"/>
    <n v="10"/>
    <n v="246"/>
    <n v="2427"/>
  </r>
  <r>
    <x v="38"/>
    <s v="ITA"/>
    <x v="2"/>
    <x v="2"/>
    <n v="4649933453"/>
    <n v="1135662422"/>
    <n v="279"/>
    <n v="60"/>
    <n v="339"/>
    <n v="821"/>
    <n v="1160"/>
    <n v="48"/>
    <n v="61"/>
    <n v="190"/>
    <n v="129"/>
    <n v="1479"/>
    <n v="12677"/>
  </r>
  <r>
    <x v="38"/>
    <s v="ITA"/>
    <x v="3"/>
    <x v="3"/>
    <n v="3890597598"/>
    <n v="1659440194"/>
    <n v="163"/>
    <n v="19"/>
    <n v="182"/>
    <n v="445"/>
    <n v="627"/>
    <n v="17"/>
    <n v="22"/>
    <n v="23"/>
    <n v="41"/>
    <n v="691"/>
    <n v="10679"/>
  </r>
  <r>
    <x v="38"/>
    <s v="ITA"/>
    <x v="4"/>
    <x v="4"/>
    <n v="4083956555"/>
    <n v="1425084984"/>
    <n v="503"/>
    <n v="120"/>
    <n v="623"/>
    <n v="1517"/>
    <n v="2140"/>
    <n v="164"/>
    <n v="225"/>
    <n v="149"/>
    <n v="167"/>
    <n v="2456"/>
    <n v="17404"/>
  </r>
  <r>
    <x v="38"/>
    <s v="ITA"/>
    <x v="5"/>
    <x v="5"/>
    <n v="4449436681"/>
    <n v="113417208"/>
    <n v="3944"/>
    <n v="366"/>
    <n v="4310"/>
    <n v="7549"/>
    <n v="11859"/>
    <n v="370"/>
    <n v="546"/>
    <n v="1663"/>
    <n v="1811"/>
    <n v="15333"/>
    <n v="60507"/>
  </r>
  <r>
    <x v="38"/>
    <s v="ITA"/>
    <x v="6"/>
    <x v="6"/>
    <n v="456494354"/>
    <n v="1376813649"/>
    <n v="199"/>
    <n v="60"/>
    <n v="259"/>
    <n v="1035"/>
    <n v="1294"/>
    <n v="88"/>
    <n v="114"/>
    <n v="376"/>
    <n v="129"/>
    <n v="1799"/>
    <n v="17121"/>
  </r>
  <r>
    <x v="38"/>
    <s v="ITA"/>
    <x v="7"/>
    <x v="7"/>
    <n v="4189277044"/>
    <n v="1248366722"/>
    <n v="1169"/>
    <n v="181"/>
    <n v="1350"/>
    <n v="1529"/>
    <n v="2879"/>
    <n v="121"/>
    <n v="169"/>
    <n v="369"/>
    <n v="185"/>
    <n v="3433"/>
    <n v="41575"/>
  </r>
  <r>
    <x v="38"/>
    <s v="ITA"/>
    <x v="8"/>
    <x v="8"/>
    <n v="4441149315"/>
    <n v="89326992"/>
    <n v="1120"/>
    <n v="172"/>
    <n v="1292"/>
    <n v="1368"/>
    <n v="2660"/>
    <n v="15"/>
    <n v="122"/>
    <n v="634"/>
    <n v="488"/>
    <n v="3782"/>
    <n v="12069"/>
  </r>
  <r>
    <x v="38"/>
    <s v="ITA"/>
    <x v="9"/>
    <x v="9"/>
    <n v="4546679409"/>
    <n v="9190347404"/>
    <n v="11762"/>
    <n v="1351"/>
    <n v="13113"/>
    <n v="12763"/>
    <n v="25876"/>
    <n v="111"/>
    <n v="1292"/>
    <n v="12229"/>
    <n v="7960"/>
    <n v="46065"/>
    <n v="128286"/>
  </r>
  <r>
    <x v="38"/>
    <s v="ITA"/>
    <x v="10"/>
    <x v="10"/>
    <n v="4361675973"/>
    <n v="135188753"/>
    <n v="986"/>
    <n v="164"/>
    <n v="1150"/>
    <n v="2405"/>
    <n v="3555"/>
    <n v="99"/>
    <n v="136"/>
    <n v="40"/>
    <n v="503"/>
    <n v="4098"/>
    <n v="12943"/>
  </r>
  <r>
    <x v="38"/>
    <s v="ITA"/>
    <x v="11"/>
    <x v="11"/>
    <n v="4155774754"/>
    <n v="1465916051"/>
    <n v="30"/>
    <n v="8"/>
    <n v="38"/>
    <n v="95"/>
    <n v="133"/>
    <n v="2"/>
    <n v="5"/>
    <n v="21"/>
    <n v="11"/>
    <n v="165"/>
    <n v="1229"/>
  </r>
  <r>
    <x v="38"/>
    <s v="ITA"/>
    <x v="12"/>
    <x v="12"/>
    <n v="450732745"/>
    <n v="7680687483"/>
    <n v="3341"/>
    <n v="453"/>
    <n v="3794"/>
    <n v="5005"/>
    <n v="8799"/>
    <n v="329"/>
    <n v="558"/>
    <n v="571"/>
    <n v="983"/>
    <n v="10353"/>
    <n v="32100"/>
  </r>
  <r>
    <x v="38"/>
    <s v="ITA"/>
    <x v="13"/>
    <x v="13"/>
    <n v="4112559576"/>
    <n v="1686736689"/>
    <n v="645"/>
    <n v="118"/>
    <n v="763"/>
    <n v="1101"/>
    <n v="1864"/>
    <n v="108"/>
    <n v="131"/>
    <n v="69"/>
    <n v="144"/>
    <n v="2077"/>
    <n v="16554"/>
  </r>
  <r>
    <x v="38"/>
    <s v="ITA"/>
    <x v="14"/>
    <x v="14"/>
    <n v="3921531192"/>
    <n v="9110616306"/>
    <n v="117"/>
    <n v="24"/>
    <n v="141"/>
    <n v="577"/>
    <n v="718"/>
    <n v="43"/>
    <n v="49"/>
    <n v="36"/>
    <n v="40"/>
    <n v="794"/>
    <n v="5970"/>
  </r>
  <r>
    <x v="38"/>
    <s v="ITA"/>
    <x v="15"/>
    <x v="15"/>
    <n v="3811569725"/>
    <n v="133623567"/>
    <n v="503"/>
    <n v="73"/>
    <n v="576"/>
    <n v="1030"/>
    <n v="1606"/>
    <n v="62"/>
    <n v="73"/>
    <n v="92"/>
    <n v="93"/>
    <n v="1791"/>
    <n v="17833"/>
  </r>
  <r>
    <x v="38"/>
    <s v="ITA"/>
    <x v="16"/>
    <x v="16"/>
    <n v="4376923077"/>
    <n v="1125588885"/>
    <n v="1135"/>
    <n v="295"/>
    <n v="1430"/>
    <n v="3359"/>
    <n v="4789"/>
    <n v="357"/>
    <n v="406"/>
    <n v="216"/>
    <n v="268"/>
    <n v="5273"/>
    <n v="40724"/>
  </r>
  <r>
    <x v="38"/>
    <s v="ITA"/>
    <x v="2"/>
    <x v="17"/>
    <n v="4606893511"/>
    <n v="1112123097"/>
    <n v="339"/>
    <n v="78"/>
    <n v="417"/>
    <n v="1170"/>
    <n v="1587"/>
    <n v="104"/>
    <n v="133"/>
    <n v="229"/>
    <n v="187"/>
    <n v="2003"/>
    <n v="8496"/>
  </r>
  <r>
    <x v="38"/>
    <s v="ITA"/>
    <x v="17"/>
    <x v="18"/>
    <n v="4310675841"/>
    <n v="1238824698"/>
    <n v="171"/>
    <n v="47"/>
    <n v="218"/>
    <n v="667"/>
    <n v="885"/>
    <n v="21"/>
    <n v="33"/>
    <n v="205"/>
    <n v="38"/>
    <n v="1128"/>
    <n v="9737"/>
  </r>
  <r>
    <x v="38"/>
    <s v="ITA"/>
    <x v="18"/>
    <x v="19"/>
    <n v="4573750286"/>
    <n v="7320149366"/>
    <n v="85"/>
    <n v="25"/>
    <n v="110"/>
    <n v="446"/>
    <n v="556"/>
    <n v="16"/>
    <n v="37"/>
    <n v="49"/>
    <n v="63"/>
    <n v="668"/>
    <n v="1934"/>
  </r>
  <r>
    <x v="38"/>
    <s v="ITA"/>
    <x v="19"/>
    <x v="20"/>
    <n v="4543490485"/>
    <n v="1233845213"/>
    <n v="1670"/>
    <n v="345"/>
    <n v="2015"/>
    <n v="6563"/>
    <n v="8578"/>
    <n v="354"/>
    <n v="486"/>
    <n v="1001"/>
    <n v="532"/>
    <n v="10111"/>
    <n v="120320"/>
  </r>
  <r>
    <x v="39"/>
    <s v="ITA"/>
    <x v="0"/>
    <x v="0"/>
    <n v="4235122196"/>
    <n v="1339843823"/>
    <n v="361"/>
    <n v="76"/>
    <n v="437"/>
    <n v="864"/>
    <n v="1301"/>
    <n v="50"/>
    <n v="66"/>
    <n v="116"/>
    <n v="146"/>
    <n v="1563"/>
    <n v="11890"/>
  </r>
  <r>
    <x v="39"/>
    <s v="ITA"/>
    <x v="1"/>
    <x v="1"/>
    <n v="4063947052"/>
    <n v="1580514834"/>
    <n v="41"/>
    <n v="19"/>
    <n v="60"/>
    <n v="187"/>
    <n v="247"/>
    <n v="14"/>
    <n v="15"/>
    <n v="3"/>
    <n v="11"/>
    <n v="261"/>
    <n v="2622"/>
  </r>
  <r>
    <x v="39"/>
    <s v="ITA"/>
    <x v="2"/>
    <x v="2"/>
    <n v="4649933453"/>
    <n v="1135662422"/>
    <n v="291"/>
    <n v="60"/>
    <n v="351"/>
    <n v="858"/>
    <n v="1209"/>
    <n v="49"/>
    <n v="80"/>
    <n v="211"/>
    <n v="139"/>
    <n v="1559"/>
    <n v="13976"/>
  </r>
  <r>
    <x v="39"/>
    <s v="ITA"/>
    <x v="3"/>
    <x v="3"/>
    <n v="3890597598"/>
    <n v="1659440194"/>
    <n v="183"/>
    <n v="17"/>
    <n v="200"/>
    <n v="462"/>
    <n v="662"/>
    <n v="35"/>
    <n v="42"/>
    <n v="26"/>
    <n v="45"/>
    <n v="733"/>
    <n v="11608"/>
  </r>
  <r>
    <x v="39"/>
    <s v="ITA"/>
    <x v="4"/>
    <x v="4"/>
    <n v="4083956555"/>
    <n v="1425084984"/>
    <n v="532"/>
    <n v="115"/>
    <n v="647"/>
    <n v="1705"/>
    <n v="2352"/>
    <n v="212"/>
    <n v="221"/>
    <n v="144"/>
    <n v="181"/>
    <n v="2677"/>
    <n v="19237"/>
  </r>
  <r>
    <x v="39"/>
    <s v="ITA"/>
    <x v="5"/>
    <x v="5"/>
    <n v="4449436681"/>
    <n v="113417208"/>
    <n v="3915"/>
    <n v="364"/>
    <n v="4279"/>
    <n v="7899"/>
    <n v="12178"/>
    <n v="319"/>
    <n v="599"/>
    <n v="1852"/>
    <n v="1902"/>
    <n v="15932"/>
    <n v="63682"/>
  </r>
  <r>
    <x v="39"/>
    <s v="ITA"/>
    <x v="6"/>
    <x v="6"/>
    <n v="456494354"/>
    <n v="1376813649"/>
    <n v="201"/>
    <n v="61"/>
    <n v="262"/>
    <n v="1062"/>
    <n v="1324"/>
    <n v="30"/>
    <n v="80"/>
    <n v="419"/>
    <n v="136"/>
    <n v="1879"/>
    <n v="19985"/>
  </r>
  <r>
    <x v="39"/>
    <s v="ITA"/>
    <x v="7"/>
    <x v="7"/>
    <n v="4189277044"/>
    <n v="1248366722"/>
    <n v="1194"/>
    <n v="188"/>
    <n v="1382"/>
    <n v="1627"/>
    <n v="3009"/>
    <n v="130"/>
    <n v="167"/>
    <n v="392"/>
    <n v="199"/>
    <n v="3600"/>
    <n v="43776"/>
  </r>
  <r>
    <x v="39"/>
    <s v="ITA"/>
    <x v="8"/>
    <x v="8"/>
    <n v="4441149315"/>
    <n v="89326992"/>
    <n v="1147"/>
    <n v="173"/>
    <n v="1320"/>
    <n v="1426"/>
    <n v="2746"/>
    <n v="86"/>
    <n v="183"/>
    <n v="700"/>
    <n v="519"/>
    <n v="3965"/>
    <n v="12934"/>
  </r>
  <r>
    <x v="39"/>
    <s v="ITA"/>
    <x v="9"/>
    <x v="9"/>
    <n v="4546679409"/>
    <n v="9190347404"/>
    <n v="11802"/>
    <n v="1381"/>
    <n v="13183"/>
    <n v="13006"/>
    <n v="26189"/>
    <n v="313"/>
    <n v="1455"/>
    <n v="13020"/>
    <n v="8311"/>
    <n v="47520"/>
    <n v="135051"/>
  </r>
  <r>
    <x v="39"/>
    <s v="ITA"/>
    <x v="10"/>
    <x v="10"/>
    <n v="4361675973"/>
    <n v="135188753"/>
    <n v="982"/>
    <n v="158"/>
    <n v="1140"/>
    <n v="2491"/>
    <n v="3631"/>
    <n v="76"/>
    <n v="132"/>
    <n v="42"/>
    <n v="557"/>
    <n v="4230"/>
    <n v="13678"/>
  </r>
  <r>
    <x v="39"/>
    <s v="ITA"/>
    <x v="11"/>
    <x v="11"/>
    <n v="4155774754"/>
    <n v="1465916051"/>
    <n v="31"/>
    <n v="8"/>
    <n v="39"/>
    <n v="105"/>
    <n v="144"/>
    <n v="11"/>
    <n v="11"/>
    <n v="21"/>
    <n v="11"/>
    <n v="176"/>
    <n v="1378"/>
  </r>
  <r>
    <x v="39"/>
    <s v="ITA"/>
    <x v="12"/>
    <x v="12"/>
    <n v="450732745"/>
    <n v="7680687483"/>
    <n v="3300"/>
    <n v="452"/>
    <n v="3752"/>
    <n v="5378"/>
    <n v="9130"/>
    <n v="331"/>
    <n v="543"/>
    <n v="723"/>
    <n v="1043"/>
    <n v="10896"/>
    <n v="34281"/>
  </r>
  <r>
    <x v="39"/>
    <s v="ITA"/>
    <x v="13"/>
    <x v="13"/>
    <n v="4112559576"/>
    <n v="1686736689"/>
    <n v="648"/>
    <n v="123"/>
    <n v="771"/>
    <n v="1178"/>
    <n v="1949"/>
    <n v="85"/>
    <n v="105"/>
    <n v="69"/>
    <n v="164"/>
    <n v="2182"/>
    <n v="17924"/>
  </r>
  <r>
    <x v="39"/>
    <s v="ITA"/>
    <x v="14"/>
    <x v="14"/>
    <n v="3921531192"/>
    <n v="9110616306"/>
    <n v="122"/>
    <n v="24"/>
    <n v="146"/>
    <n v="598"/>
    <n v="744"/>
    <n v="26"/>
    <n v="31"/>
    <n v="40"/>
    <n v="41"/>
    <n v="825"/>
    <n v="6478"/>
  </r>
  <r>
    <x v="39"/>
    <s v="ITA"/>
    <x v="15"/>
    <x v="15"/>
    <n v="3811569725"/>
    <n v="133623567"/>
    <n v="535"/>
    <n v="73"/>
    <n v="608"/>
    <n v="1056"/>
    <n v="1664"/>
    <n v="58"/>
    <n v="68"/>
    <n v="94"/>
    <n v="101"/>
    <n v="1859"/>
    <n v="18686"/>
  </r>
  <r>
    <x v="39"/>
    <s v="ITA"/>
    <x v="16"/>
    <x v="16"/>
    <n v="4376923077"/>
    <n v="1125588885"/>
    <n v="1149"/>
    <n v="288"/>
    <n v="1437"/>
    <n v="3472"/>
    <n v="4909"/>
    <n v="120"/>
    <n v="226"/>
    <n v="300"/>
    <n v="290"/>
    <n v="5499"/>
    <n v="44460"/>
  </r>
  <r>
    <x v="39"/>
    <s v="ITA"/>
    <x v="2"/>
    <x v="17"/>
    <n v="4606893511"/>
    <n v="1112123097"/>
    <n v="343"/>
    <n v="80"/>
    <n v="423"/>
    <n v="1236"/>
    <n v="1659"/>
    <n v="72"/>
    <n v="106"/>
    <n v="246"/>
    <n v="204"/>
    <n v="2109"/>
    <n v="8993"/>
  </r>
  <r>
    <x v="39"/>
    <s v="ITA"/>
    <x v="17"/>
    <x v="18"/>
    <n v="4310675841"/>
    <n v="1238824698"/>
    <n v="165"/>
    <n v="48"/>
    <n v="213"/>
    <n v="707"/>
    <n v="920"/>
    <n v="35"/>
    <n v="51"/>
    <n v="220"/>
    <n v="39"/>
    <n v="1179"/>
    <n v="10614"/>
  </r>
  <r>
    <x v="39"/>
    <s v="ITA"/>
    <x v="18"/>
    <x v="19"/>
    <n v="4573750286"/>
    <n v="7320149366"/>
    <n v="85"/>
    <n v="25"/>
    <n v="110"/>
    <n v="450"/>
    <n v="560"/>
    <n v="4"/>
    <n v="51"/>
    <n v="89"/>
    <n v="70"/>
    <n v="719"/>
    <n v="2106"/>
  </r>
  <r>
    <x v="39"/>
    <s v="ITA"/>
    <x v="19"/>
    <x v="20"/>
    <n v="4543490485"/>
    <n v="1233845213"/>
    <n v="1714"/>
    <n v="335"/>
    <n v="2049"/>
    <n v="6812"/>
    <n v="8861"/>
    <n v="283"/>
    <n v="353"/>
    <n v="1031"/>
    <n v="572"/>
    <n v="10464"/>
    <n v="126490"/>
  </r>
  <r>
    <x v="40"/>
    <s v="ITA"/>
    <x v="0"/>
    <x v="0"/>
    <n v="4235122196"/>
    <n v="1339843823"/>
    <n v="354"/>
    <n v="71"/>
    <n v="425"/>
    <n v="931"/>
    <n v="1356"/>
    <n v="55"/>
    <n v="65"/>
    <n v="119"/>
    <n v="153"/>
    <n v="1628"/>
    <n v="12837"/>
  </r>
  <r>
    <x v="40"/>
    <s v="ITA"/>
    <x v="1"/>
    <x v="1"/>
    <n v="4063947052"/>
    <n v="1580514834"/>
    <n v="44"/>
    <n v="19"/>
    <n v="63"/>
    <n v="181"/>
    <n v="244"/>
    <n v="-3"/>
    <n v="3"/>
    <n v="9"/>
    <n v="11"/>
    <n v="264"/>
    <n v="2765"/>
  </r>
  <r>
    <x v="40"/>
    <s v="ITA"/>
    <x v="2"/>
    <x v="2"/>
    <n v="4649933453"/>
    <n v="1135662422"/>
    <n v="291"/>
    <n v="61"/>
    <n v="352"/>
    <n v="849"/>
    <n v="1201"/>
    <n v="-8"/>
    <n v="33"/>
    <n v="245"/>
    <n v="146"/>
    <n v="1592"/>
    <n v="15045"/>
  </r>
  <r>
    <x v="40"/>
    <s v="ITA"/>
    <x v="3"/>
    <x v="3"/>
    <n v="3890597598"/>
    <n v="1659440194"/>
    <n v="178"/>
    <n v="15"/>
    <n v="193"/>
    <n v="469"/>
    <n v="662"/>
    <n v="0"/>
    <n v="8"/>
    <n v="30"/>
    <n v="49"/>
    <n v="741"/>
    <n v="12314"/>
  </r>
  <r>
    <x v="40"/>
    <s v="ITA"/>
    <x v="4"/>
    <x v="4"/>
    <n v="4083956555"/>
    <n v="1425084984"/>
    <n v="567"/>
    <n v="114"/>
    <n v="681"/>
    <n v="1815"/>
    <n v="2496"/>
    <n v="144"/>
    <n v="151"/>
    <n v="146"/>
    <n v="186"/>
    <n v="2828"/>
    <n v="21534"/>
  </r>
  <r>
    <x v="40"/>
    <s v="ITA"/>
    <x v="5"/>
    <x v="5"/>
    <n v="4449436681"/>
    <n v="113417208"/>
    <n v="3859"/>
    <n v="358"/>
    <n v="4217"/>
    <n v="8306"/>
    <n v="12523"/>
    <n v="345"/>
    <n v="608"/>
    <n v="2040"/>
    <n v="1977"/>
    <n v="16540"/>
    <n v="67075"/>
  </r>
  <r>
    <x v="40"/>
    <s v="ITA"/>
    <x v="6"/>
    <x v="6"/>
    <n v="456494354"/>
    <n v="1376813649"/>
    <n v="183"/>
    <n v="50"/>
    <n v="233"/>
    <n v="1103"/>
    <n v="1336"/>
    <n v="12"/>
    <n v="107"/>
    <n v="505"/>
    <n v="145"/>
    <n v="1986"/>
    <n v="21126"/>
  </r>
  <r>
    <x v="40"/>
    <s v="ITA"/>
    <x v="7"/>
    <x v="7"/>
    <n v="4189277044"/>
    <n v="1248366722"/>
    <n v="1236"/>
    <n v="193"/>
    <n v="1429"/>
    <n v="1677"/>
    <n v="3106"/>
    <n v="97"/>
    <n v="157"/>
    <n v="439"/>
    <n v="212"/>
    <n v="3757"/>
    <n v="44624"/>
  </r>
  <r>
    <x v="40"/>
    <s v="ITA"/>
    <x v="8"/>
    <x v="8"/>
    <n v="4441149315"/>
    <n v="89326992"/>
    <n v="1121"/>
    <n v="169"/>
    <n v="1290"/>
    <n v="1604"/>
    <n v="2894"/>
    <n v="148"/>
    <n v="238"/>
    <n v="767"/>
    <n v="542"/>
    <n v="4203"/>
    <n v="14087"/>
  </r>
  <r>
    <x v="40"/>
    <s v="ITA"/>
    <x v="9"/>
    <x v="9"/>
    <n v="4546679409"/>
    <n v="9190347404"/>
    <n v="12002"/>
    <n v="1326"/>
    <n v="13328"/>
    <n v="13892"/>
    <n v="27220"/>
    <n v="1031"/>
    <n v="1598"/>
    <n v="13242"/>
    <n v="8656"/>
    <n v="49118"/>
    <n v="141877"/>
  </r>
  <r>
    <x v="40"/>
    <s v="ITA"/>
    <x v="10"/>
    <x v="10"/>
    <n v="4361675973"/>
    <n v="135188753"/>
    <n v="997"/>
    <n v="153"/>
    <n v="1150"/>
    <n v="2347"/>
    <n v="3497"/>
    <n v="-134"/>
    <n v="111"/>
    <n v="270"/>
    <n v="574"/>
    <n v="4341"/>
    <n v="14472"/>
  </r>
  <r>
    <x v="40"/>
    <s v="ITA"/>
    <x v="11"/>
    <x v="11"/>
    <n v="4155774754"/>
    <n v="1465916051"/>
    <n v="31"/>
    <n v="6"/>
    <n v="37"/>
    <n v="134"/>
    <n v="171"/>
    <n v="27"/>
    <n v="30"/>
    <n v="24"/>
    <n v="11"/>
    <n v="206"/>
    <n v="1504"/>
  </r>
  <r>
    <x v="40"/>
    <s v="ITA"/>
    <x v="12"/>
    <x v="12"/>
    <n v="450732745"/>
    <n v="7680687483"/>
    <n v="3441"/>
    <n v="450"/>
    <n v="3891"/>
    <n v="5802"/>
    <n v="9693"/>
    <n v="563"/>
    <n v="813"/>
    <n v="888"/>
    <n v="1128"/>
    <n v="11709"/>
    <n v="37181"/>
  </r>
  <r>
    <x v="40"/>
    <s v="ITA"/>
    <x v="13"/>
    <x v="13"/>
    <n v="4112559576"/>
    <n v="1686736689"/>
    <n v="627"/>
    <n v="153"/>
    <n v="780"/>
    <n v="1193"/>
    <n v="1973"/>
    <n v="24"/>
    <n v="58"/>
    <n v="94"/>
    <n v="173"/>
    <n v="2240"/>
    <n v="18977"/>
  </r>
  <r>
    <x v="40"/>
    <s v="ITA"/>
    <x v="14"/>
    <x v="14"/>
    <n v="3921531192"/>
    <n v="9110616306"/>
    <n v="123"/>
    <n v="24"/>
    <n v="147"/>
    <n v="642"/>
    <n v="789"/>
    <n v="45"/>
    <n v="49"/>
    <n v="44"/>
    <n v="41"/>
    <n v="874"/>
    <n v="6789"/>
  </r>
  <r>
    <x v="40"/>
    <s v="ITA"/>
    <x v="15"/>
    <x v="15"/>
    <n v="3811569725"/>
    <n v="133623567"/>
    <n v="553"/>
    <n v="74"/>
    <n v="627"/>
    <n v="1099"/>
    <n v="1726"/>
    <n v="62"/>
    <n v="73"/>
    <n v="95"/>
    <n v="111"/>
    <n v="1932"/>
    <n v="19896"/>
  </r>
  <r>
    <x v="40"/>
    <s v="ITA"/>
    <x v="16"/>
    <x v="16"/>
    <n v="4376923077"/>
    <n v="1125588885"/>
    <n v="1129"/>
    <n v="286"/>
    <n v="1415"/>
    <n v="3639"/>
    <n v="5054"/>
    <n v="145"/>
    <n v="172"/>
    <n v="310"/>
    <n v="307"/>
    <n v="5671"/>
    <n v="47886"/>
  </r>
  <r>
    <x v="40"/>
    <s v="ITA"/>
    <x v="2"/>
    <x v="17"/>
    <n v="4606893511"/>
    <n v="1112123097"/>
    <n v="353"/>
    <n v="81"/>
    <n v="434"/>
    <n v="1319"/>
    <n v="1753"/>
    <n v="94"/>
    <n v="111"/>
    <n v="257"/>
    <n v="210"/>
    <n v="2220"/>
    <n v="9863"/>
  </r>
  <r>
    <x v="40"/>
    <s v="ITA"/>
    <x v="17"/>
    <x v="18"/>
    <n v="4310675841"/>
    <n v="1238824698"/>
    <n v="167"/>
    <n v="44"/>
    <n v="211"/>
    <n v="716"/>
    <n v="927"/>
    <n v="7"/>
    <n v="31"/>
    <n v="242"/>
    <n v="41"/>
    <n v="1210"/>
    <n v="11809"/>
  </r>
  <r>
    <x v="40"/>
    <s v="ITA"/>
    <x v="18"/>
    <x v="19"/>
    <n v="4573750286"/>
    <n v="7320149366"/>
    <n v="63"/>
    <n v="23"/>
    <n v="86"/>
    <n v="474"/>
    <n v="560"/>
    <n v="0"/>
    <n v="29"/>
    <n v="106"/>
    <n v="82"/>
    <n v="748"/>
    <n v="2274"/>
  </r>
  <r>
    <x v="40"/>
    <s v="ITA"/>
    <x v="19"/>
    <x v="20"/>
    <n v="4543490485"/>
    <n v="1233845213"/>
    <n v="1691"/>
    <n v="324"/>
    <n v="2015"/>
    <n v="7078"/>
    <n v="9093"/>
    <n v="232"/>
    <n v="360"/>
    <n v="1124"/>
    <n v="607"/>
    <n v="10824"/>
    <n v="133289"/>
  </r>
  <r>
    <x v="41"/>
    <s v="ITA"/>
    <x v="0"/>
    <x v="0"/>
    <n v="4235122196"/>
    <n v="1339843823"/>
    <n v="347"/>
    <n v="67"/>
    <n v="414"/>
    <n v="1006"/>
    <n v="1420"/>
    <n v="64"/>
    <n v="75"/>
    <n v="125"/>
    <n v="158"/>
    <n v="1703"/>
    <n v="13598"/>
  </r>
  <r>
    <x v="41"/>
    <s v="ITA"/>
    <x v="1"/>
    <x v="1"/>
    <n v="4063947052"/>
    <n v="1580514834"/>
    <n v="46"/>
    <n v="18"/>
    <n v="64"/>
    <n v="190"/>
    <n v="254"/>
    <n v="10"/>
    <n v="14"/>
    <n v="11"/>
    <n v="13"/>
    <n v="278"/>
    <n v="2931"/>
  </r>
  <r>
    <x v="41"/>
    <s v="ITA"/>
    <x v="2"/>
    <x v="2"/>
    <n v="4649933453"/>
    <n v="1135662422"/>
    <n v="239"/>
    <n v="53"/>
    <n v="292"/>
    <n v="934"/>
    <n v="1226"/>
    <n v="25"/>
    <n v="52"/>
    <n v="260"/>
    <n v="158"/>
    <n v="1644"/>
    <n v="15723"/>
  </r>
  <r>
    <x v="41"/>
    <s v="ITA"/>
    <x v="3"/>
    <x v="3"/>
    <n v="3890597598"/>
    <n v="1659440194"/>
    <n v="174"/>
    <n v="13"/>
    <n v="187"/>
    <n v="519"/>
    <n v="706"/>
    <n v="44"/>
    <n v="54"/>
    <n v="33"/>
    <n v="56"/>
    <n v="795"/>
    <n v="13077"/>
  </r>
  <r>
    <x v="41"/>
    <s v="ITA"/>
    <x v="4"/>
    <x v="4"/>
    <n v="4083956555"/>
    <n v="1425084984"/>
    <n v="609"/>
    <n v="108"/>
    <n v="717"/>
    <n v="1904"/>
    <n v="2621"/>
    <n v="125"/>
    <n v="132"/>
    <n v="150"/>
    <n v="189"/>
    <n v="2960"/>
    <n v="23139"/>
  </r>
  <r>
    <x v="41"/>
    <s v="ITA"/>
    <x v="5"/>
    <x v="5"/>
    <n v="4449436681"/>
    <n v="113417208"/>
    <n v="3839"/>
    <n v="375"/>
    <n v="4214"/>
    <n v="8623"/>
    <n v="12837"/>
    <n v="314"/>
    <n v="549"/>
    <n v="2201"/>
    <n v="2051"/>
    <n v="17089"/>
    <n v="69986"/>
  </r>
  <r>
    <x v="41"/>
    <s v="ITA"/>
    <x v="6"/>
    <x v="6"/>
    <n v="456494354"/>
    <n v="1376813649"/>
    <n v="185"/>
    <n v="50"/>
    <n v="235"/>
    <n v="1128"/>
    <n v="1363"/>
    <n v="27"/>
    <n v="62"/>
    <n v="531"/>
    <n v="154"/>
    <n v="2048"/>
    <n v="21652"/>
  </r>
  <r>
    <x v="41"/>
    <s v="ITA"/>
    <x v="7"/>
    <x v="7"/>
    <n v="4189277044"/>
    <n v="1248366722"/>
    <n v="1235"/>
    <n v="197"/>
    <n v="1432"/>
    <n v="1754"/>
    <n v="3186"/>
    <n v="80"/>
    <n v="123"/>
    <n v="475"/>
    <n v="219"/>
    <n v="3880"/>
    <n v="44658"/>
  </r>
  <r>
    <x v="41"/>
    <s v="ITA"/>
    <x v="8"/>
    <x v="8"/>
    <n v="4441149315"/>
    <n v="89326992"/>
    <n v="1126"/>
    <n v="165"/>
    <n v="1291"/>
    <n v="1802"/>
    <n v="3093"/>
    <n v="199"/>
    <n v="246"/>
    <n v="800"/>
    <n v="556"/>
    <n v="4449"/>
    <n v="15047"/>
  </r>
  <r>
    <x v="41"/>
    <s v="ITA"/>
    <x v="9"/>
    <x v="9"/>
    <n v="4546679409"/>
    <n v="9190347404"/>
    <n v="12009"/>
    <n v="1317"/>
    <n v="13326"/>
    <n v="14798"/>
    <n v="28124"/>
    <n v="904"/>
    <n v="1337"/>
    <n v="13426"/>
    <n v="8905"/>
    <n v="50455"/>
    <n v="149984"/>
  </r>
  <r>
    <x v="41"/>
    <s v="ITA"/>
    <x v="10"/>
    <x v="10"/>
    <n v="4361675973"/>
    <n v="135188753"/>
    <n v="987"/>
    <n v="151"/>
    <n v="1138"/>
    <n v="2440"/>
    <n v="3578"/>
    <n v="81"/>
    <n v="123"/>
    <n v="287"/>
    <n v="599"/>
    <n v="4464"/>
    <n v="15252"/>
  </r>
  <r>
    <x v="41"/>
    <s v="ITA"/>
    <x v="11"/>
    <x v="11"/>
    <n v="4155774754"/>
    <n v="1465916051"/>
    <n v="33"/>
    <n v="6"/>
    <n v="39"/>
    <n v="148"/>
    <n v="187"/>
    <n v="16"/>
    <n v="18"/>
    <n v="24"/>
    <n v="13"/>
    <n v="224"/>
    <n v="1504"/>
  </r>
  <r>
    <x v="41"/>
    <s v="ITA"/>
    <x v="12"/>
    <x v="12"/>
    <n v="450732745"/>
    <n v="7680687483"/>
    <n v="3472"/>
    <n v="444"/>
    <n v="3916"/>
    <n v="6261"/>
    <n v="10177"/>
    <n v="484"/>
    <n v="653"/>
    <n v="1017"/>
    <n v="1168"/>
    <n v="12362"/>
    <n v="38539"/>
  </r>
  <r>
    <x v="41"/>
    <s v="ITA"/>
    <x v="13"/>
    <x v="13"/>
    <n v="4112559576"/>
    <n v="1686736689"/>
    <n v="574"/>
    <n v="159"/>
    <n v="733"/>
    <n v="1289"/>
    <n v="2022"/>
    <n v="49"/>
    <n v="77"/>
    <n v="113"/>
    <n v="182"/>
    <n v="2317"/>
    <n v="20080"/>
  </r>
  <r>
    <x v="41"/>
    <s v="ITA"/>
    <x v="14"/>
    <x v="14"/>
    <n v="3921531192"/>
    <n v="9110616306"/>
    <n v="126"/>
    <n v="25"/>
    <n v="151"/>
    <n v="664"/>
    <n v="815"/>
    <n v="26"/>
    <n v="33"/>
    <n v="49"/>
    <n v="43"/>
    <n v="907"/>
    <n v="7157"/>
  </r>
  <r>
    <x v="41"/>
    <s v="ITA"/>
    <x v="15"/>
    <x v="15"/>
    <n v="3811569725"/>
    <n v="133623567"/>
    <n v="556"/>
    <n v="76"/>
    <n v="632"/>
    <n v="1142"/>
    <n v="1774"/>
    <n v="48"/>
    <n v="62"/>
    <n v="104"/>
    <n v="116"/>
    <n v="1994"/>
    <n v="21904"/>
  </r>
  <r>
    <x v="41"/>
    <s v="ITA"/>
    <x v="16"/>
    <x v="16"/>
    <n v="4376923077"/>
    <n v="1125588885"/>
    <n v="1111"/>
    <n v="276"/>
    <n v="1387"/>
    <n v="3798"/>
    <n v="5185"/>
    <n v="131"/>
    <n v="176"/>
    <n v="337"/>
    <n v="325"/>
    <n v="5847"/>
    <n v="51006"/>
  </r>
  <r>
    <x v="41"/>
    <s v="ITA"/>
    <x v="2"/>
    <x v="17"/>
    <n v="4606893511"/>
    <n v="1112123097"/>
    <n v="352"/>
    <n v="80"/>
    <n v="432"/>
    <n v="1363"/>
    <n v="1795"/>
    <n v="42"/>
    <n v="65"/>
    <n v="273"/>
    <n v="217"/>
    <n v="2285"/>
    <n v="10476"/>
  </r>
  <r>
    <x v="41"/>
    <s v="ITA"/>
    <x v="17"/>
    <x v="18"/>
    <n v="4310675841"/>
    <n v="1238824698"/>
    <n v="159"/>
    <n v="45"/>
    <n v="204"/>
    <n v="694"/>
    <n v="898"/>
    <n v="-29"/>
    <n v="29"/>
    <n v="298"/>
    <n v="43"/>
    <n v="1239"/>
    <n v="12448"/>
  </r>
  <r>
    <x v="41"/>
    <s v="ITA"/>
    <x v="18"/>
    <x v="19"/>
    <n v="4573750286"/>
    <n v="7320149366"/>
    <n v="96"/>
    <n v="23"/>
    <n v="119"/>
    <n v="457"/>
    <n v="576"/>
    <n v="16"/>
    <n v="34"/>
    <n v="115"/>
    <n v="91"/>
    <n v="782"/>
    <n v="2390"/>
  </r>
  <r>
    <x v="41"/>
    <s v="ITA"/>
    <x v="19"/>
    <x v="20"/>
    <n v="4543490485"/>
    <n v="1233845213"/>
    <n v="1674"/>
    <n v="329"/>
    <n v="2003"/>
    <n v="7406"/>
    <n v="9409"/>
    <n v="316"/>
    <n v="402"/>
    <n v="1186"/>
    <n v="631"/>
    <n v="11226"/>
    <n v="140910"/>
  </r>
  <r>
    <x v="42"/>
    <s v="ITA"/>
    <x v="0"/>
    <x v="0"/>
    <n v="4235122196"/>
    <n v="1339843823"/>
    <n v="340"/>
    <n v="66"/>
    <n v="406"/>
    <n v="1019"/>
    <n v="1425"/>
    <n v="5"/>
    <n v="18"/>
    <n v="127"/>
    <n v="169"/>
    <n v="1721"/>
    <n v="14198"/>
  </r>
  <r>
    <x v="42"/>
    <s v="ITA"/>
    <x v="1"/>
    <x v="1"/>
    <n v="4063947052"/>
    <n v="1580514834"/>
    <n v="46"/>
    <n v="18"/>
    <n v="64"/>
    <n v="198"/>
    <n v="262"/>
    <n v="8"/>
    <n v="9"/>
    <n v="12"/>
    <n v="13"/>
    <n v="287"/>
    <n v="3061"/>
  </r>
  <r>
    <x v="42"/>
    <s v="ITA"/>
    <x v="2"/>
    <x v="2"/>
    <n v="4649933453"/>
    <n v="1135662422"/>
    <n v="245"/>
    <n v="52"/>
    <n v="297"/>
    <n v="963"/>
    <n v="1260"/>
    <n v="34"/>
    <n v="78"/>
    <n v="298"/>
    <n v="164"/>
    <n v="1722"/>
    <n v="16825"/>
  </r>
  <r>
    <x v="42"/>
    <s v="ITA"/>
    <x v="3"/>
    <x v="3"/>
    <n v="3890597598"/>
    <n v="1659440194"/>
    <n v="170"/>
    <n v="14"/>
    <n v="184"/>
    <n v="538"/>
    <n v="722"/>
    <n v="16"/>
    <n v="22"/>
    <n v="37"/>
    <n v="58"/>
    <n v="817"/>
    <n v="13633"/>
  </r>
  <r>
    <x v="42"/>
    <s v="ITA"/>
    <x v="4"/>
    <x v="4"/>
    <n v="4083956555"/>
    <n v="1425084984"/>
    <n v="610"/>
    <n v="101"/>
    <n v="711"/>
    <n v="1987"/>
    <n v="2698"/>
    <n v="77"/>
    <n v="98"/>
    <n v="156"/>
    <n v="204"/>
    <n v="3058"/>
    <n v="24526"/>
  </r>
  <r>
    <x v="42"/>
    <s v="ITA"/>
    <x v="5"/>
    <x v="5"/>
    <n v="4449436681"/>
    <n v="113417208"/>
    <n v="3804"/>
    <n v="372"/>
    <n v="4176"/>
    <n v="8875"/>
    <n v="13051"/>
    <n v="214"/>
    <n v="467"/>
    <n v="2397"/>
    <n v="2108"/>
    <n v="17556"/>
    <n v="72163"/>
  </r>
  <r>
    <x v="42"/>
    <s v="ITA"/>
    <x v="6"/>
    <x v="6"/>
    <n v="456494354"/>
    <n v="1376813649"/>
    <n v="189"/>
    <n v="46"/>
    <n v="235"/>
    <n v="1161"/>
    <n v="1396"/>
    <n v="33"/>
    <n v="55"/>
    <n v="549"/>
    <n v="158"/>
    <n v="2103"/>
    <n v="22272"/>
  </r>
  <r>
    <x v="42"/>
    <s v="ITA"/>
    <x v="7"/>
    <x v="7"/>
    <n v="4189277044"/>
    <n v="1248366722"/>
    <n v="1235"/>
    <n v="197"/>
    <n v="1432"/>
    <n v="1868"/>
    <n v="3300"/>
    <n v="114"/>
    <n v="151"/>
    <n v="502"/>
    <n v="229"/>
    <n v="4031"/>
    <n v="47470"/>
  </r>
  <r>
    <x v="42"/>
    <s v="ITA"/>
    <x v="8"/>
    <x v="8"/>
    <n v="4441149315"/>
    <n v="89326992"/>
    <n v="1141"/>
    <n v="162"/>
    <n v="1303"/>
    <n v="1814"/>
    <n v="3117"/>
    <n v="24"/>
    <n v="100"/>
    <n v="837"/>
    <n v="595"/>
    <n v="4549"/>
    <n v="15533"/>
  </r>
  <r>
    <x v="42"/>
    <s v="ITA"/>
    <x v="9"/>
    <x v="9"/>
    <n v="4546679409"/>
    <n v="9190347404"/>
    <n v="11914"/>
    <n v="1343"/>
    <n v="13257"/>
    <n v="15212"/>
    <n v="28469"/>
    <n v="345"/>
    <n v="1079"/>
    <n v="13863"/>
    <n v="9202"/>
    <n v="51534"/>
    <n v="154989"/>
  </r>
  <r>
    <x v="42"/>
    <s v="ITA"/>
    <x v="10"/>
    <x v="10"/>
    <n v="4361675973"/>
    <n v="135188753"/>
    <n v="1001"/>
    <n v="140"/>
    <n v="1141"/>
    <n v="2565"/>
    <n v="3706"/>
    <n v="128"/>
    <n v="150"/>
    <n v="296"/>
    <n v="612"/>
    <n v="4614"/>
    <n v="15919"/>
  </r>
  <r>
    <x v="42"/>
    <s v="ITA"/>
    <x v="11"/>
    <x v="11"/>
    <n v="4155774754"/>
    <n v="1465916051"/>
    <n v="34"/>
    <n v="5"/>
    <n v="39"/>
    <n v="148"/>
    <n v="187"/>
    <n v="0"/>
    <n v="0"/>
    <n v="24"/>
    <n v="13"/>
    <n v="224"/>
    <n v="1546"/>
  </r>
  <r>
    <x v="42"/>
    <s v="ITA"/>
    <x v="12"/>
    <x v="12"/>
    <n v="450732745"/>
    <n v="7680687483"/>
    <n v="3484"/>
    <n v="438"/>
    <n v="3922"/>
    <n v="6623"/>
    <n v="10545"/>
    <n v="368"/>
    <n v="562"/>
    <n v="1128"/>
    <n v="1251"/>
    <n v="12924"/>
    <n v="41123"/>
  </r>
  <r>
    <x v="42"/>
    <s v="ITA"/>
    <x v="13"/>
    <x v="13"/>
    <n v="4112559576"/>
    <n v="1686736689"/>
    <n v="625"/>
    <n v="97"/>
    <n v="722"/>
    <n v="1393"/>
    <n v="2115"/>
    <n v="93"/>
    <n v="127"/>
    <n v="134"/>
    <n v="195"/>
    <n v="2444"/>
    <n v="22059"/>
  </r>
  <r>
    <x v="42"/>
    <s v="ITA"/>
    <x v="14"/>
    <x v="14"/>
    <n v="3921531192"/>
    <n v="9110616306"/>
    <n v="123"/>
    <n v="26"/>
    <n v="149"/>
    <n v="670"/>
    <n v="819"/>
    <n v="4"/>
    <n v="15"/>
    <n v="56"/>
    <n v="47"/>
    <n v="922"/>
    <n v="7521"/>
  </r>
  <r>
    <x v="42"/>
    <s v="ITA"/>
    <x v="15"/>
    <x v="15"/>
    <n v="3811569725"/>
    <n v="133623567"/>
    <n v="563"/>
    <n v="74"/>
    <n v="637"/>
    <n v="1178"/>
    <n v="1815"/>
    <n v="41"/>
    <n v="52"/>
    <n v="108"/>
    <n v="123"/>
    <n v="2046"/>
    <n v="23464"/>
  </r>
  <r>
    <x v="42"/>
    <s v="ITA"/>
    <x v="16"/>
    <x v="16"/>
    <n v="4376923077"/>
    <n v="1125588885"/>
    <n v="1116"/>
    <n v="279"/>
    <n v="1395"/>
    <n v="3906"/>
    <n v="5301"/>
    <n v="116"/>
    <n v="154"/>
    <n v="350"/>
    <n v="350"/>
    <n v="6001"/>
    <n v="52849"/>
  </r>
  <r>
    <x v="42"/>
    <s v="ITA"/>
    <x v="2"/>
    <x v="17"/>
    <n v="4606893511"/>
    <n v="1112123097"/>
    <n v="354"/>
    <n v="79"/>
    <n v="433"/>
    <n v="1405"/>
    <n v="1838"/>
    <n v="43"/>
    <n v="63"/>
    <n v="280"/>
    <n v="230"/>
    <n v="2348"/>
    <n v="11130"/>
  </r>
  <r>
    <x v="42"/>
    <s v="ITA"/>
    <x v="17"/>
    <x v="18"/>
    <n v="4310675841"/>
    <n v="1238824698"/>
    <n v="159"/>
    <n v="46"/>
    <n v="205"/>
    <n v="667"/>
    <n v="872"/>
    <n v="-26"/>
    <n v="14"/>
    <n v="337"/>
    <n v="44"/>
    <n v="1253"/>
    <n v="12573"/>
  </r>
  <r>
    <x v="42"/>
    <s v="ITA"/>
    <x v="18"/>
    <x v="19"/>
    <n v="4573750286"/>
    <n v="7320149366"/>
    <n v="109"/>
    <n v="21"/>
    <n v="130"/>
    <n v="437"/>
    <n v="567"/>
    <n v="-9"/>
    <n v="23"/>
    <n v="142"/>
    <n v="96"/>
    <n v="805"/>
    <n v="2590"/>
  </r>
  <r>
    <x v="42"/>
    <s v="ITA"/>
    <x v="19"/>
    <x v="20"/>
    <n v="4543490485"/>
    <n v="1233845213"/>
    <n v="1714"/>
    <n v="322"/>
    <n v="2036"/>
    <n v="7686"/>
    <n v="9722"/>
    <n v="313"/>
    <n v="362"/>
    <n v="1204"/>
    <n v="662"/>
    <n v="11588"/>
    <n v="146288"/>
  </r>
  <r>
    <x v="43"/>
    <s v="ITA"/>
    <x v="0"/>
    <x v="0"/>
    <n v="4235122196"/>
    <n v="1339843823"/>
    <n v="337"/>
    <n v="67"/>
    <n v="404"/>
    <n v="1087"/>
    <n v="1491"/>
    <n v="66"/>
    <n v="78"/>
    <n v="136"/>
    <n v="172"/>
    <n v="1799"/>
    <n v="14904"/>
  </r>
  <r>
    <x v="43"/>
    <s v="ITA"/>
    <x v="1"/>
    <x v="1"/>
    <n v="4063947052"/>
    <n v="1580514834"/>
    <n v="47"/>
    <n v="17"/>
    <n v="64"/>
    <n v="201"/>
    <n v="265"/>
    <n v="3"/>
    <n v="4"/>
    <n v="12"/>
    <n v="14"/>
    <n v="291"/>
    <n v="3160"/>
  </r>
  <r>
    <x v="43"/>
    <s v="ITA"/>
    <x v="2"/>
    <x v="2"/>
    <n v="4649933453"/>
    <n v="1135662422"/>
    <n v="325"/>
    <n v="64"/>
    <n v="389"/>
    <n v="912"/>
    <n v="1301"/>
    <n v="41"/>
    <n v="89"/>
    <n v="336"/>
    <n v="174"/>
    <n v="1811"/>
    <n v="17761"/>
  </r>
  <r>
    <x v="43"/>
    <s v="ITA"/>
    <x v="3"/>
    <x v="3"/>
    <n v="3890597598"/>
    <n v="1659440194"/>
    <n v="169"/>
    <n v="14"/>
    <n v="183"/>
    <n v="550"/>
    <n v="733"/>
    <n v="11"/>
    <n v="16"/>
    <n v="40"/>
    <n v="60"/>
    <n v="833"/>
    <n v="14072"/>
  </r>
  <r>
    <x v="43"/>
    <s v="ITA"/>
    <x v="4"/>
    <x v="4"/>
    <n v="4083956555"/>
    <n v="1425084984"/>
    <n v="603"/>
    <n v="103"/>
    <n v="706"/>
    <n v="2059"/>
    <n v="2765"/>
    <n v="67"/>
    <n v="90"/>
    <n v="167"/>
    <n v="216"/>
    <n v="3148"/>
    <n v="25779"/>
  </r>
  <r>
    <x v="43"/>
    <s v="ITA"/>
    <x v="5"/>
    <x v="5"/>
    <n v="4449436681"/>
    <n v="113417208"/>
    <n v="3750"/>
    <n v="366"/>
    <n v="4116"/>
    <n v="8932"/>
    <n v="13048"/>
    <n v="-3"/>
    <n v="269"/>
    <n v="2597"/>
    <n v="2180"/>
    <n v="17825"/>
    <n v="75191"/>
  </r>
  <r>
    <x v="43"/>
    <s v="ITA"/>
    <x v="6"/>
    <x v="6"/>
    <n v="456494354"/>
    <n v="1376813649"/>
    <n v="185"/>
    <n v="44"/>
    <n v="229"/>
    <n v="1150"/>
    <n v="1379"/>
    <n v="-17"/>
    <n v="50"/>
    <n v="610"/>
    <n v="164"/>
    <n v="2153"/>
    <n v="23536"/>
  </r>
  <r>
    <x v="43"/>
    <s v="ITA"/>
    <x v="7"/>
    <x v="7"/>
    <n v="4189277044"/>
    <n v="1248366722"/>
    <n v="1229"/>
    <n v="192"/>
    <n v="1421"/>
    <n v="1944"/>
    <n v="3365"/>
    <n v="65"/>
    <n v="118"/>
    <n v="546"/>
    <n v="238"/>
    <n v="4149"/>
    <n v="48874"/>
  </r>
  <r>
    <x v="43"/>
    <s v="ITA"/>
    <x v="8"/>
    <x v="8"/>
    <n v="4441149315"/>
    <n v="89326992"/>
    <n v="1090"/>
    <n v="156"/>
    <n v="1246"/>
    <n v="1966"/>
    <n v="3212"/>
    <n v="95"/>
    <n v="208"/>
    <n v="925"/>
    <n v="620"/>
    <n v="4757"/>
    <n v="16579"/>
  </r>
  <r>
    <x v="43"/>
    <s v="ITA"/>
    <x v="9"/>
    <x v="9"/>
    <n v="4546679409"/>
    <n v="9190347404"/>
    <n v="11833"/>
    <n v="1305"/>
    <n v="13138"/>
    <n v="15205"/>
    <n v="28343"/>
    <n v="-126"/>
    <n v="791"/>
    <n v="14498"/>
    <n v="9484"/>
    <n v="52325"/>
    <n v="159331"/>
  </r>
  <r>
    <x v="43"/>
    <s v="ITA"/>
    <x v="10"/>
    <x v="10"/>
    <n v="4361675973"/>
    <n v="135188753"/>
    <n v="962"/>
    <n v="139"/>
    <n v="1101"/>
    <n v="2637"/>
    <n v="3738"/>
    <n v="32"/>
    <n v="96"/>
    <n v="342"/>
    <n v="630"/>
    <n v="4710"/>
    <n v="16619"/>
  </r>
  <r>
    <x v="43"/>
    <s v="ITA"/>
    <x v="11"/>
    <x v="11"/>
    <n v="4155774754"/>
    <n v="1465916051"/>
    <n v="35"/>
    <n v="5"/>
    <n v="40"/>
    <n v="145"/>
    <n v="185"/>
    <n v="-2"/>
    <n v="0"/>
    <n v="26"/>
    <n v="13"/>
    <n v="224"/>
    <n v="1581"/>
  </r>
  <r>
    <x v="43"/>
    <s v="ITA"/>
    <x v="12"/>
    <x v="12"/>
    <n v="450732745"/>
    <n v="7680687483"/>
    <n v="3553"/>
    <n v="432"/>
    <n v="3985"/>
    <n v="6719"/>
    <n v="10704"/>
    <n v="159"/>
    <n v="419"/>
    <n v="1320"/>
    <n v="1319"/>
    <n v="13343"/>
    <n v="44121"/>
  </r>
  <r>
    <x v="43"/>
    <s v="ITA"/>
    <x v="13"/>
    <x v="13"/>
    <n v="4112559576"/>
    <n v="1686736689"/>
    <n v="615"/>
    <n v="93"/>
    <n v="708"/>
    <n v="1429"/>
    <n v="2137"/>
    <n v="22"/>
    <n v="70"/>
    <n v="168"/>
    <n v="209"/>
    <n v="2514"/>
    <n v="23149"/>
  </r>
  <r>
    <x v="43"/>
    <s v="ITA"/>
    <x v="14"/>
    <x v="14"/>
    <n v="3921531192"/>
    <n v="9110616306"/>
    <n v="122"/>
    <n v="26"/>
    <n v="148"/>
    <n v="673"/>
    <n v="821"/>
    <n v="2"/>
    <n v="13"/>
    <n v="62"/>
    <n v="52"/>
    <n v="935"/>
    <n v="7680"/>
  </r>
  <r>
    <x v="43"/>
    <s v="ITA"/>
    <x v="15"/>
    <x v="15"/>
    <n v="3811569725"/>
    <n v="133623567"/>
    <n v="562"/>
    <n v="73"/>
    <n v="635"/>
    <n v="1224"/>
    <n v="1859"/>
    <n v="44"/>
    <n v="51"/>
    <n v="113"/>
    <n v="125"/>
    <n v="2097"/>
    <n v="24857"/>
  </r>
  <r>
    <x v="43"/>
    <s v="ITA"/>
    <x v="16"/>
    <x v="16"/>
    <n v="4376923077"/>
    <n v="1125588885"/>
    <n v="1087"/>
    <n v="263"/>
    <n v="1350"/>
    <n v="4077"/>
    <n v="5427"/>
    <n v="126"/>
    <n v="172"/>
    <n v="377"/>
    <n v="369"/>
    <n v="6173"/>
    <n v="56651"/>
  </r>
  <r>
    <x v="43"/>
    <s v="ITA"/>
    <x v="2"/>
    <x v="17"/>
    <n v="4606893511"/>
    <n v="1112123097"/>
    <n v="360"/>
    <n v="78"/>
    <n v="438"/>
    <n v="1452"/>
    <n v="1890"/>
    <n v="52"/>
    <n v="128"/>
    <n v="342"/>
    <n v="244"/>
    <n v="2476"/>
    <n v="12030"/>
  </r>
  <r>
    <x v="43"/>
    <s v="ITA"/>
    <x v="17"/>
    <x v="18"/>
    <n v="4310675841"/>
    <n v="1238824698"/>
    <n v="157"/>
    <n v="41"/>
    <n v="198"/>
    <n v="648"/>
    <n v="846"/>
    <n v="-26"/>
    <n v="10"/>
    <n v="368"/>
    <n v="49"/>
    <n v="1263"/>
    <n v="13274"/>
  </r>
  <r>
    <x v="43"/>
    <s v="ITA"/>
    <x v="18"/>
    <x v="19"/>
    <n v="4573750286"/>
    <n v="7320149366"/>
    <n v="118"/>
    <n v="17"/>
    <n v="135"/>
    <n v="458"/>
    <n v="593"/>
    <n v="26"/>
    <n v="30"/>
    <n v="142"/>
    <n v="100"/>
    <n v="835"/>
    <n v="2754"/>
  </r>
  <r>
    <x v="43"/>
    <s v="ITA"/>
    <x v="19"/>
    <x v="20"/>
    <n v="4543490485"/>
    <n v="1233845213"/>
    <n v="1579"/>
    <n v="297"/>
    <n v="1876"/>
    <n v="8089"/>
    <n v="9965"/>
    <n v="243"/>
    <n v="337"/>
    <n v="1265"/>
    <n v="695"/>
    <n v="11925"/>
    <n v="153542"/>
  </r>
  <r>
    <x v="44"/>
    <s v="ITA"/>
    <x v="0"/>
    <x v="0"/>
    <n v="4235122196"/>
    <n v="1339843823"/>
    <n v="331"/>
    <n v="62"/>
    <n v="393"/>
    <n v="1141"/>
    <n v="1534"/>
    <n v="43"/>
    <n v="60"/>
    <n v="146"/>
    <n v="179"/>
    <n v="1859"/>
    <n v="15846"/>
  </r>
  <r>
    <x v="44"/>
    <s v="ITA"/>
    <x v="1"/>
    <x v="1"/>
    <n v="4063947052"/>
    <n v="1580514834"/>
    <n v="48"/>
    <n v="17"/>
    <n v="65"/>
    <n v="205"/>
    <n v="270"/>
    <n v="5"/>
    <n v="6"/>
    <n v="13"/>
    <n v="14"/>
    <n v="297"/>
    <n v="3296"/>
  </r>
  <r>
    <x v="44"/>
    <s v="ITA"/>
    <x v="2"/>
    <x v="2"/>
    <n v="4649933453"/>
    <n v="1135662422"/>
    <n v="268"/>
    <n v="65"/>
    <n v="333"/>
    <n v="948"/>
    <n v="1281"/>
    <n v="-20"/>
    <n v="24"/>
    <n v="371"/>
    <n v="183"/>
    <n v="1835"/>
    <n v="18865"/>
  </r>
  <r>
    <x v="44"/>
    <s v="ITA"/>
    <x v="3"/>
    <x v="3"/>
    <n v="3890597598"/>
    <n v="1659440194"/>
    <n v="170"/>
    <n v="15"/>
    <n v="185"/>
    <n v="570"/>
    <n v="755"/>
    <n v="22"/>
    <n v="26"/>
    <n v="44"/>
    <n v="60"/>
    <n v="859"/>
    <n v="14977"/>
  </r>
  <r>
    <x v="44"/>
    <s v="ITA"/>
    <x v="4"/>
    <x v="4"/>
    <n v="4083956555"/>
    <n v="1425084984"/>
    <n v="608"/>
    <n v="97"/>
    <n v="705"/>
    <n v="2154"/>
    <n v="2859"/>
    <n v="94"/>
    <n v="120"/>
    <n v="188"/>
    <n v="221"/>
    <n v="3268"/>
    <n v="27784"/>
  </r>
  <r>
    <x v="44"/>
    <s v="ITA"/>
    <x v="5"/>
    <x v="5"/>
    <n v="4449436681"/>
    <n v="113417208"/>
    <n v="3769"/>
    <n v="361"/>
    <n v="4130"/>
    <n v="8980"/>
    <n v="13110"/>
    <n v="62"/>
    <n v="409"/>
    <n v="2890"/>
    <n v="2234"/>
    <n v="18234"/>
    <n v="78367"/>
  </r>
  <r>
    <x v="44"/>
    <s v="ITA"/>
    <x v="6"/>
    <x v="6"/>
    <n v="456494354"/>
    <n v="1376813649"/>
    <n v="162"/>
    <n v="41"/>
    <n v="203"/>
    <n v="1212"/>
    <n v="1415"/>
    <n v="36"/>
    <n v="65"/>
    <n v="634"/>
    <n v="169"/>
    <n v="2218"/>
    <n v="24798"/>
  </r>
  <r>
    <x v="44"/>
    <s v="ITA"/>
    <x v="7"/>
    <x v="7"/>
    <n v="4189277044"/>
    <n v="1248366722"/>
    <n v="1241"/>
    <n v="196"/>
    <n v="1437"/>
    <n v="2011"/>
    <n v="3448"/>
    <n v="83"/>
    <n v="117"/>
    <n v="574"/>
    <n v="244"/>
    <n v="4266"/>
    <n v="55113"/>
  </r>
  <r>
    <x v="44"/>
    <s v="ITA"/>
    <x v="8"/>
    <x v="8"/>
    <n v="4441149315"/>
    <n v="89326992"/>
    <n v="1109"/>
    <n v="153"/>
    <n v="1262"/>
    <n v="1983"/>
    <n v="3245"/>
    <n v="33"/>
    <n v="149"/>
    <n v="1007"/>
    <n v="654"/>
    <n v="4906"/>
    <n v="17521"/>
  </r>
  <r>
    <x v="44"/>
    <s v="ITA"/>
    <x v="9"/>
    <x v="9"/>
    <n v="4546679409"/>
    <n v="9190347404"/>
    <n v="11719"/>
    <n v="1257"/>
    <n v="12976"/>
    <n v="15569"/>
    <n v="28545"/>
    <n v="202"/>
    <n v="1089"/>
    <n v="15147"/>
    <n v="9722"/>
    <n v="53414"/>
    <n v="167557"/>
  </r>
  <r>
    <x v="44"/>
    <s v="ITA"/>
    <x v="10"/>
    <x v="10"/>
    <n v="4361675973"/>
    <n v="135188753"/>
    <n v="974"/>
    <n v="133"/>
    <n v="1107"/>
    <n v="2455"/>
    <n v="3562"/>
    <n v="-176"/>
    <n v="149"/>
    <n v="645"/>
    <n v="652"/>
    <n v="4859"/>
    <n v="17532"/>
  </r>
  <r>
    <x v="44"/>
    <s v="ITA"/>
    <x v="11"/>
    <x v="11"/>
    <n v="4155774754"/>
    <n v="1465916051"/>
    <n v="30"/>
    <n v="4"/>
    <n v="34"/>
    <n v="147"/>
    <n v="181"/>
    <n v="-4"/>
    <n v="2"/>
    <n v="32"/>
    <n v="13"/>
    <n v="226"/>
    <n v="2002"/>
  </r>
  <r>
    <x v="44"/>
    <s v="ITA"/>
    <x v="12"/>
    <x v="12"/>
    <n v="450732745"/>
    <n v="7680687483"/>
    <n v="3493"/>
    <n v="423"/>
    <n v="3916"/>
    <n v="7073"/>
    <n v="10989"/>
    <n v="285"/>
    <n v="540"/>
    <n v="1516"/>
    <n v="1378"/>
    <n v="13883"/>
    <n v="48495"/>
  </r>
  <r>
    <x v="44"/>
    <s v="ITA"/>
    <x v="13"/>
    <x v="13"/>
    <n v="4112559576"/>
    <n v="1686736689"/>
    <n v="639"/>
    <n v="90"/>
    <n v="729"/>
    <n v="1509"/>
    <n v="2238"/>
    <n v="101"/>
    <n v="120"/>
    <n v="177"/>
    <n v="219"/>
    <n v="2634"/>
    <n v="24493"/>
  </r>
  <r>
    <x v="44"/>
    <s v="ITA"/>
    <x v="14"/>
    <x v="14"/>
    <n v="3921531192"/>
    <n v="9110616306"/>
    <n v="112"/>
    <n v="31"/>
    <n v="143"/>
    <n v="697"/>
    <n v="840"/>
    <n v="19"/>
    <n v="40"/>
    <n v="76"/>
    <n v="59"/>
    <n v="975"/>
    <n v="8493"/>
  </r>
  <r>
    <x v="44"/>
    <s v="ITA"/>
    <x v="15"/>
    <x v="15"/>
    <n v="3811569725"/>
    <n v="133623567"/>
    <n v="563"/>
    <n v="65"/>
    <n v="628"/>
    <n v="1265"/>
    <n v="1893"/>
    <n v="34"/>
    <n v="62"/>
    <n v="133"/>
    <n v="133"/>
    <n v="2159"/>
    <n v="27438"/>
  </r>
  <r>
    <x v="44"/>
    <s v="ITA"/>
    <x v="16"/>
    <x v="16"/>
    <n v="4376923077"/>
    <n v="1125588885"/>
    <n v="1066"/>
    <n v="260"/>
    <n v="1326"/>
    <n v="4231"/>
    <n v="5557"/>
    <n v="130"/>
    <n v="206"/>
    <n v="430"/>
    <n v="392"/>
    <n v="6379"/>
    <n v="60985"/>
  </r>
  <r>
    <x v="44"/>
    <s v="ITA"/>
    <x v="2"/>
    <x v="17"/>
    <n v="4606893511"/>
    <n v="1112123097"/>
    <n v="354"/>
    <n v="77"/>
    <n v="431"/>
    <n v="1509"/>
    <n v="1940"/>
    <n v="50"/>
    <n v="126"/>
    <n v="407"/>
    <n v="255"/>
    <n v="2602"/>
    <n v="13258"/>
  </r>
  <r>
    <x v="44"/>
    <s v="ITA"/>
    <x v="17"/>
    <x v="18"/>
    <n v="4310675841"/>
    <n v="1238824698"/>
    <n v="155"/>
    <n v="41"/>
    <n v="196"/>
    <n v="627"/>
    <n v="823"/>
    <n v="-23"/>
    <n v="26"/>
    <n v="416"/>
    <n v="50"/>
    <n v="1289"/>
    <n v="14105"/>
  </r>
  <r>
    <x v="44"/>
    <s v="ITA"/>
    <x v="18"/>
    <x v="19"/>
    <n v="4573750286"/>
    <n v="7320149366"/>
    <n v="120"/>
    <n v="20"/>
    <n v="140"/>
    <n v="466"/>
    <n v="606"/>
    <n v="13"/>
    <n v="15"/>
    <n v="142"/>
    <n v="102"/>
    <n v="850"/>
    <n v="2953"/>
  </r>
  <r>
    <x v="44"/>
    <s v="ITA"/>
    <x v="19"/>
    <x v="20"/>
    <n v="4543490485"/>
    <n v="1233845213"/>
    <n v="1554"/>
    <n v="285"/>
    <n v="1839"/>
    <n v="8332"/>
    <n v="10171"/>
    <n v="206"/>
    <n v="485"/>
    <n v="1503"/>
    <n v="736"/>
    <n v="12410"/>
    <n v="163247"/>
  </r>
  <r>
    <x v="45"/>
    <s v="ITA"/>
    <x v="0"/>
    <x v="0"/>
    <n v="4235122196"/>
    <n v="1339843823"/>
    <n v="306"/>
    <n v="57"/>
    <n v="363"/>
    <n v="1203"/>
    <n v="1566"/>
    <n v="32"/>
    <n v="72"/>
    <n v="171"/>
    <n v="194"/>
    <n v="1931"/>
    <n v="16847"/>
  </r>
  <r>
    <x v="45"/>
    <s v="ITA"/>
    <x v="1"/>
    <x v="1"/>
    <n v="4063947052"/>
    <n v="1580514834"/>
    <n v="50"/>
    <n v="17"/>
    <n v="67"/>
    <n v="208"/>
    <n v="275"/>
    <n v="5"/>
    <n v="6"/>
    <n v="13"/>
    <n v="15"/>
    <n v="303"/>
    <n v="3474"/>
  </r>
  <r>
    <x v="45"/>
    <s v="ITA"/>
    <x v="2"/>
    <x v="2"/>
    <n v="4649933453"/>
    <n v="1135662422"/>
    <n v="263"/>
    <n v="64"/>
    <n v="327"/>
    <n v="988"/>
    <n v="1315"/>
    <n v="34"/>
    <n v="68"/>
    <n v="401"/>
    <n v="187"/>
    <n v="1903"/>
    <n v="19875"/>
  </r>
  <r>
    <x v="45"/>
    <s v="ITA"/>
    <x v="3"/>
    <x v="3"/>
    <n v="3890597598"/>
    <n v="1659440194"/>
    <n v="168"/>
    <n v="15"/>
    <n v="183"/>
    <n v="582"/>
    <n v="765"/>
    <n v="10"/>
    <n v="15"/>
    <n v="48"/>
    <n v="61"/>
    <n v="874"/>
    <n v="15698"/>
  </r>
  <r>
    <x v="45"/>
    <s v="ITA"/>
    <x v="4"/>
    <x v="4"/>
    <n v="4083956555"/>
    <n v="1425084984"/>
    <n v="604"/>
    <n v="94"/>
    <n v="698"/>
    <n v="2175"/>
    <n v="2873"/>
    <n v="14"/>
    <n v="76"/>
    <n v="244"/>
    <n v="227"/>
    <n v="3344"/>
    <n v="29664"/>
  </r>
  <r>
    <x v="45"/>
    <s v="ITA"/>
    <x v="5"/>
    <x v="5"/>
    <n v="4449436681"/>
    <n v="113417208"/>
    <n v="3722"/>
    <n v="355"/>
    <n v="4077"/>
    <n v="9181"/>
    <n v="13258"/>
    <n v="148"/>
    <n v="443"/>
    <n v="3103"/>
    <n v="2316"/>
    <n v="18677"/>
    <n v="81715"/>
  </r>
  <r>
    <x v="45"/>
    <s v="ITA"/>
    <x v="6"/>
    <x v="6"/>
    <n v="456494354"/>
    <n v="1376813649"/>
    <n v="167"/>
    <n v="37"/>
    <n v="204"/>
    <n v="1186"/>
    <n v="1390"/>
    <n v="-25"/>
    <n v="81"/>
    <n v="738"/>
    <n v="171"/>
    <n v="2299"/>
    <n v="26205"/>
  </r>
  <r>
    <x v="45"/>
    <s v="ITA"/>
    <x v="7"/>
    <x v="7"/>
    <n v="4189277044"/>
    <n v="1248366722"/>
    <n v="1244"/>
    <n v="198"/>
    <n v="1442"/>
    <n v="2090"/>
    <n v="3532"/>
    <n v="84"/>
    <n v="163"/>
    <n v="644"/>
    <n v="253"/>
    <n v="4429"/>
    <n v="58107"/>
  </r>
  <r>
    <x v="45"/>
    <s v="ITA"/>
    <x v="8"/>
    <x v="8"/>
    <n v="4441149315"/>
    <n v="89326992"/>
    <n v="1103"/>
    <n v="154"/>
    <n v="1257"/>
    <n v="1996"/>
    <n v="3253"/>
    <n v="8"/>
    <n v="114"/>
    <n v="1085"/>
    <n v="682"/>
    <n v="5020"/>
    <n v="18446"/>
  </r>
  <r>
    <x v="45"/>
    <s v="ITA"/>
    <x v="9"/>
    <x v="9"/>
    <n v="4546679409"/>
    <n v="9190347404"/>
    <n v="11796"/>
    <n v="1236"/>
    <n v="13032"/>
    <n v="16042"/>
    <n v="29074"/>
    <n v="529"/>
    <n v="1388"/>
    <n v="15706"/>
    <n v="10022"/>
    <n v="54802"/>
    <n v="176953"/>
  </r>
  <r>
    <x v="45"/>
    <s v="ITA"/>
    <x v="10"/>
    <x v="10"/>
    <n v="4361675973"/>
    <n v="135188753"/>
    <n v="945"/>
    <n v="133"/>
    <n v="1078"/>
    <n v="2323"/>
    <n v="3401"/>
    <n v="-161"/>
    <n v="96"/>
    <n v="885"/>
    <n v="669"/>
    <n v="4955"/>
    <n v="18194"/>
  </r>
  <r>
    <x v="45"/>
    <s v="ITA"/>
    <x v="11"/>
    <x v="11"/>
    <n v="4155774754"/>
    <n v="1465916051"/>
    <n v="30"/>
    <n v="4"/>
    <n v="34"/>
    <n v="155"/>
    <n v="189"/>
    <n v="8"/>
    <n v="8"/>
    <n v="32"/>
    <n v="13"/>
    <n v="234"/>
    <n v="2069"/>
  </r>
  <r>
    <x v="45"/>
    <s v="ITA"/>
    <x v="12"/>
    <x v="12"/>
    <n v="450732745"/>
    <n v="7680687483"/>
    <n v="3514"/>
    <n v="412"/>
    <n v="3926"/>
    <n v="7410"/>
    <n v="11336"/>
    <n v="347"/>
    <n v="639"/>
    <n v="1732"/>
    <n v="1454"/>
    <n v="14522"/>
    <n v="52807"/>
  </r>
  <r>
    <x v="45"/>
    <s v="ITA"/>
    <x v="13"/>
    <x v="13"/>
    <n v="4112559576"/>
    <n v="1686736689"/>
    <n v="630"/>
    <n v="86"/>
    <n v="716"/>
    <n v="1585"/>
    <n v="2301"/>
    <n v="63"/>
    <n v="82"/>
    <n v="190"/>
    <n v="225"/>
    <n v="2716"/>
    <n v="26088"/>
  </r>
  <r>
    <x v="45"/>
    <s v="ITA"/>
    <x v="14"/>
    <x v="14"/>
    <n v="3921531192"/>
    <n v="9110616306"/>
    <n v="106"/>
    <n v="25"/>
    <n v="131"/>
    <n v="745"/>
    <n v="876"/>
    <n v="36"/>
    <n v="51"/>
    <n v="86"/>
    <n v="64"/>
    <n v="1026"/>
    <n v="8918"/>
  </r>
  <r>
    <x v="45"/>
    <s v="ITA"/>
    <x v="15"/>
    <x v="15"/>
    <n v="3811569725"/>
    <n v="133623567"/>
    <n v="566"/>
    <n v="63"/>
    <n v="629"/>
    <n v="1313"/>
    <n v="1942"/>
    <n v="49"/>
    <n v="73"/>
    <n v="152"/>
    <n v="138"/>
    <n v="2232"/>
    <n v="28742"/>
  </r>
  <r>
    <x v="45"/>
    <s v="ITA"/>
    <x v="16"/>
    <x v="16"/>
    <n v="4376923077"/>
    <n v="1125588885"/>
    <n v="1038"/>
    <n v="256"/>
    <n v="1294"/>
    <n v="4409"/>
    <n v="5703"/>
    <n v="146"/>
    <n v="173"/>
    <n v="441"/>
    <n v="408"/>
    <n v="6552"/>
    <n v="65461"/>
  </r>
  <r>
    <x v="45"/>
    <s v="ITA"/>
    <x v="2"/>
    <x v="17"/>
    <n v="4606893511"/>
    <n v="1112123097"/>
    <n v="345"/>
    <n v="69"/>
    <n v="414"/>
    <n v="1564"/>
    <n v="1978"/>
    <n v="38"/>
    <n v="106"/>
    <n v="462"/>
    <n v="268"/>
    <n v="2708"/>
    <n v="14338"/>
  </r>
  <r>
    <x v="45"/>
    <s v="ITA"/>
    <x v="17"/>
    <x v="18"/>
    <n v="4310675841"/>
    <n v="1238824698"/>
    <n v="154"/>
    <n v="38"/>
    <n v="192"/>
    <n v="600"/>
    <n v="792"/>
    <n v="-31"/>
    <n v="9"/>
    <n v="455"/>
    <n v="51"/>
    <n v="1298"/>
    <n v="15170"/>
  </r>
  <r>
    <x v="45"/>
    <s v="ITA"/>
    <x v="18"/>
    <x v="19"/>
    <n v="4573750286"/>
    <n v="7320149366"/>
    <n v="118"/>
    <n v="18"/>
    <n v="136"/>
    <n v="473"/>
    <n v="609"/>
    <n v="3"/>
    <n v="18"/>
    <n v="154"/>
    <n v="105"/>
    <n v="868"/>
    <n v="3142"/>
  </r>
  <r>
    <x v="45"/>
    <s v="ITA"/>
    <x v="19"/>
    <x v="20"/>
    <n v="4543490485"/>
    <n v="1233845213"/>
    <n v="1530"/>
    <n v="274"/>
    <n v="1804"/>
    <n v="8645"/>
    <n v="10449"/>
    <n v="278"/>
    <n v="523"/>
    <n v="1728"/>
    <n v="756"/>
    <n v="12933"/>
    <n v="171456"/>
  </r>
  <r>
    <x v="46"/>
    <s v="ITA"/>
    <x v="0"/>
    <x v="0"/>
    <n v="4235122196"/>
    <n v="1339843823"/>
    <n v="305"/>
    <n v="53"/>
    <n v="358"/>
    <n v="1277"/>
    <n v="1635"/>
    <n v="69"/>
    <n v="83"/>
    <n v="181"/>
    <n v="198"/>
    <n v="2014"/>
    <n v="18088"/>
  </r>
  <r>
    <x v="46"/>
    <s v="ITA"/>
    <x v="1"/>
    <x v="1"/>
    <n v="4063947052"/>
    <n v="1580514834"/>
    <n v="59"/>
    <n v="15"/>
    <n v="74"/>
    <n v="205"/>
    <n v="279"/>
    <n v="4"/>
    <n v="5"/>
    <n v="14"/>
    <n v="15"/>
    <n v="308"/>
    <n v="3696"/>
  </r>
  <r>
    <x v="46"/>
    <s v="ITA"/>
    <x v="2"/>
    <x v="2"/>
    <n v="4649933453"/>
    <n v="1135662422"/>
    <n v="258"/>
    <n v="58"/>
    <n v="316"/>
    <n v="1001"/>
    <n v="1317"/>
    <n v="2"/>
    <n v="52"/>
    <n v="447"/>
    <n v="191"/>
    <n v="1955"/>
    <n v="20866"/>
  </r>
  <r>
    <x v="46"/>
    <s v="ITA"/>
    <x v="3"/>
    <x v="3"/>
    <n v="3890597598"/>
    <n v="1659440194"/>
    <n v="168"/>
    <n v="14"/>
    <n v="182"/>
    <n v="604"/>
    <n v="786"/>
    <n v="21"/>
    <n v="27"/>
    <n v="50"/>
    <n v="65"/>
    <n v="901"/>
    <n v="16637"/>
  </r>
  <r>
    <x v="46"/>
    <s v="ITA"/>
    <x v="4"/>
    <x v="4"/>
    <n v="4083956555"/>
    <n v="1425084984"/>
    <n v="600"/>
    <n v="90"/>
    <n v="690"/>
    <n v="2273"/>
    <n v="2963"/>
    <n v="90"/>
    <n v="98"/>
    <n v="248"/>
    <n v="231"/>
    <n v="3442"/>
    <n v="31745"/>
  </r>
  <r>
    <x v="46"/>
    <s v="ITA"/>
    <x v="5"/>
    <x v="5"/>
    <n v="4449436681"/>
    <n v="113417208"/>
    <n v="3596"/>
    <n v="349"/>
    <n v="3945"/>
    <n v="9405"/>
    <n v="13350"/>
    <n v="92"/>
    <n v="451"/>
    <n v="3381"/>
    <n v="2397"/>
    <n v="19128"/>
    <n v="85884"/>
  </r>
  <r>
    <x v="46"/>
    <s v="ITA"/>
    <x v="6"/>
    <x v="6"/>
    <n v="456494354"/>
    <n v="1376813649"/>
    <n v="167"/>
    <n v="33"/>
    <n v="200"/>
    <n v="1198"/>
    <n v="1398"/>
    <n v="8"/>
    <n v="50"/>
    <n v="772"/>
    <n v="179"/>
    <n v="2349"/>
    <n v="28097"/>
  </r>
  <r>
    <x v="46"/>
    <s v="ITA"/>
    <x v="7"/>
    <x v="7"/>
    <n v="4189277044"/>
    <n v="1248366722"/>
    <n v="1236"/>
    <n v="201"/>
    <n v="1437"/>
    <n v="2196"/>
    <n v="3633"/>
    <n v="101"/>
    <n v="154"/>
    <n v="687"/>
    <n v="263"/>
    <n v="4583"/>
    <n v="61769"/>
  </r>
  <r>
    <x v="46"/>
    <s v="ITA"/>
    <x v="8"/>
    <x v="8"/>
    <n v="4441149315"/>
    <n v="89326992"/>
    <n v="1076"/>
    <n v="151"/>
    <n v="1227"/>
    <n v="2074"/>
    <n v="3301"/>
    <n v="48"/>
    <n v="171"/>
    <n v="1181"/>
    <n v="709"/>
    <n v="5191"/>
    <n v="19514"/>
  </r>
  <r>
    <x v="46"/>
    <s v="ITA"/>
    <x v="9"/>
    <x v="9"/>
    <n v="4546679409"/>
    <n v="9190347404"/>
    <n v="11877"/>
    <n v="1202"/>
    <n v="13079"/>
    <n v="16451"/>
    <n v="29530"/>
    <n v="456"/>
    <n v="1246"/>
    <n v="16280"/>
    <n v="10238"/>
    <n v="56048"/>
    <n v="186325"/>
  </r>
  <r>
    <x v="46"/>
    <s v="ITA"/>
    <x v="10"/>
    <x v="10"/>
    <n v="4361675973"/>
    <n v="135188753"/>
    <n v="925"/>
    <n v="127"/>
    <n v="1052"/>
    <n v="2264"/>
    <n v="3316"/>
    <n v="-85"/>
    <n v="129"/>
    <n v="1086"/>
    <n v="682"/>
    <n v="5084"/>
    <n v="18970"/>
  </r>
  <r>
    <x v="46"/>
    <s v="ITA"/>
    <x v="11"/>
    <x v="11"/>
    <n v="4155774754"/>
    <n v="1465916051"/>
    <n v="28"/>
    <n v="4"/>
    <n v="32"/>
    <n v="161"/>
    <n v="193"/>
    <n v="4"/>
    <n v="9"/>
    <n v="37"/>
    <n v="13"/>
    <n v="243"/>
    <n v="2069"/>
  </r>
  <r>
    <x v="46"/>
    <s v="ITA"/>
    <x v="12"/>
    <x v="12"/>
    <n v="450732745"/>
    <n v="7680687483"/>
    <n v="3497"/>
    <n v="394"/>
    <n v="3891"/>
    <n v="7685"/>
    <n v="11576"/>
    <n v="240"/>
    <n v="490"/>
    <n v="1904"/>
    <n v="1532"/>
    <n v="15012"/>
    <n v="57457"/>
  </r>
  <r>
    <x v="46"/>
    <s v="ITA"/>
    <x v="13"/>
    <x v="13"/>
    <n v="4112559576"/>
    <n v="1686736689"/>
    <n v="631"/>
    <n v="80"/>
    <n v="711"/>
    <n v="1625"/>
    <n v="2336"/>
    <n v="35"/>
    <n v="93"/>
    <n v="235"/>
    <n v="238"/>
    <n v="2809"/>
    <n v="27812"/>
  </r>
  <r>
    <x v="46"/>
    <s v="ITA"/>
    <x v="14"/>
    <x v="14"/>
    <n v="3921531192"/>
    <n v="9110616306"/>
    <n v="107"/>
    <n v="26"/>
    <n v="133"/>
    <n v="743"/>
    <n v="876"/>
    <n v="0"/>
    <n v="37"/>
    <n v="118"/>
    <n v="69"/>
    <n v="1063"/>
    <n v="9444"/>
  </r>
  <r>
    <x v="46"/>
    <s v="ITA"/>
    <x v="15"/>
    <x v="15"/>
    <n v="3811569725"/>
    <n v="133623567"/>
    <n v="568"/>
    <n v="62"/>
    <n v="630"/>
    <n v="1337"/>
    <n v="1967"/>
    <n v="25"/>
    <n v="70"/>
    <n v="187"/>
    <n v="148"/>
    <n v="2302"/>
    <n v="31156"/>
  </r>
  <r>
    <x v="46"/>
    <s v="ITA"/>
    <x v="16"/>
    <x v="16"/>
    <n v="4376923077"/>
    <n v="1125588885"/>
    <n v="1011"/>
    <n v="256"/>
    <n v="1267"/>
    <n v="4555"/>
    <n v="5822"/>
    <n v="119"/>
    <n v="175"/>
    <n v="451"/>
    <n v="454"/>
    <n v="6727"/>
    <n v="72001"/>
  </r>
  <r>
    <x v="46"/>
    <s v="ITA"/>
    <x v="2"/>
    <x v="17"/>
    <n v="4606893511"/>
    <n v="1112123097"/>
    <n v="335"/>
    <n v="70"/>
    <n v="405"/>
    <n v="1589"/>
    <n v="1994"/>
    <n v="16"/>
    <n v="108"/>
    <n v="547"/>
    <n v="275"/>
    <n v="2816"/>
    <n v="14981"/>
  </r>
  <r>
    <x v="46"/>
    <s v="ITA"/>
    <x v="17"/>
    <x v="18"/>
    <n v="4310675841"/>
    <n v="1238824698"/>
    <n v="146"/>
    <n v="39"/>
    <n v="185"/>
    <n v="567"/>
    <n v="752"/>
    <n v="-40"/>
    <n v="4"/>
    <n v="498"/>
    <n v="52"/>
    <n v="1302"/>
    <n v="16325"/>
  </r>
  <r>
    <x v="46"/>
    <s v="ITA"/>
    <x v="18"/>
    <x v="19"/>
    <n v="4573750286"/>
    <n v="7320149366"/>
    <n v="131"/>
    <n v="16"/>
    <n v="147"/>
    <n v="455"/>
    <n v="602"/>
    <n v="-7"/>
    <n v="11"/>
    <n v="170"/>
    <n v="107"/>
    <n v="879"/>
    <n v="3328"/>
  </r>
  <r>
    <x v="46"/>
    <s v="ITA"/>
    <x v="19"/>
    <x v="20"/>
    <n v="4543490485"/>
    <n v="1233845213"/>
    <n v="1521"/>
    <n v="257"/>
    <n v="1778"/>
    <n v="8869"/>
    <n v="10647"/>
    <n v="198"/>
    <n v="488"/>
    <n v="1981"/>
    <n v="793"/>
    <n v="13421"/>
    <n v="180700"/>
  </r>
  <r>
    <x v="47"/>
    <s v="ITA"/>
    <x v="0"/>
    <x v="0"/>
    <n v="4235122196"/>
    <n v="1339843823"/>
    <n v="315"/>
    <n v="54"/>
    <n v="369"/>
    <n v="1355"/>
    <n v="1724"/>
    <n v="89"/>
    <n v="106"/>
    <n v="190"/>
    <n v="206"/>
    <n v="2120"/>
    <n v="19441"/>
  </r>
  <r>
    <x v="47"/>
    <s v="ITA"/>
    <x v="1"/>
    <x v="1"/>
    <n v="4063947052"/>
    <n v="1580514834"/>
    <n v="60"/>
    <n v="12"/>
    <n v="72"/>
    <n v="209"/>
    <n v="281"/>
    <n v="2"/>
    <n v="4"/>
    <n v="14"/>
    <n v="17"/>
    <n v="312"/>
    <n v="4050"/>
  </r>
  <r>
    <x v="47"/>
    <s v="ITA"/>
    <x v="2"/>
    <x v="2"/>
    <n v="4649933453"/>
    <n v="1135662422"/>
    <n v="246"/>
    <n v="56"/>
    <n v="302"/>
    <n v="967"/>
    <n v="1269"/>
    <n v="-48"/>
    <n v="2"/>
    <n v="488"/>
    <n v="200"/>
    <n v="1957"/>
    <n v="22186"/>
  </r>
  <r>
    <x v="47"/>
    <s v="ITA"/>
    <x v="3"/>
    <x v="3"/>
    <n v="3890597598"/>
    <n v="1659440194"/>
    <n v="169"/>
    <n v="15"/>
    <n v="184"/>
    <n v="608"/>
    <n v="792"/>
    <n v="6"/>
    <n v="14"/>
    <n v="57"/>
    <n v="66"/>
    <n v="915"/>
    <n v="17493"/>
  </r>
  <r>
    <x v="47"/>
    <s v="ITA"/>
    <x v="4"/>
    <x v="4"/>
    <n v="4083956555"/>
    <n v="1425084984"/>
    <n v="582"/>
    <n v="85"/>
    <n v="667"/>
    <n v="2335"/>
    <n v="3002"/>
    <n v="39"/>
    <n v="75"/>
    <n v="277"/>
    <n v="238"/>
    <n v="3517"/>
    <n v="33781"/>
  </r>
  <r>
    <x v="47"/>
    <s v="ITA"/>
    <x v="5"/>
    <x v="5"/>
    <n v="4449436681"/>
    <n v="113417208"/>
    <n v="3530"/>
    <n v="341"/>
    <n v="3871"/>
    <n v="9624"/>
    <n v="13495"/>
    <n v="145"/>
    <n v="507"/>
    <n v="3659"/>
    <n v="2481"/>
    <n v="19635"/>
    <n v="91759"/>
  </r>
  <r>
    <x v="47"/>
    <s v="ITA"/>
    <x v="6"/>
    <x v="6"/>
    <n v="456494354"/>
    <n v="1376813649"/>
    <n v="172"/>
    <n v="28"/>
    <n v="200"/>
    <n v="1182"/>
    <n v="1382"/>
    <n v="-16"/>
    <n v="44"/>
    <n v="826"/>
    <n v="185"/>
    <n v="2393"/>
    <n v="29685"/>
  </r>
  <r>
    <x v="47"/>
    <s v="ITA"/>
    <x v="7"/>
    <x v="7"/>
    <n v="4189277044"/>
    <n v="1248366722"/>
    <n v="1264"/>
    <n v="203"/>
    <n v="1467"/>
    <n v="2263"/>
    <n v="3730"/>
    <n v="97"/>
    <n v="140"/>
    <n v="720"/>
    <n v="273"/>
    <n v="4723"/>
    <n v="65241"/>
  </r>
  <r>
    <x v="47"/>
    <s v="ITA"/>
    <x v="8"/>
    <x v="8"/>
    <n v="4441149315"/>
    <n v="89326992"/>
    <n v="1003"/>
    <n v="146"/>
    <n v="1149"/>
    <n v="2184"/>
    <n v="3333"/>
    <n v="32"/>
    <n v="185"/>
    <n v="1309"/>
    <n v="734"/>
    <n v="5376"/>
    <n v="20888"/>
  </r>
  <r>
    <x v="47"/>
    <s v="ITA"/>
    <x v="9"/>
    <x v="9"/>
    <n v="4546679409"/>
    <n v="9190347404"/>
    <n v="12026"/>
    <n v="1174"/>
    <n v="13200"/>
    <n v="17058"/>
    <n v="30258"/>
    <n v="728"/>
    <n v="1544"/>
    <n v="16823"/>
    <n v="10511"/>
    <n v="57592"/>
    <n v="196302"/>
  </r>
  <r>
    <x v="47"/>
    <s v="ITA"/>
    <x v="10"/>
    <x v="10"/>
    <n v="4361675973"/>
    <n v="135188753"/>
    <n v="960"/>
    <n v="118"/>
    <n v="1078"/>
    <n v="2153"/>
    <n v="3231"/>
    <n v="-85"/>
    <n v="127"/>
    <n v="1291"/>
    <n v="689"/>
    <n v="5211"/>
    <n v="20060"/>
  </r>
  <r>
    <x v="47"/>
    <s v="ITA"/>
    <x v="11"/>
    <x v="11"/>
    <n v="4155774754"/>
    <n v="1465916051"/>
    <n v="28"/>
    <n v="4"/>
    <n v="32"/>
    <n v="161"/>
    <n v="193"/>
    <n v="0"/>
    <n v="3"/>
    <n v="39"/>
    <n v="14"/>
    <n v="246"/>
    <n v="2201"/>
  </r>
  <r>
    <x v="47"/>
    <s v="ITA"/>
    <x v="12"/>
    <x v="12"/>
    <n v="450732745"/>
    <n v="7680687483"/>
    <n v="3435"/>
    <n v="384"/>
    <n v="3819"/>
    <n v="8351"/>
    <n v="12170"/>
    <n v="594"/>
    <n v="996"/>
    <n v="2205"/>
    <n v="1633"/>
    <n v="16008"/>
    <n v="62577"/>
  </r>
  <r>
    <x v="47"/>
    <s v="ITA"/>
    <x v="13"/>
    <x v="13"/>
    <n v="4112559576"/>
    <n v="1686736689"/>
    <n v="627"/>
    <n v="73"/>
    <n v="700"/>
    <n v="1702"/>
    <n v="2402"/>
    <n v="66"/>
    <n v="95"/>
    <n v="249"/>
    <n v="253"/>
    <n v="2904"/>
    <n v="29463"/>
  </r>
  <r>
    <x v="47"/>
    <s v="ITA"/>
    <x v="14"/>
    <x v="14"/>
    <n v="3921531192"/>
    <n v="9110616306"/>
    <n v="113"/>
    <n v="24"/>
    <n v="137"/>
    <n v="751"/>
    <n v="888"/>
    <n v="12"/>
    <n v="28"/>
    <n v="130"/>
    <n v="73"/>
    <n v="1091"/>
    <n v="10120"/>
  </r>
  <r>
    <x v="47"/>
    <s v="ITA"/>
    <x v="15"/>
    <x v="15"/>
    <n v="3811569725"/>
    <n v="133623567"/>
    <n v="562"/>
    <n v="58"/>
    <n v="620"/>
    <n v="1381"/>
    <n v="2001"/>
    <n v="34"/>
    <n v="62"/>
    <n v="209"/>
    <n v="154"/>
    <n v="2364"/>
    <n v="33787"/>
  </r>
  <r>
    <x v="47"/>
    <s v="ITA"/>
    <x v="16"/>
    <x v="16"/>
    <n v="4376923077"/>
    <n v="1125588885"/>
    <n v="997"/>
    <n v="237"/>
    <n v="1234"/>
    <n v="4758"/>
    <n v="5992"/>
    <n v="170"/>
    <n v="231"/>
    <n v="499"/>
    <n v="467"/>
    <n v="6958"/>
    <n v="75756"/>
  </r>
  <r>
    <x v="47"/>
    <s v="ITA"/>
    <x v="2"/>
    <x v="17"/>
    <n v="4606893511"/>
    <n v="1112123097"/>
    <n v="335"/>
    <n v="62"/>
    <n v="397"/>
    <n v="1667"/>
    <n v="2064"/>
    <n v="70"/>
    <n v="154"/>
    <n v="622"/>
    <n v="284"/>
    <n v="2970"/>
    <n v="16646"/>
  </r>
  <r>
    <x v="47"/>
    <s v="ITA"/>
    <x v="17"/>
    <x v="18"/>
    <n v="4310675841"/>
    <n v="1238824698"/>
    <n v="137"/>
    <n v="39"/>
    <n v="176"/>
    <n v="547"/>
    <n v="723"/>
    <n v="-29"/>
    <n v="7"/>
    <n v="534"/>
    <n v="52"/>
    <n v="1309"/>
    <n v="17661"/>
  </r>
  <r>
    <x v="47"/>
    <s v="ITA"/>
    <x v="18"/>
    <x v="19"/>
    <n v="4573750286"/>
    <n v="7320149366"/>
    <n v="118"/>
    <n v="17"/>
    <n v="135"/>
    <n v="455"/>
    <n v="590"/>
    <n v="-12"/>
    <n v="23"/>
    <n v="205"/>
    <n v="107"/>
    <n v="902"/>
    <n v="3464"/>
  </r>
  <r>
    <x v="47"/>
    <s v="ITA"/>
    <x v="19"/>
    <x v="20"/>
    <n v="4543490485"/>
    <n v="1233845213"/>
    <n v="1465"/>
    <n v="251"/>
    <n v="1716"/>
    <n v="9033"/>
    <n v="10749"/>
    <n v="102"/>
    <n v="347"/>
    <n v="2188"/>
    <n v="831"/>
    <n v="13768"/>
    <n v="190912"/>
  </r>
  <r>
    <x v="48"/>
    <s v="ITA"/>
    <x v="0"/>
    <x v="0"/>
    <n v="4235122196"/>
    <n v="1339843823"/>
    <n v="346"/>
    <n v="54"/>
    <n v="400"/>
    <n v="1342"/>
    <n v="1742"/>
    <n v="18"/>
    <n v="40"/>
    <n v="206"/>
    <n v="212"/>
    <n v="2160"/>
    <n v="20594"/>
  </r>
  <r>
    <x v="48"/>
    <s v="ITA"/>
    <x v="1"/>
    <x v="1"/>
    <n v="4063947052"/>
    <n v="1580514834"/>
    <n v="61"/>
    <n v="12"/>
    <n v="73"/>
    <n v="204"/>
    <n v="277"/>
    <n v="-4"/>
    <n v="3"/>
    <n v="20"/>
    <n v="18"/>
    <n v="315"/>
    <n v="4355"/>
  </r>
  <r>
    <x v="48"/>
    <s v="ITA"/>
    <x v="2"/>
    <x v="2"/>
    <n v="4649933453"/>
    <n v="1135662422"/>
    <n v="183"/>
    <n v="45"/>
    <n v="228"/>
    <n v="1287"/>
    <n v="1515"/>
    <n v="246"/>
    <n v="141"/>
    <n v="378"/>
    <n v="205"/>
    <n v="2098"/>
    <n v="23246"/>
  </r>
  <r>
    <x v="48"/>
    <s v="ITA"/>
    <x v="3"/>
    <x v="3"/>
    <n v="3890597598"/>
    <n v="1659440194"/>
    <n v="165"/>
    <n v="14"/>
    <n v="179"/>
    <n v="616"/>
    <n v="795"/>
    <n v="3"/>
    <n v="8"/>
    <n v="62"/>
    <n v="66"/>
    <n v="923"/>
    <n v="18211"/>
  </r>
  <r>
    <x v="48"/>
    <s v="ITA"/>
    <x v="4"/>
    <x v="4"/>
    <n v="4083956555"/>
    <n v="1425084984"/>
    <n v="526"/>
    <n v="82"/>
    <n v="608"/>
    <n v="2449"/>
    <n v="3057"/>
    <n v="55"/>
    <n v="87"/>
    <n v="305"/>
    <n v="242"/>
    <n v="3604"/>
    <n v="35448"/>
  </r>
  <r>
    <x v="48"/>
    <s v="ITA"/>
    <x v="5"/>
    <x v="5"/>
    <n v="4449436681"/>
    <n v="113417208"/>
    <n v="3491"/>
    <n v="335"/>
    <n v="3826"/>
    <n v="9846"/>
    <n v="13672"/>
    <n v="177"/>
    <n v="463"/>
    <n v="3862"/>
    <n v="2564"/>
    <n v="20098"/>
    <n v="96704"/>
  </r>
  <r>
    <x v="48"/>
    <s v="ITA"/>
    <x v="6"/>
    <x v="6"/>
    <n v="456494354"/>
    <n v="1376813649"/>
    <n v="160"/>
    <n v="28"/>
    <n v="188"/>
    <n v="1138"/>
    <n v="1326"/>
    <n v="-56"/>
    <n v="38"/>
    <n v="910"/>
    <n v="195"/>
    <n v="2431"/>
    <n v="29988"/>
  </r>
  <r>
    <x v="48"/>
    <s v="ITA"/>
    <x v="7"/>
    <x v="7"/>
    <n v="4189277044"/>
    <n v="1248366722"/>
    <n v="1268"/>
    <n v="201"/>
    <n v="1469"/>
    <n v="2348"/>
    <n v="3817"/>
    <n v="87"/>
    <n v="122"/>
    <n v="749"/>
    <n v="279"/>
    <n v="4845"/>
    <n v="68954"/>
  </r>
  <r>
    <x v="48"/>
    <s v="ITA"/>
    <x v="8"/>
    <x v="8"/>
    <n v="4441149315"/>
    <n v="89326992"/>
    <n v="1032"/>
    <n v="144"/>
    <n v="1176"/>
    <n v="2157"/>
    <n v="3333"/>
    <n v="0"/>
    <n v="118"/>
    <n v="1412"/>
    <n v="749"/>
    <n v="5494"/>
    <n v="21983"/>
  </r>
  <r>
    <x v="48"/>
    <s v="ITA"/>
    <x v="9"/>
    <x v="9"/>
    <n v="4546679409"/>
    <n v="9190347404"/>
    <n v="11969"/>
    <n v="1176"/>
    <n v="13145"/>
    <n v="18120"/>
    <n v="31265"/>
    <n v="1007"/>
    <n v="1460"/>
    <n v="17166"/>
    <n v="10621"/>
    <n v="59052"/>
    <n v="205832"/>
  </r>
  <r>
    <x v="48"/>
    <s v="ITA"/>
    <x v="10"/>
    <x v="10"/>
    <n v="4361675973"/>
    <n v="135188753"/>
    <n v="949"/>
    <n v="114"/>
    <n v="1063"/>
    <n v="2051"/>
    <n v="3114"/>
    <n v="-117"/>
    <n v="92"/>
    <n v="1489"/>
    <n v="700"/>
    <n v="5303"/>
    <n v="21057"/>
  </r>
  <r>
    <x v="48"/>
    <s v="ITA"/>
    <x v="11"/>
    <x v="11"/>
    <n v="4155774754"/>
    <n v="1465916051"/>
    <n v="27"/>
    <n v="4"/>
    <n v="31"/>
    <n v="171"/>
    <n v="202"/>
    <n v="9"/>
    <n v="11"/>
    <n v="40"/>
    <n v="15"/>
    <n v="257"/>
    <n v="2471"/>
  </r>
  <r>
    <x v="48"/>
    <s v="ITA"/>
    <x v="12"/>
    <x v="12"/>
    <n v="450732745"/>
    <n v="7680687483"/>
    <n v="3429"/>
    <n v="381"/>
    <n v="3810"/>
    <n v="8695"/>
    <n v="12505"/>
    <n v="335"/>
    <n v="652"/>
    <n v="2426"/>
    <n v="1729"/>
    <n v="16660"/>
    <n v="66555"/>
  </r>
  <r>
    <x v="48"/>
    <s v="ITA"/>
    <x v="13"/>
    <x v="13"/>
    <n v="4112559576"/>
    <n v="1686736689"/>
    <n v="609"/>
    <n v="71"/>
    <n v="680"/>
    <n v="1772"/>
    <n v="2452"/>
    <n v="50"/>
    <n v="85"/>
    <n v="277"/>
    <n v="260"/>
    <n v="2989"/>
    <n v="30973"/>
  </r>
  <r>
    <x v="48"/>
    <s v="ITA"/>
    <x v="14"/>
    <x v="14"/>
    <n v="3921531192"/>
    <n v="9110616306"/>
    <n v="109"/>
    <n v="26"/>
    <n v="135"/>
    <n v="768"/>
    <n v="903"/>
    <n v="15"/>
    <n v="22"/>
    <n v="137"/>
    <n v="73"/>
    <n v="1113"/>
    <n v="10663"/>
  </r>
  <r>
    <x v="48"/>
    <s v="ITA"/>
    <x v="15"/>
    <x v="15"/>
    <n v="3811569725"/>
    <n v="133623567"/>
    <n v="552"/>
    <n v="53"/>
    <n v="605"/>
    <n v="1425"/>
    <n v="2030"/>
    <n v="29"/>
    <n v="52"/>
    <n v="223"/>
    <n v="163"/>
    <n v="2416"/>
    <n v="36098"/>
  </r>
  <r>
    <x v="48"/>
    <s v="ITA"/>
    <x v="16"/>
    <x v="16"/>
    <n v="4376923077"/>
    <n v="1125588885"/>
    <n v="983"/>
    <n v="238"/>
    <n v="1221"/>
    <n v="4941"/>
    <n v="6162"/>
    <n v="170"/>
    <n v="277"/>
    <n v="578"/>
    <n v="495"/>
    <n v="7235"/>
    <n v="78640"/>
  </r>
  <r>
    <x v="48"/>
    <s v="ITA"/>
    <x v="2"/>
    <x v="17"/>
    <n v="4606893511"/>
    <n v="1112123097"/>
    <n v="322"/>
    <n v="61"/>
    <n v="383"/>
    <n v="1699"/>
    <n v="2082"/>
    <n v="18"/>
    <n v="83"/>
    <n v="678"/>
    <n v="293"/>
    <n v="3053"/>
    <n v="17797"/>
  </r>
  <r>
    <x v="48"/>
    <s v="ITA"/>
    <x v="17"/>
    <x v="18"/>
    <n v="4310675841"/>
    <n v="1238824698"/>
    <n v="129"/>
    <n v="39"/>
    <n v="168"/>
    <n v="519"/>
    <n v="687"/>
    <n v="-36"/>
    <n v="10"/>
    <n v="580"/>
    <n v="52"/>
    <n v="1319"/>
    <n v="18672"/>
  </r>
  <r>
    <x v="48"/>
    <s v="ITA"/>
    <x v="18"/>
    <x v="19"/>
    <n v="4573750286"/>
    <n v="7320149366"/>
    <n v="109"/>
    <n v="16"/>
    <n v="125"/>
    <n v="463"/>
    <n v="588"/>
    <n v="-2"/>
    <n v="19"/>
    <n v="221"/>
    <n v="112"/>
    <n v="921"/>
    <n v="3510"/>
  </r>
  <r>
    <x v="48"/>
    <s v="ITA"/>
    <x v="19"/>
    <x v="20"/>
    <n v="4543490485"/>
    <n v="1233845213"/>
    <n v="1428"/>
    <n v="249"/>
    <n v="1677"/>
    <n v="9052"/>
    <n v="10729"/>
    <n v="-20"/>
    <n v="309"/>
    <n v="2492"/>
    <n v="856"/>
    <n v="14077"/>
    <n v="198442"/>
  </r>
  <r>
    <x v="49"/>
    <s v="ITA"/>
    <x v="0"/>
    <x v="0"/>
    <n v="4235122196"/>
    <n v="1339843823"/>
    <n v="351"/>
    <n v="54"/>
    <n v="405"/>
    <n v="1373"/>
    <n v="1778"/>
    <n v="36"/>
    <n v="53"/>
    <n v="211"/>
    <n v="224"/>
    <n v="2213"/>
    <n v="20667"/>
  </r>
  <r>
    <x v="49"/>
    <s v="ITA"/>
    <x v="1"/>
    <x v="1"/>
    <n v="4063947052"/>
    <n v="1580514834"/>
    <n v="64"/>
    <n v="12"/>
    <n v="76"/>
    <n v="194"/>
    <n v="270"/>
    <n v="-7"/>
    <n v="4"/>
    <n v="31"/>
    <n v="18"/>
    <n v="319"/>
    <n v="4545"/>
  </r>
  <r>
    <x v="49"/>
    <s v="ITA"/>
    <x v="2"/>
    <x v="2"/>
    <n v="4649933453"/>
    <n v="1135662422"/>
    <n v="190"/>
    <n v="41"/>
    <n v="231"/>
    <n v="1306"/>
    <n v="1537"/>
    <n v="22"/>
    <n v="51"/>
    <n v="400"/>
    <n v="212"/>
    <n v="2149"/>
    <n v="24157"/>
  </r>
  <r>
    <x v="49"/>
    <s v="ITA"/>
    <x v="3"/>
    <x v="3"/>
    <n v="3890597598"/>
    <n v="1659440194"/>
    <n v="160"/>
    <n v="12"/>
    <n v="172"/>
    <n v="619"/>
    <n v="791"/>
    <n v="-4"/>
    <n v="5"/>
    <n v="70"/>
    <n v="67"/>
    <n v="928"/>
    <n v="18596"/>
  </r>
  <r>
    <x v="49"/>
    <s v="ITA"/>
    <x v="4"/>
    <x v="4"/>
    <n v="4083956555"/>
    <n v="1425084984"/>
    <n v="606"/>
    <n v="80"/>
    <n v="686"/>
    <n v="2376"/>
    <n v="3062"/>
    <n v="5"/>
    <n v="66"/>
    <n v="360"/>
    <n v="248"/>
    <n v="3670"/>
    <n v="36770"/>
  </r>
  <r>
    <x v="49"/>
    <s v="ITA"/>
    <x v="5"/>
    <x v="5"/>
    <n v="4449436681"/>
    <n v="113417208"/>
    <n v="3490"/>
    <n v="331"/>
    <n v="3821"/>
    <n v="9997"/>
    <n v="13818"/>
    <n v="146"/>
    <n v="342"/>
    <n v="4007"/>
    <n v="2615"/>
    <n v="20440"/>
    <n v="99047"/>
  </r>
  <r>
    <x v="49"/>
    <s v="ITA"/>
    <x v="6"/>
    <x v="6"/>
    <n v="456494354"/>
    <n v="1376813649"/>
    <n v="159"/>
    <n v="30"/>
    <n v="189"/>
    <n v="1118"/>
    <n v="1307"/>
    <n v="-19"/>
    <n v="51"/>
    <n v="973"/>
    <n v="202"/>
    <n v="2482"/>
    <n v="30941"/>
  </r>
  <r>
    <x v="49"/>
    <s v="ITA"/>
    <x v="7"/>
    <x v="7"/>
    <n v="4189277044"/>
    <n v="1248366722"/>
    <n v="1314"/>
    <n v="200"/>
    <n v="1514"/>
    <n v="2406"/>
    <n v="3920"/>
    <n v="103"/>
    <n v="123"/>
    <n v="764"/>
    <n v="284"/>
    <n v="4968"/>
    <n v="72746"/>
  </r>
  <r>
    <x v="49"/>
    <s v="ITA"/>
    <x v="8"/>
    <x v="8"/>
    <n v="4441149315"/>
    <n v="89326992"/>
    <n v="1088"/>
    <n v="138"/>
    <n v="1226"/>
    <n v="2139"/>
    <n v="3365"/>
    <n v="32"/>
    <n v="102"/>
    <n v="1471"/>
    <n v="760"/>
    <n v="5596"/>
    <n v="23129"/>
  </r>
  <r>
    <x v="49"/>
    <s v="ITA"/>
    <x v="9"/>
    <x v="9"/>
    <n v="4546679409"/>
    <n v="9190347404"/>
    <n v="12028"/>
    <n v="1143"/>
    <n v="13171"/>
    <n v="18764"/>
    <n v="31935"/>
    <n v="670"/>
    <n v="1262"/>
    <n v="17478"/>
    <n v="10901"/>
    <n v="60314"/>
    <n v="211092"/>
  </r>
  <r>
    <x v="49"/>
    <s v="ITA"/>
    <x v="10"/>
    <x v="10"/>
    <n v="4361675973"/>
    <n v="135188753"/>
    <n v="959"/>
    <n v="108"/>
    <n v="1067"/>
    <n v="2013"/>
    <n v="3080"/>
    <n v="-34"/>
    <n v="78"/>
    <n v="1588"/>
    <n v="713"/>
    <n v="5381"/>
    <n v="28379"/>
  </r>
  <r>
    <x v="49"/>
    <s v="ITA"/>
    <x v="11"/>
    <x v="11"/>
    <n v="4155774754"/>
    <n v="1465916051"/>
    <n v="28"/>
    <n v="4"/>
    <n v="32"/>
    <n v="170"/>
    <n v="202"/>
    <n v="0"/>
    <n v="0"/>
    <n v="40"/>
    <n v="15"/>
    <n v="257"/>
    <n v="2522"/>
  </r>
  <r>
    <x v="49"/>
    <s v="ITA"/>
    <x v="12"/>
    <x v="12"/>
    <n v="450732745"/>
    <n v="7680687483"/>
    <n v="3344"/>
    <n v="379"/>
    <n v="3723"/>
    <n v="9042"/>
    <n v="12765"/>
    <n v="260"/>
    <n v="474"/>
    <n v="2543"/>
    <n v="1826"/>
    <n v="17134"/>
    <n v="69170"/>
  </r>
  <r>
    <x v="49"/>
    <s v="ITA"/>
    <x v="13"/>
    <x v="13"/>
    <n v="4112559576"/>
    <n v="1686736689"/>
    <n v="600"/>
    <n v="71"/>
    <n v="671"/>
    <n v="1841"/>
    <n v="2512"/>
    <n v="60"/>
    <n v="76"/>
    <n v="286"/>
    <n v="267"/>
    <n v="3065"/>
    <n v="31922"/>
  </r>
  <r>
    <x v="49"/>
    <s v="ITA"/>
    <x v="14"/>
    <x v="14"/>
    <n v="3921531192"/>
    <n v="9110616306"/>
    <n v="107"/>
    <n v="27"/>
    <n v="134"/>
    <n v="780"/>
    <n v="914"/>
    <n v="11"/>
    <n v="15"/>
    <n v="139"/>
    <n v="75"/>
    <n v="1128"/>
    <n v="11010"/>
  </r>
  <r>
    <x v="49"/>
    <s v="ITA"/>
    <x v="15"/>
    <x v="15"/>
    <n v="3811569725"/>
    <n v="133623567"/>
    <n v="554"/>
    <n v="51"/>
    <n v="605"/>
    <n v="1445"/>
    <n v="2050"/>
    <n v="20"/>
    <n v="42"/>
    <n v="237"/>
    <n v="171"/>
    <n v="2458"/>
    <n v="37311"/>
  </r>
  <r>
    <x v="49"/>
    <s v="ITA"/>
    <x v="16"/>
    <x v="16"/>
    <n v="4376923077"/>
    <n v="1125588885"/>
    <n v="992"/>
    <n v="225"/>
    <n v="1217"/>
    <n v="5040"/>
    <n v="6257"/>
    <n v="95"/>
    <n v="155"/>
    <n v="615"/>
    <n v="518"/>
    <n v="7390"/>
    <n v="80889"/>
  </r>
  <r>
    <x v="49"/>
    <s v="ITA"/>
    <x v="2"/>
    <x v="17"/>
    <n v="4606893511"/>
    <n v="1112123097"/>
    <n v="326"/>
    <n v="56"/>
    <n v="382"/>
    <n v="1698"/>
    <n v="2080"/>
    <n v="-2"/>
    <n v="73"/>
    <n v="746"/>
    <n v="300"/>
    <n v="3126"/>
    <n v="18586"/>
  </r>
  <r>
    <x v="49"/>
    <s v="ITA"/>
    <x v="17"/>
    <x v="18"/>
    <n v="4310675841"/>
    <n v="1238824698"/>
    <n v="127"/>
    <n v="38"/>
    <n v="165"/>
    <n v="460"/>
    <n v="625"/>
    <n v="-62"/>
    <n v="1"/>
    <n v="643"/>
    <n v="52"/>
    <n v="1320"/>
    <n v="18740"/>
  </r>
  <r>
    <x v="49"/>
    <s v="ITA"/>
    <x v="18"/>
    <x v="19"/>
    <n v="4573750286"/>
    <n v="7320149366"/>
    <n v="109"/>
    <n v="15"/>
    <n v="124"/>
    <n v="458"/>
    <n v="582"/>
    <n v="-6"/>
    <n v="6"/>
    <n v="230"/>
    <n v="115"/>
    <n v="927"/>
    <n v="3614"/>
  </r>
  <r>
    <x v="49"/>
    <s v="ITA"/>
    <x v="19"/>
    <x v="20"/>
    <n v="4543490485"/>
    <n v="1233845213"/>
    <n v="1427"/>
    <n v="245"/>
    <n v="1672"/>
    <n v="9094"/>
    <n v="10766"/>
    <n v="37"/>
    <n v="174"/>
    <n v="2603"/>
    <n v="882"/>
    <n v="14251"/>
    <n v="203077"/>
  </r>
  <r>
    <x v="50"/>
    <s v="ITA"/>
    <x v="0"/>
    <x v="0"/>
    <n v="4235122196"/>
    <n v="1339843823"/>
    <n v="345"/>
    <n v="52"/>
    <n v="397"/>
    <n v="1403"/>
    <n v="1800"/>
    <n v="22"/>
    <n v="32"/>
    <n v="213"/>
    <n v="232"/>
    <n v="2245"/>
    <n v="20935"/>
  </r>
  <r>
    <x v="50"/>
    <s v="ITA"/>
    <x v="1"/>
    <x v="1"/>
    <n v="4063947052"/>
    <n v="1580514834"/>
    <n v="62"/>
    <n v="12"/>
    <n v="74"/>
    <n v="191"/>
    <n v="265"/>
    <n v="-5"/>
    <n v="0"/>
    <n v="35"/>
    <n v="19"/>
    <n v="319"/>
    <n v="4759"/>
  </r>
  <r>
    <x v="50"/>
    <s v="ITA"/>
    <x v="2"/>
    <x v="2"/>
    <n v="4649933453"/>
    <n v="1135662422"/>
    <n v="177"/>
    <n v="39"/>
    <n v="216"/>
    <n v="1348"/>
    <n v="1564"/>
    <n v="27"/>
    <n v="35"/>
    <n v="406"/>
    <n v="214"/>
    <n v="2184"/>
    <n v="24457"/>
  </r>
  <r>
    <x v="50"/>
    <s v="ITA"/>
    <x v="3"/>
    <x v="3"/>
    <n v="3890597598"/>
    <n v="1659440194"/>
    <n v="161"/>
    <n v="12"/>
    <n v="173"/>
    <n v="643"/>
    <n v="816"/>
    <n v="25"/>
    <n v="28"/>
    <n v="72"/>
    <n v="68"/>
    <n v="956"/>
    <n v="19014"/>
  </r>
  <r>
    <x v="50"/>
    <s v="ITA"/>
    <x v="4"/>
    <x v="4"/>
    <n v="4083956555"/>
    <n v="1425084984"/>
    <n v="618"/>
    <n v="82"/>
    <n v="700"/>
    <n v="2394"/>
    <n v="3094"/>
    <n v="32"/>
    <n v="99"/>
    <n v="415"/>
    <n v="260"/>
    <n v="3769"/>
    <n v="38094"/>
  </r>
  <r>
    <x v="50"/>
    <s v="ITA"/>
    <x v="5"/>
    <x v="5"/>
    <n v="4449436681"/>
    <n v="113417208"/>
    <n v="3473"/>
    <n v="328"/>
    <n v="3801"/>
    <n v="9977"/>
    <n v="13778"/>
    <n v="-40"/>
    <n v="312"/>
    <n v="4269"/>
    <n v="2705"/>
    <n v="20752"/>
    <n v="101896"/>
  </r>
  <r>
    <x v="50"/>
    <s v="ITA"/>
    <x v="6"/>
    <x v="6"/>
    <n v="456494354"/>
    <n v="1376813649"/>
    <n v="166"/>
    <n v="28"/>
    <n v="194"/>
    <n v="705"/>
    <n v="899"/>
    <n v="-408"/>
    <n v="38"/>
    <n v="1415"/>
    <n v="206"/>
    <n v="2520"/>
    <n v="31764"/>
  </r>
  <r>
    <x v="50"/>
    <s v="ITA"/>
    <x v="7"/>
    <x v="7"/>
    <n v="4189277044"/>
    <n v="1248366722"/>
    <n v="1344"/>
    <n v="199"/>
    <n v="1543"/>
    <n v="2479"/>
    <n v="4022"/>
    <n v="102"/>
    <n v="143"/>
    <n v="789"/>
    <n v="300"/>
    <n v="5111"/>
    <n v="74650"/>
  </r>
  <r>
    <x v="50"/>
    <s v="ITA"/>
    <x v="8"/>
    <x v="8"/>
    <n v="4441149315"/>
    <n v="89326992"/>
    <n v="967"/>
    <n v="133"/>
    <n v="1100"/>
    <n v="2366"/>
    <n v="3466"/>
    <n v="101"/>
    <n v="212"/>
    <n v="1549"/>
    <n v="793"/>
    <n v="5808"/>
    <n v="24446"/>
  </r>
  <r>
    <x v="50"/>
    <s v="ITA"/>
    <x v="9"/>
    <x v="9"/>
    <n v="4546679409"/>
    <n v="9190347404"/>
    <n v="12077"/>
    <n v="1122"/>
    <n v="13199"/>
    <n v="19164"/>
    <n v="32363"/>
    <n v="428"/>
    <n v="1012"/>
    <n v="17821"/>
    <n v="11142"/>
    <n v="61326"/>
    <n v="214870"/>
  </r>
  <r>
    <x v="50"/>
    <s v="ITA"/>
    <x v="10"/>
    <x v="10"/>
    <n v="4361675973"/>
    <n v="135188753"/>
    <n v="937"/>
    <n v="106"/>
    <n v="1043"/>
    <n v="2052"/>
    <n v="3095"/>
    <n v="15"/>
    <n v="45"/>
    <n v="1603"/>
    <n v="728"/>
    <n v="5426"/>
    <n v="29160"/>
  </r>
  <r>
    <x v="50"/>
    <s v="ITA"/>
    <x v="11"/>
    <x v="11"/>
    <n v="4155774754"/>
    <n v="1465916051"/>
    <n v="26"/>
    <n v="4"/>
    <n v="30"/>
    <n v="170"/>
    <n v="200"/>
    <n v="-2"/>
    <n v="0"/>
    <n v="42"/>
    <n v="15"/>
    <n v="257"/>
    <n v="2522"/>
  </r>
  <r>
    <x v="50"/>
    <s v="ITA"/>
    <x v="12"/>
    <x v="12"/>
    <n v="450732745"/>
    <n v="7680687483"/>
    <n v="3395"/>
    <n v="367"/>
    <n v="3762"/>
    <n v="9293"/>
    <n v="13055"/>
    <n v="290"/>
    <n v="556"/>
    <n v="2708"/>
    <n v="1927"/>
    <n v="17690"/>
    <n v="71678"/>
  </r>
  <r>
    <x v="50"/>
    <s v="ITA"/>
    <x v="13"/>
    <x v="13"/>
    <n v="4112559576"/>
    <n v="1686736689"/>
    <n v="611"/>
    <n v="62"/>
    <n v="673"/>
    <n v="1879"/>
    <n v="2552"/>
    <n v="40"/>
    <n v="53"/>
    <n v="288"/>
    <n v="278"/>
    <n v="3118"/>
    <n v="33071"/>
  </r>
  <r>
    <x v="50"/>
    <s v="ITA"/>
    <x v="14"/>
    <x v="14"/>
    <n v="3921531192"/>
    <n v="9110616306"/>
    <n v="107"/>
    <n v="24"/>
    <n v="131"/>
    <n v="769"/>
    <n v="900"/>
    <n v="-14"/>
    <n v="10"/>
    <n v="158"/>
    <n v="80"/>
    <n v="1138"/>
    <n v="11893"/>
  </r>
  <r>
    <x v="50"/>
    <s v="ITA"/>
    <x v="15"/>
    <x v="15"/>
    <n v="3811569725"/>
    <n v="133623567"/>
    <n v="552"/>
    <n v="53"/>
    <n v="605"/>
    <n v="1466"/>
    <n v="2071"/>
    <n v="21"/>
    <n v="43"/>
    <n v="255"/>
    <n v="175"/>
    <n v="2501"/>
    <n v="37877"/>
  </r>
  <r>
    <x v="50"/>
    <s v="ITA"/>
    <x v="16"/>
    <x v="16"/>
    <n v="4376923077"/>
    <n v="1125588885"/>
    <n v="1002"/>
    <n v="225"/>
    <n v="1227"/>
    <n v="5125"/>
    <n v="6352"/>
    <n v="95"/>
    <n v="137"/>
    <n v="637"/>
    <n v="538"/>
    <n v="7527"/>
    <n v="82269"/>
  </r>
  <r>
    <x v="50"/>
    <s v="ITA"/>
    <x v="2"/>
    <x v="17"/>
    <n v="4606893511"/>
    <n v="1112123097"/>
    <n v="325"/>
    <n v="54"/>
    <n v="379"/>
    <n v="1703"/>
    <n v="2082"/>
    <n v="2"/>
    <n v="15"/>
    <n v="749"/>
    <n v="310"/>
    <n v="3141"/>
    <n v="18774"/>
  </r>
  <r>
    <x v="50"/>
    <s v="ITA"/>
    <x v="17"/>
    <x v="18"/>
    <n v="4310675841"/>
    <n v="1238824698"/>
    <n v="127"/>
    <n v="37"/>
    <n v="164"/>
    <n v="458"/>
    <n v="622"/>
    <n v="-3"/>
    <n v="1"/>
    <n v="646"/>
    <n v="53"/>
    <n v="1321"/>
    <n v="18956"/>
  </r>
  <r>
    <x v="50"/>
    <s v="ITA"/>
    <x v="18"/>
    <x v="19"/>
    <n v="4573750286"/>
    <n v="7320149366"/>
    <n v="112"/>
    <n v="14"/>
    <n v="126"/>
    <n v="433"/>
    <n v="559"/>
    <n v="-23"/>
    <n v="20"/>
    <n v="270"/>
    <n v="118"/>
    <n v="947"/>
    <n v="3726"/>
  </r>
  <r>
    <x v="50"/>
    <s v="ITA"/>
    <x v="19"/>
    <x v="20"/>
    <n v="4543490485"/>
    <n v="1233845213"/>
    <n v="1427"/>
    <n v="233"/>
    <n v="1660"/>
    <n v="9076"/>
    <n v="10736"/>
    <n v="-30"/>
    <n v="181"/>
    <n v="2790"/>
    <n v="906"/>
    <n v="14432"/>
    <n v="208878"/>
  </r>
  <r>
    <x v="51"/>
    <s v="ITA"/>
    <x v="0"/>
    <x v="0"/>
    <n v="4235122196"/>
    <n v="1339843823"/>
    <n v="341"/>
    <n v="44"/>
    <n v="385"/>
    <n v="1425"/>
    <n v="1810"/>
    <n v="10"/>
    <n v="29"/>
    <n v="224"/>
    <n v="240"/>
    <n v="2274"/>
    <n v="22500"/>
  </r>
  <r>
    <x v="51"/>
    <s v="ITA"/>
    <x v="1"/>
    <x v="1"/>
    <n v="4063947052"/>
    <n v="1580514834"/>
    <n v="60"/>
    <n v="12"/>
    <n v="72"/>
    <n v="189"/>
    <n v="261"/>
    <n v="-4"/>
    <n v="1"/>
    <n v="38"/>
    <n v="21"/>
    <n v="320"/>
    <n v="5037"/>
  </r>
  <r>
    <x v="51"/>
    <s v="ITA"/>
    <x v="2"/>
    <x v="2"/>
    <n v="4649933453"/>
    <n v="1135662422"/>
    <n v="166"/>
    <n v="32"/>
    <n v="198"/>
    <n v="1378"/>
    <n v="1576"/>
    <n v="12"/>
    <n v="40"/>
    <n v="425"/>
    <n v="223"/>
    <n v="2224"/>
    <n v="25370"/>
  </r>
  <r>
    <x v="51"/>
    <s v="ITA"/>
    <x v="3"/>
    <x v="3"/>
    <n v="3890597598"/>
    <n v="1659440194"/>
    <n v="156"/>
    <n v="11"/>
    <n v="167"/>
    <n v="652"/>
    <n v="819"/>
    <n v="3"/>
    <n v="15"/>
    <n v="81"/>
    <n v="71"/>
    <n v="971"/>
    <n v="19662"/>
  </r>
  <r>
    <x v="51"/>
    <s v="ITA"/>
    <x v="4"/>
    <x v="4"/>
    <n v="4083956555"/>
    <n v="1425084984"/>
    <n v="607"/>
    <n v="86"/>
    <n v="693"/>
    <n v="2394"/>
    <n v="3087"/>
    <n v="-7"/>
    <n v="38"/>
    <n v="442"/>
    <n v="278"/>
    <n v="3807"/>
    <n v="39534"/>
  </r>
  <r>
    <x v="51"/>
    <s v="ITA"/>
    <x v="5"/>
    <x v="5"/>
    <n v="4449436681"/>
    <n v="113417208"/>
    <n v="3388"/>
    <n v="325"/>
    <n v="3713"/>
    <n v="9864"/>
    <n v="13577"/>
    <n v="-201"/>
    <n v="277"/>
    <n v="4664"/>
    <n v="2788"/>
    <n v="21029"/>
    <n v="106149"/>
  </r>
  <r>
    <x v="51"/>
    <s v="ITA"/>
    <x v="6"/>
    <x v="6"/>
    <n v="456494354"/>
    <n v="1376813649"/>
    <n v="163"/>
    <n v="24"/>
    <n v="187"/>
    <n v="1207"/>
    <n v="1394"/>
    <n v="495"/>
    <n v="24"/>
    <n v="938"/>
    <n v="212"/>
    <n v="2544"/>
    <n v="33800"/>
  </r>
  <r>
    <x v="51"/>
    <s v="ITA"/>
    <x v="7"/>
    <x v="7"/>
    <n v="4189277044"/>
    <n v="1248366722"/>
    <n v="1342"/>
    <n v="196"/>
    <n v="1538"/>
    <n v="2509"/>
    <n v="4047"/>
    <n v="25"/>
    <n v="121"/>
    <n v="874"/>
    <n v="311"/>
    <n v="5232"/>
    <n v="75584"/>
  </r>
  <r>
    <x v="51"/>
    <s v="ITA"/>
    <x v="8"/>
    <x v="8"/>
    <n v="4441149315"/>
    <n v="89326992"/>
    <n v="959"/>
    <n v="120"/>
    <n v="1079"/>
    <n v="2385"/>
    <n v="3464"/>
    <n v="-2"/>
    <n v="128"/>
    <n v="1665"/>
    <n v="807"/>
    <n v="5936"/>
    <n v="25793"/>
  </r>
  <r>
    <x v="51"/>
    <s v="ITA"/>
    <x v="9"/>
    <x v="9"/>
    <n v="4546679409"/>
    <n v="9190347404"/>
    <n v="12043"/>
    <n v="1074"/>
    <n v="13117"/>
    <n v="19804"/>
    <n v="32921"/>
    <n v="558"/>
    <n v="827"/>
    <n v="17855"/>
    <n v="11377"/>
    <n v="62153"/>
    <n v="221968"/>
  </r>
  <r>
    <x v="51"/>
    <s v="ITA"/>
    <x v="10"/>
    <x v="10"/>
    <n v="4361675973"/>
    <n v="135188753"/>
    <n v="888"/>
    <n v="106"/>
    <n v="994"/>
    <n v="2103"/>
    <n v="3097"/>
    <n v="2"/>
    <n v="77"/>
    <n v="1660"/>
    <n v="746"/>
    <n v="5503"/>
    <n v="30329"/>
  </r>
  <r>
    <x v="51"/>
    <s v="ITA"/>
    <x v="11"/>
    <x v="11"/>
    <n v="4155774754"/>
    <n v="1465916051"/>
    <n v="27"/>
    <n v="4"/>
    <n v="31"/>
    <n v="175"/>
    <n v="206"/>
    <n v="6"/>
    <n v="6"/>
    <n v="42"/>
    <n v="15"/>
    <n v="263"/>
    <n v="2855"/>
  </r>
  <r>
    <x v="51"/>
    <s v="ITA"/>
    <x v="12"/>
    <x v="12"/>
    <n v="450732745"/>
    <n v="7680687483"/>
    <n v="3338"/>
    <n v="366"/>
    <n v="3704"/>
    <n v="9491"/>
    <n v="13195"/>
    <n v="140"/>
    <n v="539"/>
    <n v="3019"/>
    <n v="2015"/>
    <n v="18229"/>
    <n v="75664"/>
  </r>
  <r>
    <x v="51"/>
    <s v="ITA"/>
    <x v="13"/>
    <x v="13"/>
    <n v="4112559576"/>
    <n v="1686736689"/>
    <n v="592"/>
    <n v="73"/>
    <n v="665"/>
    <n v="1908"/>
    <n v="2573"/>
    <n v="21"/>
    <n v="66"/>
    <n v="323"/>
    <n v="288"/>
    <n v="3184"/>
    <n v="34518"/>
  </r>
  <r>
    <x v="51"/>
    <s v="ITA"/>
    <x v="14"/>
    <x v="14"/>
    <n v="3921531192"/>
    <n v="9110616306"/>
    <n v="107"/>
    <n v="26"/>
    <n v="133"/>
    <n v="737"/>
    <n v="870"/>
    <n v="-30"/>
    <n v="23"/>
    <n v="208"/>
    <n v="83"/>
    <n v="1161"/>
    <n v="12395"/>
  </r>
  <r>
    <x v="51"/>
    <s v="ITA"/>
    <x v="15"/>
    <x v="15"/>
    <n v="3811569725"/>
    <n v="133623567"/>
    <n v="541"/>
    <n v="49"/>
    <n v="590"/>
    <n v="1491"/>
    <n v="2081"/>
    <n v="10"/>
    <n v="34"/>
    <n v="273"/>
    <n v="181"/>
    <n v="2535"/>
    <n v="39867"/>
  </r>
  <r>
    <x v="51"/>
    <s v="ITA"/>
    <x v="16"/>
    <x v="16"/>
    <n v="4376923077"/>
    <n v="1125588885"/>
    <n v="977"/>
    <n v="216"/>
    <n v="1193"/>
    <n v="5224"/>
    <n v="6417"/>
    <n v="65"/>
    <n v="139"/>
    <n v="693"/>
    <n v="556"/>
    <n v="7666"/>
    <n v="86348"/>
  </r>
  <r>
    <x v="51"/>
    <s v="ITA"/>
    <x v="2"/>
    <x v="17"/>
    <n v="4606893511"/>
    <n v="1112123097"/>
    <n v="312"/>
    <n v="48"/>
    <n v="360"/>
    <n v="1744"/>
    <n v="2104"/>
    <n v="22"/>
    <n v="79"/>
    <n v="798"/>
    <n v="318"/>
    <n v="3220"/>
    <n v="19535"/>
  </r>
  <r>
    <x v="51"/>
    <s v="ITA"/>
    <x v="17"/>
    <x v="18"/>
    <n v="4310675841"/>
    <n v="1238824698"/>
    <n v="122"/>
    <n v="37"/>
    <n v="159"/>
    <n v="423"/>
    <n v="582"/>
    <n v="-40"/>
    <n v="1"/>
    <n v="686"/>
    <n v="54"/>
    <n v="1322"/>
    <n v="20258"/>
  </r>
  <r>
    <x v="51"/>
    <s v="ITA"/>
    <x v="18"/>
    <x v="19"/>
    <n v="4573750286"/>
    <n v="7320149366"/>
    <n v="112"/>
    <n v="11"/>
    <n v="123"/>
    <n v="425"/>
    <n v="548"/>
    <n v="-11"/>
    <n v="11"/>
    <n v="289"/>
    <n v="121"/>
    <n v="958"/>
    <n v="3894"/>
  </r>
  <r>
    <x v="51"/>
    <s v="ITA"/>
    <x v="19"/>
    <x v="20"/>
    <n v="4543490485"/>
    <n v="1233845213"/>
    <n v="1402"/>
    <n v="219"/>
    <n v="1621"/>
    <n v="9168"/>
    <n v="10789"/>
    <n v="53"/>
    <n v="192"/>
    <n v="2895"/>
    <n v="940"/>
    <n v="14624"/>
    <n v="216344"/>
  </r>
  <r>
    <x v="52"/>
    <s v="ITA"/>
    <x v="0"/>
    <x v="0"/>
    <n v="4235122196"/>
    <n v="1339843823"/>
    <n v="324"/>
    <n v="42"/>
    <n v="366"/>
    <n v="1484"/>
    <n v="1850"/>
    <n v="40"/>
    <n v="72"/>
    <n v="253"/>
    <n v="243"/>
    <n v="2346"/>
    <n v="23786"/>
  </r>
  <r>
    <x v="52"/>
    <s v="ITA"/>
    <x v="1"/>
    <x v="1"/>
    <n v="4063947052"/>
    <n v="1580514834"/>
    <n v="60"/>
    <n v="9"/>
    <n v="69"/>
    <n v="204"/>
    <n v="273"/>
    <n v="12"/>
    <n v="16"/>
    <n v="41"/>
    <n v="22"/>
    <n v="336"/>
    <n v="5349"/>
  </r>
  <r>
    <x v="52"/>
    <s v="ITA"/>
    <x v="2"/>
    <x v="2"/>
    <n v="4649933453"/>
    <n v="1135662422"/>
    <n v="180"/>
    <n v="34"/>
    <n v="214"/>
    <n v="1379"/>
    <n v="1593"/>
    <n v="17"/>
    <n v="43"/>
    <n v="449"/>
    <n v="225"/>
    <n v="2267"/>
    <n v="26416"/>
  </r>
  <r>
    <x v="52"/>
    <s v="ITA"/>
    <x v="3"/>
    <x v="3"/>
    <n v="3890597598"/>
    <n v="1659440194"/>
    <n v="157"/>
    <n v="9"/>
    <n v="166"/>
    <n v="681"/>
    <n v="847"/>
    <n v="28"/>
    <n v="38"/>
    <n v="90"/>
    <n v="72"/>
    <n v="1009"/>
    <n v="20642"/>
  </r>
  <r>
    <x v="52"/>
    <s v="ITA"/>
    <x v="4"/>
    <x v="4"/>
    <n v="4083956555"/>
    <n v="1425084984"/>
    <n v="618"/>
    <n v="76"/>
    <n v="694"/>
    <n v="2424"/>
    <n v="3118"/>
    <n v="31"/>
    <n v="80"/>
    <n v="483"/>
    <n v="286"/>
    <n v="3887"/>
    <n v="41296"/>
  </r>
  <r>
    <x v="52"/>
    <s v="ITA"/>
    <x v="5"/>
    <x v="5"/>
    <n v="4449436681"/>
    <n v="113417208"/>
    <n v="3360"/>
    <n v="316"/>
    <n v="3676"/>
    <n v="9987"/>
    <n v="13663"/>
    <n v="86"/>
    <n v="457"/>
    <n v="4980"/>
    <n v="2843"/>
    <n v="21486"/>
    <n v="112105"/>
  </r>
  <r>
    <x v="52"/>
    <s v="ITA"/>
    <x v="6"/>
    <x v="6"/>
    <n v="456494354"/>
    <n v="1376813649"/>
    <n v="159"/>
    <n v="26"/>
    <n v="185"/>
    <n v="1145"/>
    <n v="1330"/>
    <n v="-64"/>
    <n v="72"/>
    <n v="1069"/>
    <n v="217"/>
    <n v="2616"/>
    <n v="35766"/>
  </r>
  <r>
    <x v="52"/>
    <s v="ITA"/>
    <x v="7"/>
    <x v="7"/>
    <n v="4189277044"/>
    <n v="1248366722"/>
    <n v="1347"/>
    <n v="197"/>
    <n v="1544"/>
    <n v="2600"/>
    <n v="4144"/>
    <n v="97"/>
    <n v="148"/>
    <n v="920"/>
    <n v="316"/>
    <n v="5380"/>
    <n v="81993"/>
  </r>
  <r>
    <x v="52"/>
    <s v="ITA"/>
    <x v="8"/>
    <x v="8"/>
    <n v="4441149315"/>
    <n v="89326992"/>
    <n v="957"/>
    <n v="103"/>
    <n v="1060"/>
    <n v="2377"/>
    <n v="3437"/>
    <n v="-27"/>
    <n v="103"/>
    <n v="1774"/>
    <n v="828"/>
    <n v="6039"/>
    <n v="26945"/>
  </r>
  <r>
    <x v="52"/>
    <s v="ITA"/>
    <x v="9"/>
    <x v="9"/>
    <n v="4546679409"/>
    <n v="9190347404"/>
    <n v="11356"/>
    <n v="1032"/>
    <n v="12388"/>
    <n v="20702"/>
    <n v="33090"/>
    <n v="169"/>
    <n v="941"/>
    <n v="18396"/>
    <n v="11608"/>
    <n v="63094"/>
    <n v="232674"/>
  </r>
  <r>
    <x v="52"/>
    <s v="ITA"/>
    <x v="10"/>
    <x v="10"/>
    <n v="4361675973"/>
    <n v="135188753"/>
    <n v="850"/>
    <n v="102"/>
    <n v="952"/>
    <n v="2172"/>
    <n v="3124"/>
    <n v="27"/>
    <n v="79"/>
    <n v="1694"/>
    <n v="764"/>
    <n v="5582"/>
    <n v="33778"/>
  </r>
  <r>
    <x v="52"/>
    <s v="ITA"/>
    <x v="11"/>
    <x v="11"/>
    <n v="4155774754"/>
    <n v="1465916051"/>
    <n v="25"/>
    <n v="4"/>
    <n v="29"/>
    <n v="174"/>
    <n v="203"/>
    <n v="-3"/>
    <n v="0"/>
    <n v="44"/>
    <n v="16"/>
    <n v="263"/>
    <n v="2967"/>
  </r>
  <r>
    <x v="52"/>
    <s v="ITA"/>
    <x v="12"/>
    <x v="12"/>
    <n v="450732745"/>
    <n v="7680687483"/>
    <n v="3418"/>
    <n v="346"/>
    <n v="3764"/>
    <n v="10019"/>
    <n v="13783"/>
    <n v="588"/>
    <n v="879"/>
    <n v="3231"/>
    <n v="2094"/>
    <n v="19108"/>
    <n v="80708"/>
  </r>
  <r>
    <x v="52"/>
    <s v="ITA"/>
    <x v="13"/>
    <x v="13"/>
    <n v="4112559576"/>
    <n v="1686736689"/>
    <n v="603"/>
    <n v="58"/>
    <n v="661"/>
    <n v="1964"/>
    <n v="2625"/>
    <n v="52"/>
    <n v="74"/>
    <n v="334"/>
    <n v="299"/>
    <n v="3258"/>
    <n v="36158"/>
  </r>
  <r>
    <x v="52"/>
    <s v="ITA"/>
    <x v="14"/>
    <x v="14"/>
    <n v="3921531192"/>
    <n v="9110616306"/>
    <n v="109"/>
    <n v="24"/>
    <n v="133"/>
    <n v="732"/>
    <n v="865"/>
    <n v="-5"/>
    <n v="3"/>
    <n v="214"/>
    <n v="85"/>
    <n v="1164"/>
    <n v="12796"/>
  </r>
  <r>
    <x v="52"/>
    <s v="ITA"/>
    <x v="15"/>
    <x v="15"/>
    <n v="3811569725"/>
    <n v="133623567"/>
    <n v="525"/>
    <n v="48"/>
    <n v="573"/>
    <n v="1535"/>
    <n v="2108"/>
    <n v="27"/>
    <n v="44"/>
    <n v="284"/>
    <n v="187"/>
    <n v="2579"/>
    <n v="42405"/>
  </r>
  <r>
    <x v="52"/>
    <s v="ITA"/>
    <x v="16"/>
    <x v="16"/>
    <n v="4376923077"/>
    <n v="1125588885"/>
    <n v="940"/>
    <n v="213"/>
    <n v="1153"/>
    <n v="5460"/>
    <n v="6613"/>
    <n v="196"/>
    <n v="277"/>
    <n v="745"/>
    <n v="585"/>
    <n v="7943"/>
    <n v="91651"/>
  </r>
  <r>
    <x v="52"/>
    <s v="ITA"/>
    <x v="2"/>
    <x v="17"/>
    <n v="4606893511"/>
    <n v="1112123097"/>
    <n v="296"/>
    <n v="43"/>
    <n v="339"/>
    <n v="1748"/>
    <n v="2087"/>
    <n v="-17"/>
    <n v="74"/>
    <n v="885"/>
    <n v="322"/>
    <n v="3294"/>
    <n v="20773"/>
  </r>
  <r>
    <x v="52"/>
    <s v="ITA"/>
    <x v="17"/>
    <x v="18"/>
    <n v="4310675841"/>
    <n v="1238824698"/>
    <n v="116"/>
    <n v="33"/>
    <n v="149"/>
    <n v="387"/>
    <n v="536"/>
    <n v="-46"/>
    <n v="7"/>
    <n v="738"/>
    <n v="55"/>
    <n v="1329"/>
    <n v="21487"/>
  </r>
  <r>
    <x v="52"/>
    <s v="ITA"/>
    <x v="18"/>
    <x v="19"/>
    <n v="4573750286"/>
    <n v="7320149366"/>
    <n v="105"/>
    <n v="12"/>
    <n v="117"/>
    <n v="401"/>
    <n v="518"/>
    <n v="-30"/>
    <n v="13"/>
    <n v="331"/>
    <n v="122"/>
    <n v="971"/>
    <n v="4159"/>
  </r>
  <r>
    <x v="52"/>
    <s v="ITA"/>
    <x v="19"/>
    <x v="20"/>
    <n v="4543490485"/>
    <n v="1233845213"/>
    <n v="1388"/>
    <n v="209"/>
    <n v="1597"/>
    <n v="9203"/>
    <n v="10800"/>
    <n v="11"/>
    <n v="366"/>
    <n v="3209"/>
    <n v="981"/>
    <n v="14990"/>
    <n v="224549"/>
  </r>
  <r>
    <x v="53"/>
    <s v="ITA"/>
    <x v="0"/>
    <x v="0"/>
    <n v="4235122196"/>
    <n v="1339843823"/>
    <n v="319"/>
    <n v="43"/>
    <n v="362"/>
    <n v="1580"/>
    <n v="1942"/>
    <n v="92"/>
    <n v="97"/>
    <n v="255"/>
    <n v="246"/>
    <n v="2443"/>
    <n v="25436"/>
  </r>
  <r>
    <x v="53"/>
    <s v="ITA"/>
    <x v="1"/>
    <x v="1"/>
    <n v="4063947052"/>
    <n v="1580514834"/>
    <n v="59"/>
    <n v="9"/>
    <n v="68"/>
    <n v="198"/>
    <n v="266"/>
    <n v="-7"/>
    <n v="1"/>
    <n v="49"/>
    <n v="22"/>
    <n v="337"/>
    <n v="5710"/>
  </r>
  <r>
    <x v="53"/>
    <s v="ITA"/>
    <x v="2"/>
    <x v="2"/>
    <n v="4649933453"/>
    <n v="1135662422"/>
    <n v="181"/>
    <n v="32"/>
    <n v="213"/>
    <n v="1369"/>
    <n v="1582"/>
    <n v="-11"/>
    <n v="29"/>
    <n v="480"/>
    <n v="234"/>
    <n v="2296"/>
    <n v="27698"/>
  </r>
  <r>
    <x v="53"/>
    <s v="ITA"/>
    <x v="3"/>
    <x v="3"/>
    <n v="3890597598"/>
    <n v="1659440194"/>
    <n v="154"/>
    <n v="7"/>
    <n v="161"/>
    <n v="658"/>
    <n v="819"/>
    <n v="-28"/>
    <n v="-18"/>
    <n v="99"/>
    <n v="73"/>
    <n v="991"/>
    <n v="21657"/>
  </r>
  <r>
    <x v="53"/>
    <s v="ITA"/>
    <x v="4"/>
    <x v="4"/>
    <n v="4083956555"/>
    <n v="1425084984"/>
    <n v="622"/>
    <n v="76"/>
    <n v="698"/>
    <n v="2329"/>
    <n v="3027"/>
    <n v="-91"/>
    <n v="64"/>
    <n v="631"/>
    <n v="293"/>
    <n v="3951"/>
    <n v="43697"/>
  </r>
  <r>
    <x v="53"/>
    <s v="ITA"/>
    <x v="5"/>
    <x v="5"/>
    <n v="4449436681"/>
    <n v="113417208"/>
    <n v="3330"/>
    <n v="309"/>
    <n v="3639"/>
    <n v="9946"/>
    <n v="13585"/>
    <n v="-78"/>
    <n v="348"/>
    <n v="5346"/>
    <n v="2903"/>
    <n v="21834"/>
    <n v="116826"/>
  </r>
  <r>
    <x v="53"/>
    <s v="ITA"/>
    <x v="6"/>
    <x v="6"/>
    <n v="456494354"/>
    <n v="1376813649"/>
    <n v="148"/>
    <n v="23"/>
    <n v="171"/>
    <n v="1257"/>
    <n v="1428"/>
    <n v="98"/>
    <n v="59"/>
    <n v="1027"/>
    <n v="220"/>
    <n v="2675"/>
    <n v="40030"/>
  </r>
  <r>
    <x v="53"/>
    <s v="ITA"/>
    <x v="7"/>
    <x v="7"/>
    <n v="4189277044"/>
    <n v="1248366722"/>
    <n v="1332"/>
    <n v="187"/>
    <n v="1519"/>
    <n v="2695"/>
    <n v="4214"/>
    <n v="70"/>
    <n v="144"/>
    <n v="978"/>
    <n v="332"/>
    <n v="5524"/>
    <n v="84755"/>
  </r>
  <r>
    <x v="53"/>
    <s v="ITA"/>
    <x v="8"/>
    <x v="8"/>
    <n v="4441149315"/>
    <n v="89326992"/>
    <n v="897"/>
    <n v="105"/>
    <n v="1002"/>
    <n v="2457"/>
    <n v="3459"/>
    <n v="22"/>
    <n v="149"/>
    <n v="1863"/>
    <n v="866"/>
    <n v="6188"/>
    <n v="28181"/>
  </r>
  <r>
    <x v="53"/>
    <s v="ITA"/>
    <x v="9"/>
    <x v="9"/>
    <n v="4546679409"/>
    <n v="9190347404"/>
    <n v="10627"/>
    <n v="971"/>
    <n v="11598"/>
    <n v="21836"/>
    <n v="33434"/>
    <n v="344"/>
    <n v="1041"/>
    <n v="18850"/>
    <n v="11851"/>
    <n v="64135"/>
    <n v="243513"/>
  </r>
  <r>
    <x v="53"/>
    <s v="ITA"/>
    <x v="10"/>
    <x v="10"/>
    <n v="4361675973"/>
    <n v="135188753"/>
    <n v="839"/>
    <n v="94"/>
    <n v="933"/>
    <n v="2224"/>
    <n v="3157"/>
    <n v="33"/>
    <n v="86"/>
    <n v="1726"/>
    <n v="785"/>
    <n v="5668"/>
    <n v="37997"/>
  </r>
  <r>
    <x v="53"/>
    <s v="ITA"/>
    <x v="11"/>
    <x v="11"/>
    <n v="4155774754"/>
    <n v="1465916051"/>
    <n v="26"/>
    <n v="4"/>
    <n v="30"/>
    <n v="178"/>
    <n v="208"/>
    <n v="5"/>
    <n v="6"/>
    <n v="45"/>
    <n v="16"/>
    <n v="269"/>
    <n v="3082"/>
  </r>
  <r>
    <x v="53"/>
    <s v="ITA"/>
    <x v="12"/>
    <x v="12"/>
    <n v="450732745"/>
    <n v="7680687483"/>
    <n v="3266"/>
    <n v="333"/>
    <n v="3599"/>
    <n v="10399"/>
    <n v="13998"/>
    <n v="215"/>
    <n v="695"/>
    <n v="3634"/>
    <n v="2171"/>
    <n v="19803"/>
    <n v="86714"/>
  </r>
  <r>
    <x v="53"/>
    <s v="ITA"/>
    <x v="13"/>
    <x v="13"/>
    <n v="4112559576"/>
    <n v="1686736689"/>
    <n v="590"/>
    <n v="62"/>
    <n v="652"/>
    <n v="2004"/>
    <n v="2656"/>
    <n v="31"/>
    <n v="69"/>
    <n v="364"/>
    <n v="307"/>
    <n v="3327"/>
    <n v="38278"/>
  </r>
  <r>
    <x v="53"/>
    <s v="ITA"/>
    <x v="14"/>
    <x v="14"/>
    <n v="3921531192"/>
    <n v="9110616306"/>
    <n v="113"/>
    <n v="23"/>
    <n v="136"/>
    <n v="736"/>
    <n v="872"/>
    <n v="7"/>
    <n v="14"/>
    <n v="220"/>
    <n v="86"/>
    <n v="1178"/>
    <n v="13304"/>
  </r>
  <r>
    <x v="53"/>
    <s v="ITA"/>
    <x v="15"/>
    <x v="15"/>
    <n v="3811569725"/>
    <n v="133623567"/>
    <n v="521"/>
    <n v="46"/>
    <n v="567"/>
    <n v="1572"/>
    <n v="2139"/>
    <n v="31"/>
    <n v="46"/>
    <n v="296"/>
    <n v="190"/>
    <n v="2625"/>
    <n v="45172"/>
  </r>
  <r>
    <x v="53"/>
    <s v="ITA"/>
    <x v="16"/>
    <x v="16"/>
    <n v="4376923077"/>
    <n v="1125588885"/>
    <n v="898"/>
    <n v="207"/>
    <n v="1105"/>
    <n v="5478"/>
    <n v="6583"/>
    <n v="-30"/>
    <n v="167"/>
    <n v="925"/>
    <n v="602"/>
    <n v="8110"/>
    <n v="96231"/>
  </r>
  <r>
    <x v="53"/>
    <s v="ITA"/>
    <x v="2"/>
    <x v="17"/>
    <n v="4606893511"/>
    <n v="1112123097"/>
    <n v="286"/>
    <n v="44"/>
    <n v="330"/>
    <n v="1660"/>
    <n v="1990"/>
    <n v="-97"/>
    <n v="82"/>
    <n v="1044"/>
    <n v="342"/>
    <n v="3376"/>
    <n v="21921"/>
  </r>
  <r>
    <x v="53"/>
    <s v="ITA"/>
    <x v="17"/>
    <x v="18"/>
    <n v="4310675841"/>
    <n v="1238824698"/>
    <n v="111"/>
    <n v="31"/>
    <n v="142"/>
    <n v="352"/>
    <n v="494"/>
    <n v="-42"/>
    <n v="8"/>
    <n v="786"/>
    <n v="57"/>
    <n v="1337"/>
    <n v="22818"/>
  </r>
  <r>
    <x v="53"/>
    <s v="ITA"/>
    <x v="18"/>
    <x v="19"/>
    <n v="4573750286"/>
    <n v="7320149366"/>
    <n v="108"/>
    <n v="9"/>
    <n v="117"/>
    <n v="374"/>
    <n v="491"/>
    <n v="-27"/>
    <n v="22"/>
    <n v="379"/>
    <n v="123"/>
    <n v="993"/>
    <n v="4366"/>
  </r>
  <r>
    <x v="53"/>
    <s v="ITA"/>
    <x v="19"/>
    <x v="20"/>
    <n v="4543490485"/>
    <n v="1233845213"/>
    <n v="1359"/>
    <n v="197"/>
    <n v="1556"/>
    <n v="9062"/>
    <n v="10618"/>
    <n v="-182"/>
    <n v="384"/>
    <n v="3730"/>
    <n v="1026"/>
    <n v="15374"/>
    <n v="236722"/>
  </r>
  <r>
    <x v="54"/>
    <s v="ITA"/>
    <x v="0"/>
    <x v="0"/>
    <n v="4235122196"/>
    <n v="1339843823"/>
    <n v="321"/>
    <n v="41"/>
    <n v="362"/>
    <n v="1609"/>
    <n v="1971"/>
    <n v="29"/>
    <n v="44"/>
    <n v="263"/>
    <n v="253"/>
    <n v="2487"/>
    <n v="27016"/>
  </r>
  <r>
    <x v="54"/>
    <s v="ITA"/>
    <x v="1"/>
    <x v="1"/>
    <n v="4063947052"/>
    <n v="1580514834"/>
    <n v="60"/>
    <n v="8"/>
    <n v="68"/>
    <n v="194"/>
    <n v="262"/>
    <n v="-4"/>
    <n v="2"/>
    <n v="54"/>
    <n v="23"/>
    <n v="339"/>
    <n v="6056"/>
  </r>
  <r>
    <x v="54"/>
    <s v="ITA"/>
    <x v="2"/>
    <x v="2"/>
    <n v="4649933453"/>
    <n v="1135662422"/>
    <n v="179"/>
    <n v="28"/>
    <n v="207"/>
    <n v="1349"/>
    <n v="1556"/>
    <n v="-26"/>
    <n v="29"/>
    <n v="530"/>
    <n v="239"/>
    <n v="2325"/>
    <n v="28888"/>
  </r>
  <r>
    <x v="54"/>
    <s v="ITA"/>
    <x v="3"/>
    <x v="3"/>
    <n v="3890597598"/>
    <n v="1659440194"/>
    <n v="152"/>
    <n v="7"/>
    <n v="159"/>
    <n v="673"/>
    <n v="832"/>
    <n v="13"/>
    <n v="20"/>
    <n v="106"/>
    <n v="73"/>
    <n v="1011"/>
    <n v="22794"/>
  </r>
  <r>
    <x v="54"/>
    <s v="ITA"/>
    <x v="4"/>
    <x v="4"/>
    <n v="4083956555"/>
    <n v="1425084984"/>
    <n v="605"/>
    <n v="76"/>
    <n v="681"/>
    <n v="2364"/>
    <n v="3045"/>
    <n v="18"/>
    <n v="37"/>
    <n v="643"/>
    <n v="300"/>
    <n v="3988"/>
    <n v="46294"/>
  </r>
  <r>
    <x v="54"/>
    <s v="ITA"/>
    <x v="5"/>
    <x v="5"/>
    <n v="4449436681"/>
    <n v="113417208"/>
    <n v="3234"/>
    <n v="296"/>
    <n v="3530"/>
    <n v="10054"/>
    <n v="13584"/>
    <n v="-1"/>
    <n v="350"/>
    <n v="5635"/>
    <n v="2965"/>
    <n v="22184"/>
    <n v="121220"/>
  </r>
  <r>
    <x v="54"/>
    <s v="ITA"/>
    <x v="6"/>
    <x v="6"/>
    <n v="456494354"/>
    <n v="1376813649"/>
    <n v="141"/>
    <n v="27"/>
    <n v="168"/>
    <n v="1235"/>
    <n v="1403"/>
    <n v="-25"/>
    <n v="56"/>
    <n v="1106"/>
    <n v="222"/>
    <n v="2731"/>
    <n v="43293"/>
  </r>
  <r>
    <x v="54"/>
    <s v="ITA"/>
    <x v="7"/>
    <x v="7"/>
    <n v="4189277044"/>
    <n v="1248366722"/>
    <n v="1376"/>
    <n v="186"/>
    <n v="1562"/>
    <n v="2720"/>
    <n v="4282"/>
    <n v="68"/>
    <n v="144"/>
    <n v="1046"/>
    <n v="340"/>
    <n v="5668"/>
    <n v="89553"/>
  </r>
  <r>
    <x v="54"/>
    <s v="ITA"/>
    <x v="8"/>
    <x v="8"/>
    <n v="4441149315"/>
    <n v="89326992"/>
    <n v="901"/>
    <n v="105"/>
    <n v="1006"/>
    <n v="2406"/>
    <n v="3412"/>
    <n v="-47"/>
    <n v="113"/>
    <n v="1992"/>
    <n v="897"/>
    <n v="6301"/>
    <n v="29322"/>
  </r>
  <r>
    <x v="54"/>
    <s v="ITA"/>
    <x v="9"/>
    <x v="9"/>
    <n v="4546679409"/>
    <n v="9190347404"/>
    <n v="10042"/>
    <n v="947"/>
    <n v="10989"/>
    <n v="23206"/>
    <n v="34195"/>
    <n v="761"/>
    <n v="1246"/>
    <n v="19136"/>
    <n v="12050"/>
    <n v="65381"/>
    <n v="255331"/>
  </r>
  <r>
    <x v="54"/>
    <s v="ITA"/>
    <x v="10"/>
    <x v="10"/>
    <n v="4361675973"/>
    <n v="135188753"/>
    <n v="804"/>
    <n v="88"/>
    <n v="892"/>
    <n v="2280"/>
    <n v="3172"/>
    <n v="15"/>
    <n v="53"/>
    <n v="1754"/>
    <n v="795"/>
    <n v="5721"/>
    <n v="39909"/>
  </r>
  <r>
    <x v="54"/>
    <s v="ITA"/>
    <x v="11"/>
    <x v="11"/>
    <n v="4155774754"/>
    <n v="1465916051"/>
    <n v="27"/>
    <n v="4"/>
    <n v="31"/>
    <n v="178"/>
    <n v="209"/>
    <n v="1"/>
    <n v="0"/>
    <n v="44"/>
    <n v="16"/>
    <n v="269"/>
    <n v="3082"/>
  </r>
  <r>
    <x v="54"/>
    <s v="ITA"/>
    <x v="12"/>
    <x v="12"/>
    <n v="450732745"/>
    <n v="7680687483"/>
    <n v="3271"/>
    <n v="323"/>
    <n v="3594"/>
    <n v="10629"/>
    <n v="14223"/>
    <n v="225"/>
    <n v="661"/>
    <n v="3989"/>
    <n v="2252"/>
    <n v="20464"/>
    <n v="91844"/>
  </r>
  <r>
    <x v="54"/>
    <s v="ITA"/>
    <x v="13"/>
    <x v="13"/>
    <n v="4112559576"/>
    <n v="1686736689"/>
    <n v="594"/>
    <n v="60"/>
    <n v="654"/>
    <n v="2040"/>
    <n v="2694"/>
    <n v="38"/>
    <n v="82"/>
    <n v="401"/>
    <n v="314"/>
    <n v="3409"/>
    <n v="40423"/>
  </r>
  <r>
    <x v="54"/>
    <s v="ITA"/>
    <x v="14"/>
    <x v="14"/>
    <n v="3921531192"/>
    <n v="9110616306"/>
    <n v="112"/>
    <n v="23"/>
    <n v="135"/>
    <n v="746"/>
    <n v="881"/>
    <n v="9"/>
    <n v="20"/>
    <n v="231"/>
    <n v="86"/>
    <n v="1198"/>
    <n v="14087"/>
  </r>
  <r>
    <x v="54"/>
    <s v="ITA"/>
    <x v="15"/>
    <x v="15"/>
    <n v="3811569725"/>
    <n v="133623567"/>
    <n v="526"/>
    <n v="42"/>
    <n v="568"/>
    <n v="1603"/>
    <n v="2171"/>
    <n v="32"/>
    <n v="47"/>
    <n v="305"/>
    <n v="196"/>
    <n v="2672"/>
    <n v="47715"/>
  </r>
  <r>
    <x v="54"/>
    <s v="ITA"/>
    <x v="16"/>
    <x v="16"/>
    <n v="4376923077"/>
    <n v="1125588885"/>
    <n v="883"/>
    <n v="198"/>
    <n v="1081"/>
    <n v="5389"/>
    <n v="6470"/>
    <n v="-113"/>
    <n v="127"/>
    <n v="1149"/>
    <n v="618"/>
    <n v="8237"/>
    <n v="99903"/>
  </r>
  <r>
    <x v="54"/>
    <s v="ITA"/>
    <x v="2"/>
    <x v="17"/>
    <n v="4606893511"/>
    <n v="1112123097"/>
    <n v="276"/>
    <n v="42"/>
    <n v="318"/>
    <n v="1667"/>
    <n v="1985"/>
    <n v="-5"/>
    <n v="55"/>
    <n v="1098"/>
    <n v="348"/>
    <n v="3431"/>
    <n v="23147"/>
  </r>
  <r>
    <x v="54"/>
    <s v="ITA"/>
    <x v="17"/>
    <x v="18"/>
    <n v="4310675841"/>
    <n v="1238824698"/>
    <n v="109"/>
    <n v="32"/>
    <n v="141"/>
    <n v="290"/>
    <n v="431"/>
    <n v="-63"/>
    <n v="7"/>
    <n v="856"/>
    <n v="57"/>
    <n v="1344"/>
    <n v="24106"/>
  </r>
  <r>
    <x v="54"/>
    <s v="ITA"/>
    <x v="18"/>
    <x v="19"/>
    <n v="4573750286"/>
    <n v="7320149366"/>
    <n v="107"/>
    <n v="10"/>
    <n v="117"/>
    <n v="432"/>
    <n v="549"/>
    <n v="58"/>
    <n v="80"/>
    <n v="400"/>
    <n v="124"/>
    <n v="1073"/>
    <n v="4521"/>
  </r>
  <r>
    <x v="54"/>
    <s v="ITA"/>
    <x v="19"/>
    <x v="20"/>
    <n v="4543490485"/>
    <n v="1233845213"/>
    <n v="1287"/>
    <n v="190"/>
    <n v="1477"/>
    <n v="8967"/>
    <n v="10444"/>
    <n v="-174"/>
    <n v="318"/>
    <n v="4189"/>
    <n v="1059"/>
    <n v="15692"/>
    <n v="247329"/>
  </r>
  <r>
    <x v="55"/>
    <s v="ITA"/>
    <x v="0"/>
    <x v="0"/>
    <n v="4235122196"/>
    <n v="1339843823"/>
    <n v="317"/>
    <n v="40"/>
    <n v="357"/>
    <n v="1630"/>
    <n v="1987"/>
    <n v="16"/>
    <n v="34"/>
    <n v="276"/>
    <n v="258"/>
    <n v="2521"/>
    <n v="27791"/>
  </r>
  <r>
    <x v="55"/>
    <s v="ITA"/>
    <x v="1"/>
    <x v="1"/>
    <n v="4063947052"/>
    <n v="1580514834"/>
    <n v="59"/>
    <n v="8"/>
    <n v="67"/>
    <n v="180"/>
    <n v="247"/>
    <n v="-15"/>
    <n v="3"/>
    <n v="71"/>
    <n v="24"/>
    <n v="342"/>
    <n v="6528"/>
  </r>
  <r>
    <x v="55"/>
    <s v="ITA"/>
    <x v="2"/>
    <x v="2"/>
    <n v="4649933453"/>
    <n v="1135662422"/>
    <n v="162"/>
    <n v="23"/>
    <n v="185"/>
    <n v="1381"/>
    <n v="1566"/>
    <n v="10"/>
    <n v="55"/>
    <n v="569"/>
    <n v="245"/>
    <n v="2380"/>
    <n v="30361"/>
  </r>
  <r>
    <x v="55"/>
    <s v="ITA"/>
    <x v="3"/>
    <x v="3"/>
    <n v="3890597598"/>
    <n v="1659440194"/>
    <n v="142"/>
    <n v="6"/>
    <n v="148"/>
    <n v="696"/>
    <n v="844"/>
    <n v="12"/>
    <n v="24"/>
    <n v="116"/>
    <n v="75"/>
    <n v="1035"/>
    <n v="23760"/>
  </r>
  <r>
    <x v="55"/>
    <s v="ITA"/>
    <x v="4"/>
    <x v="4"/>
    <n v="4083956555"/>
    <n v="1425084984"/>
    <n v="590"/>
    <n v="61"/>
    <n v="651"/>
    <n v="2371"/>
    <n v="3022"/>
    <n v="-23"/>
    <n v="41"/>
    <n v="703"/>
    <n v="304"/>
    <n v="4029"/>
    <n v="48187"/>
  </r>
  <r>
    <x v="55"/>
    <s v="ITA"/>
    <x v="5"/>
    <x v="5"/>
    <n v="4449436681"/>
    <n v="113417208"/>
    <n v="3166"/>
    <n v="289"/>
    <n v="3455"/>
    <n v="10097"/>
    <n v="13552"/>
    <n v="-32"/>
    <n v="376"/>
    <n v="5985"/>
    <n v="3023"/>
    <n v="22560"/>
    <n v="124916"/>
  </r>
  <r>
    <x v="55"/>
    <s v="ITA"/>
    <x v="6"/>
    <x v="6"/>
    <n v="456494354"/>
    <n v="1376813649"/>
    <n v="140"/>
    <n v="25"/>
    <n v="165"/>
    <n v="1172"/>
    <n v="1337"/>
    <n v="-66"/>
    <n v="14"/>
    <n v="1183"/>
    <n v="225"/>
    <n v="2745"/>
    <n v="44622"/>
  </r>
  <r>
    <x v="55"/>
    <s v="ITA"/>
    <x v="7"/>
    <x v="7"/>
    <n v="4189277044"/>
    <n v="1248366722"/>
    <n v="1370"/>
    <n v="185"/>
    <n v="1555"/>
    <n v="2766"/>
    <n v="4321"/>
    <n v="39"/>
    <n v="87"/>
    <n v="1093"/>
    <n v="341"/>
    <n v="5755"/>
    <n v="91807"/>
  </r>
  <r>
    <x v="55"/>
    <s v="ITA"/>
    <x v="8"/>
    <x v="8"/>
    <n v="4441149315"/>
    <n v="89326992"/>
    <n v="885"/>
    <n v="101"/>
    <n v="986"/>
    <n v="2504"/>
    <n v="3490"/>
    <n v="78"/>
    <n v="227"/>
    <n v="2110"/>
    <n v="928"/>
    <n v="6528"/>
    <n v="31551"/>
  </r>
  <r>
    <x v="55"/>
    <s v="ITA"/>
    <x v="9"/>
    <x v="9"/>
    <n v="4546679409"/>
    <n v="9190347404"/>
    <n v="10342"/>
    <n v="922"/>
    <n v="11264"/>
    <n v="23233"/>
    <n v="34497"/>
    <n v="302"/>
    <n v="855"/>
    <n v="19526"/>
    <n v="12213"/>
    <n v="66236"/>
    <n v="264155"/>
  </r>
  <r>
    <x v="55"/>
    <s v="ITA"/>
    <x v="10"/>
    <x v="10"/>
    <n v="4361675973"/>
    <n v="135188753"/>
    <n v="799"/>
    <n v="86"/>
    <n v="885"/>
    <n v="2297"/>
    <n v="3182"/>
    <n v="10"/>
    <n v="48"/>
    <n v="1780"/>
    <n v="807"/>
    <n v="5769"/>
    <n v="41474"/>
  </r>
  <r>
    <x v="55"/>
    <s v="ITA"/>
    <x v="11"/>
    <x v="11"/>
    <n v="4155774754"/>
    <n v="1465916051"/>
    <n v="27"/>
    <n v="4"/>
    <n v="31"/>
    <n v="184"/>
    <n v="215"/>
    <n v="6"/>
    <n v="10"/>
    <n v="47"/>
    <n v="17"/>
    <n v="279"/>
    <n v="3584"/>
  </r>
  <r>
    <x v="55"/>
    <s v="ITA"/>
    <x v="12"/>
    <x v="12"/>
    <n v="450732745"/>
    <n v="7680687483"/>
    <n v="3201"/>
    <n v="305"/>
    <n v="3506"/>
    <n v="10964"/>
    <n v="14470"/>
    <n v="247"/>
    <n v="593"/>
    <n v="4256"/>
    <n v="2331"/>
    <n v="21057"/>
    <n v="96569"/>
  </r>
  <r>
    <x v="55"/>
    <s v="ITA"/>
    <x v="13"/>
    <x v="13"/>
    <n v="4112559576"/>
    <n v="1686736689"/>
    <n v="590"/>
    <n v="60"/>
    <n v="650"/>
    <n v="2136"/>
    <n v="2786"/>
    <n v="92"/>
    <n v="120"/>
    <n v="427"/>
    <n v="316"/>
    <n v="3529"/>
    <n v="42598"/>
  </r>
  <r>
    <x v="55"/>
    <s v="ITA"/>
    <x v="14"/>
    <x v="14"/>
    <n v="3921531192"/>
    <n v="9110616306"/>
    <n v="117"/>
    <n v="22"/>
    <n v="139"/>
    <n v="725"/>
    <n v="864"/>
    <n v="-17"/>
    <n v="17"/>
    <n v="265"/>
    <n v="86"/>
    <n v="1215"/>
    <n v="14859"/>
  </r>
  <r>
    <x v="55"/>
    <s v="ITA"/>
    <x v="15"/>
    <x v="15"/>
    <n v="3811569725"/>
    <n v="133623567"/>
    <n v="522"/>
    <n v="41"/>
    <n v="563"/>
    <n v="1639"/>
    <n v="2202"/>
    <n v="31"/>
    <n v="45"/>
    <n v="315"/>
    <n v="200"/>
    <n v="2717"/>
    <n v="49772"/>
  </r>
  <r>
    <x v="55"/>
    <s v="ITA"/>
    <x v="16"/>
    <x v="16"/>
    <n v="4376923077"/>
    <n v="1125588885"/>
    <n v="852"/>
    <n v="192"/>
    <n v="1044"/>
    <n v="5452"/>
    <n v="6496"/>
    <n v="26"/>
    <n v="135"/>
    <n v="1239"/>
    <n v="637"/>
    <n v="8372"/>
    <n v="103975"/>
  </r>
  <r>
    <x v="55"/>
    <s v="ITA"/>
    <x v="2"/>
    <x v="17"/>
    <n v="4606893511"/>
    <n v="1112123097"/>
    <n v="278"/>
    <n v="41"/>
    <n v="319"/>
    <n v="1652"/>
    <n v="1971"/>
    <n v="-14"/>
    <n v="101"/>
    <n v="1201"/>
    <n v="360"/>
    <n v="3532"/>
    <n v="24388"/>
  </r>
  <r>
    <x v="55"/>
    <s v="ITA"/>
    <x v="17"/>
    <x v="18"/>
    <n v="4310675841"/>
    <n v="1238824698"/>
    <n v="108"/>
    <n v="30"/>
    <n v="138"/>
    <n v="298"/>
    <n v="436"/>
    <n v="5"/>
    <n v="4"/>
    <n v="854"/>
    <n v="58"/>
    <n v="1348"/>
    <n v="25170"/>
  </r>
  <r>
    <x v="55"/>
    <s v="ITA"/>
    <x v="18"/>
    <x v="19"/>
    <n v="4573750286"/>
    <n v="7320149366"/>
    <n v="102"/>
    <n v="10"/>
    <n v="112"/>
    <n v="450"/>
    <n v="562"/>
    <n v="13"/>
    <n v="15"/>
    <n v="401"/>
    <n v="125"/>
    <n v="1088"/>
    <n v="4677"/>
  </r>
  <r>
    <x v="55"/>
    <s v="ITA"/>
    <x v="19"/>
    <x v="20"/>
    <n v="4543490485"/>
    <n v="1233845213"/>
    <n v="1264"/>
    <n v="184"/>
    <n v="1448"/>
    <n v="8762"/>
    <n v="10210"/>
    <n v="-234"/>
    <n v="243"/>
    <n v="4638"/>
    <n v="1087"/>
    <n v="15935"/>
    <n v="255797"/>
  </r>
  <r>
    <x v="56"/>
    <s v="ITA"/>
    <x v="0"/>
    <x v="0"/>
    <n v="4235122196"/>
    <n v="1339843823"/>
    <n v="320"/>
    <n v="38"/>
    <n v="358"/>
    <n v="1704"/>
    <n v="2062"/>
    <n v="75"/>
    <n v="91"/>
    <n v="287"/>
    <n v="263"/>
    <n v="2612"/>
    <n v="27942"/>
  </r>
  <r>
    <x v="56"/>
    <s v="ITA"/>
    <x v="1"/>
    <x v="1"/>
    <n v="4063947052"/>
    <n v="1580514834"/>
    <n v="59"/>
    <n v="7"/>
    <n v="66"/>
    <n v="176"/>
    <n v="242"/>
    <n v="-5"/>
    <n v="0"/>
    <n v="76"/>
    <n v="24"/>
    <n v="342"/>
    <n v="6868"/>
  </r>
  <r>
    <x v="56"/>
    <s v="ITA"/>
    <x v="2"/>
    <x v="2"/>
    <n v="4649933453"/>
    <n v="1135662422"/>
    <n v="160"/>
    <n v="19"/>
    <n v="179"/>
    <n v="1361"/>
    <n v="1540"/>
    <n v="-26"/>
    <n v="14"/>
    <n v="605"/>
    <n v="249"/>
    <n v="2394"/>
    <n v="31381"/>
  </r>
  <r>
    <x v="56"/>
    <s v="ITA"/>
    <x v="3"/>
    <x v="3"/>
    <n v="3890597598"/>
    <n v="1659440194"/>
    <n v="140"/>
    <n v="7"/>
    <n v="147"/>
    <n v="681"/>
    <n v="828"/>
    <n v="-16"/>
    <n v="3"/>
    <n v="135"/>
    <n v="75"/>
    <n v="1038"/>
    <n v="24373"/>
  </r>
  <r>
    <x v="56"/>
    <s v="ITA"/>
    <x v="4"/>
    <x v="4"/>
    <n v="4083956555"/>
    <n v="1425084984"/>
    <n v="586"/>
    <n v="61"/>
    <n v="647"/>
    <n v="2372"/>
    <n v="3019"/>
    <n v="-3"/>
    <n v="45"/>
    <n v="746"/>
    <n v="309"/>
    <n v="4074"/>
    <n v="51090"/>
  </r>
  <r>
    <x v="56"/>
    <s v="ITA"/>
    <x v="5"/>
    <x v="5"/>
    <n v="4449436681"/>
    <n v="113417208"/>
    <n v="3144"/>
    <n v="283"/>
    <n v="3427"/>
    <n v="10095"/>
    <n v="13522"/>
    <n v="-30"/>
    <n v="307"/>
    <n v="6266"/>
    <n v="3079"/>
    <n v="22867"/>
    <n v="129530"/>
  </r>
  <r>
    <x v="56"/>
    <s v="ITA"/>
    <x v="6"/>
    <x v="6"/>
    <n v="456494354"/>
    <n v="1376813649"/>
    <n v="140"/>
    <n v="22"/>
    <n v="162"/>
    <n v="1028"/>
    <n v="1190"/>
    <n v="-147"/>
    <n v="30"/>
    <n v="1346"/>
    <n v="239"/>
    <n v="2775"/>
    <n v="45161"/>
  </r>
  <r>
    <x v="56"/>
    <s v="ITA"/>
    <x v="7"/>
    <x v="7"/>
    <n v="4189277044"/>
    <n v="1248366722"/>
    <n v="1388"/>
    <n v="185"/>
    <n v="1573"/>
    <n v="2792"/>
    <n v="4365"/>
    <n v="44"/>
    <n v="60"/>
    <n v="1101"/>
    <n v="349"/>
    <n v="5815"/>
    <n v="97823"/>
  </r>
  <r>
    <x v="56"/>
    <s v="ITA"/>
    <x v="8"/>
    <x v="8"/>
    <n v="4441149315"/>
    <n v="89326992"/>
    <n v="878"/>
    <n v="102"/>
    <n v="980"/>
    <n v="2516"/>
    <n v="3496"/>
    <n v="6"/>
    <n v="141"/>
    <n v="2216"/>
    <n v="957"/>
    <n v="6669"/>
    <n v="33007"/>
  </r>
  <r>
    <x v="56"/>
    <s v="ITA"/>
    <x v="9"/>
    <x v="9"/>
    <n v="4546679409"/>
    <n v="9190347404"/>
    <n v="10138"/>
    <n v="901"/>
    <n v="11039"/>
    <n v="23548"/>
    <n v="34587"/>
    <n v="90"/>
    <n v="735"/>
    <n v="20008"/>
    <n v="12376"/>
    <n v="66971"/>
    <n v="270486"/>
  </r>
  <r>
    <x v="56"/>
    <s v="ITA"/>
    <x v="10"/>
    <x v="10"/>
    <n v="4361675973"/>
    <n v="135188753"/>
    <n v="792"/>
    <n v="80"/>
    <n v="872"/>
    <n v="2340"/>
    <n v="3212"/>
    <n v="30"/>
    <n v="57"/>
    <n v="1792"/>
    <n v="822"/>
    <n v="5826"/>
    <n v="42782"/>
  </r>
  <r>
    <x v="56"/>
    <s v="ITA"/>
    <x v="11"/>
    <x v="11"/>
    <n v="4155774754"/>
    <n v="1465916051"/>
    <n v="27"/>
    <n v="2"/>
    <n v="29"/>
    <n v="184"/>
    <n v="213"/>
    <n v="-2"/>
    <n v="2"/>
    <n v="50"/>
    <n v="18"/>
    <n v="281"/>
    <n v="3783"/>
  </r>
  <r>
    <x v="56"/>
    <s v="ITA"/>
    <x v="12"/>
    <x v="12"/>
    <n v="450732745"/>
    <n v="7680687483"/>
    <n v="3299"/>
    <n v="301"/>
    <n v="3600"/>
    <n v="10957"/>
    <n v="14557"/>
    <n v="87"/>
    <n v="292"/>
    <n v="4383"/>
    <n v="2409"/>
    <n v="21349"/>
    <n v="99669"/>
  </r>
  <r>
    <x v="56"/>
    <s v="ITA"/>
    <x v="13"/>
    <x v="13"/>
    <n v="4112559576"/>
    <n v="1686736689"/>
    <n v="584"/>
    <n v="66"/>
    <n v="650"/>
    <n v="2160"/>
    <n v="2810"/>
    <n v="24"/>
    <n v="38"/>
    <n v="431"/>
    <n v="326"/>
    <n v="3567"/>
    <n v="44189"/>
  </r>
  <r>
    <x v="56"/>
    <s v="ITA"/>
    <x v="14"/>
    <x v="14"/>
    <n v="3921531192"/>
    <n v="9110616306"/>
    <n v="115"/>
    <n v="21"/>
    <n v="136"/>
    <n v="718"/>
    <n v="854"/>
    <n v="-10"/>
    <n v="13"/>
    <n v="288"/>
    <n v="86"/>
    <n v="1228"/>
    <n v="15328"/>
  </r>
  <r>
    <x v="56"/>
    <s v="ITA"/>
    <x v="15"/>
    <x v="15"/>
    <n v="3811569725"/>
    <n v="133623567"/>
    <n v="526"/>
    <n v="39"/>
    <n v="565"/>
    <n v="1645"/>
    <n v="2210"/>
    <n v="8"/>
    <n v="42"/>
    <n v="346"/>
    <n v="203"/>
    <n v="2759"/>
    <n v="51373"/>
  </r>
  <r>
    <x v="56"/>
    <s v="ITA"/>
    <x v="16"/>
    <x v="16"/>
    <n v="4376923077"/>
    <n v="1125588885"/>
    <n v="850"/>
    <n v="182"/>
    <n v="1032"/>
    <n v="5536"/>
    <n v="6568"/>
    <n v="72"/>
    <n v="135"/>
    <n v="1272"/>
    <n v="667"/>
    <n v="8507"/>
    <n v="105857"/>
  </r>
  <r>
    <x v="56"/>
    <s v="ITA"/>
    <x v="2"/>
    <x v="17"/>
    <n v="4606893511"/>
    <n v="1112123097"/>
    <n v="272"/>
    <n v="40"/>
    <n v="312"/>
    <n v="1617"/>
    <n v="1929"/>
    <n v="-42"/>
    <n v="58"/>
    <n v="1295"/>
    <n v="366"/>
    <n v="3590"/>
    <n v="26211"/>
  </r>
  <r>
    <x v="56"/>
    <s v="ITA"/>
    <x v="17"/>
    <x v="18"/>
    <n v="4310675841"/>
    <n v="1238824698"/>
    <n v="113"/>
    <n v="29"/>
    <n v="142"/>
    <n v="282"/>
    <n v="424"/>
    <n v="-12"/>
    <n v="1"/>
    <n v="867"/>
    <n v="58"/>
    <n v="1349"/>
    <n v="25562"/>
  </r>
  <r>
    <x v="56"/>
    <s v="ITA"/>
    <x v="18"/>
    <x v="19"/>
    <n v="4573750286"/>
    <n v="7320149366"/>
    <n v="102"/>
    <n v="8"/>
    <n v="110"/>
    <n v="438"/>
    <n v="548"/>
    <n v="-14"/>
    <n v="0"/>
    <n v="413"/>
    <n v="127"/>
    <n v="1088"/>
    <n v="4799"/>
  </r>
  <r>
    <x v="56"/>
    <s v="ITA"/>
    <x v="19"/>
    <x v="20"/>
    <n v="4543490485"/>
    <n v="1233845213"/>
    <n v="1273"/>
    <n v="180"/>
    <n v="1453"/>
    <n v="8608"/>
    <n v="10061"/>
    <n v="-149"/>
    <n v="192"/>
    <n v="4954"/>
    <n v="1112"/>
    <n v="16127"/>
    <n v="260810"/>
  </r>
  <r>
    <x v="57"/>
    <s v="ITA"/>
    <x v="0"/>
    <x v="0"/>
    <n v="4235122196"/>
    <n v="1339843823"/>
    <n v="318"/>
    <n v="35"/>
    <n v="353"/>
    <n v="1714"/>
    <n v="2067"/>
    <n v="5"/>
    <n v="55"/>
    <n v="329"/>
    <n v="271"/>
    <n v="2667"/>
    <n v="29906"/>
  </r>
  <r>
    <x v="57"/>
    <s v="ITA"/>
    <x v="1"/>
    <x v="1"/>
    <n v="4063947052"/>
    <n v="1580514834"/>
    <n v="64"/>
    <n v="7"/>
    <n v="71"/>
    <n v="174"/>
    <n v="245"/>
    <n v="3"/>
    <n v="8"/>
    <n v="81"/>
    <n v="24"/>
    <n v="350"/>
    <n v="7470"/>
  </r>
  <r>
    <x v="57"/>
    <s v="ITA"/>
    <x v="2"/>
    <x v="2"/>
    <n v="4649933453"/>
    <n v="1135662422"/>
    <n v="159"/>
    <n v="20"/>
    <n v="179"/>
    <n v="1357"/>
    <n v="1536"/>
    <n v="-4"/>
    <n v="16"/>
    <n v="623"/>
    <n v="251"/>
    <n v="2410"/>
    <n v="31987"/>
  </r>
  <r>
    <x v="57"/>
    <s v="ITA"/>
    <x v="3"/>
    <x v="3"/>
    <n v="3890597598"/>
    <n v="1659440194"/>
    <n v="133"/>
    <n v="7"/>
    <n v="140"/>
    <n v="679"/>
    <n v="819"/>
    <n v="-9"/>
    <n v="9"/>
    <n v="152"/>
    <n v="76"/>
    <n v="1047"/>
    <n v="25440"/>
  </r>
  <r>
    <x v="57"/>
    <s v="ITA"/>
    <x v="4"/>
    <x v="4"/>
    <n v="4083956555"/>
    <n v="1425084984"/>
    <n v="532"/>
    <n v="58"/>
    <n v="590"/>
    <n v="2356"/>
    <n v="2946"/>
    <n v="-73"/>
    <n v="61"/>
    <n v="872"/>
    <n v="317"/>
    <n v="4135"/>
    <n v="53548"/>
  </r>
  <r>
    <x v="57"/>
    <s v="ITA"/>
    <x v="5"/>
    <x v="5"/>
    <n v="4449436681"/>
    <n v="113417208"/>
    <n v="3045"/>
    <n v="282"/>
    <n v="3327"/>
    <n v="9917"/>
    <n v="13244"/>
    <n v="-278"/>
    <n v="225"/>
    <n v="6701"/>
    <n v="3147"/>
    <n v="23092"/>
    <n v="134878"/>
  </r>
  <r>
    <x v="57"/>
    <s v="ITA"/>
    <x v="6"/>
    <x v="6"/>
    <n v="456494354"/>
    <n v="1376813649"/>
    <n v="139"/>
    <n v="21"/>
    <n v="160"/>
    <n v="1162"/>
    <n v="1322"/>
    <n v="132"/>
    <n v="17"/>
    <n v="1229"/>
    <n v="241"/>
    <n v="2792"/>
    <n v="48500"/>
  </r>
  <r>
    <x v="57"/>
    <s v="ITA"/>
    <x v="7"/>
    <x v="7"/>
    <n v="4189277044"/>
    <n v="1248366722"/>
    <n v="1380"/>
    <n v="184"/>
    <n v="1564"/>
    <n v="2838"/>
    <n v="4402"/>
    <n v="37"/>
    <n v="80"/>
    <n v="1130"/>
    <n v="363"/>
    <n v="5895"/>
    <n v="100031"/>
  </r>
  <r>
    <x v="57"/>
    <s v="ITA"/>
    <x v="8"/>
    <x v="8"/>
    <n v="4441149315"/>
    <n v="89326992"/>
    <n v="914"/>
    <n v="94"/>
    <n v="1008"/>
    <n v="2455"/>
    <n v="3463"/>
    <n v="-33"/>
    <n v="95"/>
    <n v="2311"/>
    <n v="990"/>
    <n v="6764"/>
    <n v="34186"/>
  </r>
  <r>
    <x v="57"/>
    <s v="ITA"/>
    <x v="9"/>
    <x v="9"/>
    <n v="4546679409"/>
    <n v="9190347404"/>
    <n v="9805"/>
    <n v="851"/>
    <n v="10656"/>
    <n v="23322"/>
    <n v="33978"/>
    <n v="-609"/>
    <n v="960"/>
    <n v="21374"/>
    <n v="12579"/>
    <n v="67931"/>
    <n v="277197"/>
  </r>
  <r>
    <x v="57"/>
    <s v="ITA"/>
    <x v="10"/>
    <x v="10"/>
    <n v="4361675973"/>
    <n v="135188753"/>
    <n v="784"/>
    <n v="78"/>
    <n v="862"/>
    <n v="2356"/>
    <n v="3218"/>
    <n v="6"/>
    <n v="51"/>
    <n v="1825"/>
    <n v="834"/>
    <n v="5877"/>
    <n v="44332"/>
  </r>
  <r>
    <x v="57"/>
    <s v="ITA"/>
    <x v="11"/>
    <x v="11"/>
    <n v="4155774754"/>
    <n v="1465916051"/>
    <n v="27"/>
    <n v="2"/>
    <n v="29"/>
    <n v="184"/>
    <n v="213"/>
    <n v="0"/>
    <n v="1"/>
    <n v="51"/>
    <n v="18"/>
    <n v="282"/>
    <n v="4124"/>
  </r>
  <r>
    <x v="57"/>
    <s v="ITA"/>
    <x v="12"/>
    <x v="12"/>
    <n v="450732745"/>
    <n v="7680687483"/>
    <n v="3116"/>
    <n v="293"/>
    <n v="3409"/>
    <n v="11402"/>
    <n v="14811"/>
    <n v="254"/>
    <n v="606"/>
    <n v="4659"/>
    <n v="2485"/>
    <n v="21955"/>
    <n v="105434"/>
  </r>
  <r>
    <x v="57"/>
    <s v="ITA"/>
    <x v="13"/>
    <x v="13"/>
    <n v="4112559576"/>
    <n v="1686736689"/>
    <n v="569"/>
    <n v="65"/>
    <n v="634"/>
    <n v="2178"/>
    <n v="2812"/>
    <n v="2"/>
    <n v="55"/>
    <n v="459"/>
    <n v="351"/>
    <n v="3622"/>
    <n v="45984"/>
  </r>
  <r>
    <x v="57"/>
    <s v="ITA"/>
    <x v="14"/>
    <x v="14"/>
    <n v="3921531192"/>
    <n v="9110616306"/>
    <n v="112"/>
    <n v="21"/>
    <n v="133"/>
    <n v="704"/>
    <n v="837"/>
    <n v="-17"/>
    <n v="8"/>
    <n v="306"/>
    <n v="93"/>
    <n v="1236"/>
    <n v="15886"/>
  </r>
  <r>
    <x v="57"/>
    <s v="ITA"/>
    <x v="15"/>
    <x v="15"/>
    <n v="3811569725"/>
    <n v="133623567"/>
    <n v="514"/>
    <n v="37"/>
    <n v="551"/>
    <n v="1708"/>
    <n v="2259"/>
    <n v="49"/>
    <n v="76"/>
    <n v="370"/>
    <n v="206"/>
    <n v="2835"/>
    <n v="55093"/>
  </r>
  <r>
    <x v="57"/>
    <s v="ITA"/>
    <x v="16"/>
    <x v="16"/>
    <n v="4376923077"/>
    <n v="1125588885"/>
    <n v="833"/>
    <n v="171"/>
    <n v="1004"/>
    <n v="5618"/>
    <n v="6622"/>
    <n v="54"/>
    <n v="96"/>
    <n v="1295"/>
    <n v="686"/>
    <n v="8603"/>
    <n v="109925"/>
  </r>
  <r>
    <x v="57"/>
    <s v="ITA"/>
    <x v="2"/>
    <x v="17"/>
    <n v="4606893511"/>
    <n v="1112123097"/>
    <n v="254"/>
    <n v="38"/>
    <n v="292"/>
    <n v="1617"/>
    <n v="1909"/>
    <n v="-20"/>
    <n v="24"/>
    <n v="1329"/>
    <n v="376"/>
    <n v="3614"/>
    <n v="26610"/>
  </r>
  <r>
    <x v="57"/>
    <s v="ITA"/>
    <x v="17"/>
    <x v="18"/>
    <n v="4310675841"/>
    <n v="1238824698"/>
    <n v="107"/>
    <n v="22"/>
    <n v="129"/>
    <n v="278"/>
    <n v="407"/>
    <n v="-17"/>
    <n v="4"/>
    <n v="886"/>
    <n v="60"/>
    <n v="1353"/>
    <n v="26639"/>
  </r>
  <r>
    <x v="57"/>
    <s v="ITA"/>
    <x v="18"/>
    <x v="19"/>
    <n v="4573750286"/>
    <n v="7320149366"/>
    <n v="99"/>
    <n v="8"/>
    <n v="107"/>
    <n v="415"/>
    <n v="522"/>
    <n v="-26"/>
    <n v="5"/>
    <n v="445"/>
    <n v="126"/>
    <n v="1093"/>
    <n v="4911"/>
  </r>
  <r>
    <x v="57"/>
    <s v="ITA"/>
    <x v="19"/>
    <x v="20"/>
    <n v="4543490485"/>
    <n v="1233845213"/>
    <n v="1230"/>
    <n v="177"/>
    <n v="1407"/>
    <n v="8670"/>
    <n v="10077"/>
    <n v="16"/>
    <n v="277"/>
    <n v="5173"/>
    <n v="1154"/>
    <n v="16404"/>
    <n v="268069"/>
  </r>
  <r>
    <x v="58"/>
    <s v="ITA"/>
    <x v="0"/>
    <x v="0"/>
    <n v="4235122196"/>
    <n v="1339843823"/>
    <n v="309"/>
    <n v="35"/>
    <n v="344"/>
    <n v="1764"/>
    <n v="2108"/>
    <n v="41"/>
    <n v="66"/>
    <n v="349"/>
    <n v="276"/>
    <n v="2733"/>
    <n v="30348"/>
  </r>
  <r>
    <x v="58"/>
    <s v="ITA"/>
    <x v="1"/>
    <x v="1"/>
    <n v="4063947052"/>
    <n v="1580514834"/>
    <n v="65"/>
    <n v="7"/>
    <n v="72"/>
    <n v="160"/>
    <n v="232"/>
    <n v="-13"/>
    <n v="4"/>
    <n v="98"/>
    <n v="24"/>
    <n v="354"/>
    <n v="8040"/>
  </r>
  <r>
    <x v="58"/>
    <s v="ITA"/>
    <x v="2"/>
    <x v="2"/>
    <n v="4649933453"/>
    <n v="1135662422"/>
    <n v="157"/>
    <n v="19"/>
    <n v="176"/>
    <n v="1336"/>
    <n v="1512"/>
    <n v="-24"/>
    <n v="6"/>
    <n v="648"/>
    <n v="256"/>
    <n v="2416"/>
    <n v="32722"/>
  </r>
  <r>
    <x v="58"/>
    <s v="ITA"/>
    <x v="3"/>
    <x v="3"/>
    <n v="3890597598"/>
    <n v="1659440194"/>
    <n v="128"/>
    <n v="7"/>
    <n v="135"/>
    <n v="686"/>
    <n v="821"/>
    <n v="2"/>
    <n v="13"/>
    <n v="163"/>
    <n v="76"/>
    <n v="1060"/>
    <n v="26560"/>
  </r>
  <r>
    <x v="58"/>
    <s v="ITA"/>
    <x v="4"/>
    <x v="4"/>
    <n v="4083956555"/>
    <n v="1425084984"/>
    <n v="523"/>
    <n v="53"/>
    <n v="576"/>
    <n v="2422"/>
    <n v="2998"/>
    <n v="52"/>
    <n v="50"/>
    <n v="860"/>
    <n v="327"/>
    <n v="4185"/>
    <n v="55701"/>
  </r>
  <r>
    <x v="58"/>
    <s v="ITA"/>
    <x v="5"/>
    <x v="5"/>
    <n v="4449436681"/>
    <n v="113417208"/>
    <n v="2964"/>
    <n v="282"/>
    <n v="3246"/>
    <n v="9838"/>
    <n v="13084"/>
    <n v="-160"/>
    <n v="342"/>
    <n v="7146"/>
    <n v="3204"/>
    <n v="23434"/>
    <n v="140874"/>
  </r>
  <r>
    <x v="58"/>
    <s v="ITA"/>
    <x v="6"/>
    <x v="6"/>
    <n v="456494354"/>
    <n v="1376813649"/>
    <n v="134"/>
    <n v="20"/>
    <n v="154"/>
    <n v="1154"/>
    <n v="1308"/>
    <n v="-14"/>
    <n v="25"/>
    <n v="1263"/>
    <n v="246"/>
    <n v="2817"/>
    <n v="50869"/>
  </r>
  <r>
    <x v="58"/>
    <s v="ITA"/>
    <x v="7"/>
    <x v="7"/>
    <n v="4189277044"/>
    <n v="1248366722"/>
    <n v="1384"/>
    <n v="187"/>
    <n v="1571"/>
    <n v="2892"/>
    <n v="4463"/>
    <n v="61"/>
    <n v="80"/>
    <n v="1142"/>
    <n v="370"/>
    <n v="5975"/>
    <n v="104062"/>
  </r>
  <r>
    <x v="58"/>
    <s v="ITA"/>
    <x v="8"/>
    <x v="8"/>
    <n v="4441149315"/>
    <n v="89326992"/>
    <n v="860"/>
    <n v="92"/>
    <n v="952"/>
    <n v="2524"/>
    <n v="3476"/>
    <n v="13"/>
    <n v="154"/>
    <n v="2420"/>
    <n v="1022"/>
    <n v="6918"/>
    <n v="35990"/>
  </r>
  <r>
    <x v="58"/>
    <s v="ITA"/>
    <x v="9"/>
    <x v="9"/>
    <n v="4546679409"/>
    <n v="9190347404"/>
    <n v="9692"/>
    <n v="817"/>
    <n v="10509"/>
    <n v="23733"/>
    <n v="34242"/>
    <n v="264"/>
    <n v="1161"/>
    <n v="22110"/>
    <n v="12740"/>
    <n v="69092"/>
    <n v="290699"/>
  </r>
  <r>
    <x v="58"/>
    <s v="ITA"/>
    <x v="10"/>
    <x v="10"/>
    <n v="4361675973"/>
    <n v="135188753"/>
    <n v="735"/>
    <n v="76"/>
    <n v="811"/>
    <n v="2419"/>
    <n v="3230"/>
    <n v="12"/>
    <n v="47"/>
    <n v="1849"/>
    <n v="845"/>
    <n v="5924"/>
    <n v="46492"/>
  </r>
  <r>
    <x v="58"/>
    <s v="ITA"/>
    <x v="11"/>
    <x v="11"/>
    <n v="4155774754"/>
    <n v="1465916051"/>
    <n v="21"/>
    <n v="2"/>
    <n v="23"/>
    <n v="182"/>
    <n v="205"/>
    <n v="-8"/>
    <n v="2"/>
    <n v="60"/>
    <n v="19"/>
    <n v="284"/>
    <n v="4425"/>
  </r>
  <r>
    <x v="58"/>
    <s v="ITA"/>
    <x v="12"/>
    <x v="12"/>
    <n v="450732745"/>
    <n v="7680687483"/>
    <n v="3213"/>
    <n v="273"/>
    <n v="3486"/>
    <n v="11636"/>
    <n v="15122"/>
    <n v="311"/>
    <n v="784"/>
    <n v="5058"/>
    <n v="2559"/>
    <n v="22739"/>
    <n v="111513"/>
  </r>
  <r>
    <x v="58"/>
    <s v="ITA"/>
    <x v="13"/>
    <x v="13"/>
    <n v="4112559576"/>
    <n v="1686736689"/>
    <n v="564"/>
    <n v="60"/>
    <n v="624"/>
    <n v="2250"/>
    <n v="2874"/>
    <n v="62"/>
    <n v="108"/>
    <n v="494"/>
    <n v="362"/>
    <n v="3730"/>
    <n v="48342"/>
  </r>
  <r>
    <x v="58"/>
    <s v="ITA"/>
    <x v="14"/>
    <x v="14"/>
    <n v="3921531192"/>
    <n v="9110616306"/>
    <n v="97"/>
    <n v="20"/>
    <n v="117"/>
    <n v="716"/>
    <n v="833"/>
    <n v="-4"/>
    <n v="11"/>
    <n v="318"/>
    <n v="96"/>
    <n v="1247"/>
    <n v="16886"/>
  </r>
  <r>
    <x v="58"/>
    <s v="ITA"/>
    <x v="15"/>
    <x v="15"/>
    <n v="3811569725"/>
    <n v="133623567"/>
    <n v="500"/>
    <n v="35"/>
    <n v="535"/>
    <n v="1752"/>
    <n v="2287"/>
    <n v="28"/>
    <n v="48"/>
    <n v="388"/>
    <n v="208"/>
    <n v="2883"/>
    <n v="58732"/>
  </r>
  <r>
    <x v="58"/>
    <s v="ITA"/>
    <x v="16"/>
    <x v="16"/>
    <n v="4376923077"/>
    <n v="1125588885"/>
    <n v="820"/>
    <n v="174"/>
    <n v="994"/>
    <n v="5173"/>
    <n v="6167"/>
    <n v="-455"/>
    <n v="97"/>
    <n v="1828"/>
    <n v="705"/>
    <n v="8700"/>
    <n v="114100"/>
  </r>
  <r>
    <x v="58"/>
    <s v="ITA"/>
    <x v="2"/>
    <x v="17"/>
    <n v="4606893511"/>
    <n v="1112123097"/>
    <n v="245"/>
    <n v="34"/>
    <n v="279"/>
    <n v="1595"/>
    <n v="1874"/>
    <n v="-35"/>
    <n v="32"/>
    <n v="1391"/>
    <n v="381"/>
    <n v="3646"/>
    <n v="26674"/>
  </r>
  <r>
    <x v="58"/>
    <s v="ITA"/>
    <x v="17"/>
    <x v="18"/>
    <n v="4310675841"/>
    <n v="1238824698"/>
    <n v="97"/>
    <n v="20"/>
    <n v="117"/>
    <n v="254"/>
    <n v="371"/>
    <n v="-36"/>
    <n v="4"/>
    <n v="925"/>
    <n v="61"/>
    <n v="1357"/>
    <n v="27655"/>
  </r>
  <r>
    <x v="58"/>
    <s v="ITA"/>
    <x v="18"/>
    <x v="19"/>
    <n v="4573750286"/>
    <n v="7320149366"/>
    <n v="92"/>
    <n v="8"/>
    <n v="100"/>
    <n v="401"/>
    <n v="501"/>
    <n v="-21"/>
    <n v="2"/>
    <n v="467"/>
    <n v="127"/>
    <n v="1095"/>
    <n v="5024"/>
  </r>
  <r>
    <x v="58"/>
    <s v="ITA"/>
    <x v="19"/>
    <x v="20"/>
    <n v="4543490485"/>
    <n v="1233845213"/>
    <n v="1205"/>
    <n v="163"/>
    <n v="1368"/>
    <n v="8623"/>
    <n v="9991"/>
    <n v="-86"/>
    <n v="334"/>
    <n v="5566"/>
    <n v="1181"/>
    <n v="16738"/>
    <n v="277543"/>
  </r>
  <r>
    <x v="59"/>
    <s v="ITA"/>
    <x v="0"/>
    <x v="0"/>
    <n v="4235122196"/>
    <n v="1339843823"/>
    <n v="322"/>
    <n v="31"/>
    <n v="353"/>
    <n v="1747"/>
    <n v="2100"/>
    <n v="-8"/>
    <n v="52"/>
    <n v="405"/>
    <n v="280"/>
    <n v="2785"/>
    <n v="31187"/>
  </r>
  <r>
    <x v="59"/>
    <s v="ITA"/>
    <x v="1"/>
    <x v="1"/>
    <n v="4063947052"/>
    <n v="1580514834"/>
    <n v="61"/>
    <n v="7"/>
    <n v="68"/>
    <n v="161"/>
    <n v="229"/>
    <n v="-3"/>
    <n v="2"/>
    <n v="103"/>
    <n v="24"/>
    <n v="356"/>
    <n v="8511"/>
  </r>
  <r>
    <x v="59"/>
    <s v="ITA"/>
    <x v="2"/>
    <x v="2"/>
    <n v="4649933453"/>
    <n v="1135662422"/>
    <n v="141"/>
    <n v="17"/>
    <n v="158"/>
    <n v="1336"/>
    <n v="1494"/>
    <n v="-18"/>
    <n v="19"/>
    <n v="680"/>
    <n v="261"/>
    <n v="2435"/>
    <n v="33994"/>
  </r>
  <r>
    <x v="59"/>
    <s v="ITA"/>
    <x v="3"/>
    <x v="3"/>
    <n v="3890597598"/>
    <n v="1659440194"/>
    <n v="129"/>
    <n v="7"/>
    <n v="136"/>
    <n v="687"/>
    <n v="823"/>
    <n v="2"/>
    <n v="9"/>
    <n v="170"/>
    <n v="76"/>
    <n v="1069"/>
    <n v="27869"/>
  </r>
  <r>
    <x v="59"/>
    <s v="ITA"/>
    <x v="4"/>
    <x v="4"/>
    <n v="4083956555"/>
    <n v="1425084984"/>
    <n v="539"/>
    <n v="47"/>
    <n v="586"/>
    <n v="2392"/>
    <n v="2978"/>
    <n v="-20"/>
    <n v="53"/>
    <n v="928"/>
    <n v="332"/>
    <n v="4238"/>
    <n v="58324"/>
  </r>
  <r>
    <x v="59"/>
    <s v="ITA"/>
    <x v="5"/>
    <x v="5"/>
    <n v="4449436681"/>
    <n v="113417208"/>
    <n v="2889"/>
    <n v="266"/>
    <n v="3155"/>
    <n v="9690"/>
    <n v="12845"/>
    <n v="-239"/>
    <n v="289"/>
    <n v="7609"/>
    <n v="3269"/>
    <n v="23723"/>
    <n v="146146"/>
  </r>
  <r>
    <x v="59"/>
    <s v="ITA"/>
    <x v="6"/>
    <x v="6"/>
    <n v="456494354"/>
    <n v="1376813649"/>
    <n v="138"/>
    <n v="18"/>
    <n v="156"/>
    <n v="979"/>
    <n v="1135"/>
    <n v="-173"/>
    <n v="41"/>
    <n v="1467"/>
    <n v="256"/>
    <n v="2858"/>
    <n v="52918"/>
  </r>
  <r>
    <x v="59"/>
    <s v="ITA"/>
    <x v="7"/>
    <x v="7"/>
    <n v="4189277044"/>
    <n v="1248366722"/>
    <n v="1385"/>
    <n v="186"/>
    <n v="1571"/>
    <n v="2915"/>
    <n v="4486"/>
    <n v="23"/>
    <n v="79"/>
    <n v="1193"/>
    <n v="375"/>
    <n v="6054"/>
    <n v="111073"/>
  </r>
  <r>
    <x v="59"/>
    <s v="ITA"/>
    <x v="8"/>
    <x v="8"/>
    <n v="4441149315"/>
    <n v="89326992"/>
    <n v="783"/>
    <n v="91"/>
    <n v="874"/>
    <n v="2592"/>
    <n v="3466"/>
    <n v="-10"/>
    <n v="131"/>
    <n v="2536"/>
    <n v="1047"/>
    <n v="7049"/>
    <n v="37842"/>
  </r>
  <r>
    <x v="59"/>
    <s v="ITA"/>
    <x v="9"/>
    <x v="9"/>
    <n v="4546679409"/>
    <n v="9190347404"/>
    <n v="9192"/>
    <n v="790"/>
    <n v="9982"/>
    <n v="23891"/>
    <n v="33873"/>
    <n v="-369"/>
    <n v="1073"/>
    <n v="23352"/>
    <n v="12940"/>
    <n v="70165"/>
    <n v="302715"/>
  </r>
  <r>
    <x v="59"/>
    <s v="ITA"/>
    <x v="10"/>
    <x v="10"/>
    <n v="4361675973"/>
    <n v="135188753"/>
    <n v="727"/>
    <n v="71"/>
    <n v="798"/>
    <n v="2432"/>
    <n v="3230"/>
    <n v="0"/>
    <n v="28"/>
    <n v="1865"/>
    <n v="857"/>
    <n v="5952"/>
    <n v="47662"/>
  </r>
  <r>
    <x v="59"/>
    <s v="ITA"/>
    <x v="11"/>
    <x v="11"/>
    <n v="4155774754"/>
    <n v="1465916051"/>
    <n v="19"/>
    <n v="1"/>
    <n v="20"/>
    <n v="178"/>
    <n v="198"/>
    <n v="-7"/>
    <n v="0"/>
    <n v="66"/>
    <n v="20"/>
    <n v="284"/>
    <n v="4564"/>
  </r>
  <r>
    <x v="59"/>
    <s v="ITA"/>
    <x v="12"/>
    <x v="12"/>
    <n v="450732745"/>
    <n v="7680687483"/>
    <n v="3039"/>
    <n v="261"/>
    <n v="3300"/>
    <n v="11852"/>
    <n v="15152"/>
    <n v="30"/>
    <n v="401"/>
    <n v="5358"/>
    <n v="2630"/>
    <n v="23140"/>
    <n v="117970"/>
  </r>
  <r>
    <x v="59"/>
    <s v="ITA"/>
    <x v="13"/>
    <x v="13"/>
    <n v="4112559576"/>
    <n v="1686736689"/>
    <n v="536"/>
    <n v="55"/>
    <n v="591"/>
    <n v="2345"/>
    <n v="2936"/>
    <n v="62"/>
    <n v="109"/>
    <n v="531"/>
    <n v="372"/>
    <n v="3839"/>
    <n v="50410"/>
  </r>
  <r>
    <x v="59"/>
    <s v="ITA"/>
    <x v="14"/>
    <x v="14"/>
    <n v="3921531192"/>
    <n v="9110616306"/>
    <n v="90"/>
    <n v="20"/>
    <n v="110"/>
    <n v="707"/>
    <n v="817"/>
    <n v="-16"/>
    <n v="7"/>
    <n v="339"/>
    <n v="98"/>
    <n v="1254"/>
    <n v="17844"/>
  </r>
  <r>
    <x v="59"/>
    <s v="ITA"/>
    <x v="15"/>
    <x v="15"/>
    <n v="3811569725"/>
    <n v="133623567"/>
    <n v="476"/>
    <n v="34"/>
    <n v="510"/>
    <n v="1791"/>
    <n v="2301"/>
    <n v="14"/>
    <n v="43"/>
    <n v="412"/>
    <n v="213"/>
    <n v="2926"/>
    <n v="62150"/>
  </r>
  <r>
    <x v="59"/>
    <s v="ITA"/>
    <x v="16"/>
    <x v="16"/>
    <n v="4376923077"/>
    <n v="1125588885"/>
    <n v="791"/>
    <n v="168"/>
    <n v="959"/>
    <n v="5212"/>
    <n v="6171"/>
    <n v="4"/>
    <n v="80"/>
    <n v="1886"/>
    <n v="723"/>
    <n v="8780"/>
    <n v="118177"/>
  </r>
  <r>
    <x v="59"/>
    <s v="ITA"/>
    <x v="2"/>
    <x v="17"/>
    <n v="4606893511"/>
    <n v="1112123097"/>
    <n v="234"/>
    <n v="29"/>
    <n v="263"/>
    <n v="1608"/>
    <n v="1871"/>
    <n v="-3"/>
    <n v="81"/>
    <n v="1474"/>
    <n v="382"/>
    <n v="3727"/>
    <n v="28240"/>
  </r>
  <r>
    <x v="59"/>
    <s v="ITA"/>
    <x v="17"/>
    <x v="18"/>
    <n v="4310675841"/>
    <n v="1238824698"/>
    <n v="100"/>
    <n v="19"/>
    <n v="119"/>
    <n v="236"/>
    <n v="355"/>
    <n v="-16"/>
    <n v="5"/>
    <n v="946"/>
    <n v="61"/>
    <n v="1362"/>
    <n v="29011"/>
  </r>
  <r>
    <x v="59"/>
    <s v="ITA"/>
    <x v="18"/>
    <x v="19"/>
    <n v="4573750286"/>
    <n v="7320149366"/>
    <n v="91"/>
    <n v="9"/>
    <n v="100"/>
    <n v="363"/>
    <n v="463"/>
    <n v="-38"/>
    <n v="1"/>
    <n v="506"/>
    <n v="127"/>
    <n v="1096"/>
    <n v="5227"/>
  </r>
  <r>
    <x v="59"/>
    <s v="ITA"/>
    <x v="19"/>
    <x v="20"/>
    <n v="4543490485"/>
    <n v="1233845213"/>
    <n v="1189"/>
    <n v="140"/>
    <n v="1329"/>
    <n v="8596"/>
    <n v="9925"/>
    <n v="-66"/>
    <n v="143"/>
    <n v="5750"/>
    <n v="1206"/>
    <n v="16881"/>
    <n v="288075"/>
  </r>
  <r>
    <x v="60"/>
    <s v="ITA"/>
    <x v="0"/>
    <x v="0"/>
    <n v="4235122196"/>
    <n v="1339843823"/>
    <n v="327"/>
    <n v="28"/>
    <n v="355"/>
    <n v="1724"/>
    <n v="2079"/>
    <n v="-21"/>
    <n v="18"/>
    <n v="438"/>
    <n v="286"/>
    <n v="2803"/>
    <n v="32397"/>
  </r>
  <r>
    <x v="60"/>
    <s v="ITA"/>
    <x v="1"/>
    <x v="1"/>
    <n v="4063947052"/>
    <n v="1580514834"/>
    <n v="59"/>
    <n v="7"/>
    <n v="66"/>
    <n v="163"/>
    <n v="229"/>
    <n v="0"/>
    <n v="4"/>
    <n v="107"/>
    <n v="24"/>
    <n v="360"/>
    <n v="9026"/>
  </r>
  <r>
    <x v="60"/>
    <s v="ITA"/>
    <x v="2"/>
    <x v="2"/>
    <n v="4649933453"/>
    <n v="1135662422"/>
    <n v="148"/>
    <n v="16"/>
    <n v="164"/>
    <n v="929"/>
    <n v="1093"/>
    <n v="-401"/>
    <n v="21"/>
    <n v="1100"/>
    <n v="263"/>
    <n v="2456"/>
    <n v="35062"/>
  </r>
  <r>
    <x v="60"/>
    <s v="ITA"/>
    <x v="3"/>
    <x v="3"/>
    <n v="3890597598"/>
    <n v="1659440194"/>
    <n v="123"/>
    <n v="7"/>
    <n v="130"/>
    <n v="691"/>
    <n v="821"/>
    <n v="-2"/>
    <n v="10"/>
    <n v="178"/>
    <n v="80"/>
    <n v="1079"/>
    <n v="28764"/>
  </r>
  <r>
    <x v="60"/>
    <s v="ITA"/>
    <x v="4"/>
    <x v="4"/>
    <n v="4083956555"/>
    <n v="1425084984"/>
    <n v="524"/>
    <n v="44"/>
    <n v="568"/>
    <n v="2375"/>
    <n v="2943"/>
    <n v="-35"/>
    <n v="44"/>
    <n v="1003"/>
    <n v="336"/>
    <n v="4282"/>
    <n v="61331"/>
  </r>
  <r>
    <x v="60"/>
    <s v="ITA"/>
    <x v="5"/>
    <x v="5"/>
    <n v="4449436681"/>
    <n v="113417208"/>
    <n v="2807"/>
    <n v="264"/>
    <n v="3071"/>
    <n v="9438"/>
    <n v="12509"/>
    <n v="-336"/>
    <n v="247"/>
    <n v="8158"/>
    <n v="3303"/>
    <n v="23970"/>
    <n v="151505"/>
  </r>
  <r>
    <x v="60"/>
    <s v="ITA"/>
    <x v="6"/>
    <x v="6"/>
    <n v="456494354"/>
    <n v="1376813649"/>
    <n v="136"/>
    <n v="16"/>
    <n v="152"/>
    <n v="1168"/>
    <n v="1320"/>
    <n v="185"/>
    <n v="24"/>
    <n v="1304"/>
    <n v="258"/>
    <n v="2882"/>
    <n v="55502"/>
  </r>
  <r>
    <x v="60"/>
    <s v="ITA"/>
    <x v="7"/>
    <x v="7"/>
    <n v="4189277044"/>
    <n v="1248366722"/>
    <n v="1396"/>
    <n v="184"/>
    <n v="1580"/>
    <n v="2912"/>
    <n v="4492"/>
    <n v="6"/>
    <n v="78"/>
    <n v="1256"/>
    <n v="384"/>
    <n v="6132"/>
    <n v="114317"/>
  </r>
  <r>
    <x v="60"/>
    <s v="ITA"/>
    <x v="8"/>
    <x v="8"/>
    <n v="4441149315"/>
    <n v="89326992"/>
    <n v="760"/>
    <n v="87"/>
    <n v="847"/>
    <n v="2590"/>
    <n v="3437"/>
    <n v="-29"/>
    <n v="124"/>
    <n v="2660"/>
    <n v="1076"/>
    <n v="7173"/>
    <n v="39563"/>
  </r>
  <r>
    <x v="60"/>
    <s v="ITA"/>
    <x v="9"/>
    <x v="9"/>
    <n v="4546679409"/>
    <n v="9190347404"/>
    <n v="8791"/>
    <n v="756"/>
    <n v="9547"/>
    <n v="24821"/>
    <n v="34368"/>
    <n v="495"/>
    <n v="1091"/>
    <n v="23782"/>
    <n v="13106"/>
    <n v="71256"/>
    <n v="314298"/>
  </r>
  <r>
    <x v="60"/>
    <s v="ITA"/>
    <x v="10"/>
    <x v="10"/>
    <n v="4361675973"/>
    <n v="135188753"/>
    <n v="705"/>
    <n v="61"/>
    <n v="766"/>
    <n v="2507"/>
    <n v="3273"/>
    <n v="43"/>
    <n v="76"/>
    <n v="1890"/>
    <n v="865"/>
    <n v="6028"/>
    <n v="49163"/>
  </r>
  <r>
    <x v="60"/>
    <s v="ITA"/>
    <x v="11"/>
    <x v="11"/>
    <n v="4155774754"/>
    <n v="1465916051"/>
    <n v="19"/>
    <n v="1"/>
    <n v="20"/>
    <n v="180"/>
    <n v="200"/>
    <n v="2"/>
    <n v="3"/>
    <n v="67"/>
    <n v="20"/>
    <n v="287"/>
    <n v="4805"/>
  </r>
  <r>
    <x v="60"/>
    <s v="ITA"/>
    <x v="12"/>
    <x v="12"/>
    <n v="450732745"/>
    <n v="7680687483"/>
    <n v="2918"/>
    <n v="257"/>
    <n v="3175"/>
    <n v="12216"/>
    <n v="15391"/>
    <n v="239"/>
    <n v="682"/>
    <n v="5732"/>
    <n v="2699"/>
    <n v="23822"/>
    <n v="125300"/>
  </r>
  <r>
    <x v="60"/>
    <s v="ITA"/>
    <x v="13"/>
    <x v="13"/>
    <n v="4112559576"/>
    <n v="1686736689"/>
    <n v="496"/>
    <n v="51"/>
    <n v="547"/>
    <n v="2386"/>
    <n v="2933"/>
    <n v="-3"/>
    <n v="42"/>
    <n v="565"/>
    <n v="383"/>
    <n v="3881"/>
    <n v="52472"/>
  </r>
  <r>
    <x v="60"/>
    <s v="ITA"/>
    <x v="14"/>
    <x v="14"/>
    <n v="3921531192"/>
    <n v="9110616306"/>
    <n v="95"/>
    <n v="19"/>
    <n v="114"/>
    <n v="690"/>
    <n v="804"/>
    <n v="-13"/>
    <n v="3"/>
    <n v="351"/>
    <n v="102"/>
    <n v="1257"/>
    <n v="19889"/>
  </r>
  <r>
    <x v="60"/>
    <s v="ITA"/>
    <x v="15"/>
    <x v="15"/>
    <n v="3811569725"/>
    <n v="133623567"/>
    <n v="461"/>
    <n v="32"/>
    <n v="493"/>
    <n v="1827"/>
    <n v="2320"/>
    <n v="19"/>
    <n v="55"/>
    <n v="443"/>
    <n v="218"/>
    <n v="2981"/>
    <n v="65165"/>
  </r>
  <r>
    <x v="60"/>
    <s v="ITA"/>
    <x v="16"/>
    <x v="16"/>
    <n v="4376923077"/>
    <n v="1125588885"/>
    <n v="738"/>
    <n v="159"/>
    <n v="897"/>
    <n v="5236"/>
    <n v="6133"/>
    <n v="-38"/>
    <n v="97"/>
    <n v="2002"/>
    <n v="742"/>
    <n v="8877"/>
    <n v="121336"/>
  </r>
  <r>
    <x v="60"/>
    <s v="ITA"/>
    <x v="2"/>
    <x v="17"/>
    <n v="4606893511"/>
    <n v="1112123097"/>
    <n v="224"/>
    <n v="28"/>
    <n v="252"/>
    <n v="1575"/>
    <n v="1827"/>
    <n v="-44"/>
    <n v="49"/>
    <n v="1560"/>
    <n v="389"/>
    <n v="3776"/>
    <n v="29779"/>
  </r>
  <r>
    <x v="60"/>
    <s v="ITA"/>
    <x v="17"/>
    <x v="18"/>
    <n v="4310675841"/>
    <n v="1238824698"/>
    <n v="94"/>
    <n v="19"/>
    <n v="113"/>
    <n v="209"/>
    <n v="322"/>
    <n v="-33"/>
    <n v="1"/>
    <n v="979"/>
    <n v="62"/>
    <n v="1363"/>
    <n v="30524"/>
  </r>
  <r>
    <x v="60"/>
    <s v="ITA"/>
    <x v="18"/>
    <x v="19"/>
    <n v="4573750286"/>
    <n v="7320149366"/>
    <n v="88"/>
    <n v="7"/>
    <n v="95"/>
    <n v="259"/>
    <n v="354"/>
    <n v="-109"/>
    <n v="4"/>
    <n v="617"/>
    <n v="129"/>
    <n v="1100"/>
    <n v="5262"/>
  </r>
  <r>
    <x v="60"/>
    <s v="ITA"/>
    <x v="19"/>
    <x v="20"/>
    <n v="4543490485"/>
    <n v="1233845213"/>
    <n v="1159"/>
    <n v="130"/>
    <n v="1289"/>
    <n v="8390"/>
    <n v="9679"/>
    <n v="-246"/>
    <n v="348"/>
    <n v="6306"/>
    <n v="1244"/>
    <n v="17229"/>
    <n v="296896"/>
  </r>
  <r>
    <x v="61"/>
    <s v="ITA"/>
    <x v="0"/>
    <x v="0"/>
    <n v="4235122196"/>
    <n v="1339843823"/>
    <n v="323"/>
    <n v="26"/>
    <n v="349"/>
    <n v="1712"/>
    <n v="2061"/>
    <n v="-18"/>
    <n v="29"/>
    <n v="478"/>
    <n v="293"/>
    <n v="2832"/>
    <n v="33624"/>
  </r>
  <r>
    <x v="61"/>
    <s v="ITA"/>
    <x v="1"/>
    <x v="1"/>
    <n v="4063947052"/>
    <n v="1580514834"/>
    <n v="58"/>
    <n v="7"/>
    <n v="65"/>
    <n v="153"/>
    <n v="218"/>
    <n v="-11"/>
    <n v="1"/>
    <n v="118"/>
    <n v="25"/>
    <n v="361"/>
    <n v="9792"/>
  </r>
  <r>
    <x v="61"/>
    <s v="ITA"/>
    <x v="2"/>
    <x v="2"/>
    <n v="4649933453"/>
    <n v="1135662422"/>
    <n v="141"/>
    <n v="14"/>
    <n v="155"/>
    <n v="880"/>
    <n v="1035"/>
    <n v="-58"/>
    <n v="20"/>
    <n v="1176"/>
    <n v="265"/>
    <n v="2476"/>
    <n v="36608"/>
  </r>
  <r>
    <x v="61"/>
    <s v="ITA"/>
    <x v="3"/>
    <x v="3"/>
    <n v="3890597598"/>
    <n v="1659440194"/>
    <n v="125"/>
    <n v="7"/>
    <n v="132"/>
    <n v="679"/>
    <n v="811"/>
    <n v="-10"/>
    <n v="9"/>
    <n v="197"/>
    <n v="80"/>
    <n v="1088"/>
    <n v="29959"/>
  </r>
  <r>
    <x v="61"/>
    <s v="ITA"/>
    <x v="4"/>
    <x v="4"/>
    <n v="4083956555"/>
    <n v="1425084984"/>
    <n v="543"/>
    <n v="55"/>
    <n v="598"/>
    <n v="2337"/>
    <n v="2935"/>
    <n v="-8"/>
    <n v="17"/>
    <n v="1023"/>
    <n v="341"/>
    <n v="4299"/>
    <n v="64521"/>
  </r>
  <r>
    <x v="61"/>
    <s v="ITA"/>
    <x v="5"/>
    <x v="5"/>
    <n v="4449436681"/>
    <n v="113417208"/>
    <n v="2718"/>
    <n v="246"/>
    <n v="2964"/>
    <n v="9383"/>
    <n v="12347"/>
    <n v="-162"/>
    <n v="239"/>
    <n v="8515"/>
    <n v="3347"/>
    <n v="24209"/>
    <n v="156883"/>
  </r>
  <r>
    <x v="61"/>
    <s v="ITA"/>
    <x v="6"/>
    <x v="6"/>
    <n v="456494354"/>
    <n v="1376813649"/>
    <n v="122"/>
    <n v="15"/>
    <n v="137"/>
    <n v="947"/>
    <n v="1084"/>
    <n v="-236"/>
    <n v="21"/>
    <n v="1556"/>
    <n v="263"/>
    <n v="2903"/>
    <n v="58375"/>
  </r>
  <r>
    <x v="61"/>
    <s v="ITA"/>
    <x v="7"/>
    <x v="7"/>
    <n v="4189277044"/>
    <n v="1248366722"/>
    <n v="1421"/>
    <n v="183"/>
    <n v="1604"/>
    <n v="2957"/>
    <n v="4561"/>
    <n v="69"/>
    <n v="92"/>
    <n v="1276"/>
    <n v="387"/>
    <n v="6224"/>
    <n v="118354"/>
  </r>
  <r>
    <x v="61"/>
    <s v="ITA"/>
    <x v="8"/>
    <x v="8"/>
    <n v="4441149315"/>
    <n v="89326992"/>
    <n v="759"/>
    <n v="83"/>
    <n v="842"/>
    <n v="2591"/>
    <n v="3433"/>
    <n v="-4"/>
    <n v="128"/>
    <n v="2775"/>
    <n v="1093"/>
    <n v="7301"/>
    <n v="41125"/>
  </r>
  <r>
    <x v="61"/>
    <s v="ITA"/>
    <x v="9"/>
    <x v="9"/>
    <n v="4546679409"/>
    <n v="9190347404"/>
    <n v="8489"/>
    <n v="724"/>
    <n v="9213"/>
    <n v="25260"/>
    <n v="34473"/>
    <n v="105"/>
    <n v="713"/>
    <n v="24227"/>
    <n v="13269"/>
    <n v="71969"/>
    <n v="326940"/>
  </r>
  <r>
    <x v="61"/>
    <s v="ITA"/>
    <x v="10"/>
    <x v="10"/>
    <n v="4361675973"/>
    <n v="135188753"/>
    <n v="689"/>
    <n v="58"/>
    <n v="747"/>
    <n v="2525"/>
    <n v="3272"/>
    <n v="-1"/>
    <n v="30"/>
    <n v="1912"/>
    <n v="874"/>
    <n v="6058"/>
    <n v="50996"/>
  </r>
  <r>
    <x v="61"/>
    <s v="ITA"/>
    <x v="11"/>
    <x v="11"/>
    <n v="4155774754"/>
    <n v="1465916051"/>
    <n v="19"/>
    <n v="1"/>
    <n v="20"/>
    <n v="178"/>
    <n v="198"/>
    <n v="-2"/>
    <n v="5"/>
    <n v="73"/>
    <n v="21"/>
    <n v="292"/>
    <n v="5191"/>
  </r>
  <r>
    <x v="61"/>
    <s v="ITA"/>
    <x v="12"/>
    <x v="12"/>
    <n v="450732745"/>
    <n v="7680687483"/>
    <n v="2937"/>
    <n v="238"/>
    <n v="3175"/>
    <n v="12327"/>
    <n v="15502"/>
    <n v="111"/>
    <n v="604"/>
    <n v="6157"/>
    <n v="2767"/>
    <n v="24426"/>
    <n v="131107"/>
  </r>
  <r>
    <x v="61"/>
    <s v="ITA"/>
    <x v="13"/>
    <x v="13"/>
    <n v="4112559576"/>
    <n v="1686736689"/>
    <n v="469"/>
    <n v="48"/>
    <n v="517"/>
    <n v="2402"/>
    <n v="2919"/>
    <n v="-14"/>
    <n v="31"/>
    <n v="602"/>
    <n v="391"/>
    <n v="3912"/>
    <n v="54628"/>
  </r>
  <r>
    <x v="61"/>
    <s v="ITA"/>
    <x v="14"/>
    <x v="14"/>
    <n v="3921531192"/>
    <n v="9110616306"/>
    <n v="96"/>
    <n v="18"/>
    <n v="114"/>
    <n v="680"/>
    <n v="794"/>
    <n v="-10"/>
    <n v="14"/>
    <n v="374"/>
    <n v="103"/>
    <n v="1271"/>
    <n v="20351"/>
  </r>
  <r>
    <x v="61"/>
    <s v="ITA"/>
    <x v="15"/>
    <x v="15"/>
    <n v="3811569725"/>
    <n v="133623567"/>
    <n v="452"/>
    <n v="33"/>
    <n v="485"/>
    <n v="1787"/>
    <n v="2272"/>
    <n v="-48"/>
    <n v="39"/>
    <n v="524"/>
    <n v="224"/>
    <n v="3020"/>
    <n v="68251"/>
  </r>
  <r>
    <x v="61"/>
    <s v="ITA"/>
    <x v="16"/>
    <x v="16"/>
    <n v="4376923077"/>
    <n v="1125588885"/>
    <n v="687"/>
    <n v="166"/>
    <n v="853"/>
    <n v="5293"/>
    <n v="6146"/>
    <n v="13"/>
    <n v="138"/>
    <n v="2109"/>
    <n v="760"/>
    <n v="9015"/>
    <n v="125495"/>
  </r>
  <r>
    <x v="61"/>
    <s v="ITA"/>
    <x v="2"/>
    <x v="17"/>
    <n v="4606893511"/>
    <n v="1112123097"/>
    <n v="202"/>
    <n v="27"/>
    <n v="229"/>
    <n v="1515"/>
    <n v="1744"/>
    <n v="-83"/>
    <n v="62"/>
    <n v="1694"/>
    <n v="400"/>
    <n v="3838"/>
    <n v="30661"/>
  </r>
  <r>
    <x v="61"/>
    <s v="ITA"/>
    <x v="17"/>
    <x v="18"/>
    <n v="4310675841"/>
    <n v="1238824698"/>
    <n v="95"/>
    <n v="18"/>
    <n v="113"/>
    <n v="184"/>
    <n v="297"/>
    <n v="-25"/>
    <n v="3"/>
    <n v="1006"/>
    <n v="63"/>
    <n v="1366"/>
    <n v="31939"/>
  </r>
  <r>
    <x v="61"/>
    <s v="ITA"/>
    <x v="18"/>
    <x v="19"/>
    <n v="4573750286"/>
    <n v="7320149366"/>
    <n v="83"/>
    <n v="6"/>
    <n v="89"/>
    <n v="224"/>
    <n v="313"/>
    <n v="-41"/>
    <n v="0"/>
    <n v="657"/>
    <n v="130"/>
    <n v="1100"/>
    <n v="5966"/>
  </r>
  <r>
    <x v="61"/>
    <s v="ITA"/>
    <x v="19"/>
    <x v="20"/>
    <n v="4543490485"/>
    <n v="1233845213"/>
    <n v="1105"/>
    <n v="129"/>
    <n v="1234"/>
    <n v="8198"/>
    <n v="9432"/>
    <n v="-247"/>
    <n v="162"/>
    <n v="6671"/>
    <n v="1288"/>
    <n v="17391"/>
    <n v="306977"/>
  </r>
  <r>
    <x v="62"/>
    <s v="ITA"/>
    <x v="0"/>
    <x v="0"/>
    <n v="4235122196"/>
    <n v="1339843823"/>
    <n v="324"/>
    <n v="24"/>
    <n v="348"/>
    <n v="1720"/>
    <n v="2068"/>
    <n v="7"/>
    <n v="27"/>
    <n v="496"/>
    <n v="295"/>
    <n v="2859"/>
    <n v="33820"/>
  </r>
  <r>
    <x v="62"/>
    <s v="ITA"/>
    <x v="1"/>
    <x v="1"/>
    <n v="4063947052"/>
    <n v="1580514834"/>
    <n v="57"/>
    <n v="7"/>
    <n v="64"/>
    <n v="155"/>
    <n v="219"/>
    <n v="1"/>
    <n v="5"/>
    <n v="122"/>
    <n v="25"/>
    <n v="366"/>
    <n v="10077"/>
  </r>
  <r>
    <x v="62"/>
    <s v="ITA"/>
    <x v="2"/>
    <x v="2"/>
    <n v="4649933453"/>
    <n v="1135662422"/>
    <n v="138"/>
    <n v="14"/>
    <n v="152"/>
    <n v="842"/>
    <n v="994"/>
    <n v="-41"/>
    <n v="5"/>
    <n v="1218"/>
    <n v="269"/>
    <n v="2481"/>
    <n v="37431"/>
  </r>
  <r>
    <x v="62"/>
    <s v="ITA"/>
    <x v="3"/>
    <x v="3"/>
    <n v="3890597598"/>
    <n v="1659440194"/>
    <n v="118"/>
    <n v="8"/>
    <n v="126"/>
    <n v="671"/>
    <n v="797"/>
    <n v="-14"/>
    <n v="1"/>
    <n v="212"/>
    <n v="80"/>
    <n v="1089"/>
    <n v="30853"/>
  </r>
  <r>
    <x v="62"/>
    <s v="ITA"/>
    <x v="4"/>
    <x v="4"/>
    <n v="4083956555"/>
    <n v="1425084984"/>
    <n v="536"/>
    <n v="45"/>
    <n v="581"/>
    <n v="2343"/>
    <n v="2924"/>
    <n v="-11"/>
    <n v="32"/>
    <n v="1062"/>
    <n v="345"/>
    <n v="4331"/>
    <n v="67218"/>
  </r>
  <r>
    <x v="62"/>
    <s v="ITA"/>
    <x v="5"/>
    <x v="5"/>
    <n v="4449436681"/>
    <n v="113417208"/>
    <n v="2695"/>
    <n v="245"/>
    <n v="2940"/>
    <n v="9401"/>
    <n v="12341"/>
    <n v="-6"/>
    <n v="241"/>
    <n v="8723"/>
    <n v="3386"/>
    <n v="24450"/>
    <n v="161928"/>
  </r>
  <r>
    <x v="62"/>
    <s v="ITA"/>
    <x v="6"/>
    <x v="6"/>
    <n v="456494354"/>
    <n v="1376813649"/>
    <n v="129"/>
    <n v="13"/>
    <n v="142"/>
    <n v="1106"/>
    <n v="1248"/>
    <n v="164"/>
    <n v="14"/>
    <n v="1405"/>
    <n v="264"/>
    <n v="2917"/>
    <n v="59681"/>
  </r>
  <r>
    <x v="62"/>
    <s v="ITA"/>
    <x v="7"/>
    <x v="7"/>
    <n v="4189277044"/>
    <n v="1248366722"/>
    <n v="1442"/>
    <n v="161"/>
    <n v="1603"/>
    <n v="2970"/>
    <n v="4573"/>
    <n v="12"/>
    <n v="85"/>
    <n v="1347"/>
    <n v="389"/>
    <n v="6309"/>
    <n v="121677"/>
  </r>
  <r>
    <x v="62"/>
    <s v="ITA"/>
    <x v="8"/>
    <x v="8"/>
    <n v="4441149315"/>
    <n v="89326992"/>
    <n v="748"/>
    <n v="82"/>
    <n v="830"/>
    <n v="2650"/>
    <n v="3480"/>
    <n v="47"/>
    <n v="187"/>
    <n v="2894"/>
    <n v="1114"/>
    <n v="7488"/>
    <n v="42607"/>
  </r>
  <r>
    <x v="62"/>
    <s v="ITA"/>
    <x v="9"/>
    <x v="9"/>
    <n v="4546679409"/>
    <n v="9190347404"/>
    <n v="8481"/>
    <n v="706"/>
    <n v="9187"/>
    <n v="25979"/>
    <n v="35166"/>
    <n v="693"/>
    <n v="920"/>
    <n v="24398"/>
    <n v="13325"/>
    <n v="72889"/>
    <n v="337797"/>
  </r>
  <r>
    <x v="62"/>
    <s v="ITA"/>
    <x v="10"/>
    <x v="10"/>
    <n v="4361675973"/>
    <n v="135188753"/>
    <n v="668"/>
    <n v="58"/>
    <n v="726"/>
    <n v="2582"/>
    <n v="3308"/>
    <n v="36"/>
    <n v="53"/>
    <n v="1924"/>
    <n v="879"/>
    <n v="6111"/>
    <n v="52063"/>
  </r>
  <r>
    <x v="62"/>
    <s v="ITA"/>
    <x v="11"/>
    <x v="11"/>
    <n v="4155774754"/>
    <n v="1465916051"/>
    <n v="20"/>
    <n v="1"/>
    <n v="21"/>
    <n v="179"/>
    <n v="200"/>
    <n v="2"/>
    <n v="4"/>
    <n v="75"/>
    <n v="21"/>
    <n v="296"/>
    <n v="5567"/>
  </r>
  <r>
    <x v="62"/>
    <s v="ITA"/>
    <x v="12"/>
    <x v="12"/>
    <n v="450732745"/>
    <n v="7680687483"/>
    <n v="2866"/>
    <n v="214"/>
    <n v="3080"/>
    <n v="12439"/>
    <n v="15519"/>
    <n v="17"/>
    <n v="394"/>
    <n v="6478"/>
    <n v="2823"/>
    <n v="24820"/>
    <n v="135142"/>
  </r>
  <r>
    <x v="62"/>
    <s v="ITA"/>
    <x v="13"/>
    <x v="13"/>
    <n v="4112559576"/>
    <n v="1686736689"/>
    <n v="464"/>
    <n v="48"/>
    <n v="512"/>
    <n v="2425"/>
    <n v="2937"/>
    <n v="18"/>
    <n v="36"/>
    <n v="612"/>
    <n v="399"/>
    <n v="3948"/>
    <n v="55992"/>
  </r>
  <r>
    <x v="62"/>
    <s v="ITA"/>
    <x v="14"/>
    <x v="14"/>
    <n v="3921531192"/>
    <n v="9110616306"/>
    <n v="95"/>
    <n v="20"/>
    <n v="115"/>
    <n v="668"/>
    <n v="783"/>
    <n v="-11"/>
    <n v="9"/>
    <n v="388"/>
    <n v="109"/>
    <n v="1280"/>
    <n v="21101"/>
  </r>
  <r>
    <x v="62"/>
    <s v="ITA"/>
    <x v="15"/>
    <x v="15"/>
    <n v="3811569725"/>
    <n v="133623567"/>
    <n v="445"/>
    <n v="33"/>
    <n v="478"/>
    <n v="1629"/>
    <n v="2107"/>
    <n v="-165"/>
    <n v="35"/>
    <n v="720"/>
    <n v="228"/>
    <n v="3055"/>
    <n v="70104"/>
  </r>
  <r>
    <x v="62"/>
    <s v="ITA"/>
    <x v="16"/>
    <x v="16"/>
    <n v="4376923077"/>
    <n v="1125588885"/>
    <n v="677"/>
    <n v="158"/>
    <n v="835"/>
    <n v="5234"/>
    <n v="6069"/>
    <n v="-77"/>
    <n v="132"/>
    <n v="2300"/>
    <n v="778"/>
    <n v="9147"/>
    <n v="127394"/>
  </r>
  <r>
    <x v="62"/>
    <s v="ITA"/>
    <x v="2"/>
    <x v="17"/>
    <n v="4606893511"/>
    <n v="1112123097"/>
    <n v="199"/>
    <n v="24"/>
    <n v="223"/>
    <n v="1459"/>
    <n v="1682"/>
    <n v="-62"/>
    <n v="56"/>
    <n v="1807"/>
    <n v="405"/>
    <n v="3894"/>
    <n v="32142"/>
  </r>
  <r>
    <x v="62"/>
    <s v="ITA"/>
    <x v="17"/>
    <x v="18"/>
    <n v="4310675841"/>
    <n v="1238824698"/>
    <n v="91"/>
    <n v="17"/>
    <n v="108"/>
    <n v="188"/>
    <n v="296"/>
    <n v="-1"/>
    <n v="2"/>
    <n v="1008"/>
    <n v="64"/>
    <n v="1368"/>
    <n v="32569"/>
  </r>
  <r>
    <x v="62"/>
    <s v="ITA"/>
    <x v="18"/>
    <x v="19"/>
    <n v="4573750286"/>
    <n v="7320149366"/>
    <n v="82"/>
    <n v="7"/>
    <n v="89"/>
    <n v="165"/>
    <n v="254"/>
    <n v="-59"/>
    <n v="6"/>
    <n v="721"/>
    <n v="131"/>
    <n v="1106"/>
    <n v="6135"/>
  </r>
  <r>
    <x v="62"/>
    <s v="ITA"/>
    <x v="19"/>
    <x v="20"/>
    <n v="4543490485"/>
    <n v="1233845213"/>
    <n v="1097"/>
    <n v="124"/>
    <n v="1221"/>
    <n v="7917"/>
    <n v="9138"/>
    <n v="-294"/>
    <n v="80"/>
    <n v="7018"/>
    <n v="1315"/>
    <n v="17471"/>
    <n v="316361"/>
  </r>
  <r>
    <x v="63"/>
    <s v="ITA"/>
    <x v="0"/>
    <x v="0"/>
    <n v="4235122196"/>
    <n v="1339843823"/>
    <n v="328"/>
    <n v="23"/>
    <n v="351"/>
    <n v="1679"/>
    <n v="2030"/>
    <n v="-38"/>
    <n v="15"/>
    <n v="545"/>
    <n v="299"/>
    <n v="2874"/>
    <n v="34176"/>
  </r>
  <r>
    <x v="63"/>
    <s v="ITA"/>
    <x v="1"/>
    <x v="1"/>
    <n v="4063947052"/>
    <n v="1580514834"/>
    <n v="57"/>
    <n v="7"/>
    <n v="64"/>
    <n v="153"/>
    <n v="217"/>
    <n v="-2"/>
    <n v="0"/>
    <n v="124"/>
    <n v="25"/>
    <n v="366"/>
    <n v="10364"/>
  </r>
  <r>
    <x v="63"/>
    <s v="ITA"/>
    <x v="2"/>
    <x v="2"/>
    <n v="4649933453"/>
    <n v="1135662422"/>
    <n v="150"/>
    <n v="16"/>
    <n v="166"/>
    <n v="774"/>
    <n v="940"/>
    <n v="-54"/>
    <n v="15"/>
    <n v="1286"/>
    <n v="270"/>
    <n v="2496"/>
    <n v="38640"/>
  </r>
  <r>
    <x v="63"/>
    <s v="ITA"/>
    <x v="3"/>
    <x v="3"/>
    <n v="3890597598"/>
    <n v="1659440194"/>
    <n v="114"/>
    <n v="6"/>
    <n v="120"/>
    <n v="662"/>
    <n v="782"/>
    <n v="-15"/>
    <n v="7"/>
    <n v="231"/>
    <n v="83"/>
    <n v="1096"/>
    <n v="31787"/>
  </r>
  <r>
    <x v="63"/>
    <s v="ITA"/>
    <x v="4"/>
    <x v="4"/>
    <n v="4083956555"/>
    <n v="1425084984"/>
    <n v="541"/>
    <n v="37"/>
    <n v="578"/>
    <n v="2299"/>
    <n v="2877"/>
    <n v="-47"/>
    <n v="18"/>
    <n v="1120"/>
    <n v="352"/>
    <n v="4349"/>
    <n v="68727"/>
  </r>
  <r>
    <x v="63"/>
    <s v="ITA"/>
    <x v="5"/>
    <x v="5"/>
    <n v="4449436681"/>
    <n v="113417208"/>
    <n v="2640"/>
    <n v="247"/>
    <n v="2887"/>
    <n v="9338"/>
    <n v="12225"/>
    <n v="-116"/>
    <n v="212"/>
    <n v="9006"/>
    <n v="3431"/>
    <n v="24662"/>
    <n v="164979"/>
  </r>
  <r>
    <x v="63"/>
    <s v="ITA"/>
    <x v="6"/>
    <x v="6"/>
    <n v="456494354"/>
    <n v="1376813649"/>
    <n v="130"/>
    <n v="13"/>
    <n v="143"/>
    <n v="1115"/>
    <n v="1258"/>
    <n v="10"/>
    <n v="60"/>
    <n v="1448"/>
    <n v="271"/>
    <n v="2977"/>
    <n v="60940"/>
  </r>
  <r>
    <x v="63"/>
    <s v="ITA"/>
    <x v="7"/>
    <x v="7"/>
    <n v="4189277044"/>
    <n v="1248366722"/>
    <n v="1464"/>
    <n v="143"/>
    <n v="1607"/>
    <n v="2955"/>
    <n v="4562"/>
    <n v="-11"/>
    <n v="83"/>
    <n v="1433"/>
    <n v="397"/>
    <n v="6392"/>
    <n v="124769"/>
  </r>
  <r>
    <x v="63"/>
    <s v="ITA"/>
    <x v="8"/>
    <x v="8"/>
    <n v="4441149315"/>
    <n v="89326992"/>
    <n v="754"/>
    <n v="83"/>
    <n v="837"/>
    <n v="2743"/>
    <n v="3580"/>
    <n v="100"/>
    <n v="154"/>
    <n v="2934"/>
    <n v="1128"/>
    <n v="7642"/>
    <n v="44039"/>
  </r>
  <r>
    <x v="63"/>
    <s v="ITA"/>
    <x v="9"/>
    <x v="9"/>
    <n v="4546679409"/>
    <n v="9190347404"/>
    <n v="7525"/>
    <n v="680"/>
    <n v="8205"/>
    <n v="27236"/>
    <n v="35441"/>
    <n v="275"/>
    <n v="590"/>
    <n v="24589"/>
    <n v="13449"/>
    <n v="73479"/>
    <n v="342850"/>
  </r>
  <r>
    <x v="63"/>
    <s v="ITA"/>
    <x v="10"/>
    <x v="10"/>
    <n v="4361675973"/>
    <n v="135188753"/>
    <n v="667"/>
    <n v="58"/>
    <n v="725"/>
    <n v="2585"/>
    <n v="3310"/>
    <n v="2"/>
    <n v="16"/>
    <n v="1933"/>
    <n v="884"/>
    <n v="6127"/>
    <n v="52765"/>
  </r>
  <r>
    <x v="63"/>
    <s v="ITA"/>
    <x v="11"/>
    <x v="11"/>
    <n v="4155774754"/>
    <n v="1465916051"/>
    <n v="20"/>
    <n v="1"/>
    <n v="21"/>
    <n v="179"/>
    <n v="200"/>
    <n v="0"/>
    <n v="0"/>
    <n v="75"/>
    <n v="21"/>
    <n v="296"/>
    <n v="5656"/>
  </r>
  <r>
    <x v="63"/>
    <s v="ITA"/>
    <x v="12"/>
    <x v="12"/>
    <n v="450732745"/>
    <n v="7680687483"/>
    <n v="2830"/>
    <n v="214"/>
    <n v="3044"/>
    <n v="12464"/>
    <n v="15508"/>
    <n v="-11"/>
    <n v="278"/>
    <n v="6712"/>
    <n v="2878"/>
    <n v="25098"/>
    <n v="139348"/>
  </r>
  <r>
    <x v="63"/>
    <s v="ITA"/>
    <x v="13"/>
    <x v="13"/>
    <n v="4112559576"/>
    <n v="1686736689"/>
    <n v="449"/>
    <n v="51"/>
    <n v="500"/>
    <n v="2412"/>
    <n v="2912"/>
    <n v="-25"/>
    <n v="10"/>
    <n v="641"/>
    <n v="405"/>
    <n v="3958"/>
    <n v="56976"/>
  </r>
  <r>
    <x v="63"/>
    <s v="ITA"/>
    <x v="14"/>
    <x v="14"/>
    <n v="3921531192"/>
    <n v="9110616306"/>
    <n v="97"/>
    <n v="19"/>
    <n v="116"/>
    <n v="660"/>
    <n v="776"/>
    <n v="-7"/>
    <n v="3"/>
    <n v="398"/>
    <n v="109"/>
    <n v="1283"/>
    <n v="21395"/>
  </r>
  <r>
    <x v="63"/>
    <s v="ITA"/>
    <x v="15"/>
    <x v="15"/>
    <n v="3811569725"/>
    <n v="133623567"/>
    <n v="440"/>
    <n v="35"/>
    <n v="475"/>
    <n v="1648"/>
    <n v="2123"/>
    <n v="16"/>
    <n v="30"/>
    <n v="731"/>
    <n v="231"/>
    <n v="3085"/>
    <n v="70650"/>
  </r>
  <r>
    <x v="63"/>
    <s v="ITA"/>
    <x v="16"/>
    <x v="16"/>
    <n v="4376923077"/>
    <n v="1125588885"/>
    <n v="671"/>
    <n v="154"/>
    <n v="825"/>
    <n v="5158"/>
    <n v="5983"/>
    <n v="-86"/>
    <n v="32"/>
    <n v="2401"/>
    <n v="795"/>
    <n v="9179"/>
    <n v="129048"/>
  </r>
  <r>
    <x v="63"/>
    <s v="ITA"/>
    <x v="2"/>
    <x v="17"/>
    <n v="4606893511"/>
    <n v="1112123097"/>
    <n v="201"/>
    <n v="23"/>
    <n v="224"/>
    <n v="1483"/>
    <n v="1707"/>
    <n v="25"/>
    <n v="101"/>
    <n v="1881"/>
    <n v="407"/>
    <n v="3995"/>
    <n v="33152"/>
  </r>
  <r>
    <x v="63"/>
    <s v="ITA"/>
    <x v="17"/>
    <x v="18"/>
    <n v="4310675841"/>
    <n v="1238824698"/>
    <n v="90"/>
    <n v="16"/>
    <n v="106"/>
    <n v="181"/>
    <n v="287"/>
    <n v="-9"/>
    <n v="2"/>
    <n v="1018"/>
    <n v="65"/>
    <n v="1370"/>
    <n v="32823"/>
  </r>
  <r>
    <x v="63"/>
    <s v="ITA"/>
    <x v="18"/>
    <x v="19"/>
    <n v="4573750286"/>
    <n v="7320149366"/>
    <n v="86"/>
    <n v="7"/>
    <n v="93"/>
    <n v="142"/>
    <n v="235"/>
    <n v="-19"/>
    <n v="5"/>
    <n v="743"/>
    <n v="133"/>
    <n v="1111"/>
    <n v="6551"/>
  </r>
  <r>
    <x v="63"/>
    <s v="ITA"/>
    <x v="19"/>
    <x v="20"/>
    <n v="4543490485"/>
    <n v="1233845213"/>
    <n v="1099"/>
    <n v="123"/>
    <n v="1222"/>
    <n v="7638"/>
    <n v="8860"/>
    <n v="-278"/>
    <n v="108"/>
    <n v="7375"/>
    <n v="1344"/>
    <n v="17579"/>
    <n v="320027"/>
  </r>
  <r>
    <x v="64"/>
    <s v="ITA"/>
    <x v="0"/>
    <x v="0"/>
    <n v="4235122196"/>
    <n v="1339843823"/>
    <n v="312"/>
    <n v="21"/>
    <n v="333"/>
    <n v="1657"/>
    <n v="1990"/>
    <n v="-40"/>
    <n v="25"/>
    <n v="599"/>
    <n v="310"/>
    <n v="2899"/>
    <n v="35356"/>
  </r>
  <r>
    <x v="64"/>
    <s v="ITA"/>
    <x v="1"/>
    <x v="1"/>
    <n v="4063947052"/>
    <n v="1580514834"/>
    <n v="56"/>
    <n v="7"/>
    <n v="63"/>
    <n v="142"/>
    <n v="205"/>
    <n v="-12"/>
    <n v="0"/>
    <n v="136"/>
    <n v="25"/>
    <n v="366"/>
    <n v="10889"/>
  </r>
  <r>
    <x v="64"/>
    <s v="ITA"/>
    <x v="2"/>
    <x v="2"/>
    <n v="4649933453"/>
    <n v="1135662422"/>
    <n v="136"/>
    <n v="15"/>
    <n v="151"/>
    <n v="759"/>
    <n v="910"/>
    <n v="-30"/>
    <n v="2"/>
    <n v="1316"/>
    <n v="272"/>
    <n v="2498"/>
    <n v="39130"/>
  </r>
  <r>
    <x v="64"/>
    <s v="ITA"/>
    <x v="3"/>
    <x v="3"/>
    <n v="3890597598"/>
    <n v="1659440194"/>
    <n v="113"/>
    <n v="6"/>
    <n v="119"/>
    <n v="645"/>
    <n v="764"/>
    <n v="-18"/>
    <n v="1"/>
    <n v="248"/>
    <n v="85"/>
    <n v="1097"/>
    <n v="33755"/>
  </r>
  <r>
    <x v="64"/>
    <s v="ITA"/>
    <x v="4"/>
    <x v="4"/>
    <n v="4083956555"/>
    <n v="1425084984"/>
    <n v="544"/>
    <n v="33"/>
    <n v="577"/>
    <n v="2225"/>
    <n v="2802"/>
    <n v="-75"/>
    <n v="31"/>
    <n v="1220"/>
    <n v="358"/>
    <n v="4380"/>
    <n v="70566"/>
  </r>
  <r>
    <x v="64"/>
    <s v="ITA"/>
    <x v="5"/>
    <x v="5"/>
    <n v="4449436681"/>
    <n v="113417208"/>
    <n v="2574"/>
    <n v="228"/>
    <n v="2802"/>
    <n v="9201"/>
    <n v="12003"/>
    <n v="-222"/>
    <n v="252"/>
    <n v="9439"/>
    <n v="3472"/>
    <n v="24914"/>
    <n v="172589"/>
  </r>
  <r>
    <x v="64"/>
    <s v="ITA"/>
    <x v="6"/>
    <x v="6"/>
    <n v="456494354"/>
    <n v="1376813649"/>
    <n v="136"/>
    <n v="13"/>
    <n v="149"/>
    <n v="1090"/>
    <n v="1239"/>
    <n v="-19"/>
    <n v="18"/>
    <n v="1478"/>
    <n v="278"/>
    <n v="2995"/>
    <n v="64151"/>
  </r>
  <r>
    <x v="64"/>
    <s v="ITA"/>
    <x v="7"/>
    <x v="7"/>
    <n v="4189277044"/>
    <n v="1248366722"/>
    <n v="1468"/>
    <n v="132"/>
    <n v="1600"/>
    <n v="2962"/>
    <n v="4562"/>
    <n v="0"/>
    <n v="75"/>
    <n v="1491"/>
    <n v="414"/>
    <n v="6467"/>
    <n v="128664"/>
  </r>
  <r>
    <x v="64"/>
    <s v="ITA"/>
    <x v="8"/>
    <x v="8"/>
    <n v="4441149315"/>
    <n v="89326992"/>
    <n v="718"/>
    <n v="81"/>
    <n v="799"/>
    <n v="2772"/>
    <n v="3571"/>
    <n v="-9"/>
    <n v="130"/>
    <n v="3060"/>
    <n v="1141"/>
    <n v="7772"/>
    <n v="45719"/>
  </r>
  <r>
    <x v="64"/>
    <s v="ITA"/>
    <x v="9"/>
    <x v="9"/>
    <n v="4546679409"/>
    <n v="9190347404"/>
    <n v="7280"/>
    <n v="655"/>
    <n v="7935"/>
    <n v="27809"/>
    <n v="35744"/>
    <n v="303"/>
    <n v="869"/>
    <n v="25029"/>
    <n v="13575"/>
    <n v="74348"/>
    <n v="351423"/>
  </r>
  <r>
    <x v="64"/>
    <s v="ITA"/>
    <x v="10"/>
    <x v="10"/>
    <n v="4361675973"/>
    <n v="135188753"/>
    <n v="666"/>
    <n v="58"/>
    <n v="724"/>
    <n v="2610"/>
    <n v="3334"/>
    <n v="24"/>
    <n v="48"/>
    <n v="1948"/>
    <n v="893"/>
    <n v="6175"/>
    <n v="54313"/>
  </r>
  <r>
    <x v="64"/>
    <s v="ITA"/>
    <x v="11"/>
    <x v="11"/>
    <n v="4155774754"/>
    <n v="1465916051"/>
    <n v="18"/>
    <n v="1"/>
    <n v="19"/>
    <n v="176"/>
    <n v="195"/>
    <n v="-5"/>
    <n v="1"/>
    <n v="81"/>
    <n v="21"/>
    <n v="297"/>
    <n v="5776"/>
  </r>
  <r>
    <x v="64"/>
    <s v="ITA"/>
    <x v="12"/>
    <x v="12"/>
    <n v="450732745"/>
    <n v="7680687483"/>
    <n v="2701"/>
    <n v="202"/>
    <n v="2903"/>
    <n v="12603"/>
    <n v="15506"/>
    <n v="-2"/>
    <n v="352"/>
    <n v="7008"/>
    <n v="2936"/>
    <n v="25450"/>
    <n v="144531"/>
  </r>
  <r>
    <x v="64"/>
    <s v="ITA"/>
    <x v="13"/>
    <x v="13"/>
    <n v="4112559576"/>
    <n v="1686736689"/>
    <n v="448"/>
    <n v="51"/>
    <n v="499"/>
    <n v="2420"/>
    <n v="2919"/>
    <n v="7"/>
    <n v="22"/>
    <n v="654"/>
    <n v="407"/>
    <n v="3980"/>
    <n v="58496"/>
  </r>
  <r>
    <x v="64"/>
    <s v="ITA"/>
    <x v="14"/>
    <x v="14"/>
    <n v="3921531192"/>
    <n v="9110616306"/>
    <n v="96"/>
    <n v="18"/>
    <n v="114"/>
    <n v="658"/>
    <n v="772"/>
    <n v="-4"/>
    <n v="2"/>
    <n v="404"/>
    <n v="109"/>
    <n v="1285"/>
    <n v="22116"/>
  </r>
  <r>
    <x v="64"/>
    <s v="ITA"/>
    <x v="15"/>
    <x v="15"/>
    <n v="3811569725"/>
    <n v="133623567"/>
    <n v="428"/>
    <n v="34"/>
    <n v="462"/>
    <n v="1681"/>
    <n v="2143"/>
    <n v="20"/>
    <n v="35"/>
    <n v="745"/>
    <n v="232"/>
    <n v="3120"/>
    <n v="73008"/>
  </r>
  <r>
    <x v="64"/>
    <s v="ITA"/>
    <x v="16"/>
    <x v="16"/>
    <n v="4376923077"/>
    <n v="1125588885"/>
    <n v="619"/>
    <n v="144"/>
    <n v="763"/>
    <n v="5133"/>
    <n v="5896"/>
    <n v="-87"/>
    <n v="52"/>
    <n v="2524"/>
    <n v="811"/>
    <n v="9231"/>
    <n v="133617"/>
  </r>
  <r>
    <x v="64"/>
    <s v="ITA"/>
    <x v="2"/>
    <x v="17"/>
    <n v="4606893511"/>
    <n v="1112123097"/>
    <n v="182"/>
    <n v="22"/>
    <n v="204"/>
    <n v="1361"/>
    <n v="1565"/>
    <n v="-142"/>
    <n v="30"/>
    <n v="2048"/>
    <n v="412"/>
    <n v="4025"/>
    <n v="33839"/>
  </r>
  <r>
    <x v="64"/>
    <s v="ITA"/>
    <x v="17"/>
    <x v="18"/>
    <n v="4310675841"/>
    <n v="1238824698"/>
    <n v="80"/>
    <n v="17"/>
    <n v="97"/>
    <n v="178"/>
    <n v="275"/>
    <n v="-12"/>
    <n v="9"/>
    <n v="1039"/>
    <n v="65"/>
    <n v="1379"/>
    <n v="33881"/>
  </r>
  <r>
    <x v="64"/>
    <s v="ITA"/>
    <x v="18"/>
    <x v="19"/>
    <n v="4573750286"/>
    <n v="7320149366"/>
    <n v="81"/>
    <n v="5"/>
    <n v="86"/>
    <n v="123"/>
    <n v="209"/>
    <n v="-26"/>
    <n v="8"/>
    <n v="775"/>
    <n v="135"/>
    <n v="1119"/>
    <n v="6897"/>
  </r>
  <r>
    <x v="64"/>
    <s v="ITA"/>
    <x v="19"/>
    <x v="20"/>
    <n v="4543490485"/>
    <n v="1233845213"/>
    <n v="1067"/>
    <n v="120"/>
    <n v="1187"/>
    <n v="7414"/>
    <n v="8601"/>
    <n v="-259"/>
    <n v="129"/>
    <n v="7699"/>
    <n v="1408"/>
    <n v="17708"/>
    <n v="328218"/>
  </r>
  <r>
    <x v="65"/>
    <m/>
    <x v="20"/>
    <x v="21"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276DF2-5371-42E1-B3AC-C7601E0F8817}" name="Tabella pivot2" cacheId="0" applyNumberFormats="0" applyBorderFormats="0" applyFontFormats="0" applyPatternFormats="0" applyAlignmentFormats="0" applyWidthHeightFormats="1" dataCaption="Valori" updatedVersion="6" minRefreshableVersion="3" useAutoFormatting="1" itemPrintTitles="1" createdVersion="6" indent="0" outline="1" outlineData="1" multipleFieldFilters="0">
  <location ref="AC54:AD120" firstHeaderRow="1" firstDataRow="1" firstDataCol="1" rowPageCount="2" colPageCount="1"/>
  <pivotFields count="18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axis="axisPage" showAll="0">
      <items count="22">
        <item x="12"/>
        <item x="18"/>
        <item x="9"/>
        <item x="2"/>
        <item x="19"/>
        <item x="6"/>
        <item x="8"/>
        <item x="5"/>
        <item x="16"/>
        <item x="17"/>
        <item x="10"/>
        <item x="7"/>
        <item x="0"/>
        <item x="11"/>
        <item x="4"/>
        <item x="13"/>
        <item x="1"/>
        <item x="3"/>
        <item x="15"/>
        <item x="14"/>
        <item x="20"/>
        <item t="default"/>
      </items>
    </pivotField>
    <pivotField axis="axisPage" showAll="0">
      <items count="23">
        <item x="0"/>
        <item x="1"/>
        <item x="3"/>
        <item x="4"/>
        <item x="5"/>
        <item x="6"/>
        <item x="7"/>
        <item x="8"/>
        <item x="9"/>
        <item x="10"/>
        <item x="11"/>
        <item x="2"/>
        <item x="17"/>
        <item x="12"/>
        <item x="13"/>
        <item x="14"/>
        <item x="15"/>
        <item x="16"/>
        <item x="18"/>
        <item x="19"/>
        <item x="2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66"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Items count="1">
    <i/>
  </colItems>
  <pageFields count="2">
    <pageField fld="2" item="2" hier="-1"/>
    <pageField fld="3" item="8" hier="-1"/>
  </pageFields>
  <dataFields count="1">
    <dataField name="Somma di totale_casi" fld="15" baseField="0" baseItem="0"/>
  </dataFields>
  <formats count="8">
    <format dxfId="165">
      <pivotArea collapsedLevelsAreSubtotals="1" fieldPosition="0">
        <references count="1">
          <reference field="0" count="58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</reference>
        </references>
      </pivotArea>
    </format>
    <format dxfId="164">
      <pivotArea collapsedLevelsAreSubtotals="1" fieldPosition="0">
        <references count="1">
          <reference field="0" count="1">
            <x v="113"/>
          </reference>
        </references>
      </pivotArea>
    </format>
    <format dxfId="163">
      <pivotArea collapsedLevelsAreSubtotals="1" fieldPosition="0">
        <references count="1">
          <reference field="0" count="1">
            <x v="114"/>
          </reference>
        </references>
      </pivotArea>
    </format>
    <format dxfId="162">
      <pivotArea collapsedLevelsAreSubtotals="1" fieldPosition="0">
        <references count="1">
          <reference field="0" count="1">
            <x v="115"/>
          </reference>
        </references>
      </pivotArea>
    </format>
    <format dxfId="161">
      <pivotArea collapsedLevelsAreSubtotals="1" fieldPosition="0">
        <references count="1">
          <reference field="0" count="1">
            <x v="116"/>
          </reference>
        </references>
      </pivotArea>
    </format>
    <format dxfId="160">
      <pivotArea collapsedLevelsAreSubtotals="1" fieldPosition="0">
        <references count="1">
          <reference field="0" count="1">
            <x v="117"/>
          </reference>
        </references>
      </pivotArea>
    </format>
    <format dxfId="159">
      <pivotArea collapsedLevelsAreSubtotals="1" fieldPosition="0">
        <references count="1">
          <reference field="0" count="1">
            <x v="118"/>
          </reference>
        </references>
      </pivotArea>
    </format>
    <format dxfId="158">
      <pivotArea collapsedLevelsAreSubtotals="1" fieldPosition="0">
        <references count="1">
          <reference field="0" count="1">
            <x v="11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7" xr16:uid="{068865BD-44DE-4B41-8D06-0A65DC59696F}" autoFormatId="16" applyNumberFormats="0" applyBorderFormats="0" applyFontFormats="0" applyPatternFormats="0" applyAlignmentFormats="0" applyWidthHeightFormats="0">
  <queryTableRefresh nextId="99">
    <queryTableFields count="9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00189BA8-8873-404E-B164-FF83A5DE7C8F}" autoFormatId="16" applyNumberFormats="0" applyBorderFormats="0" applyFontFormats="0" applyPatternFormats="0" applyAlignmentFormats="0" applyWidthHeightFormats="0">
  <queryTableRefresh nextId="17">
    <queryTableFields count="16">
      <queryTableField id="1" name="data" tableColumnId="1"/>
      <queryTableField id="2" name="stato" tableColumnId="2"/>
      <queryTableField id="3" name="ricoverati_con_sintomi" tableColumnId="3"/>
      <queryTableField id="4" name="terapia_intensiva" tableColumnId="4"/>
      <queryTableField id="5" name="totale_ospedalizzati" tableColumnId="5"/>
      <queryTableField id="6" name="isolamento_domiciliare" tableColumnId="6"/>
      <queryTableField id="7" name="totale_positivi" tableColumnId="7"/>
      <queryTableField id="8" name="variazione_totale_positivi" tableColumnId="8"/>
      <queryTableField id="9" name="nuovi_positivi" tableColumnId="9"/>
      <queryTableField id="10" name="dimessi_guariti" tableColumnId="10"/>
      <queryTableField id="11" name="deceduti" tableColumnId="11"/>
      <queryTableField id="12" name="totale_casi" tableColumnId="12"/>
      <queryTableField id="13" name="tamponi" tableColumnId="13"/>
      <queryTableField id="14" name="casi_testati" tableColumnId="14"/>
      <queryTableField id="15" name="note_it" tableColumnId="15"/>
      <queryTableField id="16" name="note_en" tableColumnId="1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5" xr16:uid="{7BF24BE1-34AC-42F2-BA73-724CB82322A7}" autoFormatId="16" applyNumberFormats="0" applyBorderFormats="0" applyFontFormats="0" applyPatternFormats="0" applyAlignmentFormats="0" applyWidthHeightFormats="0">
  <queryTableRefresh nextId="21">
    <queryTableFields count="20">
      <queryTableField id="1" name="data" tableColumnId="1"/>
      <queryTableField id="2" name="stato" tableColumnId="2"/>
      <queryTableField id="3" name="codice_regione" tableColumnId="3"/>
      <queryTableField id="4" name="denominazione_regione" tableColumnId="4"/>
      <queryTableField id="5" name="lat" tableColumnId="5"/>
      <queryTableField id="6" name="long" tableColumnId="6"/>
      <queryTableField id="7" name="ricoverati_con_sintomi" tableColumnId="7"/>
      <queryTableField id="8" name="terapia_intensiva" tableColumnId="8"/>
      <queryTableField id="9" name="totale_ospedalizzati" tableColumnId="9"/>
      <queryTableField id="10" name="isolamento_domiciliare" tableColumnId="10"/>
      <queryTableField id="11" name="totale_positivi" tableColumnId="11"/>
      <queryTableField id="12" name="variazione_totale_positivi" tableColumnId="12"/>
      <queryTableField id="13" name="nuovi_positivi" tableColumnId="13"/>
      <queryTableField id="14" name="dimessi_guariti" tableColumnId="14"/>
      <queryTableField id="15" name="deceduti" tableColumnId="15"/>
      <queryTableField id="16" name="totale_casi" tableColumnId="16"/>
      <queryTableField id="17" name="tamponi" tableColumnId="17"/>
      <queryTableField id="18" name="casi_testati" tableColumnId="18"/>
      <queryTableField id="19" name="note_it" tableColumnId="19"/>
      <queryTableField id="20" name="note_en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967D779-74AE-4D7F-939F-0472C98A14C4}" name="time_series_covid19_confirmed_global" displayName="time_series_covid19_confirmed_global" ref="A1:CT266" tableType="queryTable" totalsRowShown="0">
  <autoFilter ref="A1:CT266" xr:uid="{4A48DFC3-0984-4E44-8277-EB498DAECED8}">
    <filterColumn colId="1">
      <filters>
        <filter val="Country/Region"/>
        <filter val="Italy"/>
      </filters>
    </filterColumn>
  </autoFilter>
  <tableColumns count="98">
    <tableColumn id="1" xr3:uid="{148BE2BF-26F9-492A-ACB8-6EB297845BC6}" uniqueName="1" name="Column1" queryTableFieldId="1" dataDxfId="273"/>
    <tableColumn id="2" xr3:uid="{052DBEFF-3B9B-47DB-8FB3-397439AB71C7}" uniqueName="2" name="Column2" queryTableFieldId="2" dataDxfId="272"/>
    <tableColumn id="3" xr3:uid="{E669234B-2AEB-4F57-8C5D-17FAF0F1CFBC}" uniqueName="3" name="Column3" queryTableFieldId="3" dataDxfId="271"/>
    <tableColumn id="4" xr3:uid="{40C81AE9-E9F1-4D7D-ACFE-18D9DB98259D}" uniqueName="4" name="Column4" queryTableFieldId="4" dataDxfId="270"/>
    <tableColumn id="5" xr3:uid="{A5010665-E8D1-4ED3-A97B-86B1164D5ACC}" uniqueName="5" name="Column5" queryTableFieldId="5" dataDxfId="269"/>
    <tableColumn id="6" xr3:uid="{38F861F8-6E8F-41CE-AFF5-8C4B0290C6F0}" uniqueName="6" name="Column6" queryTableFieldId="6" dataDxfId="268"/>
    <tableColumn id="7" xr3:uid="{FD528BAF-2E5C-4269-9D13-28FA5E8CB8CD}" uniqueName="7" name="Column7" queryTableFieldId="7" dataDxfId="267"/>
    <tableColumn id="8" xr3:uid="{DB131F84-35D5-4395-8E47-083FB0417CD8}" uniqueName="8" name="Column8" queryTableFieldId="8" dataDxfId="266"/>
    <tableColumn id="9" xr3:uid="{5EF4FD79-868A-47E4-8C21-73F06B602B6C}" uniqueName="9" name="Column9" queryTableFieldId="9" dataDxfId="265"/>
    <tableColumn id="10" xr3:uid="{7020651A-C043-40FC-99CA-A1D94E7E746F}" uniqueName="10" name="Column10" queryTableFieldId="10" dataDxfId="264"/>
    <tableColumn id="11" xr3:uid="{F7AD8950-CED8-438B-BAF7-15443C7E17A1}" uniqueName="11" name="Column11" queryTableFieldId="11" dataDxfId="263"/>
    <tableColumn id="12" xr3:uid="{05A510B4-B3D3-4667-B95D-BEA70773B1B0}" uniqueName="12" name="Column12" queryTableFieldId="12" dataDxfId="262"/>
    <tableColumn id="13" xr3:uid="{2CBD0A72-DB28-4200-A288-7F922A0A4C3E}" uniqueName="13" name="Column13" queryTableFieldId="13" dataDxfId="261"/>
    <tableColumn id="14" xr3:uid="{55C643F2-E931-4C1F-A43F-1B6C5ABE32E4}" uniqueName="14" name="Column14" queryTableFieldId="14" dataDxfId="260"/>
    <tableColumn id="15" xr3:uid="{44E37E34-9767-48A0-A1BE-0626B50EB6F6}" uniqueName="15" name="Column15" queryTableFieldId="15" dataDxfId="259"/>
    <tableColumn id="16" xr3:uid="{28B62929-53F4-4D57-814D-CDDD52EB420A}" uniqueName="16" name="Column16" queryTableFieldId="16" dataDxfId="258"/>
    <tableColumn id="17" xr3:uid="{76EAB580-FD56-4D5A-A6D7-B859CB1D7A5E}" uniqueName="17" name="Column17" queryTableFieldId="17" dataDxfId="257"/>
    <tableColumn id="18" xr3:uid="{D8B640AD-D4EF-47BD-BF9A-E114F57C73DB}" uniqueName="18" name="Column18" queryTableFieldId="18" dataDxfId="256"/>
    <tableColumn id="19" xr3:uid="{490F89FA-EC16-41A0-B036-82DF01785480}" uniqueName="19" name="Column19" queryTableFieldId="19" dataDxfId="255"/>
    <tableColumn id="20" xr3:uid="{A58AEDF3-BBDD-40E1-BCF7-4EF9FD408A6F}" uniqueName="20" name="Column20" queryTableFieldId="20" dataDxfId="254"/>
    <tableColumn id="21" xr3:uid="{74BAE563-6973-45EA-880C-80A8BD9A98D0}" uniqueName="21" name="Column21" queryTableFieldId="21" dataDxfId="253"/>
    <tableColumn id="22" xr3:uid="{B2E98618-640E-42D8-B756-A3E620533D7A}" uniqueName="22" name="Column22" queryTableFieldId="22" dataDxfId="252"/>
    <tableColumn id="23" xr3:uid="{ED469CF9-F673-4973-B012-6B246271CFFD}" uniqueName="23" name="Column23" queryTableFieldId="23" dataDxfId="251"/>
    <tableColumn id="24" xr3:uid="{831C69DA-4D20-4098-B824-8EB5A425DEF4}" uniqueName="24" name="Column24" queryTableFieldId="24" dataDxfId="250"/>
    <tableColumn id="25" xr3:uid="{276F9C50-1583-4E79-89B0-C464EB524758}" uniqueName="25" name="Column25" queryTableFieldId="25" dataDxfId="249"/>
    <tableColumn id="26" xr3:uid="{8DD8FF83-62A8-49A4-AD2E-0500F3DD3106}" uniqueName="26" name="Column26" queryTableFieldId="26" dataDxfId="248"/>
    <tableColumn id="27" xr3:uid="{68F257A6-FA0C-44C8-ABB2-3ED467858B5B}" uniqueName="27" name="Column27" queryTableFieldId="27" dataDxfId="247"/>
    <tableColumn id="28" xr3:uid="{A62A4C61-3128-47FA-955F-47CF0DE4D1C2}" uniqueName="28" name="Column28" queryTableFieldId="28" dataDxfId="246"/>
    <tableColumn id="29" xr3:uid="{C9E06EEC-DBC6-4198-944C-CA2C7F3D997F}" uniqueName="29" name="Column29" queryTableFieldId="29" dataDxfId="245"/>
    <tableColumn id="30" xr3:uid="{562ED4BA-02D1-432F-AB37-3A16F7F186B7}" uniqueName="30" name="Column30" queryTableFieldId="30" dataDxfId="244"/>
    <tableColumn id="31" xr3:uid="{21C0B22E-874F-4F57-B12A-B0AA5E237327}" uniqueName="31" name="Column31" queryTableFieldId="31" dataDxfId="243"/>
    <tableColumn id="32" xr3:uid="{B19E4A04-5FFA-465E-BB43-FC13AF549471}" uniqueName="32" name="Column32" queryTableFieldId="32" dataDxfId="242"/>
    <tableColumn id="33" xr3:uid="{52FF6019-9DB3-465F-8C17-E90ECB3C1649}" uniqueName="33" name="Column33" queryTableFieldId="33" dataDxfId="241"/>
    <tableColumn id="34" xr3:uid="{076245EA-901F-44DA-AAF1-60AEBD9A2A5F}" uniqueName="34" name="Column34" queryTableFieldId="34" dataDxfId="240"/>
    <tableColumn id="35" xr3:uid="{1D6B3D6D-CD5D-407B-939A-CD03C265E38B}" uniqueName="35" name="Column35" queryTableFieldId="35" dataDxfId="239"/>
    <tableColumn id="36" xr3:uid="{95F10FBD-FBAD-4B7C-850A-BE7304DB6453}" uniqueName="36" name="Column36" queryTableFieldId="36" dataDxfId="238"/>
    <tableColumn id="37" xr3:uid="{DCF4CE06-3527-4277-BB1E-878BFB0F2372}" uniqueName="37" name="Column37" queryTableFieldId="37" dataDxfId="237"/>
    <tableColumn id="38" xr3:uid="{68DEE0AA-CE4F-4937-BA93-5C09CB4F407E}" uniqueName="38" name="Column38" queryTableFieldId="38" dataDxfId="236"/>
    <tableColumn id="39" xr3:uid="{A1635DCA-8C48-4C00-A813-19A5D12ED68E}" uniqueName="39" name="Column39" queryTableFieldId="39" dataDxfId="235"/>
    <tableColumn id="40" xr3:uid="{6B57463E-82D6-42D3-AB6A-E67945C5F150}" uniqueName="40" name="Column40" queryTableFieldId="40" dataDxfId="234"/>
    <tableColumn id="41" xr3:uid="{2DD99B9E-D2F8-46E8-ADD9-A4E6888CC610}" uniqueName="41" name="Column41" queryTableFieldId="41" dataDxfId="233"/>
    <tableColumn id="42" xr3:uid="{07E79799-D2CC-411C-9FF1-E3F237D74CBD}" uniqueName="42" name="Column42" queryTableFieldId="42" dataDxfId="232"/>
    <tableColumn id="43" xr3:uid="{D782A507-BAF0-4DA5-997D-FFAE2F6584A2}" uniqueName="43" name="Column43" queryTableFieldId="43" dataDxfId="231"/>
    <tableColumn id="44" xr3:uid="{7F32FAC7-59FA-4C3B-ACEE-057FCD2A4484}" uniqueName="44" name="Column44" queryTableFieldId="44" dataDxfId="230"/>
    <tableColumn id="45" xr3:uid="{EEFD5EE0-34FB-48B4-88D8-5F1B5600A79A}" uniqueName="45" name="Column45" queryTableFieldId="45" dataDxfId="229"/>
    <tableColumn id="46" xr3:uid="{D9B44C04-68CA-4C03-A97E-FABB58A22A4B}" uniqueName="46" name="Column46" queryTableFieldId="46" dataDxfId="228"/>
    <tableColumn id="47" xr3:uid="{3C4850A4-18AC-4CCA-B088-9A692E3B4D46}" uniqueName="47" name="Column47" queryTableFieldId="47" dataDxfId="227"/>
    <tableColumn id="48" xr3:uid="{9A57DB29-2159-4FF9-A25C-FD402226DD0F}" uniqueName="48" name="Column48" queryTableFieldId="48" dataDxfId="226"/>
    <tableColumn id="49" xr3:uid="{A2FFED32-741F-4F9E-8CAE-476C64A43917}" uniqueName="49" name="Column49" queryTableFieldId="49" dataDxfId="225"/>
    <tableColumn id="50" xr3:uid="{992C1CD8-9B8C-430F-805C-E574C41A827E}" uniqueName="50" name="Column50" queryTableFieldId="50" dataDxfId="224"/>
    <tableColumn id="51" xr3:uid="{C0AF97FE-8FB4-499D-86D8-E27DFE13E768}" uniqueName="51" name="Column51" queryTableFieldId="51" dataDxfId="223"/>
    <tableColumn id="52" xr3:uid="{B1E83CBF-8A74-4E8C-B648-FFB09F246443}" uniqueName="52" name="Column52" queryTableFieldId="52" dataDxfId="222"/>
    <tableColumn id="53" xr3:uid="{DB14E96F-2BE4-433B-9B55-B2F2859396D2}" uniqueName="53" name="Column53" queryTableFieldId="53" dataDxfId="221"/>
    <tableColumn id="54" xr3:uid="{B6FC09E3-8EF1-4CA1-BCA1-BFB6BC1BD682}" uniqueName="54" name="Column54" queryTableFieldId="54" dataDxfId="220"/>
    <tableColumn id="55" xr3:uid="{552C4D39-A801-41C5-BFDD-61DEEA3D4E7E}" uniqueName="55" name="Column55" queryTableFieldId="55" dataDxfId="219"/>
    <tableColumn id="56" xr3:uid="{DD3AF5A5-6F96-40CC-A4D2-D183D502AB47}" uniqueName="56" name="Column56" queryTableFieldId="56" dataDxfId="218"/>
    <tableColumn id="57" xr3:uid="{28CAB7DA-C674-4811-A07C-EC5174D8E240}" uniqueName="57" name="Column57" queryTableFieldId="57" dataDxfId="217"/>
    <tableColumn id="58" xr3:uid="{BE7B1D9D-195A-44AD-BBBD-6E14D5A63496}" uniqueName="58" name="Column58" queryTableFieldId="58" dataDxfId="216"/>
    <tableColumn id="59" xr3:uid="{8C34A3CE-B862-414E-93DA-118BE278A02F}" uniqueName="59" name="Column59" queryTableFieldId="59" dataDxfId="215"/>
    <tableColumn id="60" xr3:uid="{0EB2E1AC-FC20-4D13-9E56-63C7D3C758BD}" uniqueName="60" name="Column60" queryTableFieldId="60" dataDxfId="214"/>
    <tableColumn id="61" xr3:uid="{99087620-7A35-49C4-A2E5-DB3A5261317C}" uniqueName="61" name="Column61" queryTableFieldId="61" dataDxfId="213"/>
    <tableColumn id="62" xr3:uid="{ED5AE7BC-E80E-481A-8C49-6ABC3B3968E9}" uniqueName="62" name="Column62" queryTableFieldId="62" dataDxfId="212"/>
    <tableColumn id="63" xr3:uid="{F8280355-FA40-42DB-965B-3464C85B49D5}" uniqueName="63" name="Column63" queryTableFieldId="63" dataDxfId="211"/>
    <tableColumn id="64" xr3:uid="{F2418127-D014-4067-B107-C78C140B00C6}" uniqueName="64" name="Column64" queryTableFieldId="64" dataDxfId="210"/>
    <tableColumn id="65" xr3:uid="{F0E3F92E-1444-409E-887A-859634E088BB}" uniqueName="65" name="Column65" queryTableFieldId="65" dataDxfId="209"/>
    <tableColumn id="66" xr3:uid="{C6BFA776-5E27-4A98-861E-69EDB62DF652}" uniqueName="66" name="Column66" queryTableFieldId="66" dataDxfId="208"/>
    <tableColumn id="67" xr3:uid="{37392868-CE32-47E3-9EBB-7FDB898DF345}" uniqueName="67" name="Column67" queryTableFieldId="67" dataDxfId="207"/>
    <tableColumn id="68" xr3:uid="{DBE13BEF-A7B4-464A-8759-557A1498E393}" uniqueName="68" name="Column68" queryTableFieldId="68" dataDxfId="206"/>
    <tableColumn id="69" xr3:uid="{84869D7A-2B6F-48ED-A53D-052BEE671F8F}" uniqueName="69" name="Column69" queryTableFieldId="69" dataDxfId="205"/>
    <tableColumn id="70" xr3:uid="{2153FAE8-E048-496E-8872-80091449CB2A}" uniqueName="70" name="Column70" queryTableFieldId="70" dataDxfId="204"/>
    <tableColumn id="71" xr3:uid="{F16A0634-21F6-4BA9-BE1A-331EBA4E42CC}" uniqueName="71" name="Column71" queryTableFieldId="71" dataDxfId="203"/>
    <tableColumn id="72" xr3:uid="{91E13775-282B-44A5-B090-BAAD6CE14739}" uniqueName="72" name="Column72" queryTableFieldId="72" dataDxfId="202"/>
    <tableColumn id="73" xr3:uid="{31C9BBFA-5F48-41FF-A6BD-18E0870C8372}" uniqueName="73" name="Column73" queryTableFieldId="73" dataDxfId="201"/>
    <tableColumn id="74" xr3:uid="{3739070E-FEC8-41B4-A012-66BD64645263}" uniqueName="74" name="Column74" queryTableFieldId="74" dataDxfId="200"/>
    <tableColumn id="75" xr3:uid="{AB11DF51-07F2-4C4E-AC22-81A7CAB0871D}" uniqueName="75" name="Column75" queryTableFieldId="75" dataDxfId="199"/>
    <tableColumn id="76" xr3:uid="{D7A188E8-CF02-4EE6-BB4C-2F331E85B374}" uniqueName="76" name="Column76" queryTableFieldId="76" dataDxfId="198"/>
    <tableColumn id="77" xr3:uid="{50F0B1CB-0C35-4821-9ACF-DC2679AC194D}" uniqueName="77" name="Column77" queryTableFieldId="77" dataDxfId="197"/>
    <tableColumn id="78" xr3:uid="{5AB67DA2-FC6D-488B-ACB9-7C199D1611BA}" uniqueName="78" name="Column78" queryTableFieldId="78" dataDxfId="196"/>
    <tableColumn id="79" xr3:uid="{BC709710-CF6F-4BBE-B13D-93DBADBDF7CC}" uniqueName="79" name="Column79" queryTableFieldId="79" dataDxfId="195"/>
    <tableColumn id="80" xr3:uid="{D409598C-480C-4575-BD6E-24F377A55738}" uniqueName="80" name="Column80" queryTableFieldId="80" dataDxfId="194"/>
    <tableColumn id="81" xr3:uid="{29F1A8E9-1946-4762-844B-85E3BD464D4E}" uniqueName="81" name="Column81" queryTableFieldId="81" dataDxfId="193"/>
    <tableColumn id="82" xr3:uid="{51C8C840-6D59-41D0-9BA5-A7587349955C}" uniqueName="82" name="Column82" queryTableFieldId="82" dataDxfId="192"/>
    <tableColumn id="83" xr3:uid="{C0B4AD81-72D6-499D-83BB-4E1CD2D2C467}" uniqueName="83" name="Column83" queryTableFieldId="83" dataDxfId="191"/>
    <tableColumn id="84" xr3:uid="{FB379548-157F-4309-AC70-EF805CEB817B}" uniqueName="84" name="Column84" queryTableFieldId="84" dataDxfId="190"/>
    <tableColumn id="85" xr3:uid="{4A3485F0-B1E3-4310-A9F6-707CF5D1CA83}" uniqueName="85" name="Column85" queryTableFieldId="85" dataDxfId="189"/>
    <tableColumn id="86" xr3:uid="{F93380DA-9761-45AD-83BC-BA721BF6937B}" uniqueName="86" name="Column86" queryTableFieldId="86" dataDxfId="188"/>
    <tableColumn id="87" xr3:uid="{95ADB596-3D66-413E-86E9-1907052905AD}" uniqueName="87" name="Column87" queryTableFieldId="87" dataDxfId="187"/>
    <tableColumn id="88" xr3:uid="{32BC6DF1-F486-476F-A226-E664119B552F}" uniqueName="88" name="Column88" queryTableFieldId="88" dataDxfId="186"/>
    <tableColumn id="89" xr3:uid="{8B5CE1D1-9B24-48A4-A451-69F42020789F}" uniqueName="89" name="Column89" queryTableFieldId="89" dataDxfId="185"/>
    <tableColumn id="90" xr3:uid="{DE96CE83-D562-4160-A543-08778B58C748}" uniqueName="90" name="Column90" queryTableFieldId="90" dataDxfId="184"/>
    <tableColumn id="91" xr3:uid="{7E508C88-20A4-4EDF-8779-2C5520B2EE17}" uniqueName="91" name="Column91" queryTableFieldId="91" dataDxfId="183"/>
    <tableColumn id="92" xr3:uid="{5740E1CC-5660-48ED-8327-82B06C5A0C53}" uniqueName="92" name="Column92" queryTableFieldId="92" dataDxfId="182"/>
    <tableColumn id="93" xr3:uid="{E152ED93-98B0-48D4-ACAF-1F9A14E63131}" uniqueName="93" name="Column93" queryTableFieldId="93" dataDxfId="181"/>
    <tableColumn id="94" xr3:uid="{04D2E53B-68DF-4AD0-9076-3A3EF959206D}" uniqueName="94" name="Column94" queryTableFieldId="94" dataDxfId="180"/>
    <tableColumn id="95" xr3:uid="{B85B9114-E02D-4E70-91EB-2B36942D9B34}" uniqueName="95" name="Column95" queryTableFieldId="95" dataDxfId="179"/>
    <tableColumn id="96" xr3:uid="{0C9EF96D-8CE9-4C0A-8EF1-1EDC8AECB626}" uniqueName="96" name="Column96" queryTableFieldId="96" dataDxfId="178"/>
    <tableColumn id="97" xr3:uid="{DE86C336-9274-457E-B3EE-1D503B21AD35}" uniqueName="97" name="Column97" queryTableFieldId="97" dataDxfId="177"/>
    <tableColumn id="98" xr3:uid="{4EBD33D1-BE7E-4C7B-B5C4-768594BBCBED}" uniqueName="98" name="Column98" queryTableFieldId="98" dataDxfId="17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E304B03-58B1-434D-A307-5884EC3F41EC}" name="dpc_covid19_ita_andamento_nazionale__10" displayName="dpc_covid19_ita_andamento_nazionale__10" ref="A1:P66" tableType="queryTable" totalsRowShown="0">
  <autoFilter ref="A1:P66" xr:uid="{D0A1C8D8-5217-433D-99F5-8999CDDB2081}"/>
  <tableColumns count="16">
    <tableColumn id="1" xr3:uid="{6CCD7585-D8F9-4107-B9DC-D4B81DE6869B}" uniqueName="1" name="data" queryTableFieldId="1" dataDxfId="175"/>
    <tableColumn id="2" xr3:uid="{9B9CC325-AF99-4169-8709-CD8722606075}" uniqueName="2" name="stato" queryTableFieldId="2" dataDxfId="174"/>
    <tableColumn id="3" xr3:uid="{0F7390E4-FC30-4FA0-ABC2-20FBC8554A3E}" uniqueName="3" name="ricoverati_con_sintomi" queryTableFieldId="3"/>
    <tableColumn id="4" xr3:uid="{EFB9D222-FCCF-4564-8D4F-BDA9D67FDD44}" uniqueName="4" name="terapia_intensiva" queryTableFieldId="4"/>
    <tableColumn id="5" xr3:uid="{6D12266C-9B57-489D-AAEF-8B6925ED7394}" uniqueName="5" name="totale_ospedalizzati" queryTableFieldId="5"/>
    <tableColumn id="6" xr3:uid="{E49546B6-B8DD-4186-9897-0EE57E71AEB2}" uniqueName="6" name="isolamento_domiciliare" queryTableFieldId="6"/>
    <tableColumn id="7" xr3:uid="{DCB4CA99-F372-44FE-B61A-6CD1F9F07E4C}" uniqueName="7" name="totale_positivi" queryTableFieldId="7"/>
    <tableColumn id="8" xr3:uid="{6FD59F08-149C-4AA0-B320-971CE8C15CC7}" uniqueName="8" name="variazione_totale_positivi" queryTableFieldId="8"/>
    <tableColumn id="9" xr3:uid="{9EC6A8A3-B733-4C1D-BD0D-8FE69A76A9BA}" uniqueName="9" name="nuovi_positivi" queryTableFieldId="9"/>
    <tableColumn id="10" xr3:uid="{CF27497F-0A64-41C5-9B44-8C94C11DC85D}" uniqueName="10" name="dimessi_guariti" queryTableFieldId="10"/>
    <tableColumn id="11" xr3:uid="{3ADD8D45-1A3A-45D6-AF7F-67A7A549A7C4}" uniqueName="11" name="deceduti" queryTableFieldId="11"/>
    <tableColumn id="12" xr3:uid="{F5B96566-CBEF-4890-9D4B-541F3368EA42}" uniqueName="12" name="totale_casi" queryTableFieldId="12"/>
    <tableColumn id="13" xr3:uid="{AE9978E1-6083-450C-BD9E-CB7E6AD04A80}" uniqueName="13" name="tamponi" queryTableFieldId="13"/>
    <tableColumn id="14" xr3:uid="{6E747CBF-3394-4EBC-A4D1-269288E2F3EF}" uniqueName="14" name="casi_testati" queryTableFieldId="14"/>
    <tableColumn id="15" xr3:uid="{65179596-E7A1-415E-9B3C-CB93EC289043}" uniqueName="15" name="note_it" queryTableFieldId="15" dataDxfId="173"/>
    <tableColumn id="16" xr3:uid="{6E80C55E-74BA-4347-AC20-1BE816E48DA4}" uniqueName="16" name="note_en" queryTableFieldId="16" dataDxfId="17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98A372B-C79B-43CF-916B-2932AEA1D7F5}" name="dpc_covid19_ita_regioni__5" displayName="dpc_covid19_ita_regioni__5" ref="A1:T1366" tableType="queryTable" totalsRowShown="0">
  <autoFilter ref="A1:T1366" xr:uid="{75A0E3AA-1478-411F-B1DA-A76ABEB50CF9}"/>
  <tableColumns count="20">
    <tableColumn id="1" xr3:uid="{B2AE65BE-C010-4297-A190-279E9C24A4E9}" uniqueName="1" name="data" queryTableFieldId="1" dataDxfId="171"/>
    <tableColumn id="2" xr3:uid="{F043FB76-ED52-4FD4-B68E-63BDFA884DF7}" uniqueName="2" name="stato" queryTableFieldId="2" dataDxfId="170"/>
    <tableColumn id="3" xr3:uid="{8AFF2BE5-1C19-4C87-B5C3-9873157F277C}" uniqueName="3" name="codice_regione" queryTableFieldId="3"/>
    <tableColumn id="4" xr3:uid="{828A29A3-72A4-4174-BA61-C6F6C5B03DFB}" uniqueName="4" name="denominazione_regione" queryTableFieldId="4" dataDxfId="169"/>
    <tableColumn id="5" xr3:uid="{723CDCA5-0A61-419E-B8FD-F32448F89D3F}" uniqueName="5" name="lat" queryTableFieldId="5"/>
    <tableColumn id="6" xr3:uid="{435F10C2-6A54-4120-AD20-E64A3F7341EC}" uniqueName="6" name="long" queryTableFieldId="6"/>
    <tableColumn id="7" xr3:uid="{C56DFCEE-E96D-4BCC-A5BB-C09FC28C79BF}" uniqueName="7" name="ricoverati_con_sintomi" queryTableFieldId="7"/>
    <tableColumn id="8" xr3:uid="{50828B0E-9EA7-49EE-9DC3-AB274E03EA84}" uniqueName="8" name="terapia_intensiva" queryTableFieldId="8"/>
    <tableColumn id="9" xr3:uid="{987D9834-4F67-4005-9EBC-708453CB78A0}" uniqueName="9" name="totale_ospedalizzati" queryTableFieldId="9"/>
    <tableColumn id="10" xr3:uid="{72EAD90E-733C-4CC0-A804-F83500F9C514}" uniqueName="10" name="isolamento_domiciliare" queryTableFieldId="10"/>
    <tableColumn id="11" xr3:uid="{814E19E9-FA4C-40C1-BCB3-25EE2B572A81}" uniqueName="11" name="totale_positivi" queryTableFieldId="11"/>
    <tableColumn id="12" xr3:uid="{AE495C48-67F8-422C-8D0A-0B76AE6197A9}" uniqueName="12" name="variazione_totale_positivi" queryTableFieldId="12"/>
    <tableColumn id="13" xr3:uid="{8B3C648B-B3AA-4EFE-BE81-EF3382712837}" uniqueName="13" name="nuovi_positivi" queryTableFieldId="13"/>
    <tableColumn id="14" xr3:uid="{7421AD8A-A131-49D3-ADE0-A207BF696575}" uniqueName="14" name="dimessi_guariti" queryTableFieldId="14"/>
    <tableColumn id="15" xr3:uid="{4FDFF7B3-5C5D-4166-87BE-9C57FC04AA9D}" uniqueName="15" name="deceduti" queryTableFieldId="15"/>
    <tableColumn id="16" xr3:uid="{CC39D5E3-EBEA-41FF-A3B2-80AA75A37699}" uniqueName="16" name="totale_casi" queryTableFieldId="16"/>
    <tableColumn id="17" xr3:uid="{5279F774-40CB-4118-9261-F861BE73B1A0}" uniqueName="17" name="tamponi" queryTableFieldId="17"/>
    <tableColumn id="18" xr3:uid="{2967A89F-425E-4DD4-88D8-18F1DB2A5FC7}" uniqueName="18" name="casi_testati" queryTableFieldId="18" dataDxfId="168"/>
    <tableColumn id="19" xr3:uid="{C5A03D33-10A8-4F81-82C2-B88811DA4B48}" uniqueName="19" name="note_it" queryTableFieldId="19" dataDxfId="167"/>
    <tableColumn id="20" xr3:uid="{FB809515-6F16-4BCF-A791-6216B35F8D02}" uniqueName="20" name="note_en" queryTableFieldId="20" dataDxfId="16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84AB5DF-A51B-4738-AB16-BE48A7BDA5F1}" name="Tabella8" displayName="Tabella8" ref="B7:AA184" totalsRowShown="0" headerRowDxfId="157">
  <autoFilter ref="B7:AA184" xr:uid="{3FC8D4CB-1CF6-4469-84DF-7F0ECB3BF752}"/>
  <tableColumns count="26">
    <tableColumn id="1" xr3:uid="{23135A61-F766-418E-98E1-4B28EB0245EB}" name="Date" dataDxfId="156"/>
    <tableColumn id="2" xr3:uid="{9D31CCAA-E745-495E-AC65-4EE7E5B7C948}" name="Day" dataDxfId="155"/>
    <tableColumn id="3" xr3:uid="{FA8347E6-D263-402C-B119-75408FAF2DAC}" name="Italy cumulative" dataDxfId="154"/>
    <tableColumn id="16" xr3:uid="{8C3FDD01-6166-4DD6-9069-BBFB3B31CBAB}" name="Colonna1" dataDxfId="153">
      <calculatedColumnFormula>Tabella8[[#This Row],[Italy cumulative]]*NOT(ISBLANK(Tabella8[[#This Row],[Italy cumulative]]))</calculatedColumnFormula>
    </tableColumn>
    <tableColumn id="4" xr3:uid="{431A9A26-9F76-4785-835A-2254CAAB0D9D}" name="Italy sum of regions" dataDxfId="152">
      <calculatedColumnFormula>Tabella8[[#This Row],[Lombardy fit]]+Tabella8[[#This Row],[rest of Italy fit]]</calculatedColumnFormula>
    </tableColumn>
    <tableColumn id="23" xr3:uid="{8205D785-66A4-4A16-AB9A-6AEDEE06C465}" name="Italiy sum of regions  (Norm.)" dataDxfId="151">
      <calculatedColumnFormula>Tabella8[[#This Row],[Italy sum of regions]]/K_sum</calculatedColumnFormula>
    </tableColumn>
    <tableColumn id="17" xr3:uid="{C448742E-FAE5-406F-BB11-395AB7117427}" name="Colonna2" dataDxfId="150">
      <calculatedColumnFormula>Tabella8[[#This Row],[Italy sum of regions]]*NOT(ISBLANK(Tabella8[[#This Row],[Italy cumulative]]))</calculatedColumnFormula>
    </tableColumn>
    <tableColumn id="15" xr3:uid="{EBAC123C-04E4-45BF-87F2-E1463644B09E}" name="Italy fit" dataDxfId="149">
      <calculatedColumnFormula>IFERROR(Kt*_xlfn.LOGNORM.DIST((Tabella8[[#This Row],[Day]]-Days_back),mu_t,sigma_t,TRUE),0)</calculatedColumnFormula>
    </tableColumn>
    <tableColumn id="24" xr3:uid="{EAFABED2-6A06-4D2D-B725-ED92B18FE0F8}" name="Italy fit (Norm:)" dataDxfId="148">
      <calculatedColumnFormula>Tabella8[[#This Row],[Italy fit]]/Kt</calculatedColumnFormula>
    </tableColumn>
    <tableColumn id="18" xr3:uid="{BB0581BF-B4E8-454D-A58F-7896262EF839}" name="Colonna3" dataDxfId="147">
      <calculatedColumnFormula>Tabella8[[#This Row],[Italy fit]]*NOT(ISBLANK(Tabella8[[#This Row],[Italy cumulative]]))</calculatedColumnFormula>
    </tableColumn>
    <tableColumn id="5" xr3:uid="{550811E3-8896-4BC4-AAEC-1710448F78AA}" name="Upper CI"/>
    <tableColumn id="6" xr3:uid="{F0106795-FAF2-43DF-AAD9-462CC01A471A}" name="Lower CI"/>
    <tableColumn id="7" xr3:uid="{8C9D201A-E2D1-4561-B557-E6BA56D2D6CB}" name="Lombardy" dataCellStyle="20% - Colore 2"/>
    <tableColumn id="19" xr3:uid="{F96B47FC-7C3A-47A5-B0B6-FBBA6A0E9F53}" name="Colonna4" dataDxfId="146">
      <calculatedColumnFormula>Tabella8[[#This Row],[Lombardy]]*NOT(ISBLANK(Tabella8[[#This Row],[Lombardy]]))</calculatedColumnFormula>
    </tableColumn>
    <tableColumn id="8" xr3:uid="{FFDFB21E-6B95-4CB3-BEAA-17A88953AF1A}" name="Lombardy fit" dataDxfId="145">
      <calculatedColumnFormula>IFERROR(Kr*_xlfn.LOGNORM.DIST((Tabella8[[#This Row],[Day]]-pr),mu_r,sigma_r,TRUE),0)</calculatedColumnFormula>
    </tableColumn>
    <tableColumn id="25" xr3:uid="{415E3992-2D3B-4B08-B52A-BA7EDE1B22D0}" name="Lombardy fit (Norm.)" dataDxfId="144">
      <calculatedColumnFormula>Tabella8[[#This Row],[Lombardy fit]]/Kr</calculatedColumnFormula>
    </tableColumn>
    <tableColumn id="20" xr3:uid="{E0C56B36-41D5-4E63-90C0-BEF19D5CF307}" name="Colonna5" dataDxfId="143">
      <calculatedColumnFormula>Tabella8[[#This Row],[Lombardy fit]]*NOT(ISBLANK(Tabella8[[#This Row],[Lombardy]]))</calculatedColumnFormula>
    </tableColumn>
    <tableColumn id="9" xr3:uid="{533A3700-CD36-454E-A89A-C109A0EC8C3A}" name="r. Upper CI"/>
    <tableColumn id="10" xr3:uid="{12B05D41-F2C4-4C50-A981-70A91E9E3202}" name="r. Lower CI"/>
    <tableColumn id="11" xr3:uid="{3FA757E2-8271-45DD-9111-95AF881C9386}" name="rest of Italy "/>
    <tableColumn id="21" xr3:uid="{0719E832-0DD9-4597-8E36-C5D928E8918B}" name="Colonna6" dataDxfId="142">
      <calculatedColumnFormula>Tabella8[[#This Row],[rest of Italy ]]*NOT(ISBLANK(Tabella8[[#This Row],[rest of Italy ]]))</calculatedColumnFormula>
    </tableColumn>
    <tableColumn id="12" xr3:uid="{1A679F42-1D8C-44C1-8ADC-80EE4031BF33}" name="rest of Italy fit" dataDxfId="141">
      <calculatedColumnFormula>IFERROR(Ko*_xlfn.LOGNORM.DIST((Tabella8[[#This Row],[Day]]-po),mu_o,sigma_o,TRUE),0)</calculatedColumnFormula>
    </tableColumn>
    <tableColumn id="26" xr3:uid="{38CEE2F0-2DCF-4937-B752-21D39BEAB993}" name="rest of Italy fit (Norm.)" dataDxfId="140">
      <calculatedColumnFormula>Tabella8[[#This Row],[rest of Italy fit]]/Ko</calculatedColumnFormula>
    </tableColumn>
    <tableColumn id="22" xr3:uid="{D4BF3042-F3E5-4A11-865A-5C285EB3D460}" name="Colonna7" dataDxfId="139">
      <calculatedColumnFormula>Tabella8[[#This Row],[rest of Italy fit]]*NOT(ISBLANK(Tabella8[[#This Row],[rest of Italy ]]))</calculatedColumnFormula>
    </tableColumn>
    <tableColumn id="13" xr3:uid="{54A7DA70-4460-43AF-B70E-E5EF3A27B840}" name="o.r. Upper CI"/>
    <tableColumn id="14" xr3:uid="{25E38CCB-32DC-4A49-8487-A107F991A720}" name="o.r. Lower CI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4A45A35-CC62-4741-AD97-3C6F9EA2CB45}" name="Tabella9" displayName="Tabella9" ref="AC7:AD17" totalsRowShown="0" headerRowDxfId="138" dataDxfId="137">
  <autoFilter ref="AC7:AD17" xr:uid="{FE44A3F6-B4C2-400B-AA9A-283E33E9F7C7}"/>
  <tableColumns count="2">
    <tableColumn id="1" xr3:uid="{D2583FE2-794A-4D14-88A1-0EEE16DA7363}" name="Whole country sum" dataDxfId="136"/>
    <tableColumn id="2" xr3:uid="{7AD72336-12D4-4A52-8169-8B6FC2AAA773}" name="Italy sum" dataDxfId="135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F571018-7DE3-4940-8B14-587C648D5781}" name="Tabella10" displayName="Tabella10" ref="AC18:AD28" totalsRowShown="0">
  <autoFilter ref="AC18:AD28" xr:uid="{6BBACF2F-9411-42AE-88CD-B6A5D694B764}"/>
  <tableColumns count="2">
    <tableColumn id="1" xr3:uid="{FAA10416-F4E0-4435-B099-FD9F2014709E}" name="region" dataDxfId="134"/>
    <tableColumn id="2" xr3:uid="{4B3DF482-3E70-4077-90EF-F4C6D02D2F19}" name="Lombardy fit"/>
  </tableColumns>
  <tableStyleInfo name="TableStyleLight3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4978F66-0F21-4962-BBAD-9DAEEF95C128}" name="Tabella11" displayName="Tabella11" ref="AC29:AD39" totalsRowShown="0" headerRowDxfId="133">
  <autoFilter ref="AC29:AD39" xr:uid="{4F62C887-D7E5-4422-A98B-007740B545EB}"/>
  <tableColumns count="2">
    <tableColumn id="1" xr3:uid="{BDF94A07-4A3B-4AEE-A628-F130488AED7A}" name="outside" dataDxfId="132"/>
    <tableColumn id="2" xr3:uid="{04EF7C50-030F-4875-86E2-1A44649EFD46}" name="rest of Italy"/>
  </tableColumns>
  <tableStyleInfo name="TableStyleLight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1AE4D46-C6A2-4E06-8024-F6AAD11361A6}" name="Tabella913" displayName="Tabella913" ref="AC40:AD50" totalsRowShown="0">
  <autoFilter ref="AC40:AD50" xr:uid="{3ED27504-5203-423C-8078-DD3D337178D4}"/>
  <tableColumns count="2">
    <tableColumn id="1" xr3:uid="{68D94B9C-FC79-4691-B5B2-5566913F6A46}" name="Whole country fit" dataDxfId="131"/>
    <tableColumn id="2" xr3:uid="{12ECD97A-4CBF-4516-9545-EA45C2E69AA0}" name="Italy fit"/>
  </tableColumns>
  <tableStyleInfo name="TableStyleLight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3C43434-F9AD-405C-8D9B-7469933A0BF3}" name="Tabella3" displayName="Tabella3" ref="B7:AJ281" totalsRowShown="0" headerRowDxfId="130">
  <autoFilter ref="B7:AJ281" xr:uid="{5E78D83D-6C25-40E0-A2DB-B68F6AAB46EA}"/>
  <tableColumns count="35">
    <tableColumn id="1" xr3:uid="{AC9FAB61-B731-40E3-83D5-22123EF8AE0D}" name="Date" dataDxfId="129"/>
    <tableColumn id="2" xr3:uid="{AB3B8E39-CEE3-43EE-B1A6-8D28135CAFC6}" name="Day" dataDxfId="128"/>
    <tableColumn id="3" xr3:uid="{DDACA13A-A286-4F18-9A4D-05064582A36A}" name="Italy cumul. Data"/>
    <tableColumn id="4" xr3:uid="{4A764917-3626-4415-9B41-E9B90EFD7FA4}" name="Italy data" dataDxfId="127"/>
    <tableColumn id="21" xr3:uid="{C976B52B-2786-4CB4-B206-E98A3E1A4632}" name="Colonna1" dataDxfId="126">
      <calculatedColumnFormula>Tabella3[[#This Row],[Italy data]]*NOT(ISBLANK(Tabella3[[#This Row],[Italy data]]))</calculatedColumnFormula>
    </tableColumn>
    <tableColumn id="5" xr3:uid="{3DBA7757-647A-453D-A0D3-43B83465DD6F}" name="Italy cumul. Fit" dataDxfId="125">
      <calculatedColumnFormula>Tabella3[[#This Row],[Lombardy cumul. Fit]]+Tabella3[[#This Row],[rest of Italy cumul. Fit]]</calculatedColumnFormula>
    </tableColumn>
    <tableColumn id="30" xr3:uid="{19173AC9-DD3B-48D8-BD27-B959B4943117}" name="Italy cum. Fit (Norm.)" dataDxfId="124">
      <calculatedColumnFormula>Tabella3[[#This Row],[Italy cumul. Fit]]/Kf</calculatedColumnFormula>
    </tableColumn>
    <tableColumn id="6" xr3:uid="{ADF84F98-C9B1-4D4E-965D-1E7BE56AE313}" name="Italy (fitted Lombardy + fitted sum of the other regions)" dataDxfId="123">
      <calculatedColumnFormula>Tabella3[[#This Row],[Lombardy fit]]+Tabella3[[#This Row],[rest of Italy fit]]</calculatedColumnFormula>
    </tableColumn>
    <tableColumn id="29" xr3:uid="{1E8CC91C-8367-45FE-8391-9AB293D222B5}" name="Italy sum of regions (Norm.)" dataDxfId="122">
      <calculatedColumnFormula>Tabella3[[#This Row],[Italy (fitted Lombardy + fitted sum of the other regions)]]/(y_l_peak+y_a_peak)</calculatedColumnFormula>
    </tableColumn>
    <tableColumn id="27" xr3:uid="{314DDD96-3EEF-47F6-A093-677CC3B78412}" name="Italy fit" dataDxfId="121">
      <calculatedColumnFormula>Kf*_xlfn.LOGNORM.DIST((Tabella3[[#This Row],[Day]]-D_bk),mu_f,sigma_f,FALSE)</calculatedColumnFormula>
    </tableColumn>
    <tableColumn id="31" xr3:uid="{28B183A3-93B0-49AC-9B07-DFC3DA865465}" name="Italy fit (Norm.)" dataDxfId="120">
      <calculatedColumnFormula>Tabella3[[#This Row],[Italy fit]]/y_f_peak</calculatedColumnFormula>
    </tableColumn>
    <tableColumn id="22" xr3:uid="{7CB6D2CF-1488-45DF-B3D3-DA9FCE991397}" name="Colonna2" dataDxfId="119">
      <calculatedColumnFormula>Tabella3[[#This Row],[Italy (fitted Lombardy + fitted sum of the other regions)]]*NOT(ISBLANK(Tabella3[[#This Row],[Italy data]]))</calculatedColumnFormula>
    </tableColumn>
    <tableColumn id="28" xr3:uid="{B7998AB9-1622-4307-B253-C5A912B69B6C}" name="Colonna22" dataDxfId="118">
      <calculatedColumnFormula>Tabella3[[#This Row],[Italy fit]]*NOT(ISBLANK(Tabella3[[#This Row],[Italy data]]))</calculatedColumnFormula>
    </tableColumn>
    <tableColumn id="7" xr3:uid="{FD2AFF0D-028F-4079-9B67-B1C4C865DA70}" name="Upper CI"/>
    <tableColumn id="8" xr3:uid="{2C00E3C4-CD56-4BD9-82E9-BA6F629F232D}" name="Lower CI"/>
    <tableColumn id="9" xr3:uid="{62CAAF81-8EFB-45AC-BBA6-8D7C7B486997}" name="Lombardy cumul. Data"/>
    <tableColumn id="10" xr3:uid="{09663C31-3E7C-4611-8AF3-0C06B00BA6F1}" name="Lombardy data" dataDxfId="117"/>
    <tableColumn id="23" xr3:uid="{10082EA6-D10C-44B2-9A09-0B1409F1C373}" name="Colonna3" dataDxfId="116">
      <calculatedColumnFormula>Tabella3[[#This Row],[Lombardy data]]*NOT(ISBLANK(Tabella3[[#This Row],[Lombardy data]]))</calculatedColumnFormula>
    </tableColumn>
    <tableColumn id="11" xr3:uid="{CDC351C1-18CE-4B4C-A65D-FD39DA8A5DED}" name="Lombardy cumul. Fit" dataDxfId="115">
      <calculatedColumnFormula>Tabella8[[#This Row],[Lombardy fit]]</calculatedColumnFormula>
    </tableColumn>
    <tableColumn id="32" xr3:uid="{8289A475-5A3F-4D73-BFD0-199C82D3EFEB}" name="Lombardy cum. Fit (Norm.)" dataDxfId="114">
      <calculatedColumnFormula>Tabella3[[#This Row],[Lombardy cumul. Fit]]/Kl</calculatedColumnFormula>
    </tableColumn>
    <tableColumn id="12" xr3:uid="{442CC8F3-BD05-4FDA-B285-A701402ADF1D}" name="Lombardy fit" dataDxfId="113">
      <calculatedColumnFormula>Kl*_xlfn.LOGNORM.DIST((Tabella3[[#This Row],[Day]]-pl),mu_l,sigma_l,FALSE)</calculatedColumnFormula>
    </tableColumn>
    <tableColumn id="33" xr3:uid="{45D3EE4E-80BD-46C5-8651-F774F41813D9}" name="Lombardy fit (Norm.)" dataDxfId="112">
      <calculatedColumnFormula>Tabella3[[#This Row],[Lombardy fit]]/y_l_peak</calculatedColumnFormula>
    </tableColumn>
    <tableColumn id="24" xr3:uid="{3735E881-B76D-4343-A940-CD03F154AD8A}" name="Colonna32" dataDxfId="111">
      <calculatedColumnFormula>Tabella3[[#This Row],[Lombardy fit]]*NOT(ISBLANK(Tabella3[[#This Row],[Lombardy data]]))</calculatedColumnFormula>
    </tableColumn>
    <tableColumn id="13" xr3:uid="{EE889393-6E60-4237-9EC5-DFB1642204B7}" name="Upper CI_"/>
    <tableColumn id="14" xr3:uid="{4BF9A623-B53D-4A7D-BCED-AF51065FBB44}" name="Lower CI_"/>
    <tableColumn id="15" xr3:uid="{88406667-2C06-4837-8C1D-7C7FB674BC25}" name="rest of Italy cum. Data"/>
    <tableColumn id="16" xr3:uid="{F9696E58-DE59-43F8-B795-C68B17BE8856}" name="rest of Italy data" dataDxfId="110"/>
    <tableColumn id="25" xr3:uid="{0DCF2D46-6281-4B7D-BB9E-222F69A41FF9}" name="Colonna33" dataDxfId="109">
      <calculatedColumnFormula>Tabella3[[#This Row],[rest of Italy data]]*NOT(ISBLANK(Tabella3[[#This Row],[rest of Italy data]]))</calculatedColumnFormula>
    </tableColumn>
    <tableColumn id="17" xr3:uid="{A81E690D-2D5C-4476-BFC1-14B6B7500BDD}" name="rest of Italy cumul. Fit" dataDxfId="108">
      <calculatedColumnFormula>Tabella8[[#This Row],[rest of Italy fit]]</calculatedColumnFormula>
    </tableColumn>
    <tableColumn id="34" xr3:uid="{8DC03341-55D1-4FDB-BAB7-6F60F1EC5087}" name="rest of Italy com. Fit (Norm.)" dataDxfId="107">
      <calculatedColumnFormula>Tabella3[[#This Row],[rest of Italy cumul. Fit]]/Ka</calculatedColumnFormula>
    </tableColumn>
    <tableColumn id="18" xr3:uid="{84CE2F6C-88D6-4F6C-BCE7-AB2A3AB959DB}" name="rest of Italy fit" dataDxfId="106">
      <calculatedColumnFormula>Ka*_xlfn.LOGNORM.DIST((Tabella3[[#This Row],[Day]]-pa),mu_a,sigma_a,FALSE)</calculatedColumnFormula>
    </tableColumn>
    <tableColumn id="35" xr3:uid="{FAE138C2-83E3-4613-9501-2311745CFF47}" name="rest of Italy fit (Norm.)" dataDxfId="105">
      <calculatedColumnFormula>Tabella3[[#This Row],[rest of Italy fit]]/y_a_peak</calculatedColumnFormula>
    </tableColumn>
    <tableColumn id="26" xr3:uid="{09DF6F78-AD5E-4D2B-8B55-4D9808403ED3}" name="Colonna322" dataDxfId="104">
      <calculatedColumnFormula>Tabella3[[#This Row],[rest of Italy fit]]*NOT(ISBLANK(Tabella3[[#This Row],[rest of Italy data]]))</calculatedColumnFormula>
    </tableColumn>
    <tableColumn id="19" xr3:uid="{825B4302-D347-4A3A-B1B4-0C960AAFF399}" name="Upper CI__"/>
    <tableColumn id="20" xr3:uid="{E509F0A5-EBDA-42F5-8E21-168F4C595F15}" name="Lower CI__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35DD6354-3B59-4943-8730-CD3B8C8CB1F7}" name="Tabella4" displayName="Tabella4" ref="AL7:AM18" totalsRowShown="0" headerRowDxfId="103" dataDxfId="102">
  <autoFilter ref="AL7:AM18" xr:uid="{00766B7A-46BC-4E07-B4A9-02AE45892E82}"/>
  <tableColumns count="2">
    <tableColumn id="1" xr3:uid="{E4319721-3F80-4342-9D0A-B78DF39299B8}" name="Whole country sum" dataDxfId="101"/>
    <tableColumn id="2" xr3:uid="{B084DEAD-F4A7-4385-950A-B66123852865}" name="Italy sum" dataDxfId="100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294717D-24D4-45C4-B26D-359AC6BA8815}" name="Tabella5" displayName="Tabella5" ref="AL19:AM31" totalsRowShown="0">
  <autoFilter ref="AL19:AM31" xr:uid="{2E08838D-8BAF-42A1-B981-D6B449E7082E}"/>
  <tableColumns count="2">
    <tableColumn id="1" xr3:uid="{3FD0D38D-8842-4E6D-9882-984AB3BFADE1}" name="region"/>
    <tableColumn id="2" xr3:uid="{A2610841-2CD8-4F5A-829D-2493C4B73EC9}" name="Lombardy fit"/>
  </tableColumns>
  <tableStyleInfo name="TableStyleLight3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6EEF903-D623-4533-84D2-A7C60F1EAB2C}" name="Tabella6" displayName="Tabella6" ref="AL32:AM44" totalsRowShown="0" headerRowDxfId="99">
  <autoFilter ref="AL32:AM44" xr:uid="{493E660F-E033-408D-A4BC-15A27F9E624C}"/>
  <tableColumns count="2">
    <tableColumn id="1" xr3:uid="{44D35643-5DC7-4195-979E-896CDDCB52C1}" name="outside"/>
    <tableColumn id="2" xr3:uid="{A86FC75B-BB86-40BE-8764-739189EEC27C}" name="rest of Italy fit"/>
  </tableColumns>
  <tableStyleInfo name="TableStyleLight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B9B90D4D-928B-41E1-A7D6-BBC2157CE923}" name="Tabella68" displayName="Tabella68" ref="AL45:AM57" totalsRowShown="0" headerRowDxfId="98">
  <autoFilter ref="AL45:AM57" xr:uid="{0F6FCA51-9485-4058-8475-AC6ECE9EB084}"/>
  <tableColumns count="2">
    <tableColumn id="1" xr3:uid="{A58BAF37-2CFC-44D3-8FF7-25C14C606C17}" name="Whole contry fit"/>
    <tableColumn id="2" xr3:uid="{96C5F196-9214-480C-B9CC-A31645BD150D}" name="Italy fit"/>
  </tableColumns>
  <tableStyleInfo name="TableStyleLight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E3FEB33-8B26-42E6-ADB7-AA1AC4DF580A}" name="Tabella34" displayName="Tabella34" ref="B7:BV184" totalsRowShown="0" headerRowDxfId="97">
  <autoFilter ref="B7:BV184" xr:uid="{64CD1C81-4B90-4800-800E-C13D0F753BA9}"/>
  <tableColumns count="73">
    <tableColumn id="1" xr3:uid="{ACC60D23-F072-4D9D-A75D-B1915A814BB4}" name="Date" dataDxfId="96"/>
    <tableColumn id="2" xr3:uid="{C687C2CC-E8A7-4C24-B877-FA7EDDF0A632}" name="Day" dataDxfId="95"/>
    <tableColumn id="3" xr3:uid="{32CB9D95-D0A9-4333-A8CB-BAC8B460990E}" name="Italy cumul. Data"/>
    <tableColumn id="4" xr3:uid="{76F600A8-728F-40AA-A2E9-DDB22120782F}" name="Italy data" dataDxfId="94"/>
    <tableColumn id="36" xr3:uid="{0884E98A-AEF8-472A-A5DA-4B24699AC0CF}" name="Italy acc." dataDxfId="93">
      <calculatedColumnFormula>Tabella34[[#This Row],[Italy data]]-E7</calculatedColumnFormula>
    </tableColumn>
    <tableColumn id="21" xr3:uid="{0D1481C4-9D87-4704-B0DE-8ACA0E994AC7}" name="Colonna1" dataDxfId="92">
      <calculatedColumnFormula>Tabella34[[#This Row],[Italy data]]*NOT(ISBLANK(Tabella34[[#This Row],[Italy data]]))</calculatedColumnFormula>
    </tableColumn>
    <tableColumn id="5" xr3:uid="{8D0CB0D2-92F2-41DA-A159-66625C9C7097}" name="Italy cumul. Fit" dataDxfId="91">
      <calculatedColumnFormula>Tabella8[[#This Row],[Italy fit]]</calculatedColumnFormula>
    </tableColumn>
    <tableColumn id="39" xr3:uid="{21F9B5CE-CC66-4D15-B76F-C86FB0BE1F82}" name="Italy d.t." dataDxfId="90">
      <calculatedColumnFormula>_xlfn.LOGNORM.INV(alpha*Tabella34[[#This Row],[Italy cumul. Fit]]/Kt,mu_t,sigma_t)-(Tabella34[[#This Row],[Day]]-pt)</calculatedColumnFormula>
    </tableColumn>
    <tableColumn id="72" xr3:uid="{7E087130-7511-49DE-83D3-3176EC0124E7}" name="Italy d.t. (Norm. To val. at lockdown)" dataDxfId="89">
      <calculatedColumnFormula>Tabella34[[#This Row],[Italy d.t.]]/Italy_dt_at_lockdown</calculatedColumnFormula>
    </tableColumn>
    <tableColumn id="30" xr3:uid="{03F23D1E-85B6-40F6-8AA8-7DE1FFDE9589}" name="Italy cum. Fit (Norm.)" dataDxfId="88">
      <calculatedColumnFormula>Tabella34[[#This Row],[Italy cumul. Fit]]/Kf</calculatedColumnFormula>
    </tableColumn>
    <tableColumn id="6" xr3:uid="{740AA17C-023E-4C94-8E34-DB114AB971BF}" name="Italy (fitted Lombardy + fitted sum of the other regions)" dataDxfId="87">
      <calculatedColumnFormula>Tabella34[[#This Row],[Lombardy acc. fit]]+Tabella34[[#This Row],[rest of Italy acc. fit]]</calculatedColumnFormula>
    </tableColumn>
    <tableColumn id="29" xr3:uid="{282446F5-0EDB-484A-94C3-294A06E68C77}" name="Italy sum of regions (Norm.)" dataDxfId="86">
      <calculatedColumnFormula>Tabella34[[#This Row],[Italy (fitted Lombardy + fitted sum of the other regions)]]/(y_l_peak+y_a_peak)</calculatedColumnFormula>
    </tableColumn>
    <tableColumn id="42" xr3:uid="{521E1297-D2DF-4AC6-8790-090D86C0E817}" name="Italy velocity" dataDxfId="85">
      <calculatedColumnFormula>IFERROR(Kt*_xlfn.LOGNORM.DIST((Tabella34[[#This Row],[Day]]-pt),mu_t,sigma_t,FALSE),0)</calculatedColumnFormula>
    </tableColumn>
    <tableColumn id="53" xr3:uid="{FFC22A47-8D4D-40C2-8529-17883A408300}" name="verify" dataDxfId="84">
      <calculatedColumnFormula>Kt*EXP(-0.5*Tabella34[[#This Row],[x_t]]^2)/(sigma_t*SQRTPI(2)*(Tabella34[[#This Row],[Day]]-D_bk))</calculatedColumnFormula>
    </tableColumn>
    <tableColumn id="43" xr3:uid="{B81E0C6D-6369-49C6-A7A3-351684E6DEBC}" name="Italy g.r." dataDxfId="83" dataCellStyle="Percentuale">
      <calculatedColumnFormula>Tabella34[[#This Row],[Italy velocity]]/Tabella34[[#This Row],[Italy cumul. Fit]]</calculatedColumnFormula>
    </tableColumn>
    <tableColumn id="48" xr3:uid="{B28CB71B-B535-4352-B4B7-0692A0793652}" name="x_t" dataDxfId="82" dataCellStyle="Percentuale">
      <calculatedColumnFormula>(LN(Tabella34[[#This Row],[Day]]-D_bk)-mu_t)/sigma_t</calculatedColumnFormula>
    </tableColumn>
    <tableColumn id="56" xr3:uid="{864B7B5E-4044-4DCF-86B0-ACA478C568CC}" name="t_alpha_t+plus" dataDxfId="81" dataCellStyle="Percentuale">
      <calculatedColumnFormula>EXP(mu_t+sigma_t*Tabella34[[#This Row],[x_t_alpha©+plus]])-(Tabella34[[#This Row],[Day]]-D_bk)</calculatedColumnFormula>
    </tableColumn>
    <tableColumn id="55" xr3:uid="{87BE6765-60DB-49BC-9BD3-D752B025B1AB}" name="t_alpha_t-minus" dataDxfId="80" dataCellStyle="Percentuale">
      <calculatedColumnFormula>EXP(mu_t+sigma_t*Tabella34[[#This Row],[x_t_alpha©-minus]])-(Tabella34[[#This Row],[Day]]-D_bk)</calculatedColumnFormula>
    </tableColumn>
    <tableColumn id="57" xr3:uid="{225D971B-F72D-42DF-B7FB-6565CB2672A7}" name="x_t_alpha©+plus" dataDxfId="79" dataCellStyle="Percentuale">
      <calculatedColumnFormula>-sigma_t+SQRT(sigma_t^2-2*Tabella34[[#This Row],[c_t]])</calculatedColumnFormula>
    </tableColumn>
    <tableColumn id="54" xr3:uid="{53175594-C4E6-456E-B351-1AB48F823A7E}" name="x_t_alpha©-minus" dataDxfId="78" dataCellStyle="Percentuale">
      <calculatedColumnFormula>-sigma_t-SQRT(sigma_t^2-2*Tabella34[[#This Row],[c_t]])</calculatedColumnFormula>
    </tableColumn>
    <tableColumn id="49" xr3:uid="{EE228D2A-2CC1-4C57-82DB-85DBB998B89C}" name="c_t" dataDxfId="77" dataCellStyle="Percentuale">
      <calculatedColumnFormula>mu_t-LN(alpha*Kt/(Tabella34[[#This Row],[Italy velocity]]*sigma_t*SQRTPI(2)))</calculatedColumnFormula>
    </tableColumn>
    <tableColumn id="73" xr3:uid="{5C057197-AE13-45BE-8938-A7EC86EABB4D}" name="Italy g.r. (Norm. To val. at lockdown)" dataDxfId="76" dataCellStyle="Percentuale">
      <calculatedColumnFormula>Tabella34[[#This Row],[Italy g.r.]]/Italy_gr_at_lockdown</calculatedColumnFormula>
    </tableColumn>
    <tableColumn id="52" xr3:uid="{9BBA6C11-95B1-4650-830D-F3B7BFD96860}" name="Italy h.t." dataDxfId="75" dataCellStyle="Percentuale">
      <calculatedColumnFormula>Tabella34[[#This Row],[t_alpha_t+plus]]</calculatedColumnFormula>
    </tableColumn>
    <tableColumn id="74" xr3:uid="{7EC4ED15-BBED-465F-92F6-584BEA3C3158}" name="Italy h.t. (Norm. To val. at lockdown)" dataDxfId="74" dataCellStyle="Percentuale">
      <calculatedColumnFormula>Tabella34[[#This Row],[Italy h.t.]]/Italy_ht_at_lockdown</calculatedColumnFormula>
    </tableColumn>
    <tableColumn id="27" xr3:uid="{EC1FC797-F919-44E2-AA63-C942176919E9}" name="Italy acc. fit" dataDxfId="73">
      <calculatedColumnFormula>IFERROR(-Kf*_xlfn.LOGNORM.DIST((Tabella34[[#This Row],[Day]]-D_bk),mu_f,sigma_f,FALSE)*(1+(LN((Tabella34[[#This Row],[Day]]-D_bk))-mu_f)/sigma_f^2)/(Tabella34[[#This Row],[Day]]-D_bk),0)</calculatedColumnFormula>
    </tableColumn>
    <tableColumn id="71" xr3:uid="{16A5831C-A515-4976-B3C8-C5D426FD214B}" name="Italy acc. Fit (Norm. To val. at lockdown)" dataDxfId="72">
      <calculatedColumnFormula>Tabella34[[#This Row],[Italy acc. fit]]/Itali_acc_at_lockdown</calculatedColumnFormula>
    </tableColumn>
    <tableColumn id="31" xr3:uid="{A7B90458-3156-4C65-8D40-9C7ED79E6D1F}" name="Italy fit (Norm.)" dataDxfId="71">
      <calculatedColumnFormula>Tabella34[[#This Row],[Italy acc. fit]]/y_f_peak</calculatedColumnFormula>
    </tableColumn>
    <tableColumn id="22" xr3:uid="{3454EAEC-2F0B-43EB-BAA5-786BDD84C222}" name="Colonna2" dataDxfId="70">
      <calculatedColumnFormula>Tabella34[[#This Row],[Italy (fitted Lombardy + fitted sum of the other regions)]]*NOT(ISBLANK(Tabella34[[#This Row],[Italy data]]))</calculatedColumnFormula>
    </tableColumn>
    <tableColumn id="28" xr3:uid="{B677F892-B1B7-4687-B36F-B412484B9F7F}" name="Colonna22" dataDxfId="69">
      <calculatedColumnFormula>Tabella34[[#This Row],[Italy acc. fit]]*NOT(ISBLANK(Tabella34[[#This Row],[Italy data]]))</calculatedColumnFormula>
    </tableColumn>
    <tableColumn id="7" xr3:uid="{1FB29A2A-9F78-468F-A44C-116109C9ABB2}" name="Upper CI" dataDxfId="68"/>
    <tableColumn id="8" xr3:uid="{F226004F-D369-46CF-809B-30849E1E6832}" name="Lower CI" dataDxfId="67"/>
    <tableColumn id="9" xr3:uid="{4CC4E10A-61F2-4C4D-9A4E-4E48FF420524}" name="Lombardy cumul. Data"/>
    <tableColumn id="10" xr3:uid="{2C2C4B9F-3F34-417A-9946-756DE7F974E7}" name="Lombardy data" dataDxfId="66"/>
    <tableColumn id="37" xr3:uid="{BE294A1D-6168-4F3F-A0CA-6632C8ED5125}" name="Lombardy acc." dataDxfId="65">
      <calculatedColumnFormula>Tabella34[[#This Row],[Lombardy data]]-AH7</calculatedColumnFormula>
    </tableColumn>
    <tableColumn id="23" xr3:uid="{0816919E-6D08-4861-9F97-8BFFF3DFA6BA}" name="Colonna3" dataDxfId="64">
      <calculatedColumnFormula>Tabella34[[#This Row],[Lombardy data]]*NOT(ISBLANK(Tabella34[[#This Row],[Lombardy data]]))</calculatedColumnFormula>
    </tableColumn>
    <tableColumn id="11" xr3:uid="{32BBCC10-DEF5-4EDC-A383-055E405F03DF}" name="Lombardy cumul. Fit" dataDxfId="63">
      <calculatedColumnFormula>Tabella8[[#This Row],[Lombardy fit]]</calculatedColumnFormula>
    </tableColumn>
    <tableColumn id="40" xr3:uid="{C19CD861-CE71-4602-9F9B-59546032C192}" name="Lombardy d.t" dataDxfId="62">
      <calculatedColumnFormula>_xlfn.LOGNORM.INV(alpha*Tabella34[[#This Row],[Lombardy cumul. Fit]]/Kr,mu_r,sigma_r)-(Tabella34[[#This Row],[Day]]-pr)</calculatedColumnFormula>
    </tableColumn>
    <tableColumn id="32" xr3:uid="{16AAD297-3C82-48D2-9034-8421902336DF}" name="Lombardy cum. Fit (Norm.)" dataDxfId="61">
      <calculatedColumnFormula>Tabella34[[#This Row],[Lombardy cumul. Fit]]/Kl</calculatedColumnFormula>
    </tableColumn>
    <tableColumn id="44" xr3:uid="{65D8D691-BDCF-4271-B781-17E6E9E74409}" name="Lombardy velocity" dataDxfId="60">
      <calculatedColumnFormula>IFERROR(Kr*_xlfn.LOGNORM.DIST((Tabella34[[#This Row],[Day]]-pr),mu_r,sigma_r,FALSE),0)</calculatedColumnFormula>
    </tableColumn>
    <tableColumn id="45" xr3:uid="{325AFA39-6BAB-4C39-AF15-4C713744E763}" name="Lombardy g.r." dataDxfId="59" dataCellStyle="Percentuale">
      <calculatedColumnFormula>Tabella34[[#This Row],[Lombardy velocity]]/Tabella34[[#This Row],[Lombardy cumul. Fit]]</calculatedColumnFormula>
    </tableColumn>
    <tableColumn id="50" xr3:uid="{AEC629F5-F5B7-427A-A3BE-91164E174013}" name="Lombardy x=(ln(t-p)-mu)/sigma2" dataDxfId="58" dataCellStyle="Percentuale">
      <calculatedColumnFormula>(LN(Tabella34[[#This Row],[Day]]-pr)-mu_r)/sigma_r</calculatedColumnFormula>
    </tableColumn>
    <tableColumn id="59" xr3:uid="{0101A73A-DD63-43C9-859D-92B4B22D7687}" name="t_alpha_r+plus" dataDxfId="57" dataCellStyle="Percentuale">
      <calculatedColumnFormula>EXP(mu_r+sigma_r*Tabella34[[#This Row],[x_r_alpha©+plus]])-(Tabella34[[#This Row],[Day]]-pr)</calculatedColumnFormula>
    </tableColumn>
    <tableColumn id="60" xr3:uid="{BC4FB734-F354-4873-85D1-4E78CD72BFE2}" name="t_alpha_r-minus" dataDxfId="56" dataCellStyle="Percentuale">
      <calculatedColumnFormula>EXP(mu_r+sigma_r*Tabella34[[#This Row],[x_r_alpha©-minus]])-(Tabella34[[#This Row],[Day]]-pr)</calculatedColumnFormula>
    </tableColumn>
    <tableColumn id="61" xr3:uid="{882F33D0-0BDB-4269-AB07-4396D7F159EC}" name="x_r_alpha©+plus" dataDxfId="55" dataCellStyle="Percentuale">
      <calculatedColumnFormula>-sigma_r+SQRT(sigma_r^2-2*Tabella34[[#This Row],[c_r]])</calculatedColumnFormula>
    </tableColumn>
    <tableColumn id="62" xr3:uid="{452B87DE-E21F-4856-B6F0-96140DEFAC55}" name="x_r_alpha©-minus" dataDxfId="54" dataCellStyle="Percentuale">
      <calculatedColumnFormula>-sigma_r-SQRT(sigma_r^2-2*Tabella34[[#This Row],[c_r]])</calculatedColumnFormula>
    </tableColumn>
    <tableColumn id="63" xr3:uid="{F7B802E0-8D03-4B23-953B-18C7737EDE16}" name="c_r" dataDxfId="53" dataCellStyle="Percentuale">
      <calculatedColumnFormula>mu_r-LN(alpha*Kr/(Tabella34[[#This Row],[Lombardy velocity]]*sigma_r*SQRTPI(2)))</calculatedColumnFormula>
    </tableColumn>
    <tableColumn id="64" xr3:uid="{77F0D52D-0A62-41AA-8CBF-4BD837FD2F95}" name="Lombardy h.t." dataDxfId="52" dataCellStyle="Percentuale">
      <calculatedColumnFormula>Tabella34[[#This Row],[t_alpha_r+plus]]</calculatedColumnFormula>
    </tableColumn>
    <tableColumn id="12" xr3:uid="{EAFF3715-35A3-45D0-B237-ADA5691DA311}" name="Lombardy acc. fit" dataDxfId="51">
      <calculatedColumnFormula>IFERROR(-Kl*_xlfn.LOGNORM.DIST((Tabella34[[#This Row],[Day]]-pl),mu_l,sigma_l,FALSE)*(1+(LN((Tabella34[[#This Row],[Day]]-pl))-mu_l)/sigma_l^2)/(Tabella34[[#This Row],[Day]]-pl),0)</calculatedColumnFormula>
    </tableColumn>
    <tableColumn id="33" xr3:uid="{8861C221-9045-49BF-AB8F-0B4AE5B0B9BF}" name="Lombardy fit (Norm.)" dataDxfId="50">
      <calculatedColumnFormula>Tabella34[[#This Row],[Lombardy acc. fit]]/y_l_peak</calculatedColumnFormula>
    </tableColumn>
    <tableColumn id="24" xr3:uid="{4CD3476B-984B-421F-BE72-55E7CA95AD6A}" name="Colonna32" dataDxfId="49">
      <calculatedColumnFormula>Tabella34[[#This Row],[Lombardy acc. fit]]*NOT(ISBLANK(Tabella34[[#This Row],[Lombardy data]]))</calculatedColumnFormula>
    </tableColumn>
    <tableColumn id="13" xr3:uid="{1D6140DA-E765-4F87-B873-41D83130E13B}" name="Upper CI_" dataDxfId="48"/>
    <tableColumn id="14" xr3:uid="{45890936-9464-4D51-96E1-04F3526F71B4}" name="Lower CI_" dataDxfId="47"/>
    <tableColumn id="15" xr3:uid="{D943E5B4-DA7B-4A71-AB6A-1E08D9228118}" name="rest of Italy cum. Data"/>
    <tableColumn id="16" xr3:uid="{8DB68116-02FF-4237-877B-747D4A0561AD}" name="rest of Italy data" dataDxfId="46"/>
    <tableColumn id="38" xr3:uid="{4827C410-B133-4944-B8DD-B8D81A258A65}" name="rest of Italy acc." dataDxfId="45">
      <calculatedColumnFormula>Tabella34[[#This Row],[rest of Italy data]]-BC7</calculatedColumnFormula>
    </tableColumn>
    <tableColumn id="25" xr3:uid="{E695BD70-C7AC-4500-BE66-A4E1D4935741}" name="Colonna33" dataDxfId="44">
      <calculatedColumnFormula>Tabella34[[#This Row],[rest of Italy data]]*NOT(ISBLANK(Tabella34[[#This Row],[rest of Italy data]]))</calculatedColumnFormula>
    </tableColumn>
    <tableColumn id="17" xr3:uid="{B4A3C8A3-9ACC-47B4-A063-AFD72D1D9450}" name="rest of Italy cumul. Fit" dataDxfId="43">
      <calculatedColumnFormula>Tabella8[[#This Row],[rest of Italy fit]]</calculatedColumnFormula>
    </tableColumn>
    <tableColumn id="41" xr3:uid="{71DD744E-D643-4287-B141-1C22CD2F974E}" name="rest of Italy d.t." dataDxfId="42">
      <calculatedColumnFormula>_xlfn.LOGNORM.INV(alpha*Tabella34[[#This Row],[rest of Italy cumul. Fit]]/Ko,mu_o,sigma_o)-(Tabella34[[#This Row],[Day]]-po)</calculatedColumnFormula>
    </tableColumn>
    <tableColumn id="34" xr3:uid="{E5A81988-8E83-41F6-891C-22529B961480}" name="rest of Italy com. Fit (Norm.)" dataDxfId="41">
      <calculatedColumnFormula>Tabella34[[#This Row],[rest of Italy cumul. Fit]]/Ka</calculatedColumnFormula>
    </tableColumn>
    <tableColumn id="46" xr3:uid="{FEAD9E42-52F3-4D1C-9922-E2058FC97222}" name="rest of Italy velocity" dataDxfId="40">
      <calculatedColumnFormula>IFERROR(Ko*_xlfn.LOGNORM.DIST((Tabella34[[#This Row],[Day]]-po),mu_o,sigma_o,FALSE),0)</calculatedColumnFormula>
    </tableColumn>
    <tableColumn id="47" xr3:uid="{0AA7A7A0-22D9-47BE-91D2-C7574E413F2F}" name="rest of Italy g.r." dataDxfId="39" dataCellStyle="Percentuale">
      <calculatedColumnFormula>Tabella34[[#This Row],[rest of Italy velocity]]/Tabella34[[#This Row],[rest of Italy cumul. Fit]]</calculatedColumnFormula>
    </tableColumn>
    <tableColumn id="51" xr3:uid="{BEF729BC-C406-44B4-92AF-076284E0A6B9}" name="rest of Italy x=(ln(t-p)-mu)/sigma" dataDxfId="38" dataCellStyle="Percentuale">
      <calculatedColumnFormula>(LN(Tabella34[[#This Row],[Day]]-po)-mu_o)/sigma_o</calculatedColumnFormula>
    </tableColumn>
    <tableColumn id="70" xr3:uid="{C6AB1831-7C1A-432B-A38D-178411AD6237}" name="t_alpha_o+plus" dataDxfId="37" dataCellStyle="Percentuale">
      <calculatedColumnFormula>EXP(mu_o+sigma_o*Tabella34[[#This Row],[x_o_alpha©+plus]])-(Tabella34[[#This Row],[Day]]-po)</calculatedColumnFormula>
    </tableColumn>
    <tableColumn id="69" xr3:uid="{63266908-B7A0-4558-8981-5A1404F14612}" name="t_alpha_o-minus" dataDxfId="36" dataCellStyle="Percentuale">
      <calculatedColumnFormula>EXP(mu_o+sigma_o*Tabella34[[#This Row],[x_o_alpha©-minus]])-(Tabella34[[#This Row],[Day]]-po)</calculatedColumnFormula>
    </tableColumn>
    <tableColumn id="68" xr3:uid="{D94FE56F-DDF3-46F8-B0ED-CCDA232007CC}" name="x_o_alpha©+plus" dataDxfId="35" dataCellStyle="Percentuale">
      <calculatedColumnFormula>-sigma_o+SQRT(sigma_o^2-2*Tabella34[[#This Row],[c_o]])</calculatedColumnFormula>
    </tableColumn>
    <tableColumn id="67" xr3:uid="{5A9CCD42-CF4B-4B1A-8E5D-FE5FE52DDADF}" name="x_o_alpha©-minus" dataDxfId="34" dataCellStyle="Percentuale">
      <calculatedColumnFormula>-sigma_o-SQRT(sigma_o^2-2*Tabella34[[#This Row],[c_o]])</calculatedColumnFormula>
    </tableColumn>
    <tableColumn id="66" xr3:uid="{FC0AC2AE-0158-4E21-9218-F3556443E8BC}" name="c_o" dataDxfId="33" dataCellStyle="Percentuale">
      <calculatedColumnFormula>mu_o-LN(alpha*Ko/(Tabella34[[#This Row],[rest of Italy velocity]]*sigma_o*SQRTPI(2)))</calculatedColumnFormula>
    </tableColumn>
    <tableColumn id="65" xr3:uid="{9204EA2C-2432-4DF3-AFAD-DDCDC7C72CD3}" name="rest of Italy h.t." dataDxfId="32" dataCellStyle="Percentuale">
      <calculatedColumnFormula>Tabella34[[#This Row],[t_alpha_o+plus]]</calculatedColumnFormula>
    </tableColumn>
    <tableColumn id="18" xr3:uid="{FD6099F4-40ED-4723-BCFC-0515197E5411}" name="rest of Italy acc. fit" dataDxfId="31">
      <calculatedColumnFormula>IFERROR(-Ka*_xlfn.LOGNORM.DIST((Tabella34[[#This Row],[Day]]-pa),mu_a,sigma_a,FALSE)*(1+(LN((Tabella34[[#This Row],[Day]]-pa))-mu_a)/sigma_a^2)/(Tabella34[[#This Row],[Day]]-pa),0)</calculatedColumnFormula>
    </tableColumn>
    <tableColumn id="35" xr3:uid="{A0A203B2-BAB1-4D07-BDD1-9652E898B6BE}" name="rest of Italy fit (Norm.)" dataDxfId="30">
      <calculatedColumnFormula>Tabella34[[#This Row],[rest of Italy acc. fit]]/y_a_peak</calculatedColumnFormula>
    </tableColumn>
    <tableColumn id="26" xr3:uid="{15F32069-D8D9-41EE-BAFA-377D6BE7DD5A}" name="Colonna322" dataDxfId="29">
      <calculatedColumnFormula>Tabella34[[#This Row],[rest of Italy acc. fit]]*NOT(ISBLANK(Tabella34[[#This Row],[rest of Italy data]]))</calculatedColumnFormula>
    </tableColumn>
    <tableColumn id="19" xr3:uid="{44B472C2-6348-4F9B-8B44-4ACD5F0A8631}" name="Upper CI__" dataDxfId="28"/>
    <tableColumn id="20" xr3:uid="{D884F6F9-76D1-4EEF-B3DD-7AC5018C1A4F}" name="Lower CI__" dataDxfId="27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ADAE565-9929-4EF2-BB03-FF560E6104E1}" name="Tabella45" displayName="Tabella45" ref="BX7:BY18" totalsRowShown="0" headerRowDxfId="26" dataDxfId="25">
  <autoFilter ref="BX7:BY18" xr:uid="{99FCECFF-7546-4E9F-BC9B-C608747C7992}"/>
  <tableColumns count="2">
    <tableColumn id="1" xr3:uid="{2C2EF1A0-FA01-4854-A48A-A3FC2CEBE484}" name="Whole country sum" dataDxfId="24"/>
    <tableColumn id="2" xr3:uid="{BBBCCB83-BCC4-4B61-BF70-F20B1DE5DD2E}" name="Italy sum" dataDxfId="23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82D669D-7956-470D-9767-C61B869E5ED4}" name="Tabella56" displayName="Tabella56" ref="BX19:BY31" totalsRowShown="0" headerRowDxfId="22" dataDxfId="21">
  <autoFilter ref="BX19:BY31" xr:uid="{41723F04-8F3D-447E-986E-DDE7C4E185D6}"/>
  <tableColumns count="2">
    <tableColumn id="1" xr3:uid="{873A0FB9-23E1-4D7F-BF03-F96BAA97225C}" name="region" dataDxfId="20"/>
    <tableColumn id="2" xr3:uid="{685825AB-81E2-4751-B870-0CE101D6244D}" name="Lombardy fit" dataDxfId="19"/>
  </tableColumns>
  <tableStyleInfo name="TableStyleLight3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469D03A-0560-482D-A9AC-3A84D4F4D7A4}" name="Tabella67" displayName="Tabella67" ref="BX32:BY44" totalsRowShown="0" headerRowDxfId="18" dataDxfId="17">
  <autoFilter ref="BX32:BY44" xr:uid="{B7330CDA-797E-4AEE-8936-2CD475EF1182}"/>
  <tableColumns count="2">
    <tableColumn id="1" xr3:uid="{2AA5E278-91B2-4EF3-9265-1635E1F2D8C8}" name="outside" dataDxfId="16"/>
    <tableColumn id="2" xr3:uid="{6889DBC2-F373-4EA1-AB3D-93A01689A1F2}" name="rest of Italy fit" dataDxfId="15"/>
  </tableColumns>
  <tableStyleInfo name="TableStyleLight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D4DD7C6-95B0-4AC8-BFFB-2DAC674B8B97}" name="Tabella688" displayName="Tabella688" ref="BX45:BY57" totalsRowShown="0" headerRowDxfId="14" dataDxfId="13">
  <autoFilter ref="BX45:BY57" xr:uid="{FBCC173C-E06A-4C12-9CC1-E8F46BF2DDE4}"/>
  <tableColumns count="2">
    <tableColumn id="1" xr3:uid="{F33654F0-155E-4DDE-8519-6857DFA9A7EF}" name="Whole contry fit" dataDxfId="12"/>
    <tableColumn id="2" xr3:uid="{9D52DE31-D71F-4C7A-B142-89C67D91A57E}" name="Italy fit" dataDxfId="11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E3" dT="2020-04-13T00:14:38.76" personId="{46504131-ADD3-4530-BCC7-16E4FED1C2C4}" id="{18E5A2A4-4328-4013-9C5A-7FF3FFE52F37}">
    <text>Saturation value or carrying capalcity</text>
  </threadedComment>
  <threadedComment ref="AE4" dT="2020-04-13T00:15:06.31" personId="{46504131-ADD3-4530-BCC7-16E4FED1C2C4}" id="{B28540D2-8971-4B31-876F-24BE58C058FA}">
    <text>Point of inflection</text>
  </threadedComment>
  <threadedComment ref="AE5" dT="2020-04-13T00:16:48.93" personId="{46504131-ADD3-4530-BCC7-16E4FED1C2C4}" id="{361F45E2-544C-4814-986A-5F23748796D7}">
    <text>Slope or decay time</text>
  </threadedComment>
  <threadedComment ref="AE6" dT="2020-04-24T20:17:39.98" personId="{46504131-ADD3-4530-BCC7-16E4FED1C2C4}" id="{84201E2F-7D32-4D3E-A68C-2A395C0AFEB1}">
    <text>backdating of starting day</text>
  </threadedComment>
  <threadedComment ref="B29" dT="2020-04-26T00:19:42.74" personId="{46504131-ADD3-4530-BCC7-16E4FED1C2C4}" id="{A873C920-16AD-4BAC-9C3D-8B9354B93FEC}">
    <text>Data from https://github.com/CSSEGISandData</text>
  </threadedComment>
  <threadedComment ref="B62" dT="2020-03-21T22:11:56.31" personId="{46504131-ADD3-4530-BCC7-16E4FED1C2C4}" id="{0621FDE1-092F-4B0A-B6B9-713897DF0CC5}">
    <text>first red zones (north)</text>
  </threadedComment>
  <threadedComment ref="B68" dT="2020-03-21T22:12:51.46" personId="{46504131-ADD3-4530-BCC7-16E4FED1C2C4}" id="{6744EB57-859E-42EA-B4F2-F10942B49A22}">
    <text>partial lockdown (north)</text>
  </threadedComment>
  <threadedComment ref="B72" dT="2020-03-21T22:13:52.19" personId="{46504131-ADD3-4530-BCC7-16E4FED1C2C4}" id="{33530D03-226A-4358-A568-CF8D6E16063E}">
    <text>school closure (Italy)</text>
  </threadedComment>
  <threadedComment ref="B75" dT="2020-03-21T22:14:24.84" personId="{46504131-ADD3-4530-BCC7-16E4FED1C2C4}" id="{DEE131DF-B99E-49E5-B71E-E8FA46139EA4}">
    <text>full lockdown (northern Italy)</text>
  </threadedComment>
  <threadedComment ref="B77" dT="2020-03-21T22:14:52.14" personId="{46504131-ADD3-4530-BCC7-16E4FED1C2C4}" id="{D7D1BB5E-BF21-4496-ACA8-360768C57861}">
    <text>partial lockdown (Italy)</text>
  </threadedComment>
  <threadedComment ref="B79" dT="2020-03-21T22:15:16.77" personId="{46504131-ADD3-4530-BCC7-16E4FED1C2C4}" id="{A4FE517B-52ED-47DC-A9CE-D59F3913061A}">
    <text>full lockdown (Italy)</text>
  </threadedComment>
  <threadedComment ref="B90" dT="2020-03-23T21:41:16.67" personId="{46504131-ADD3-4530-BCC7-16E4FED1C2C4}" id="{C9ADCFB2-7E30-41ED-B43B-6911BE354135}">
    <text>reinforced lockdown (Italy)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N3" dT="2020-04-13T00:14:38.76" personId="{46504131-ADD3-4530-BCC7-16E4FED1C2C4}" id="{722BC269-F91C-4139-8BC1-B2D7CFD655D1}">
    <text>Saturation value or carrying capalcity</text>
  </threadedComment>
  <threadedComment ref="AN4" dT="2020-04-13T00:15:06.31" personId="{46504131-ADD3-4530-BCC7-16E4FED1C2C4}" id="{545E94EF-1517-4064-88E6-2D9228EF509C}">
    <text>Point of inflection</text>
  </threadedComment>
  <threadedComment ref="AN5" dT="2020-04-13T00:16:48.93" personId="{46504131-ADD3-4530-BCC7-16E4FED1C2C4}" id="{9F0F1623-7128-476E-B1C6-D2F247C712B8}">
    <text>Slope or decay time</text>
  </threadedComment>
  <threadedComment ref="AN6" dT="2020-04-24T20:17:39.98" personId="{46504131-ADD3-4530-BCC7-16E4FED1C2C4}" id="{21AC4952-C932-4556-AB9B-F965D7C85037}">
    <text>backdating of starting day</text>
  </threadedComment>
  <threadedComment ref="B29" dT="2020-04-26T22:26:40.95" personId="{46504131-ADD3-4530-BCC7-16E4FED1C2C4}" id="{35848DFF-2269-48CA-BBD5-939EFA41CE4B}">
    <text>see previous sheet</text>
  </threadedComment>
  <threadedComment ref="B62" dT="2020-03-21T22:11:56.31" personId="{46504131-ADD3-4530-BCC7-16E4FED1C2C4}" id="{55BA04F6-DD5C-404D-9143-067D1A800A3A}">
    <text>first red zones (north)</text>
  </threadedComment>
  <threadedComment ref="B68" dT="2020-03-21T22:12:51.46" personId="{46504131-ADD3-4530-BCC7-16E4FED1C2C4}" id="{BDDA7B4B-B1F4-44B2-A550-3674E961B52E}">
    <text>partial lockdown (north)</text>
  </threadedComment>
  <threadedComment ref="B72" dT="2020-03-21T22:13:52.19" personId="{46504131-ADD3-4530-BCC7-16E4FED1C2C4}" id="{4CDB76F3-57CC-4212-B53F-F8F165375B94}">
    <text>school closure (Italy)</text>
  </threadedComment>
  <threadedComment ref="B75" dT="2020-03-21T22:14:24.84" personId="{46504131-ADD3-4530-BCC7-16E4FED1C2C4}" id="{CE65C50C-3F83-4631-A90E-C07B7C5721E9}">
    <text>full lockdown (northern Italy)</text>
  </threadedComment>
  <threadedComment ref="B77" dT="2020-03-21T22:14:52.14" personId="{46504131-ADD3-4530-BCC7-16E4FED1C2C4}" id="{92B8577E-1708-4B0F-85FD-31A0291F718A}">
    <text>partial lockdown (Italy)</text>
  </threadedComment>
  <threadedComment ref="B79" dT="2020-03-21T22:15:16.77" personId="{46504131-ADD3-4530-BCC7-16E4FED1C2C4}" id="{67CE4491-269D-478E-850E-4FD0904AA888}">
    <text>full lockdown (Italy)</text>
  </threadedComment>
  <threadedComment ref="B90" dT="2020-03-23T21:41:16.67" personId="{46504131-ADD3-4530-BCC7-16E4FED1C2C4}" id="{12A51D8D-BC18-4F3B-A122-CB2A491B9543}">
    <text>reinforced lockdown (Italy)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BZ3" dT="2020-04-13T00:14:38.76" personId="{46504131-ADD3-4530-BCC7-16E4FED1C2C4}" id="{5BB2974A-9676-4C5B-803F-CF982FB54C17}">
    <text>Saturation value or carrying capalcity</text>
  </threadedComment>
  <threadedComment ref="BZ4" dT="2020-04-13T00:15:06.31" personId="{46504131-ADD3-4530-BCC7-16E4FED1C2C4}" id="{5985897A-FB7E-4117-8EAE-F8102ABED9D6}">
    <text>Point of inflection</text>
  </threadedComment>
  <threadedComment ref="BZ5" dT="2020-04-13T00:16:48.93" personId="{46504131-ADD3-4530-BCC7-16E4FED1C2C4}" id="{47066B5F-AE32-47EA-93C2-BB0BD06AF4AC}">
    <text>Slope or decay time</text>
  </threadedComment>
  <threadedComment ref="BZ6" dT="2020-04-24T20:17:39.98" personId="{46504131-ADD3-4530-BCC7-16E4FED1C2C4}" id="{0EE8AFFD-59E9-4E35-B418-47FBE2E4A52B}">
    <text>backdating of starting day</text>
  </threadedComment>
  <threadedComment ref="B62" dT="2020-03-21T22:11:56.31" personId="{46504131-ADD3-4530-BCC7-16E4FED1C2C4}" id="{3D06FFC5-AE5C-40AF-951E-8817B4F3A121}">
    <text>first red zones (north)</text>
  </threadedComment>
  <threadedComment ref="B68" dT="2020-03-21T22:12:51.46" personId="{46504131-ADD3-4530-BCC7-16E4FED1C2C4}" id="{F1B3988C-7831-496F-82F5-0B82EE836187}">
    <text>partial lockdown (north)</text>
  </threadedComment>
  <threadedComment ref="B72" dT="2020-03-21T22:13:52.19" personId="{46504131-ADD3-4530-BCC7-16E4FED1C2C4}" id="{13AB517F-BD4E-4746-AF07-A982E4FB6ACE}">
    <text>school closure (Italy)</text>
  </threadedComment>
  <threadedComment ref="B75" dT="2020-03-21T22:14:24.84" personId="{46504131-ADD3-4530-BCC7-16E4FED1C2C4}" id="{DDE92F60-776B-4CDE-B4EB-B14A18B23E6B}">
    <text>full lockdown (northern Italy)</text>
  </threadedComment>
  <threadedComment ref="B77" dT="2020-03-21T22:14:52.14" personId="{46504131-ADD3-4530-BCC7-16E4FED1C2C4}" id="{4D0715D5-E2BE-4259-9DBA-1C570C2BC087}">
    <text>partial lockdown (Italy)</text>
  </threadedComment>
  <threadedComment ref="B79" dT="2020-03-21T22:15:16.77" personId="{46504131-ADD3-4530-BCC7-16E4FED1C2C4}" id="{45A3707D-7D38-4419-9325-AB8727F4742B}">
    <text>full lockdown (Italy)</text>
  </threadedComment>
  <threadedComment ref="B90" dT="2020-03-23T21:41:16.67" personId="{46504131-ADD3-4530-BCC7-16E4FED1C2C4}" id="{05E3B6D9-8618-4BF7-8E63-7AFE3A48A850}">
    <text>reinforced lockdown (Italy)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drawing" Target="../drawings/drawing1.xml"/><Relationship Id="rId7" Type="http://schemas.openxmlformats.org/officeDocument/2006/relationships/table" Target="../tables/table6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5.xml"/><Relationship Id="rId11" Type="http://schemas.microsoft.com/office/2017/10/relationships/threadedComment" Target="../threadedComments/threadedComment1.xml"/><Relationship Id="rId5" Type="http://schemas.openxmlformats.org/officeDocument/2006/relationships/table" Target="../tables/table4.xml"/><Relationship Id="rId10" Type="http://schemas.openxmlformats.org/officeDocument/2006/relationships/comments" Target="../comments1.xml"/><Relationship Id="rId4" Type="http://schemas.openxmlformats.org/officeDocument/2006/relationships/vmlDrawing" Target="../drawings/vmlDrawing1.vml"/><Relationship Id="rId9" Type="http://schemas.openxmlformats.org/officeDocument/2006/relationships/table" Target="../tables/table8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3.xml"/><Relationship Id="rId3" Type="http://schemas.openxmlformats.org/officeDocument/2006/relationships/vmlDrawing" Target="../drawings/vmlDrawing2.vml"/><Relationship Id="rId7" Type="http://schemas.openxmlformats.org/officeDocument/2006/relationships/table" Target="../tables/table12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11.xml"/><Relationship Id="rId5" Type="http://schemas.openxmlformats.org/officeDocument/2006/relationships/table" Target="../tables/table10.xml"/><Relationship Id="rId10" Type="http://schemas.microsoft.com/office/2017/10/relationships/threadedComment" Target="../threadedComments/threadedComment2.xml"/><Relationship Id="rId4" Type="http://schemas.openxmlformats.org/officeDocument/2006/relationships/table" Target="../tables/table9.xml"/><Relationship Id="rId9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vmlDrawing" Target="../drawings/vmlDrawing3.vml"/><Relationship Id="rId7" Type="http://schemas.openxmlformats.org/officeDocument/2006/relationships/table" Target="../tables/table17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microsoft.com/office/2017/10/relationships/threadedComment" Target="../threadedComments/threadedComment3.xml"/><Relationship Id="rId4" Type="http://schemas.openxmlformats.org/officeDocument/2006/relationships/table" Target="../tables/table14.xml"/><Relationship Id="rId9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86A11-7C4F-4EAD-A7FE-CCABCA9DC626}">
  <dimension ref="A1:CT266"/>
  <sheetViews>
    <sheetView topLeftCell="AB1" workbookViewId="0">
      <selection activeCell="E140" sqref="E140:AK140"/>
    </sheetView>
  </sheetViews>
  <sheetFormatPr defaultRowHeight="14.4" x14ac:dyDescent="0.3"/>
  <cols>
    <col min="1" max="1" width="27.21875" bestFit="1" customWidth="1"/>
    <col min="2" max="2" width="28.109375" bestFit="1" customWidth="1"/>
    <col min="3" max="4" width="19.44140625" bestFit="1" customWidth="1"/>
    <col min="5" max="9" width="10.77734375" bestFit="1" customWidth="1"/>
    <col min="10" max="98" width="11.77734375" bestFit="1" customWidth="1"/>
  </cols>
  <sheetData>
    <row r="1" spans="1:98" x14ac:dyDescent="0.3">
      <c r="A1" t="s">
        <v>397</v>
      </c>
      <c r="B1" t="s">
        <v>398</v>
      </c>
      <c r="C1" t="s">
        <v>399</v>
      </c>
      <c r="D1" t="s">
        <v>400</v>
      </c>
      <c r="E1" t="s">
        <v>401</v>
      </c>
      <c r="F1" t="s">
        <v>402</v>
      </c>
      <c r="G1" t="s">
        <v>403</v>
      </c>
      <c r="H1" t="s">
        <v>404</v>
      </c>
      <c r="I1" t="s">
        <v>405</v>
      </c>
      <c r="J1" t="s">
        <v>406</v>
      </c>
      <c r="K1" t="s">
        <v>407</v>
      </c>
      <c r="L1" t="s">
        <v>408</v>
      </c>
      <c r="M1" t="s">
        <v>409</v>
      </c>
      <c r="N1" t="s">
        <v>410</v>
      </c>
      <c r="O1" t="s">
        <v>411</v>
      </c>
      <c r="P1" t="s">
        <v>412</v>
      </c>
      <c r="Q1" t="s">
        <v>413</v>
      </c>
      <c r="R1" t="s">
        <v>414</v>
      </c>
      <c r="S1" t="s">
        <v>415</v>
      </c>
      <c r="T1" t="s">
        <v>416</v>
      </c>
      <c r="U1" t="s">
        <v>417</v>
      </c>
      <c r="V1" t="s">
        <v>418</v>
      </c>
      <c r="W1" t="s">
        <v>419</v>
      </c>
      <c r="X1" t="s">
        <v>420</v>
      </c>
      <c r="Y1" t="s">
        <v>421</v>
      </c>
      <c r="Z1" t="s">
        <v>422</v>
      </c>
      <c r="AA1" t="s">
        <v>423</v>
      </c>
      <c r="AB1" t="s">
        <v>424</v>
      </c>
      <c r="AC1" t="s">
        <v>425</v>
      </c>
      <c r="AD1" t="s">
        <v>426</v>
      </c>
      <c r="AE1" t="s">
        <v>427</v>
      </c>
      <c r="AF1" t="s">
        <v>428</v>
      </c>
      <c r="AG1" t="s">
        <v>429</v>
      </c>
      <c r="AH1" t="s">
        <v>430</v>
      </c>
      <c r="AI1" t="s">
        <v>431</v>
      </c>
      <c r="AJ1" t="s">
        <v>432</v>
      </c>
      <c r="AK1" t="s">
        <v>433</v>
      </c>
      <c r="AL1" t="s">
        <v>434</v>
      </c>
      <c r="AM1" t="s">
        <v>435</v>
      </c>
      <c r="AN1" t="s">
        <v>436</v>
      </c>
      <c r="AO1" t="s">
        <v>437</v>
      </c>
      <c r="AP1" t="s">
        <v>438</v>
      </c>
      <c r="AQ1" t="s">
        <v>439</v>
      </c>
      <c r="AR1" t="s">
        <v>440</v>
      </c>
      <c r="AS1" t="s">
        <v>441</v>
      </c>
      <c r="AT1" t="s">
        <v>442</v>
      </c>
      <c r="AU1" t="s">
        <v>443</v>
      </c>
      <c r="AV1" t="s">
        <v>444</v>
      </c>
      <c r="AW1" t="s">
        <v>445</v>
      </c>
      <c r="AX1" t="s">
        <v>446</v>
      </c>
      <c r="AY1" t="s">
        <v>447</v>
      </c>
      <c r="AZ1" t="s">
        <v>448</v>
      </c>
      <c r="BA1" t="s">
        <v>449</v>
      </c>
      <c r="BB1" t="s">
        <v>450</v>
      </c>
      <c r="BC1" t="s">
        <v>451</v>
      </c>
      <c r="BD1" t="s">
        <v>452</v>
      </c>
      <c r="BE1" t="s">
        <v>453</v>
      </c>
      <c r="BF1" t="s">
        <v>454</v>
      </c>
      <c r="BG1" t="s">
        <v>455</v>
      </c>
      <c r="BH1" t="s">
        <v>456</v>
      </c>
      <c r="BI1" t="s">
        <v>457</v>
      </c>
      <c r="BJ1" t="s">
        <v>458</v>
      </c>
      <c r="BK1" t="s">
        <v>459</v>
      </c>
      <c r="BL1" t="s">
        <v>460</v>
      </c>
      <c r="BM1" t="s">
        <v>461</v>
      </c>
      <c r="BN1" t="s">
        <v>462</v>
      </c>
      <c r="BO1" t="s">
        <v>463</v>
      </c>
      <c r="BP1" t="s">
        <v>464</v>
      </c>
      <c r="BQ1" t="s">
        <v>465</v>
      </c>
      <c r="BR1" t="s">
        <v>466</v>
      </c>
      <c r="BS1" t="s">
        <v>467</v>
      </c>
      <c r="BT1" t="s">
        <v>468</v>
      </c>
      <c r="BU1" t="s">
        <v>469</v>
      </c>
      <c r="BV1" t="s">
        <v>470</v>
      </c>
      <c r="BW1" t="s">
        <v>471</v>
      </c>
      <c r="BX1" t="s">
        <v>472</v>
      </c>
      <c r="BY1" t="s">
        <v>473</v>
      </c>
      <c r="BZ1" t="s">
        <v>474</v>
      </c>
      <c r="CA1" t="s">
        <v>475</v>
      </c>
      <c r="CB1" t="s">
        <v>476</v>
      </c>
      <c r="CC1" t="s">
        <v>477</v>
      </c>
      <c r="CD1" t="s">
        <v>478</v>
      </c>
      <c r="CE1" t="s">
        <v>479</v>
      </c>
      <c r="CF1" t="s">
        <v>480</v>
      </c>
      <c r="CG1" t="s">
        <v>481</v>
      </c>
      <c r="CH1" t="s">
        <v>482</v>
      </c>
      <c r="CI1" t="s">
        <v>483</v>
      </c>
      <c r="CJ1" t="s">
        <v>484</v>
      </c>
      <c r="CK1" t="s">
        <v>485</v>
      </c>
      <c r="CL1" t="s">
        <v>486</v>
      </c>
      <c r="CM1" t="s">
        <v>487</v>
      </c>
      <c r="CN1" t="s">
        <v>488</v>
      </c>
      <c r="CO1" t="s">
        <v>489</v>
      </c>
      <c r="CP1" t="s">
        <v>490</v>
      </c>
      <c r="CQ1" t="s">
        <v>491</v>
      </c>
      <c r="CR1" t="s">
        <v>492</v>
      </c>
      <c r="CS1" t="s">
        <v>493</v>
      </c>
      <c r="CT1" t="s">
        <v>494</v>
      </c>
    </row>
    <row r="2" spans="1:98" x14ac:dyDescent="0.3">
      <c r="A2" s="12" t="s">
        <v>495</v>
      </c>
      <c r="B2" s="12" t="s">
        <v>496</v>
      </c>
      <c r="C2" s="12" t="s">
        <v>497</v>
      </c>
      <c r="D2" s="12" t="s">
        <v>498</v>
      </c>
      <c r="E2" s="12" t="s">
        <v>499</v>
      </c>
      <c r="F2" s="12" t="s">
        <v>500</v>
      </c>
      <c r="G2" s="12" t="s">
        <v>501</v>
      </c>
      <c r="H2" s="12" t="s">
        <v>502</v>
      </c>
      <c r="I2" s="12" t="s">
        <v>503</v>
      </c>
      <c r="J2" s="12" t="s">
        <v>504</v>
      </c>
      <c r="K2" s="12" t="s">
        <v>505</v>
      </c>
      <c r="L2" s="12" t="s">
        <v>506</v>
      </c>
      <c r="M2" s="12" t="s">
        <v>507</v>
      </c>
      <c r="N2" s="12" t="s">
        <v>508</v>
      </c>
      <c r="O2" s="12" t="s">
        <v>509</v>
      </c>
      <c r="P2" s="12" t="s">
        <v>510</v>
      </c>
      <c r="Q2" s="12" t="s">
        <v>511</v>
      </c>
      <c r="R2" s="12" t="s">
        <v>512</v>
      </c>
      <c r="S2" s="12" t="s">
        <v>513</v>
      </c>
      <c r="T2" s="12" t="s">
        <v>514</v>
      </c>
      <c r="U2" s="12" t="s">
        <v>515</v>
      </c>
      <c r="V2" s="12" t="s">
        <v>516</v>
      </c>
      <c r="W2" s="12" t="s">
        <v>517</v>
      </c>
      <c r="X2" s="12" t="s">
        <v>518</v>
      </c>
      <c r="Y2" s="12" t="s">
        <v>519</v>
      </c>
      <c r="Z2" s="12" t="s">
        <v>520</v>
      </c>
      <c r="AA2" s="12" t="s">
        <v>521</v>
      </c>
      <c r="AB2" s="12" t="s">
        <v>522</v>
      </c>
      <c r="AC2" s="12" t="s">
        <v>523</v>
      </c>
      <c r="AD2" s="12" t="s">
        <v>524</v>
      </c>
      <c r="AE2" s="12" t="s">
        <v>525</v>
      </c>
      <c r="AF2" s="12" t="s">
        <v>526</v>
      </c>
      <c r="AG2" s="12" t="s">
        <v>527</v>
      </c>
      <c r="AH2" s="12" t="s">
        <v>528</v>
      </c>
      <c r="AI2" s="12" t="s">
        <v>529</v>
      </c>
      <c r="AJ2" s="12" t="s">
        <v>530</v>
      </c>
      <c r="AK2" s="12" t="s">
        <v>531</v>
      </c>
      <c r="AL2" s="12" t="s">
        <v>532</v>
      </c>
      <c r="AM2" s="12" t="s">
        <v>533</v>
      </c>
      <c r="AN2" s="12" t="s">
        <v>534</v>
      </c>
      <c r="AO2" s="12" t="s">
        <v>535</v>
      </c>
      <c r="AP2" s="12" t="s">
        <v>536</v>
      </c>
      <c r="AQ2" s="12" t="s">
        <v>537</v>
      </c>
      <c r="AR2" s="12" t="s">
        <v>538</v>
      </c>
      <c r="AS2" s="12" t="s">
        <v>539</v>
      </c>
      <c r="AT2" s="12" t="s">
        <v>540</v>
      </c>
      <c r="AU2" s="12" t="s">
        <v>541</v>
      </c>
      <c r="AV2" s="12" t="s">
        <v>542</v>
      </c>
      <c r="AW2" s="12" t="s">
        <v>543</v>
      </c>
      <c r="AX2" s="12" t="s">
        <v>544</v>
      </c>
      <c r="AY2" s="12" t="s">
        <v>545</v>
      </c>
      <c r="AZ2" s="12" t="s">
        <v>546</v>
      </c>
      <c r="BA2" s="12" t="s">
        <v>547</v>
      </c>
      <c r="BB2" s="12" t="s">
        <v>548</v>
      </c>
      <c r="BC2" s="12" t="s">
        <v>549</v>
      </c>
      <c r="BD2" s="12" t="s">
        <v>550</v>
      </c>
      <c r="BE2" s="12" t="s">
        <v>551</v>
      </c>
      <c r="BF2" s="12" t="s">
        <v>552</v>
      </c>
      <c r="BG2" s="12" t="s">
        <v>553</v>
      </c>
      <c r="BH2" s="12" t="s">
        <v>554</v>
      </c>
      <c r="BI2" s="12" t="s">
        <v>555</v>
      </c>
      <c r="BJ2" s="12" t="s">
        <v>556</v>
      </c>
      <c r="BK2" s="12" t="s">
        <v>557</v>
      </c>
      <c r="BL2" s="12" t="s">
        <v>558</v>
      </c>
      <c r="BM2" s="12" t="s">
        <v>559</v>
      </c>
      <c r="BN2" s="12" t="s">
        <v>560</v>
      </c>
      <c r="BO2" s="12" t="s">
        <v>561</v>
      </c>
      <c r="BP2" s="12" t="s">
        <v>562</v>
      </c>
      <c r="BQ2" s="12" t="s">
        <v>563</v>
      </c>
      <c r="BR2" s="12" t="s">
        <v>564</v>
      </c>
      <c r="BS2" s="12" t="s">
        <v>565</v>
      </c>
      <c r="BT2" s="12" t="s">
        <v>566</v>
      </c>
      <c r="BU2" s="12" t="s">
        <v>567</v>
      </c>
      <c r="BV2" s="12" t="s">
        <v>568</v>
      </c>
      <c r="BW2" s="12" t="s">
        <v>569</v>
      </c>
      <c r="BX2" s="12" t="s">
        <v>570</v>
      </c>
      <c r="BY2" s="12" t="s">
        <v>571</v>
      </c>
      <c r="BZ2" s="12" t="s">
        <v>572</v>
      </c>
      <c r="CA2" s="12" t="s">
        <v>573</v>
      </c>
      <c r="CB2" s="12" t="s">
        <v>574</v>
      </c>
      <c r="CC2" s="12" t="s">
        <v>575</v>
      </c>
      <c r="CD2" s="12" t="s">
        <v>576</v>
      </c>
      <c r="CE2" s="12" t="s">
        <v>577</v>
      </c>
      <c r="CF2" s="12" t="s">
        <v>578</v>
      </c>
      <c r="CG2" s="12" t="s">
        <v>579</v>
      </c>
      <c r="CH2" s="12" t="s">
        <v>580</v>
      </c>
      <c r="CI2" s="12" t="s">
        <v>581</v>
      </c>
      <c r="CJ2" s="12" t="s">
        <v>582</v>
      </c>
      <c r="CK2" s="12" t="s">
        <v>583</v>
      </c>
      <c r="CL2" s="12" t="s">
        <v>584</v>
      </c>
      <c r="CM2" s="12" t="s">
        <v>585</v>
      </c>
      <c r="CN2" s="12" t="s">
        <v>586</v>
      </c>
      <c r="CO2" s="12" t="s">
        <v>587</v>
      </c>
      <c r="CP2" s="12" t="s">
        <v>588</v>
      </c>
      <c r="CQ2" s="12" t="s">
        <v>589</v>
      </c>
      <c r="CR2" s="12" t="s">
        <v>590</v>
      </c>
      <c r="CS2" s="12" t="s">
        <v>591</v>
      </c>
      <c r="CT2" s="12" t="s">
        <v>592</v>
      </c>
    </row>
    <row r="3" spans="1:98" hidden="1" x14ac:dyDescent="0.3">
      <c r="A3" s="12" t="s">
        <v>25</v>
      </c>
      <c r="B3" s="12" t="s">
        <v>593</v>
      </c>
      <c r="C3" s="12" t="s">
        <v>594</v>
      </c>
      <c r="D3" s="12" t="s">
        <v>595</v>
      </c>
      <c r="E3" s="12" t="s">
        <v>596</v>
      </c>
      <c r="F3" s="12" t="s">
        <v>596</v>
      </c>
      <c r="G3" s="12" t="s">
        <v>596</v>
      </c>
      <c r="H3" s="12" t="s">
        <v>596</v>
      </c>
      <c r="I3" s="12" t="s">
        <v>596</v>
      </c>
      <c r="J3" s="12" t="s">
        <v>596</v>
      </c>
      <c r="K3" s="12" t="s">
        <v>596</v>
      </c>
      <c r="L3" s="12" t="s">
        <v>596</v>
      </c>
      <c r="M3" s="12" t="s">
        <v>596</v>
      </c>
      <c r="N3" s="12" t="s">
        <v>596</v>
      </c>
      <c r="O3" s="12" t="s">
        <v>596</v>
      </c>
      <c r="P3" s="12" t="s">
        <v>596</v>
      </c>
      <c r="Q3" s="12" t="s">
        <v>596</v>
      </c>
      <c r="R3" s="12" t="s">
        <v>596</v>
      </c>
      <c r="S3" s="12" t="s">
        <v>596</v>
      </c>
      <c r="T3" s="12" t="s">
        <v>596</v>
      </c>
      <c r="U3" s="12" t="s">
        <v>596</v>
      </c>
      <c r="V3" s="12" t="s">
        <v>596</v>
      </c>
      <c r="W3" s="12" t="s">
        <v>596</v>
      </c>
      <c r="X3" s="12" t="s">
        <v>596</v>
      </c>
      <c r="Y3" s="12" t="s">
        <v>596</v>
      </c>
      <c r="Z3" s="12" t="s">
        <v>596</v>
      </c>
      <c r="AA3" s="12" t="s">
        <v>596</v>
      </c>
      <c r="AB3" s="12" t="s">
        <v>596</v>
      </c>
      <c r="AC3" s="12" t="s">
        <v>596</v>
      </c>
      <c r="AD3" s="12" t="s">
        <v>596</v>
      </c>
      <c r="AE3" s="12" t="s">
        <v>596</v>
      </c>
      <c r="AF3" s="12" t="s">
        <v>596</v>
      </c>
      <c r="AG3" s="12" t="s">
        <v>596</v>
      </c>
      <c r="AH3" s="12" t="s">
        <v>596</v>
      </c>
      <c r="AI3" s="12" t="s">
        <v>596</v>
      </c>
      <c r="AJ3" s="12" t="s">
        <v>596</v>
      </c>
      <c r="AK3" s="12" t="s">
        <v>596</v>
      </c>
      <c r="AL3" s="12" t="s">
        <v>597</v>
      </c>
      <c r="AM3" s="12" t="s">
        <v>597</v>
      </c>
      <c r="AN3" s="12" t="s">
        <v>597</v>
      </c>
      <c r="AO3" s="12" t="s">
        <v>597</v>
      </c>
      <c r="AP3" s="12" t="s">
        <v>597</v>
      </c>
      <c r="AQ3" s="12" t="s">
        <v>597</v>
      </c>
      <c r="AR3" s="12" t="s">
        <v>597</v>
      </c>
      <c r="AS3" s="12" t="s">
        <v>597</v>
      </c>
      <c r="AT3" s="12" t="s">
        <v>597</v>
      </c>
      <c r="AU3" s="12" t="s">
        <v>597</v>
      </c>
      <c r="AV3" s="12" t="s">
        <v>597</v>
      </c>
      <c r="AW3" s="12" t="s">
        <v>597</v>
      </c>
      <c r="AX3" s="12" t="s">
        <v>597</v>
      </c>
      <c r="AY3" s="12" t="s">
        <v>598</v>
      </c>
      <c r="AZ3" s="12" t="s">
        <v>598</v>
      </c>
      <c r="BA3" s="12" t="s">
        <v>599</v>
      </c>
      <c r="BB3" s="12" t="s">
        <v>600</v>
      </c>
      <c r="BC3" s="12" t="s">
        <v>600</v>
      </c>
      <c r="BD3" s="12" t="s">
        <v>600</v>
      </c>
      <c r="BE3" s="12" t="s">
        <v>601</v>
      </c>
      <c r="BF3" s="12" t="s">
        <v>602</v>
      </c>
      <c r="BG3" s="12" t="s">
        <v>603</v>
      </c>
      <c r="BH3" s="12" t="s">
        <v>604</v>
      </c>
      <c r="BI3" s="12" t="s">
        <v>604</v>
      </c>
      <c r="BJ3" s="12" t="s">
        <v>604</v>
      </c>
      <c r="BK3" s="12" t="s">
        <v>605</v>
      </c>
      <c r="BL3" s="12" t="s">
        <v>605</v>
      </c>
      <c r="BM3" s="12" t="s">
        <v>606</v>
      </c>
      <c r="BN3" s="12" t="s">
        <v>606</v>
      </c>
      <c r="BO3" s="12" t="s">
        <v>607</v>
      </c>
      <c r="BP3" s="12" t="s">
        <v>608</v>
      </c>
      <c r="BQ3" s="12" t="s">
        <v>609</v>
      </c>
      <c r="BR3" s="12" t="s">
        <v>610</v>
      </c>
      <c r="BS3" s="12" t="s">
        <v>610</v>
      </c>
      <c r="BT3" s="12" t="s">
        <v>611</v>
      </c>
      <c r="BU3" s="12" t="s">
        <v>612</v>
      </c>
      <c r="BV3" s="12" t="s">
        <v>613</v>
      </c>
      <c r="BW3" s="12" t="s">
        <v>614</v>
      </c>
      <c r="BX3" s="12" t="s">
        <v>615</v>
      </c>
      <c r="BY3" s="12" t="s">
        <v>616</v>
      </c>
      <c r="BZ3" s="12" t="s">
        <v>617</v>
      </c>
      <c r="CA3" s="12" t="s">
        <v>618</v>
      </c>
      <c r="CB3" s="12" t="s">
        <v>619</v>
      </c>
      <c r="CC3" s="12" t="s">
        <v>620</v>
      </c>
      <c r="CD3" s="12" t="s">
        <v>621</v>
      </c>
      <c r="CE3" s="12" t="s">
        <v>622</v>
      </c>
      <c r="CF3" s="12" t="s">
        <v>623</v>
      </c>
      <c r="CG3" s="12" t="s">
        <v>624</v>
      </c>
      <c r="CH3" s="12" t="s">
        <v>625</v>
      </c>
      <c r="CI3" s="12" t="s">
        <v>626</v>
      </c>
      <c r="CJ3" s="12" t="s">
        <v>627</v>
      </c>
      <c r="CK3" s="12" t="s">
        <v>628</v>
      </c>
      <c r="CL3" s="12" t="s">
        <v>629</v>
      </c>
      <c r="CM3" s="12" t="s">
        <v>630</v>
      </c>
      <c r="CN3" s="12" t="s">
        <v>631</v>
      </c>
      <c r="CO3" s="12" t="s">
        <v>632</v>
      </c>
      <c r="CP3" s="12" t="s">
        <v>633</v>
      </c>
      <c r="CQ3" s="12" t="s">
        <v>634</v>
      </c>
      <c r="CR3" s="12" t="s">
        <v>635</v>
      </c>
      <c r="CS3" s="12" t="s">
        <v>636</v>
      </c>
      <c r="CT3" s="12" t="s">
        <v>637</v>
      </c>
    </row>
    <row r="4" spans="1:98" hidden="1" x14ac:dyDescent="0.3">
      <c r="A4" s="12" t="s">
        <v>25</v>
      </c>
      <c r="B4" s="12" t="s">
        <v>638</v>
      </c>
      <c r="C4" s="12" t="s">
        <v>639</v>
      </c>
      <c r="D4" s="12" t="s">
        <v>640</v>
      </c>
      <c r="E4" s="12" t="s">
        <v>596</v>
      </c>
      <c r="F4" s="12" t="s">
        <v>596</v>
      </c>
      <c r="G4" s="12" t="s">
        <v>596</v>
      </c>
      <c r="H4" s="12" t="s">
        <v>596</v>
      </c>
      <c r="I4" s="12" t="s">
        <v>596</v>
      </c>
      <c r="J4" s="12" t="s">
        <v>596</v>
      </c>
      <c r="K4" s="12" t="s">
        <v>596</v>
      </c>
      <c r="L4" s="12" t="s">
        <v>596</v>
      </c>
      <c r="M4" s="12" t="s">
        <v>596</v>
      </c>
      <c r="N4" s="12" t="s">
        <v>596</v>
      </c>
      <c r="O4" s="12" t="s">
        <v>596</v>
      </c>
      <c r="P4" s="12" t="s">
        <v>596</v>
      </c>
      <c r="Q4" s="12" t="s">
        <v>596</v>
      </c>
      <c r="R4" s="12" t="s">
        <v>596</v>
      </c>
      <c r="S4" s="12" t="s">
        <v>596</v>
      </c>
      <c r="T4" s="12" t="s">
        <v>596</v>
      </c>
      <c r="U4" s="12" t="s">
        <v>596</v>
      </c>
      <c r="V4" s="12" t="s">
        <v>596</v>
      </c>
      <c r="W4" s="12" t="s">
        <v>596</v>
      </c>
      <c r="X4" s="12" t="s">
        <v>596</v>
      </c>
      <c r="Y4" s="12" t="s">
        <v>596</v>
      </c>
      <c r="Z4" s="12" t="s">
        <v>596</v>
      </c>
      <c r="AA4" s="12" t="s">
        <v>596</v>
      </c>
      <c r="AB4" s="12" t="s">
        <v>596</v>
      </c>
      <c r="AC4" s="12" t="s">
        <v>596</v>
      </c>
      <c r="AD4" s="12" t="s">
        <v>596</v>
      </c>
      <c r="AE4" s="12" t="s">
        <v>596</v>
      </c>
      <c r="AF4" s="12" t="s">
        <v>596</v>
      </c>
      <c r="AG4" s="12" t="s">
        <v>596</v>
      </c>
      <c r="AH4" s="12" t="s">
        <v>596</v>
      </c>
      <c r="AI4" s="12" t="s">
        <v>596</v>
      </c>
      <c r="AJ4" s="12" t="s">
        <v>596</v>
      </c>
      <c r="AK4" s="12" t="s">
        <v>596</v>
      </c>
      <c r="AL4" s="12" t="s">
        <v>596</v>
      </c>
      <c r="AM4" s="12" t="s">
        <v>596</v>
      </c>
      <c r="AN4" s="12" t="s">
        <v>596</v>
      </c>
      <c r="AO4" s="12" t="s">
        <v>596</v>
      </c>
      <c r="AP4" s="12" t="s">
        <v>596</v>
      </c>
      <c r="AQ4" s="12" t="s">
        <v>596</v>
      </c>
      <c r="AR4" s="12" t="s">
        <v>596</v>
      </c>
      <c r="AS4" s="12" t="s">
        <v>596</v>
      </c>
      <c r="AT4" s="12" t="s">
        <v>596</v>
      </c>
      <c r="AU4" s="12" t="s">
        <v>596</v>
      </c>
      <c r="AV4" s="12" t="s">
        <v>596</v>
      </c>
      <c r="AW4" s="12" t="s">
        <v>596</v>
      </c>
      <c r="AX4" s="12" t="s">
        <v>596</v>
      </c>
      <c r="AY4" s="12" t="s">
        <v>596</v>
      </c>
      <c r="AZ4" s="12" t="s">
        <v>641</v>
      </c>
      <c r="BA4" s="12" t="s">
        <v>642</v>
      </c>
      <c r="BB4" s="12" t="s">
        <v>643</v>
      </c>
      <c r="BC4" s="12" t="s">
        <v>644</v>
      </c>
      <c r="BD4" s="12" t="s">
        <v>645</v>
      </c>
      <c r="BE4" s="12" t="s">
        <v>646</v>
      </c>
      <c r="BF4" s="12" t="s">
        <v>647</v>
      </c>
      <c r="BG4" s="12" t="s">
        <v>648</v>
      </c>
      <c r="BH4" s="12" t="s">
        <v>649</v>
      </c>
      <c r="BI4" s="12" t="s">
        <v>650</v>
      </c>
      <c r="BJ4" s="12" t="s">
        <v>651</v>
      </c>
      <c r="BK4" s="12" t="s">
        <v>652</v>
      </c>
      <c r="BL4" s="12" t="s">
        <v>653</v>
      </c>
      <c r="BM4" s="12" t="s">
        <v>654</v>
      </c>
      <c r="BN4" s="12" t="s">
        <v>655</v>
      </c>
      <c r="BO4" s="12" t="s">
        <v>656</v>
      </c>
      <c r="BP4" s="12" t="s">
        <v>657</v>
      </c>
      <c r="BQ4" s="12" t="s">
        <v>613</v>
      </c>
      <c r="BR4" s="12" t="s">
        <v>658</v>
      </c>
      <c r="BS4" s="12" t="s">
        <v>659</v>
      </c>
      <c r="BT4" s="12" t="s">
        <v>660</v>
      </c>
      <c r="BU4" s="12" t="s">
        <v>661</v>
      </c>
      <c r="BV4" s="12" t="s">
        <v>662</v>
      </c>
      <c r="BW4" s="12" t="s">
        <v>663</v>
      </c>
      <c r="BX4" s="12" t="s">
        <v>664</v>
      </c>
      <c r="BY4" s="12" t="s">
        <v>665</v>
      </c>
      <c r="BZ4" s="12" t="s">
        <v>666</v>
      </c>
      <c r="CA4" s="12" t="s">
        <v>667</v>
      </c>
      <c r="CB4" s="12" t="s">
        <v>668</v>
      </c>
      <c r="CC4" s="12" t="s">
        <v>669</v>
      </c>
      <c r="CD4" s="12" t="s">
        <v>670</v>
      </c>
      <c r="CE4" s="12" t="s">
        <v>671</v>
      </c>
      <c r="CF4" s="12" t="s">
        <v>672</v>
      </c>
      <c r="CG4" s="12" t="s">
        <v>673</v>
      </c>
      <c r="CH4" s="12" t="s">
        <v>674</v>
      </c>
      <c r="CI4" s="12" t="s">
        <v>675</v>
      </c>
      <c r="CJ4" s="12" t="s">
        <v>676</v>
      </c>
      <c r="CK4" s="12" t="s">
        <v>677</v>
      </c>
      <c r="CL4" s="12" t="s">
        <v>678</v>
      </c>
      <c r="CM4" s="12" t="s">
        <v>679</v>
      </c>
      <c r="CN4" s="12" t="s">
        <v>680</v>
      </c>
      <c r="CO4" s="12" t="s">
        <v>681</v>
      </c>
      <c r="CP4" s="12" t="s">
        <v>682</v>
      </c>
      <c r="CQ4" s="12" t="s">
        <v>683</v>
      </c>
      <c r="CR4" s="12" t="s">
        <v>684</v>
      </c>
      <c r="CS4" s="12" t="s">
        <v>685</v>
      </c>
      <c r="CT4" s="12" t="s">
        <v>686</v>
      </c>
    </row>
    <row r="5" spans="1:98" hidden="1" x14ac:dyDescent="0.3">
      <c r="A5" s="12" t="s">
        <v>25</v>
      </c>
      <c r="B5" s="12" t="s">
        <v>687</v>
      </c>
      <c r="C5" s="12" t="s">
        <v>688</v>
      </c>
      <c r="D5" s="12" t="s">
        <v>689</v>
      </c>
      <c r="E5" s="12" t="s">
        <v>596</v>
      </c>
      <c r="F5" s="12" t="s">
        <v>596</v>
      </c>
      <c r="G5" s="12" t="s">
        <v>596</v>
      </c>
      <c r="H5" s="12" t="s">
        <v>596</v>
      </c>
      <c r="I5" s="12" t="s">
        <v>596</v>
      </c>
      <c r="J5" s="12" t="s">
        <v>596</v>
      </c>
      <c r="K5" s="12" t="s">
        <v>596</v>
      </c>
      <c r="L5" s="12" t="s">
        <v>596</v>
      </c>
      <c r="M5" s="12" t="s">
        <v>596</v>
      </c>
      <c r="N5" s="12" t="s">
        <v>596</v>
      </c>
      <c r="O5" s="12" t="s">
        <v>596</v>
      </c>
      <c r="P5" s="12" t="s">
        <v>596</v>
      </c>
      <c r="Q5" s="12" t="s">
        <v>596</v>
      </c>
      <c r="R5" s="12" t="s">
        <v>596</v>
      </c>
      <c r="S5" s="12" t="s">
        <v>596</v>
      </c>
      <c r="T5" s="12" t="s">
        <v>596</v>
      </c>
      <c r="U5" s="12" t="s">
        <v>596</v>
      </c>
      <c r="V5" s="12" t="s">
        <v>596</v>
      </c>
      <c r="W5" s="12" t="s">
        <v>596</v>
      </c>
      <c r="X5" s="12" t="s">
        <v>596</v>
      </c>
      <c r="Y5" s="12" t="s">
        <v>596</v>
      </c>
      <c r="Z5" s="12" t="s">
        <v>596</v>
      </c>
      <c r="AA5" s="12" t="s">
        <v>596</v>
      </c>
      <c r="AB5" s="12" t="s">
        <v>596</v>
      </c>
      <c r="AC5" s="12" t="s">
        <v>596</v>
      </c>
      <c r="AD5" s="12" t="s">
        <v>596</v>
      </c>
      <c r="AE5" s="12" t="s">
        <v>596</v>
      </c>
      <c r="AF5" s="12" t="s">
        <v>596</v>
      </c>
      <c r="AG5" s="12" t="s">
        <v>596</v>
      </c>
      <c r="AH5" s="12" t="s">
        <v>596</v>
      </c>
      <c r="AI5" s="12" t="s">
        <v>596</v>
      </c>
      <c r="AJ5" s="12" t="s">
        <v>596</v>
      </c>
      <c r="AK5" s="12" t="s">
        <v>596</v>
      </c>
      <c r="AL5" s="12" t="s">
        <v>596</v>
      </c>
      <c r="AM5" s="12" t="s">
        <v>597</v>
      </c>
      <c r="AN5" s="12" t="s">
        <v>597</v>
      </c>
      <c r="AO5" s="12" t="s">
        <v>597</v>
      </c>
      <c r="AP5" s="12" t="s">
        <v>597</v>
      </c>
      <c r="AQ5" s="12" t="s">
        <v>597</v>
      </c>
      <c r="AR5" s="12" t="s">
        <v>597</v>
      </c>
      <c r="AS5" s="12" t="s">
        <v>690</v>
      </c>
      <c r="AT5" s="12" t="s">
        <v>599</v>
      </c>
      <c r="AU5" s="12" t="s">
        <v>643</v>
      </c>
      <c r="AV5" s="12" t="s">
        <v>643</v>
      </c>
      <c r="AW5" s="12" t="s">
        <v>691</v>
      </c>
      <c r="AX5" s="12" t="s">
        <v>691</v>
      </c>
      <c r="AY5" s="12" t="s">
        <v>692</v>
      </c>
      <c r="AZ5" s="12" t="s">
        <v>693</v>
      </c>
      <c r="BA5" s="12" t="s">
        <v>693</v>
      </c>
      <c r="BB5" s="12" t="s">
        <v>693</v>
      </c>
      <c r="BC5" s="12" t="s">
        <v>605</v>
      </c>
      <c r="BD5" s="12" t="s">
        <v>694</v>
      </c>
      <c r="BE5" s="12" t="s">
        <v>695</v>
      </c>
      <c r="BF5" s="12" t="s">
        <v>696</v>
      </c>
      <c r="BG5" s="12" t="s">
        <v>697</v>
      </c>
      <c r="BH5" s="12" t="s">
        <v>698</v>
      </c>
      <c r="BI5" s="12" t="s">
        <v>607</v>
      </c>
      <c r="BJ5" s="12" t="s">
        <v>699</v>
      </c>
      <c r="BK5" s="12" t="s">
        <v>700</v>
      </c>
      <c r="BL5" s="12" t="s">
        <v>701</v>
      </c>
      <c r="BM5" s="12" t="s">
        <v>702</v>
      </c>
      <c r="BN5" s="12" t="s">
        <v>703</v>
      </c>
      <c r="BO5" s="12" t="s">
        <v>704</v>
      </c>
      <c r="BP5" s="12" t="s">
        <v>705</v>
      </c>
      <c r="BQ5" s="12" t="s">
        <v>619</v>
      </c>
      <c r="BR5" s="12" t="s">
        <v>671</v>
      </c>
      <c r="BS5" s="12" t="s">
        <v>706</v>
      </c>
      <c r="BT5" s="12" t="s">
        <v>707</v>
      </c>
      <c r="BU5" s="12" t="s">
        <v>682</v>
      </c>
      <c r="BV5" s="12" t="s">
        <v>708</v>
      </c>
      <c r="BW5" s="12" t="s">
        <v>709</v>
      </c>
      <c r="BX5" s="12" t="s">
        <v>710</v>
      </c>
      <c r="BY5" s="12" t="s">
        <v>711</v>
      </c>
      <c r="BZ5" s="12" t="s">
        <v>712</v>
      </c>
      <c r="CA5" s="12" t="s">
        <v>713</v>
      </c>
      <c r="CB5" s="12" t="s">
        <v>714</v>
      </c>
      <c r="CC5" s="12" t="s">
        <v>715</v>
      </c>
      <c r="CD5" s="12" t="s">
        <v>716</v>
      </c>
      <c r="CE5" s="12" t="s">
        <v>717</v>
      </c>
      <c r="CF5" s="12" t="s">
        <v>718</v>
      </c>
      <c r="CG5" s="12" t="s">
        <v>719</v>
      </c>
      <c r="CH5" s="12" t="s">
        <v>720</v>
      </c>
      <c r="CI5" s="12" t="s">
        <v>721</v>
      </c>
      <c r="CJ5" s="12" t="s">
        <v>722</v>
      </c>
      <c r="CK5" s="12" t="s">
        <v>723</v>
      </c>
      <c r="CL5" s="12" t="s">
        <v>724</v>
      </c>
      <c r="CM5" s="12" t="s">
        <v>725</v>
      </c>
      <c r="CN5" s="12" t="s">
        <v>726</v>
      </c>
      <c r="CO5" s="12" t="s">
        <v>727</v>
      </c>
      <c r="CP5" s="12" t="s">
        <v>728</v>
      </c>
      <c r="CQ5" s="12" t="s">
        <v>729</v>
      </c>
      <c r="CR5" s="12" t="s">
        <v>730</v>
      </c>
      <c r="CS5" s="12" t="s">
        <v>731</v>
      </c>
      <c r="CT5" s="12" t="s">
        <v>732</v>
      </c>
    </row>
    <row r="6" spans="1:98" hidden="1" x14ac:dyDescent="0.3">
      <c r="A6" s="12" t="s">
        <v>25</v>
      </c>
      <c r="B6" s="12" t="s">
        <v>733</v>
      </c>
      <c r="C6" s="12" t="s">
        <v>734</v>
      </c>
      <c r="D6" s="12" t="s">
        <v>735</v>
      </c>
      <c r="E6" s="12" t="s">
        <v>596</v>
      </c>
      <c r="F6" s="12" t="s">
        <v>596</v>
      </c>
      <c r="G6" s="12" t="s">
        <v>596</v>
      </c>
      <c r="H6" s="12" t="s">
        <v>596</v>
      </c>
      <c r="I6" s="12" t="s">
        <v>596</v>
      </c>
      <c r="J6" s="12" t="s">
        <v>596</v>
      </c>
      <c r="K6" s="12" t="s">
        <v>596</v>
      </c>
      <c r="L6" s="12" t="s">
        <v>596</v>
      </c>
      <c r="M6" s="12" t="s">
        <v>596</v>
      </c>
      <c r="N6" s="12" t="s">
        <v>596</v>
      </c>
      <c r="O6" s="12" t="s">
        <v>596</v>
      </c>
      <c r="P6" s="12" t="s">
        <v>596</v>
      </c>
      <c r="Q6" s="12" t="s">
        <v>596</v>
      </c>
      <c r="R6" s="12" t="s">
        <v>596</v>
      </c>
      <c r="S6" s="12" t="s">
        <v>596</v>
      </c>
      <c r="T6" s="12" t="s">
        <v>596</v>
      </c>
      <c r="U6" s="12" t="s">
        <v>596</v>
      </c>
      <c r="V6" s="12" t="s">
        <v>596</v>
      </c>
      <c r="W6" s="12" t="s">
        <v>596</v>
      </c>
      <c r="X6" s="12" t="s">
        <v>596</v>
      </c>
      <c r="Y6" s="12" t="s">
        <v>596</v>
      </c>
      <c r="Z6" s="12" t="s">
        <v>596</v>
      </c>
      <c r="AA6" s="12" t="s">
        <v>596</v>
      </c>
      <c r="AB6" s="12" t="s">
        <v>596</v>
      </c>
      <c r="AC6" s="12" t="s">
        <v>596</v>
      </c>
      <c r="AD6" s="12" t="s">
        <v>596</v>
      </c>
      <c r="AE6" s="12" t="s">
        <v>596</v>
      </c>
      <c r="AF6" s="12" t="s">
        <v>596</v>
      </c>
      <c r="AG6" s="12" t="s">
        <v>596</v>
      </c>
      <c r="AH6" s="12" t="s">
        <v>596</v>
      </c>
      <c r="AI6" s="12" t="s">
        <v>596</v>
      </c>
      <c r="AJ6" s="12" t="s">
        <v>596</v>
      </c>
      <c r="AK6" s="12" t="s">
        <v>596</v>
      </c>
      <c r="AL6" s="12" t="s">
        <v>596</v>
      </c>
      <c r="AM6" s="12" t="s">
        <v>596</v>
      </c>
      <c r="AN6" s="12" t="s">
        <v>596</v>
      </c>
      <c r="AO6" s="12" t="s">
        <v>596</v>
      </c>
      <c r="AP6" s="12" t="s">
        <v>596</v>
      </c>
      <c r="AQ6" s="12" t="s">
        <v>596</v>
      </c>
      <c r="AR6" s="12" t="s">
        <v>596</v>
      </c>
      <c r="AS6" s="12" t="s">
        <v>597</v>
      </c>
      <c r="AT6" s="12" t="s">
        <v>597</v>
      </c>
      <c r="AU6" s="12" t="s">
        <v>597</v>
      </c>
      <c r="AV6" s="12" t="s">
        <v>597</v>
      </c>
      <c r="AW6" s="12" t="s">
        <v>597</v>
      </c>
      <c r="AX6" s="12" t="s">
        <v>597</v>
      </c>
      <c r="AY6" s="12" t="s">
        <v>597</v>
      </c>
      <c r="AZ6" s="12" t="s">
        <v>597</v>
      </c>
      <c r="BA6" s="12" t="s">
        <v>597</v>
      </c>
      <c r="BB6" s="12" t="s">
        <v>597</v>
      </c>
      <c r="BC6" s="12" t="s">
        <v>597</v>
      </c>
      <c r="BD6" s="12" t="s">
        <v>597</v>
      </c>
      <c r="BE6" s="12" t="s">
        <v>597</v>
      </c>
      <c r="BF6" s="12" t="s">
        <v>597</v>
      </c>
      <c r="BG6" s="12" t="s">
        <v>641</v>
      </c>
      <c r="BH6" s="12" t="s">
        <v>736</v>
      </c>
      <c r="BI6" s="12" t="s">
        <v>736</v>
      </c>
      <c r="BJ6" s="12" t="s">
        <v>737</v>
      </c>
      <c r="BK6" s="12" t="s">
        <v>738</v>
      </c>
      <c r="BL6" s="12" t="s">
        <v>739</v>
      </c>
      <c r="BM6" s="12" t="s">
        <v>740</v>
      </c>
      <c r="BN6" s="12" t="s">
        <v>741</v>
      </c>
      <c r="BO6" s="12" t="s">
        <v>742</v>
      </c>
      <c r="BP6" s="12" t="s">
        <v>743</v>
      </c>
      <c r="BQ6" s="12" t="s">
        <v>744</v>
      </c>
      <c r="BR6" s="12" t="s">
        <v>745</v>
      </c>
      <c r="BS6" s="12" t="s">
        <v>746</v>
      </c>
      <c r="BT6" s="12" t="s">
        <v>747</v>
      </c>
      <c r="BU6" s="12" t="s">
        <v>748</v>
      </c>
      <c r="BV6" s="12" t="s">
        <v>749</v>
      </c>
      <c r="BW6" s="12" t="s">
        <v>750</v>
      </c>
      <c r="BX6" s="12" t="s">
        <v>751</v>
      </c>
      <c r="BY6" s="12" t="s">
        <v>752</v>
      </c>
      <c r="BZ6" s="12" t="s">
        <v>753</v>
      </c>
      <c r="CA6" s="12" t="s">
        <v>754</v>
      </c>
      <c r="CB6" s="12" t="s">
        <v>755</v>
      </c>
      <c r="CC6" s="12" t="s">
        <v>756</v>
      </c>
      <c r="CD6" s="12" t="s">
        <v>757</v>
      </c>
      <c r="CE6" s="12" t="s">
        <v>758</v>
      </c>
      <c r="CF6" s="12" t="s">
        <v>759</v>
      </c>
      <c r="CG6" s="12" t="s">
        <v>759</v>
      </c>
      <c r="CH6" s="12" t="s">
        <v>760</v>
      </c>
      <c r="CI6" s="12" t="s">
        <v>761</v>
      </c>
      <c r="CJ6" s="12" t="s">
        <v>762</v>
      </c>
      <c r="CK6" s="12" t="s">
        <v>763</v>
      </c>
      <c r="CL6" s="12" t="s">
        <v>763</v>
      </c>
      <c r="CM6" s="12" t="s">
        <v>764</v>
      </c>
      <c r="CN6" s="12" t="s">
        <v>765</v>
      </c>
      <c r="CO6" s="12" t="s">
        <v>766</v>
      </c>
      <c r="CP6" s="12" t="s">
        <v>767</v>
      </c>
      <c r="CQ6" s="12" t="s">
        <v>767</v>
      </c>
      <c r="CR6" s="12" t="s">
        <v>768</v>
      </c>
      <c r="CS6" s="12" t="s">
        <v>768</v>
      </c>
      <c r="CT6" s="12" t="s">
        <v>769</v>
      </c>
    </row>
    <row r="7" spans="1:98" hidden="1" x14ac:dyDescent="0.3">
      <c r="A7" s="12" t="s">
        <v>25</v>
      </c>
      <c r="B7" s="12" t="s">
        <v>770</v>
      </c>
      <c r="C7" s="12" t="s">
        <v>771</v>
      </c>
      <c r="D7" s="12" t="s">
        <v>772</v>
      </c>
      <c r="E7" s="12" t="s">
        <v>596</v>
      </c>
      <c r="F7" s="12" t="s">
        <v>596</v>
      </c>
      <c r="G7" s="12" t="s">
        <v>596</v>
      </c>
      <c r="H7" s="12" t="s">
        <v>596</v>
      </c>
      <c r="I7" s="12" t="s">
        <v>596</v>
      </c>
      <c r="J7" s="12" t="s">
        <v>596</v>
      </c>
      <c r="K7" s="12" t="s">
        <v>596</v>
      </c>
      <c r="L7" s="12" t="s">
        <v>596</v>
      </c>
      <c r="M7" s="12" t="s">
        <v>596</v>
      </c>
      <c r="N7" s="12" t="s">
        <v>596</v>
      </c>
      <c r="O7" s="12" t="s">
        <v>596</v>
      </c>
      <c r="P7" s="12" t="s">
        <v>596</v>
      </c>
      <c r="Q7" s="12" t="s">
        <v>596</v>
      </c>
      <c r="R7" s="12" t="s">
        <v>596</v>
      </c>
      <c r="S7" s="12" t="s">
        <v>596</v>
      </c>
      <c r="T7" s="12" t="s">
        <v>596</v>
      </c>
      <c r="U7" s="12" t="s">
        <v>596</v>
      </c>
      <c r="V7" s="12" t="s">
        <v>596</v>
      </c>
      <c r="W7" s="12" t="s">
        <v>596</v>
      </c>
      <c r="X7" s="12" t="s">
        <v>596</v>
      </c>
      <c r="Y7" s="12" t="s">
        <v>596</v>
      </c>
      <c r="Z7" s="12" t="s">
        <v>596</v>
      </c>
      <c r="AA7" s="12" t="s">
        <v>596</v>
      </c>
      <c r="AB7" s="12" t="s">
        <v>596</v>
      </c>
      <c r="AC7" s="12" t="s">
        <v>596</v>
      </c>
      <c r="AD7" s="12" t="s">
        <v>596</v>
      </c>
      <c r="AE7" s="12" t="s">
        <v>596</v>
      </c>
      <c r="AF7" s="12" t="s">
        <v>596</v>
      </c>
      <c r="AG7" s="12" t="s">
        <v>596</v>
      </c>
      <c r="AH7" s="12" t="s">
        <v>596</v>
      </c>
      <c r="AI7" s="12" t="s">
        <v>596</v>
      </c>
      <c r="AJ7" s="12" t="s">
        <v>596</v>
      </c>
      <c r="AK7" s="12" t="s">
        <v>596</v>
      </c>
      <c r="AL7" s="12" t="s">
        <v>596</v>
      </c>
      <c r="AM7" s="12" t="s">
        <v>596</v>
      </c>
      <c r="AN7" s="12" t="s">
        <v>596</v>
      </c>
      <c r="AO7" s="12" t="s">
        <v>596</v>
      </c>
      <c r="AP7" s="12" t="s">
        <v>596</v>
      </c>
      <c r="AQ7" s="12" t="s">
        <v>596</v>
      </c>
      <c r="AR7" s="12" t="s">
        <v>596</v>
      </c>
      <c r="AS7" s="12" t="s">
        <v>596</v>
      </c>
      <c r="AT7" s="12" t="s">
        <v>596</v>
      </c>
      <c r="AU7" s="12" t="s">
        <v>596</v>
      </c>
      <c r="AV7" s="12" t="s">
        <v>596</v>
      </c>
      <c r="AW7" s="12" t="s">
        <v>596</v>
      </c>
      <c r="AX7" s="12" t="s">
        <v>596</v>
      </c>
      <c r="AY7" s="12" t="s">
        <v>596</v>
      </c>
      <c r="AZ7" s="12" t="s">
        <v>596</v>
      </c>
      <c r="BA7" s="12" t="s">
        <v>596</v>
      </c>
      <c r="BB7" s="12" t="s">
        <v>596</v>
      </c>
      <c r="BC7" s="12" t="s">
        <v>596</v>
      </c>
      <c r="BD7" s="12" t="s">
        <v>596</v>
      </c>
      <c r="BE7" s="12" t="s">
        <v>596</v>
      </c>
      <c r="BF7" s="12" t="s">
        <v>596</v>
      </c>
      <c r="BG7" s="12" t="s">
        <v>596</v>
      </c>
      <c r="BH7" s="12" t="s">
        <v>596</v>
      </c>
      <c r="BI7" s="12" t="s">
        <v>596</v>
      </c>
      <c r="BJ7" s="12" t="s">
        <v>596</v>
      </c>
      <c r="BK7" s="12" t="s">
        <v>597</v>
      </c>
      <c r="BL7" s="12" t="s">
        <v>641</v>
      </c>
      <c r="BM7" s="12" t="s">
        <v>641</v>
      </c>
      <c r="BN7" s="12" t="s">
        <v>690</v>
      </c>
      <c r="BO7" s="12" t="s">
        <v>690</v>
      </c>
      <c r="BP7" s="12" t="s">
        <v>690</v>
      </c>
      <c r="BQ7" s="12" t="s">
        <v>598</v>
      </c>
      <c r="BR7" s="12" t="s">
        <v>598</v>
      </c>
      <c r="BS7" s="12" t="s">
        <v>599</v>
      </c>
      <c r="BT7" s="12" t="s">
        <v>600</v>
      </c>
      <c r="BU7" s="12" t="s">
        <v>600</v>
      </c>
      <c r="BV7" s="12" t="s">
        <v>600</v>
      </c>
      <c r="BW7" s="12" t="s">
        <v>773</v>
      </c>
      <c r="BX7" s="12" t="s">
        <v>773</v>
      </c>
      <c r="BY7" s="12" t="s">
        <v>773</v>
      </c>
      <c r="BZ7" s="12" t="s">
        <v>642</v>
      </c>
      <c r="CA7" s="12" t="s">
        <v>774</v>
      </c>
      <c r="CB7" s="12" t="s">
        <v>602</v>
      </c>
      <c r="CC7" s="12" t="s">
        <v>691</v>
      </c>
      <c r="CD7" s="12" t="s">
        <v>692</v>
      </c>
      <c r="CE7" s="12" t="s">
        <v>692</v>
      </c>
      <c r="CF7" s="12" t="s">
        <v>692</v>
      </c>
      <c r="CG7" s="12" t="s">
        <v>692</v>
      </c>
      <c r="CH7" s="12" t="s">
        <v>692</v>
      </c>
      <c r="CI7" s="12" t="s">
        <v>692</v>
      </c>
      <c r="CJ7" s="12" t="s">
        <v>692</v>
      </c>
      <c r="CK7" s="12" t="s">
        <v>692</v>
      </c>
      <c r="CL7" s="12" t="s">
        <v>692</v>
      </c>
      <c r="CM7" s="12" t="s">
        <v>692</v>
      </c>
      <c r="CN7" s="12" t="s">
        <v>605</v>
      </c>
      <c r="CO7" s="12" t="s">
        <v>605</v>
      </c>
      <c r="CP7" s="12" t="s">
        <v>605</v>
      </c>
      <c r="CQ7" s="12" t="s">
        <v>605</v>
      </c>
      <c r="CR7" s="12" t="s">
        <v>775</v>
      </c>
      <c r="CS7" s="12" t="s">
        <v>775</v>
      </c>
      <c r="CT7" s="12" t="s">
        <v>775</v>
      </c>
    </row>
    <row r="8" spans="1:98" hidden="1" x14ac:dyDescent="0.3">
      <c r="A8" s="12" t="s">
        <v>25</v>
      </c>
      <c r="B8" s="12" t="s">
        <v>776</v>
      </c>
      <c r="C8" s="12" t="s">
        <v>777</v>
      </c>
      <c r="D8" s="12" t="s">
        <v>778</v>
      </c>
      <c r="E8" s="12" t="s">
        <v>596</v>
      </c>
      <c r="F8" s="12" t="s">
        <v>596</v>
      </c>
      <c r="G8" s="12" t="s">
        <v>596</v>
      </c>
      <c r="H8" s="12" t="s">
        <v>596</v>
      </c>
      <c r="I8" s="12" t="s">
        <v>596</v>
      </c>
      <c r="J8" s="12" t="s">
        <v>596</v>
      </c>
      <c r="K8" s="12" t="s">
        <v>596</v>
      </c>
      <c r="L8" s="12" t="s">
        <v>596</v>
      </c>
      <c r="M8" s="12" t="s">
        <v>596</v>
      </c>
      <c r="N8" s="12" t="s">
        <v>596</v>
      </c>
      <c r="O8" s="12" t="s">
        <v>596</v>
      </c>
      <c r="P8" s="12" t="s">
        <v>596</v>
      </c>
      <c r="Q8" s="12" t="s">
        <v>596</v>
      </c>
      <c r="R8" s="12" t="s">
        <v>596</v>
      </c>
      <c r="S8" s="12" t="s">
        <v>596</v>
      </c>
      <c r="T8" s="12" t="s">
        <v>596</v>
      </c>
      <c r="U8" s="12" t="s">
        <v>596</v>
      </c>
      <c r="V8" s="12" t="s">
        <v>596</v>
      </c>
      <c r="W8" s="12" t="s">
        <v>596</v>
      </c>
      <c r="X8" s="12" t="s">
        <v>596</v>
      </c>
      <c r="Y8" s="12" t="s">
        <v>596</v>
      </c>
      <c r="Z8" s="12" t="s">
        <v>596</v>
      </c>
      <c r="AA8" s="12" t="s">
        <v>596</v>
      </c>
      <c r="AB8" s="12" t="s">
        <v>596</v>
      </c>
      <c r="AC8" s="12" t="s">
        <v>596</v>
      </c>
      <c r="AD8" s="12" t="s">
        <v>596</v>
      </c>
      <c r="AE8" s="12" t="s">
        <v>596</v>
      </c>
      <c r="AF8" s="12" t="s">
        <v>596</v>
      </c>
      <c r="AG8" s="12" t="s">
        <v>596</v>
      </c>
      <c r="AH8" s="12" t="s">
        <v>596</v>
      </c>
      <c r="AI8" s="12" t="s">
        <v>596</v>
      </c>
      <c r="AJ8" s="12" t="s">
        <v>596</v>
      </c>
      <c r="AK8" s="12" t="s">
        <v>596</v>
      </c>
      <c r="AL8" s="12" t="s">
        <v>596</v>
      </c>
      <c r="AM8" s="12" t="s">
        <v>596</v>
      </c>
      <c r="AN8" s="12" t="s">
        <v>596</v>
      </c>
      <c r="AO8" s="12" t="s">
        <v>596</v>
      </c>
      <c r="AP8" s="12" t="s">
        <v>596</v>
      </c>
      <c r="AQ8" s="12" t="s">
        <v>596</v>
      </c>
      <c r="AR8" s="12" t="s">
        <v>596</v>
      </c>
      <c r="AS8" s="12" t="s">
        <v>596</v>
      </c>
      <c r="AT8" s="12" t="s">
        <v>596</v>
      </c>
      <c r="AU8" s="12" t="s">
        <v>596</v>
      </c>
      <c r="AV8" s="12" t="s">
        <v>596</v>
      </c>
      <c r="AW8" s="12" t="s">
        <v>596</v>
      </c>
      <c r="AX8" s="12" t="s">
        <v>596</v>
      </c>
      <c r="AY8" s="12" t="s">
        <v>596</v>
      </c>
      <c r="AZ8" s="12" t="s">
        <v>596</v>
      </c>
      <c r="BA8" s="12" t="s">
        <v>596</v>
      </c>
      <c r="BB8" s="12" t="s">
        <v>596</v>
      </c>
      <c r="BC8" s="12" t="s">
        <v>596</v>
      </c>
      <c r="BD8" s="12" t="s">
        <v>597</v>
      </c>
      <c r="BE8" s="12" t="s">
        <v>597</v>
      </c>
      <c r="BF8" s="12" t="s">
        <v>597</v>
      </c>
      <c r="BG8" s="12" t="s">
        <v>597</v>
      </c>
      <c r="BH8" s="12" t="s">
        <v>597</v>
      </c>
      <c r="BI8" s="12" t="s">
        <v>597</v>
      </c>
      <c r="BJ8" s="12" t="s">
        <v>597</v>
      </c>
      <c r="BK8" s="12" t="s">
        <v>597</v>
      </c>
      <c r="BL8" s="12" t="s">
        <v>597</v>
      </c>
      <c r="BM8" s="12" t="s">
        <v>597</v>
      </c>
      <c r="BN8" s="12" t="s">
        <v>690</v>
      </c>
      <c r="BO8" s="12" t="s">
        <v>690</v>
      </c>
      <c r="BP8" s="12" t="s">
        <v>690</v>
      </c>
      <c r="BQ8" s="12" t="s">
        <v>600</v>
      </c>
      <c r="BR8" s="12" t="s">
        <v>600</v>
      </c>
      <c r="BS8" s="12" t="s">
        <v>600</v>
      </c>
      <c r="BT8" s="12" t="s">
        <v>600</v>
      </c>
      <c r="BU8" s="12" t="s">
        <v>600</v>
      </c>
      <c r="BV8" s="12" t="s">
        <v>600</v>
      </c>
      <c r="BW8" s="12" t="s">
        <v>600</v>
      </c>
      <c r="BX8" s="12" t="s">
        <v>779</v>
      </c>
      <c r="BY8" s="12" t="s">
        <v>780</v>
      </c>
      <c r="BZ8" s="12" t="s">
        <v>780</v>
      </c>
      <c r="CA8" s="12" t="s">
        <v>780</v>
      </c>
      <c r="CB8" s="12" t="s">
        <v>780</v>
      </c>
      <c r="CC8" s="12" t="s">
        <v>692</v>
      </c>
      <c r="CD8" s="12" t="s">
        <v>692</v>
      </c>
      <c r="CE8" s="12" t="s">
        <v>692</v>
      </c>
      <c r="CF8" s="12" t="s">
        <v>692</v>
      </c>
      <c r="CG8" s="12" t="s">
        <v>603</v>
      </c>
      <c r="CH8" s="12" t="s">
        <v>603</v>
      </c>
      <c r="CI8" s="12" t="s">
        <v>644</v>
      </c>
      <c r="CJ8" s="12" t="s">
        <v>644</v>
      </c>
      <c r="CK8" s="12" t="s">
        <v>644</v>
      </c>
      <c r="CL8" s="12" t="s">
        <v>644</v>
      </c>
      <c r="CM8" s="12" t="s">
        <v>644</v>
      </c>
      <c r="CN8" s="12" t="s">
        <v>644</v>
      </c>
      <c r="CO8" s="12" t="s">
        <v>644</v>
      </c>
      <c r="CP8" s="12" t="s">
        <v>644</v>
      </c>
      <c r="CQ8" s="12" t="s">
        <v>644</v>
      </c>
      <c r="CR8" s="12" t="s">
        <v>605</v>
      </c>
      <c r="CS8" s="12" t="s">
        <v>605</v>
      </c>
      <c r="CT8" s="12" t="s">
        <v>605</v>
      </c>
    </row>
    <row r="9" spans="1:98" hidden="1" x14ac:dyDescent="0.3">
      <c r="A9" s="12" t="s">
        <v>25</v>
      </c>
      <c r="B9" s="12" t="s">
        <v>781</v>
      </c>
      <c r="C9" s="12" t="s">
        <v>782</v>
      </c>
      <c r="D9" s="12" t="s">
        <v>783</v>
      </c>
      <c r="E9" s="12" t="s">
        <v>596</v>
      </c>
      <c r="F9" s="12" t="s">
        <v>596</v>
      </c>
      <c r="G9" s="12" t="s">
        <v>596</v>
      </c>
      <c r="H9" s="12" t="s">
        <v>596</v>
      </c>
      <c r="I9" s="12" t="s">
        <v>596</v>
      </c>
      <c r="J9" s="12" t="s">
        <v>596</v>
      </c>
      <c r="K9" s="12" t="s">
        <v>596</v>
      </c>
      <c r="L9" s="12" t="s">
        <v>596</v>
      </c>
      <c r="M9" s="12" t="s">
        <v>596</v>
      </c>
      <c r="N9" s="12" t="s">
        <v>596</v>
      </c>
      <c r="O9" s="12" t="s">
        <v>596</v>
      </c>
      <c r="P9" s="12" t="s">
        <v>596</v>
      </c>
      <c r="Q9" s="12" t="s">
        <v>596</v>
      </c>
      <c r="R9" s="12" t="s">
        <v>596</v>
      </c>
      <c r="S9" s="12" t="s">
        <v>596</v>
      </c>
      <c r="T9" s="12" t="s">
        <v>596</v>
      </c>
      <c r="U9" s="12" t="s">
        <v>596</v>
      </c>
      <c r="V9" s="12" t="s">
        <v>596</v>
      </c>
      <c r="W9" s="12" t="s">
        <v>596</v>
      </c>
      <c r="X9" s="12" t="s">
        <v>596</v>
      </c>
      <c r="Y9" s="12" t="s">
        <v>596</v>
      </c>
      <c r="Z9" s="12" t="s">
        <v>596</v>
      </c>
      <c r="AA9" s="12" t="s">
        <v>596</v>
      </c>
      <c r="AB9" s="12" t="s">
        <v>596</v>
      </c>
      <c r="AC9" s="12" t="s">
        <v>596</v>
      </c>
      <c r="AD9" s="12" t="s">
        <v>596</v>
      </c>
      <c r="AE9" s="12" t="s">
        <v>596</v>
      </c>
      <c r="AF9" s="12" t="s">
        <v>596</v>
      </c>
      <c r="AG9" s="12" t="s">
        <v>596</v>
      </c>
      <c r="AH9" s="12" t="s">
        <v>596</v>
      </c>
      <c r="AI9" s="12" t="s">
        <v>596</v>
      </c>
      <c r="AJ9" s="12" t="s">
        <v>596</v>
      </c>
      <c r="AK9" s="12" t="s">
        <v>596</v>
      </c>
      <c r="AL9" s="12" t="s">
        <v>596</v>
      </c>
      <c r="AM9" s="12" t="s">
        <v>596</v>
      </c>
      <c r="AN9" s="12" t="s">
        <v>596</v>
      </c>
      <c r="AO9" s="12" t="s">
        <v>596</v>
      </c>
      <c r="AP9" s="12" t="s">
        <v>596</v>
      </c>
      <c r="AQ9" s="12" t="s">
        <v>596</v>
      </c>
      <c r="AR9" s="12" t="s">
        <v>596</v>
      </c>
      <c r="AS9" s="12" t="s">
        <v>596</v>
      </c>
      <c r="AT9" s="12" t="s">
        <v>597</v>
      </c>
      <c r="AU9" s="12" t="s">
        <v>597</v>
      </c>
      <c r="AV9" s="12" t="s">
        <v>597</v>
      </c>
      <c r="AW9" s="12" t="s">
        <v>641</v>
      </c>
      <c r="AX9" s="12" t="s">
        <v>773</v>
      </c>
      <c r="AY9" s="12" t="s">
        <v>643</v>
      </c>
      <c r="AZ9" s="12" t="s">
        <v>643</v>
      </c>
      <c r="BA9" s="12" t="s">
        <v>691</v>
      </c>
      <c r="BB9" s="12" t="s">
        <v>692</v>
      </c>
      <c r="BC9" s="12" t="s">
        <v>692</v>
      </c>
      <c r="BD9" s="12" t="s">
        <v>784</v>
      </c>
      <c r="BE9" s="12" t="s">
        <v>785</v>
      </c>
      <c r="BF9" s="12" t="s">
        <v>786</v>
      </c>
      <c r="BG9" s="12" t="s">
        <v>787</v>
      </c>
      <c r="BH9" s="12" t="s">
        <v>788</v>
      </c>
      <c r="BI9" s="12" t="s">
        <v>789</v>
      </c>
      <c r="BJ9" s="12" t="s">
        <v>790</v>
      </c>
      <c r="BK9" s="12" t="s">
        <v>791</v>
      </c>
      <c r="BL9" s="12" t="s">
        <v>792</v>
      </c>
      <c r="BM9" s="12" t="s">
        <v>793</v>
      </c>
      <c r="BN9" s="12" t="s">
        <v>794</v>
      </c>
      <c r="BO9" s="12" t="s">
        <v>795</v>
      </c>
      <c r="BP9" s="12" t="s">
        <v>795</v>
      </c>
      <c r="BQ9" s="12" t="s">
        <v>796</v>
      </c>
      <c r="BR9" s="12" t="s">
        <v>797</v>
      </c>
      <c r="BS9" s="12" t="s">
        <v>798</v>
      </c>
      <c r="BT9" s="12" t="s">
        <v>799</v>
      </c>
      <c r="BU9" s="12" t="s">
        <v>800</v>
      </c>
      <c r="BV9" s="12" t="s">
        <v>801</v>
      </c>
      <c r="BW9" s="12" t="s">
        <v>801</v>
      </c>
      <c r="BX9" s="12" t="s">
        <v>802</v>
      </c>
      <c r="BY9" s="12" t="s">
        <v>803</v>
      </c>
      <c r="BZ9" s="12" t="s">
        <v>804</v>
      </c>
      <c r="CA9" s="12" t="s">
        <v>804</v>
      </c>
      <c r="CB9" s="12" t="s">
        <v>805</v>
      </c>
      <c r="CC9" s="12" t="s">
        <v>806</v>
      </c>
      <c r="CD9" s="12" t="s">
        <v>807</v>
      </c>
      <c r="CE9" s="12" t="s">
        <v>808</v>
      </c>
      <c r="CF9" s="12" t="s">
        <v>809</v>
      </c>
      <c r="CG9" s="12" t="s">
        <v>809</v>
      </c>
      <c r="CH9" s="12" t="s">
        <v>810</v>
      </c>
      <c r="CI9" s="12" t="s">
        <v>811</v>
      </c>
      <c r="CJ9" s="12" t="s">
        <v>812</v>
      </c>
      <c r="CK9" s="12" t="s">
        <v>813</v>
      </c>
      <c r="CL9" s="12" t="s">
        <v>814</v>
      </c>
      <c r="CM9" s="12" t="s">
        <v>815</v>
      </c>
      <c r="CN9" s="12" t="s">
        <v>816</v>
      </c>
      <c r="CO9" s="12" t="s">
        <v>817</v>
      </c>
      <c r="CP9" s="12" t="s">
        <v>818</v>
      </c>
      <c r="CQ9" s="12" t="s">
        <v>819</v>
      </c>
      <c r="CR9" s="12" t="s">
        <v>820</v>
      </c>
      <c r="CS9" s="12" t="s">
        <v>821</v>
      </c>
      <c r="CT9" s="12" t="s">
        <v>822</v>
      </c>
    </row>
    <row r="10" spans="1:98" hidden="1" x14ac:dyDescent="0.3">
      <c r="A10" s="12" t="s">
        <v>25</v>
      </c>
      <c r="B10" s="12" t="s">
        <v>823</v>
      </c>
      <c r="C10" s="12" t="s">
        <v>824</v>
      </c>
      <c r="D10" s="12" t="s">
        <v>825</v>
      </c>
      <c r="E10" s="12" t="s">
        <v>596</v>
      </c>
      <c r="F10" s="12" t="s">
        <v>596</v>
      </c>
      <c r="G10" s="12" t="s">
        <v>596</v>
      </c>
      <c r="H10" s="12" t="s">
        <v>596</v>
      </c>
      <c r="I10" s="12" t="s">
        <v>596</v>
      </c>
      <c r="J10" s="12" t="s">
        <v>596</v>
      </c>
      <c r="K10" s="12" t="s">
        <v>596</v>
      </c>
      <c r="L10" s="12" t="s">
        <v>596</v>
      </c>
      <c r="M10" s="12" t="s">
        <v>596</v>
      </c>
      <c r="N10" s="12" t="s">
        <v>596</v>
      </c>
      <c r="O10" s="12" t="s">
        <v>596</v>
      </c>
      <c r="P10" s="12" t="s">
        <v>596</v>
      </c>
      <c r="Q10" s="12" t="s">
        <v>596</v>
      </c>
      <c r="R10" s="12" t="s">
        <v>596</v>
      </c>
      <c r="S10" s="12" t="s">
        <v>596</v>
      </c>
      <c r="T10" s="12" t="s">
        <v>596</v>
      </c>
      <c r="U10" s="12" t="s">
        <v>596</v>
      </c>
      <c r="V10" s="12" t="s">
        <v>596</v>
      </c>
      <c r="W10" s="12" t="s">
        <v>596</v>
      </c>
      <c r="X10" s="12" t="s">
        <v>596</v>
      </c>
      <c r="Y10" s="12" t="s">
        <v>596</v>
      </c>
      <c r="Z10" s="12" t="s">
        <v>596</v>
      </c>
      <c r="AA10" s="12" t="s">
        <v>596</v>
      </c>
      <c r="AB10" s="12" t="s">
        <v>596</v>
      </c>
      <c r="AC10" s="12" t="s">
        <v>596</v>
      </c>
      <c r="AD10" s="12" t="s">
        <v>596</v>
      </c>
      <c r="AE10" s="12" t="s">
        <v>596</v>
      </c>
      <c r="AF10" s="12" t="s">
        <v>596</v>
      </c>
      <c r="AG10" s="12" t="s">
        <v>596</v>
      </c>
      <c r="AH10" s="12" t="s">
        <v>596</v>
      </c>
      <c r="AI10" s="12" t="s">
        <v>596</v>
      </c>
      <c r="AJ10" s="12" t="s">
        <v>596</v>
      </c>
      <c r="AK10" s="12" t="s">
        <v>596</v>
      </c>
      <c r="AL10" s="12" t="s">
        <v>596</v>
      </c>
      <c r="AM10" s="12" t="s">
        <v>596</v>
      </c>
      <c r="AN10" s="12" t="s">
        <v>596</v>
      </c>
      <c r="AO10" s="12" t="s">
        <v>596</v>
      </c>
      <c r="AP10" s="12" t="s">
        <v>596</v>
      </c>
      <c r="AQ10" s="12" t="s">
        <v>596</v>
      </c>
      <c r="AR10" s="12" t="s">
        <v>597</v>
      </c>
      <c r="AS10" s="12" t="s">
        <v>597</v>
      </c>
      <c r="AT10" s="12" t="s">
        <v>597</v>
      </c>
      <c r="AU10" s="12" t="s">
        <v>597</v>
      </c>
      <c r="AV10" s="12" t="s">
        <v>597</v>
      </c>
      <c r="AW10" s="12" t="s">
        <v>597</v>
      </c>
      <c r="AX10" s="12" t="s">
        <v>597</v>
      </c>
      <c r="AY10" s="12" t="s">
        <v>597</v>
      </c>
      <c r="AZ10" s="12" t="s">
        <v>597</v>
      </c>
      <c r="BA10" s="12" t="s">
        <v>597</v>
      </c>
      <c r="BB10" s="12" t="s">
        <v>597</v>
      </c>
      <c r="BC10" s="12" t="s">
        <v>598</v>
      </c>
      <c r="BD10" s="12" t="s">
        <v>773</v>
      </c>
      <c r="BE10" s="12" t="s">
        <v>826</v>
      </c>
      <c r="BF10" s="12" t="s">
        <v>694</v>
      </c>
      <c r="BG10" s="12" t="s">
        <v>827</v>
      </c>
      <c r="BH10" s="12" t="s">
        <v>828</v>
      </c>
      <c r="BI10" s="12" t="s">
        <v>608</v>
      </c>
      <c r="BJ10" s="12" t="s">
        <v>829</v>
      </c>
      <c r="BK10" s="12" t="s">
        <v>830</v>
      </c>
      <c r="BL10" s="12" t="s">
        <v>831</v>
      </c>
      <c r="BM10" s="12" t="s">
        <v>832</v>
      </c>
      <c r="BN10" s="12" t="s">
        <v>833</v>
      </c>
      <c r="BO10" s="12" t="s">
        <v>834</v>
      </c>
      <c r="BP10" s="12" t="s">
        <v>835</v>
      </c>
      <c r="BQ10" s="12" t="s">
        <v>836</v>
      </c>
      <c r="BR10" s="12" t="s">
        <v>837</v>
      </c>
      <c r="BS10" s="12" t="s">
        <v>838</v>
      </c>
      <c r="BT10" s="12" t="s">
        <v>839</v>
      </c>
      <c r="BU10" s="12" t="s">
        <v>840</v>
      </c>
      <c r="BV10" s="12" t="s">
        <v>841</v>
      </c>
      <c r="BW10" s="12" t="s">
        <v>842</v>
      </c>
      <c r="BX10" s="12" t="s">
        <v>685</v>
      </c>
      <c r="BY10" s="12" t="s">
        <v>843</v>
      </c>
      <c r="BZ10" s="12" t="s">
        <v>844</v>
      </c>
      <c r="CA10" s="12" t="s">
        <v>845</v>
      </c>
      <c r="CB10" s="12" t="s">
        <v>846</v>
      </c>
      <c r="CC10" s="12" t="s">
        <v>847</v>
      </c>
      <c r="CD10" s="12" t="s">
        <v>848</v>
      </c>
      <c r="CE10" s="12" t="s">
        <v>849</v>
      </c>
      <c r="CF10" s="12" t="s">
        <v>850</v>
      </c>
      <c r="CG10" s="12" t="s">
        <v>851</v>
      </c>
      <c r="CH10" s="12" t="s">
        <v>852</v>
      </c>
      <c r="CI10" s="12" t="s">
        <v>853</v>
      </c>
      <c r="CJ10" s="12" t="s">
        <v>854</v>
      </c>
      <c r="CK10" s="12" t="s">
        <v>855</v>
      </c>
      <c r="CL10" s="12" t="s">
        <v>856</v>
      </c>
      <c r="CM10" s="12" t="s">
        <v>857</v>
      </c>
      <c r="CN10" s="12" t="s">
        <v>858</v>
      </c>
      <c r="CO10" s="12" t="s">
        <v>859</v>
      </c>
      <c r="CP10" s="12" t="s">
        <v>860</v>
      </c>
      <c r="CQ10" s="12" t="s">
        <v>861</v>
      </c>
      <c r="CR10" s="12" t="s">
        <v>862</v>
      </c>
      <c r="CS10" s="12" t="s">
        <v>863</v>
      </c>
      <c r="CT10" s="12" t="s">
        <v>864</v>
      </c>
    </row>
    <row r="11" spans="1:98" hidden="1" x14ac:dyDescent="0.3">
      <c r="A11" s="12" t="s">
        <v>865</v>
      </c>
      <c r="B11" s="12" t="s">
        <v>866</v>
      </c>
      <c r="C11" s="12" t="s">
        <v>867</v>
      </c>
      <c r="D11" s="12" t="s">
        <v>868</v>
      </c>
      <c r="E11" s="12" t="s">
        <v>596</v>
      </c>
      <c r="F11" s="12" t="s">
        <v>596</v>
      </c>
      <c r="G11" s="12" t="s">
        <v>596</v>
      </c>
      <c r="H11" s="12" t="s">
        <v>596</v>
      </c>
      <c r="I11" s="12" t="s">
        <v>596</v>
      </c>
      <c r="J11" s="12" t="s">
        <v>596</v>
      </c>
      <c r="K11" s="12" t="s">
        <v>596</v>
      </c>
      <c r="L11" s="12" t="s">
        <v>596</v>
      </c>
      <c r="M11" s="12" t="s">
        <v>596</v>
      </c>
      <c r="N11" s="12" t="s">
        <v>596</v>
      </c>
      <c r="O11" s="12" t="s">
        <v>596</v>
      </c>
      <c r="P11" s="12" t="s">
        <v>596</v>
      </c>
      <c r="Q11" s="12" t="s">
        <v>596</v>
      </c>
      <c r="R11" s="12" t="s">
        <v>596</v>
      </c>
      <c r="S11" s="12" t="s">
        <v>596</v>
      </c>
      <c r="T11" s="12" t="s">
        <v>596</v>
      </c>
      <c r="U11" s="12" t="s">
        <v>596</v>
      </c>
      <c r="V11" s="12" t="s">
        <v>596</v>
      </c>
      <c r="W11" s="12" t="s">
        <v>596</v>
      </c>
      <c r="X11" s="12" t="s">
        <v>596</v>
      </c>
      <c r="Y11" s="12" t="s">
        <v>596</v>
      </c>
      <c r="Z11" s="12" t="s">
        <v>596</v>
      </c>
      <c r="AA11" s="12" t="s">
        <v>596</v>
      </c>
      <c r="AB11" s="12" t="s">
        <v>596</v>
      </c>
      <c r="AC11" s="12" t="s">
        <v>596</v>
      </c>
      <c r="AD11" s="12" t="s">
        <v>596</v>
      </c>
      <c r="AE11" s="12" t="s">
        <v>596</v>
      </c>
      <c r="AF11" s="12" t="s">
        <v>596</v>
      </c>
      <c r="AG11" s="12" t="s">
        <v>596</v>
      </c>
      <c r="AH11" s="12" t="s">
        <v>596</v>
      </c>
      <c r="AI11" s="12" t="s">
        <v>596</v>
      </c>
      <c r="AJ11" s="12" t="s">
        <v>596</v>
      </c>
      <c r="AK11" s="12" t="s">
        <v>596</v>
      </c>
      <c r="AL11" s="12" t="s">
        <v>596</v>
      </c>
      <c r="AM11" s="12" t="s">
        <v>596</v>
      </c>
      <c r="AN11" s="12" t="s">
        <v>596</v>
      </c>
      <c r="AO11" s="12" t="s">
        <v>596</v>
      </c>
      <c r="AP11" s="12" t="s">
        <v>596</v>
      </c>
      <c r="AQ11" s="12" t="s">
        <v>596</v>
      </c>
      <c r="AR11" s="12" t="s">
        <v>596</v>
      </c>
      <c r="AS11" s="12" t="s">
        <v>596</v>
      </c>
      <c r="AT11" s="12" t="s">
        <v>596</v>
      </c>
      <c r="AU11" s="12" t="s">
        <v>596</v>
      </c>
      <c r="AV11" s="12" t="s">
        <v>596</v>
      </c>
      <c r="AW11" s="12" t="s">
        <v>596</v>
      </c>
      <c r="AX11" s="12" t="s">
        <v>596</v>
      </c>
      <c r="AY11" s="12" t="s">
        <v>596</v>
      </c>
      <c r="AZ11" s="12" t="s">
        <v>596</v>
      </c>
      <c r="BA11" s="12" t="s">
        <v>596</v>
      </c>
      <c r="BB11" s="12" t="s">
        <v>596</v>
      </c>
      <c r="BC11" s="12" t="s">
        <v>596</v>
      </c>
      <c r="BD11" s="12" t="s">
        <v>597</v>
      </c>
      <c r="BE11" s="12" t="s">
        <v>597</v>
      </c>
      <c r="BF11" s="12" t="s">
        <v>597</v>
      </c>
      <c r="BG11" s="12" t="s">
        <v>641</v>
      </c>
      <c r="BH11" s="12" t="s">
        <v>641</v>
      </c>
      <c r="BI11" s="12" t="s">
        <v>690</v>
      </c>
      <c r="BJ11" s="12" t="s">
        <v>598</v>
      </c>
      <c r="BK11" s="12" t="s">
        <v>869</v>
      </c>
      <c r="BL11" s="12" t="s">
        <v>779</v>
      </c>
      <c r="BM11" s="12" t="s">
        <v>692</v>
      </c>
      <c r="BN11" s="12" t="s">
        <v>870</v>
      </c>
      <c r="BO11" s="12" t="s">
        <v>736</v>
      </c>
      <c r="BP11" s="12" t="s">
        <v>736</v>
      </c>
      <c r="BQ11" s="12" t="s">
        <v>737</v>
      </c>
      <c r="BR11" s="12" t="s">
        <v>871</v>
      </c>
      <c r="BS11" s="12" t="s">
        <v>872</v>
      </c>
      <c r="BT11" s="12" t="s">
        <v>873</v>
      </c>
      <c r="BU11" s="12" t="s">
        <v>828</v>
      </c>
      <c r="BV11" s="12" t="s">
        <v>874</v>
      </c>
      <c r="BW11" s="12" t="s">
        <v>608</v>
      </c>
      <c r="BX11" s="12" t="s">
        <v>699</v>
      </c>
      <c r="BY11" s="12" t="s">
        <v>875</v>
      </c>
      <c r="BZ11" s="12" t="s">
        <v>876</v>
      </c>
      <c r="CA11" s="12" t="s">
        <v>877</v>
      </c>
      <c r="CB11" s="12" t="s">
        <v>877</v>
      </c>
      <c r="CC11" s="12" t="s">
        <v>877</v>
      </c>
      <c r="CD11" s="12" t="s">
        <v>878</v>
      </c>
      <c r="CE11" s="12" t="s">
        <v>879</v>
      </c>
      <c r="CF11" s="12" t="s">
        <v>880</v>
      </c>
      <c r="CG11" s="12" t="s">
        <v>880</v>
      </c>
      <c r="CH11" s="12" t="s">
        <v>880</v>
      </c>
      <c r="CI11" s="12" t="s">
        <v>881</v>
      </c>
      <c r="CJ11" s="12" t="s">
        <v>880</v>
      </c>
      <c r="CK11" s="12" t="s">
        <v>880</v>
      </c>
      <c r="CL11" s="12" t="s">
        <v>880</v>
      </c>
      <c r="CM11" s="12" t="s">
        <v>880</v>
      </c>
      <c r="CN11" s="12" t="s">
        <v>880</v>
      </c>
      <c r="CO11" s="12" t="s">
        <v>880</v>
      </c>
      <c r="CP11" s="12" t="s">
        <v>655</v>
      </c>
      <c r="CQ11" s="12" t="s">
        <v>655</v>
      </c>
      <c r="CR11" s="12" t="s">
        <v>655</v>
      </c>
      <c r="CS11" s="12" t="s">
        <v>655</v>
      </c>
      <c r="CT11" s="12" t="s">
        <v>882</v>
      </c>
    </row>
    <row r="12" spans="1:98" hidden="1" x14ac:dyDescent="0.3">
      <c r="A12" s="12" t="s">
        <v>883</v>
      </c>
      <c r="B12" s="12" t="s">
        <v>866</v>
      </c>
      <c r="C12" s="12" t="s">
        <v>884</v>
      </c>
      <c r="D12" s="12" t="s">
        <v>885</v>
      </c>
      <c r="E12" s="12" t="s">
        <v>596</v>
      </c>
      <c r="F12" s="12" t="s">
        <v>596</v>
      </c>
      <c r="G12" s="12" t="s">
        <v>596</v>
      </c>
      <c r="H12" s="12" t="s">
        <v>596</v>
      </c>
      <c r="I12" s="12" t="s">
        <v>690</v>
      </c>
      <c r="J12" s="12" t="s">
        <v>598</v>
      </c>
      <c r="K12" s="12" t="s">
        <v>598</v>
      </c>
      <c r="L12" s="12" t="s">
        <v>598</v>
      </c>
      <c r="M12" s="12" t="s">
        <v>598</v>
      </c>
      <c r="N12" s="12" t="s">
        <v>598</v>
      </c>
      <c r="O12" s="12" t="s">
        <v>598</v>
      </c>
      <c r="P12" s="12" t="s">
        <v>598</v>
      </c>
      <c r="Q12" s="12" t="s">
        <v>598</v>
      </c>
      <c r="R12" s="12" t="s">
        <v>598</v>
      </c>
      <c r="S12" s="12" t="s">
        <v>598</v>
      </c>
      <c r="T12" s="12" t="s">
        <v>598</v>
      </c>
      <c r="U12" s="12" t="s">
        <v>598</v>
      </c>
      <c r="V12" s="12" t="s">
        <v>598</v>
      </c>
      <c r="W12" s="12" t="s">
        <v>598</v>
      </c>
      <c r="X12" s="12" t="s">
        <v>598</v>
      </c>
      <c r="Y12" s="12" t="s">
        <v>598</v>
      </c>
      <c r="Z12" s="12" t="s">
        <v>598</v>
      </c>
      <c r="AA12" s="12" t="s">
        <v>598</v>
      </c>
      <c r="AB12" s="12" t="s">
        <v>598</v>
      </c>
      <c r="AC12" s="12" t="s">
        <v>598</v>
      </c>
      <c r="AD12" s="12" t="s">
        <v>598</v>
      </c>
      <c r="AE12" s="12" t="s">
        <v>598</v>
      </c>
      <c r="AF12" s="12" t="s">
        <v>598</v>
      </c>
      <c r="AG12" s="12" t="s">
        <v>598</v>
      </c>
      <c r="AH12" s="12" t="s">
        <v>598</v>
      </c>
      <c r="AI12" s="12" t="s">
        <v>598</v>
      </c>
      <c r="AJ12" s="12" t="s">
        <v>598</v>
      </c>
      <c r="AK12" s="12" t="s">
        <v>598</v>
      </c>
      <c r="AL12" s="12" t="s">
        <v>598</v>
      </c>
      <c r="AM12" s="12" t="s">
        <v>598</v>
      </c>
      <c r="AN12" s="12" t="s">
        <v>598</v>
      </c>
      <c r="AO12" s="12" t="s">
        <v>598</v>
      </c>
      <c r="AP12" s="12" t="s">
        <v>598</v>
      </c>
      <c r="AQ12" s="12" t="s">
        <v>598</v>
      </c>
      <c r="AR12" s="12" t="s">
        <v>869</v>
      </c>
      <c r="AS12" s="12" t="s">
        <v>869</v>
      </c>
      <c r="AT12" s="12" t="s">
        <v>886</v>
      </c>
      <c r="AU12" s="12" t="s">
        <v>604</v>
      </c>
      <c r="AV12" s="12" t="s">
        <v>604</v>
      </c>
      <c r="AW12" s="12" t="s">
        <v>694</v>
      </c>
      <c r="AX12" s="12" t="s">
        <v>887</v>
      </c>
      <c r="AY12" s="12" t="s">
        <v>646</v>
      </c>
      <c r="AZ12" s="12" t="s">
        <v>696</v>
      </c>
      <c r="BA12" s="12" t="s">
        <v>649</v>
      </c>
      <c r="BB12" s="12" t="s">
        <v>888</v>
      </c>
      <c r="BC12" s="12" t="s">
        <v>888</v>
      </c>
      <c r="BD12" s="12" t="s">
        <v>889</v>
      </c>
      <c r="BE12" s="12" t="s">
        <v>890</v>
      </c>
      <c r="BF12" s="12" t="s">
        <v>891</v>
      </c>
      <c r="BG12" s="12" t="s">
        <v>892</v>
      </c>
      <c r="BH12" s="12" t="s">
        <v>893</v>
      </c>
      <c r="BI12" s="12" t="s">
        <v>745</v>
      </c>
      <c r="BJ12" s="12" t="s">
        <v>894</v>
      </c>
      <c r="BK12" s="12" t="s">
        <v>895</v>
      </c>
      <c r="BL12" s="12" t="s">
        <v>896</v>
      </c>
      <c r="BM12" s="12" t="s">
        <v>897</v>
      </c>
      <c r="BN12" s="12" t="s">
        <v>897</v>
      </c>
      <c r="BO12" s="12" t="s">
        <v>898</v>
      </c>
      <c r="BP12" s="12" t="s">
        <v>899</v>
      </c>
      <c r="BQ12" s="12" t="s">
        <v>900</v>
      </c>
      <c r="BR12" s="12" t="s">
        <v>901</v>
      </c>
      <c r="BS12" s="12" t="s">
        <v>902</v>
      </c>
      <c r="BT12" s="12" t="s">
        <v>903</v>
      </c>
      <c r="BU12" s="12" t="s">
        <v>904</v>
      </c>
      <c r="BV12" s="12" t="s">
        <v>904</v>
      </c>
      <c r="BW12" s="12" t="s">
        <v>905</v>
      </c>
      <c r="BX12" s="12" t="s">
        <v>906</v>
      </c>
      <c r="BY12" s="12" t="s">
        <v>907</v>
      </c>
      <c r="BZ12" s="12" t="s">
        <v>908</v>
      </c>
      <c r="CA12" s="12" t="s">
        <v>909</v>
      </c>
      <c r="CB12" s="12" t="s">
        <v>910</v>
      </c>
      <c r="CC12" s="12" t="s">
        <v>911</v>
      </c>
      <c r="CD12" s="12" t="s">
        <v>912</v>
      </c>
      <c r="CE12" s="12" t="s">
        <v>913</v>
      </c>
      <c r="CF12" s="12" t="s">
        <v>914</v>
      </c>
      <c r="CG12" s="12" t="s">
        <v>915</v>
      </c>
      <c r="CH12" s="12" t="s">
        <v>915</v>
      </c>
      <c r="CI12" s="12" t="s">
        <v>916</v>
      </c>
      <c r="CJ12" s="12" t="s">
        <v>917</v>
      </c>
      <c r="CK12" s="12" t="s">
        <v>918</v>
      </c>
      <c r="CL12" s="12" t="s">
        <v>919</v>
      </c>
      <c r="CM12" s="12" t="s">
        <v>920</v>
      </c>
      <c r="CN12" s="12" t="s">
        <v>921</v>
      </c>
      <c r="CO12" s="12" t="s">
        <v>922</v>
      </c>
      <c r="CP12" s="12" t="s">
        <v>923</v>
      </c>
      <c r="CQ12" s="12" t="s">
        <v>924</v>
      </c>
      <c r="CR12" s="12" t="s">
        <v>925</v>
      </c>
      <c r="CS12" s="12" t="s">
        <v>926</v>
      </c>
      <c r="CT12" s="12" t="s">
        <v>927</v>
      </c>
    </row>
    <row r="13" spans="1:98" hidden="1" x14ac:dyDescent="0.3">
      <c r="A13" s="12" t="s">
        <v>928</v>
      </c>
      <c r="B13" s="12" t="s">
        <v>866</v>
      </c>
      <c r="C13" s="12" t="s">
        <v>929</v>
      </c>
      <c r="D13" s="12" t="s">
        <v>930</v>
      </c>
      <c r="E13" s="12" t="s">
        <v>596</v>
      </c>
      <c r="F13" s="12" t="s">
        <v>596</v>
      </c>
      <c r="G13" s="12" t="s">
        <v>596</v>
      </c>
      <c r="H13" s="12" t="s">
        <v>596</v>
      </c>
      <c r="I13" s="12" t="s">
        <v>596</v>
      </c>
      <c r="J13" s="12" t="s">
        <v>596</v>
      </c>
      <c r="K13" s="12" t="s">
        <v>596</v>
      </c>
      <c r="L13" s="12" t="s">
        <v>596</v>
      </c>
      <c r="M13" s="12" t="s">
        <v>596</v>
      </c>
      <c r="N13" s="12" t="s">
        <v>596</v>
      </c>
      <c r="O13" s="12" t="s">
        <v>596</v>
      </c>
      <c r="P13" s="12" t="s">
        <v>596</v>
      </c>
      <c r="Q13" s="12" t="s">
        <v>596</v>
      </c>
      <c r="R13" s="12" t="s">
        <v>596</v>
      </c>
      <c r="S13" s="12" t="s">
        <v>596</v>
      </c>
      <c r="T13" s="12" t="s">
        <v>596</v>
      </c>
      <c r="U13" s="12" t="s">
        <v>596</v>
      </c>
      <c r="V13" s="12" t="s">
        <v>596</v>
      </c>
      <c r="W13" s="12" t="s">
        <v>596</v>
      </c>
      <c r="X13" s="12" t="s">
        <v>596</v>
      </c>
      <c r="Y13" s="12" t="s">
        <v>596</v>
      </c>
      <c r="Z13" s="12" t="s">
        <v>596</v>
      </c>
      <c r="AA13" s="12" t="s">
        <v>596</v>
      </c>
      <c r="AB13" s="12" t="s">
        <v>596</v>
      </c>
      <c r="AC13" s="12" t="s">
        <v>596</v>
      </c>
      <c r="AD13" s="12" t="s">
        <v>596</v>
      </c>
      <c r="AE13" s="12" t="s">
        <v>596</v>
      </c>
      <c r="AF13" s="12" t="s">
        <v>596</v>
      </c>
      <c r="AG13" s="12" t="s">
        <v>596</v>
      </c>
      <c r="AH13" s="12" t="s">
        <v>596</v>
      </c>
      <c r="AI13" s="12" t="s">
        <v>596</v>
      </c>
      <c r="AJ13" s="12" t="s">
        <v>596</v>
      </c>
      <c r="AK13" s="12" t="s">
        <v>596</v>
      </c>
      <c r="AL13" s="12" t="s">
        <v>596</v>
      </c>
      <c r="AM13" s="12" t="s">
        <v>596</v>
      </c>
      <c r="AN13" s="12" t="s">
        <v>596</v>
      </c>
      <c r="AO13" s="12" t="s">
        <v>596</v>
      </c>
      <c r="AP13" s="12" t="s">
        <v>596</v>
      </c>
      <c r="AQ13" s="12" t="s">
        <v>596</v>
      </c>
      <c r="AR13" s="12" t="s">
        <v>596</v>
      </c>
      <c r="AS13" s="12" t="s">
        <v>596</v>
      </c>
      <c r="AT13" s="12" t="s">
        <v>596</v>
      </c>
      <c r="AU13" s="12" t="s">
        <v>597</v>
      </c>
      <c r="AV13" s="12" t="s">
        <v>597</v>
      </c>
      <c r="AW13" s="12" t="s">
        <v>596</v>
      </c>
      <c r="AX13" s="12" t="s">
        <v>596</v>
      </c>
      <c r="AY13" s="12" t="s">
        <v>596</v>
      </c>
      <c r="AZ13" s="12" t="s">
        <v>596</v>
      </c>
      <c r="BA13" s="12" t="s">
        <v>597</v>
      </c>
      <c r="BB13" s="12" t="s">
        <v>597</v>
      </c>
      <c r="BC13" s="12" t="s">
        <v>597</v>
      </c>
      <c r="BD13" s="12" t="s">
        <v>597</v>
      </c>
      <c r="BE13" s="12" t="s">
        <v>597</v>
      </c>
      <c r="BF13" s="12" t="s">
        <v>597</v>
      </c>
      <c r="BG13" s="12" t="s">
        <v>597</v>
      </c>
      <c r="BH13" s="12" t="s">
        <v>597</v>
      </c>
      <c r="BI13" s="12" t="s">
        <v>597</v>
      </c>
      <c r="BJ13" s="12" t="s">
        <v>597</v>
      </c>
      <c r="BK13" s="12" t="s">
        <v>690</v>
      </c>
      <c r="BL13" s="12" t="s">
        <v>690</v>
      </c>
      <c r="BM13" s="12" t="s">
        <v>599</v>
      </c>
      <c r="BN13" s="12" t="s">
        <v>599</v>
      </c>
      <c r="BO13" s="12" t="s">
        <v>869</v>
      </c>
      <c r="BP13" s="12" t="s">
        <v>869</v>
      </c>
      <c r="BQ13" s="12" t="s">
        <v>643</v>
      </c>
      <c r="BR13" s="12" t="s">
        <v>643</v>
      </c>
      <c r="BS13" s="12" t="s">
        <v>780</v>
      </c>
      <c r="BT13" s="12" t="s">
        <v>780</v>
      </c>
      <c r="BU13" s="12" t="s">
        <v>780</v>
      </c>
      <c r="BV13" s="12" t="s">
        <v>691</v>
      </c>
      <c r="BW13" s="12" t="s">
        <v>692</v>
      </c>
      <c r="BX13" s="12" t="s">
        <v>603</v>
      </c>
      <c r="BY13" s="12" t="s">
        <v>604</v>
      </c>
      <c r="BZ13" s="12" t="s">
        <v>694</v>
      </c>
      <c r="CA13" s="12" t="s">
        <v>931</v>
      </c>
      <c r="CB13" s="12" t="s">
        <v>887</v>
      </c>
      <c r="CC13" s="12" t="s">
        <v>887</v>
      </c>
      <c r="CD13" s="12" t="s">
        <v>887</v>
      </c>
      <c r="CE13" s="12" t="s">
        <v>887</v>
      </c>
      <c r="CF13" s="12" t="s">
        <v>887</v>
      </c>
      <c r="CG13" s="12" t="s">
        <v>887</v>
      </c>
      <c r="CH13" s="12" t="s">
        <v>887</v>
      </c>
      <c r="CI13" s="12" t="s">
        <v>887</v>
      </c>
      <c r="CJ13" s="12" t="s">
        <v>887</v>
      </c>
      <c r="CK13" s="12" t="s">
        <v>887</v>
      </c>
      <c r="CL13" s="12" t="s">
        <v>887</v>
      </c>
      <c r="CM13" s="12" t="s">
        <v>887</v>
      </c>
      <c r="CN13" s="12" t="s">
        <v>887</v>
      </c>
      <c r="CO13" s="12" t="s">
        <v>887</v>
      </c>
      <c r="CP13" s="12" t="s">
        <v>887</v>
      </c>
      <c r="CQ13" s="12" t="s">
        <v>887</v>
      </c>
      <c r="CR13" s="12" t="s">
        <v>887</v>
      </c>
      <c r="CS13" s="12" t="s">
        <v>887</v>
      </c>
      <c r="CT13" s="12" t="s">
        <v>887</v>
      </c>
    </row>
    <row r="14" spans="1:98" hidden="1" x14ac:dyDescent="0.3">
      <c r="A14" s="12" t="s">
        <v>932</v>
      </c>
      <c r="B14" s="12" t="s">
        <v>866</v>
      </c>
      <c r="C14" s="12" t="s">
        <v>933</v>
      </c>
      <c r="D14" s="12" t="s">
        <v>934</v>
      </c>
      <c r="E14" s="12" t="s">
        <v>596</v>
      </c>
      <c r="F14" s="12" t="s">
        <v>596</v>
      </c>
      <c r="G14" s="12" t="s">
        <v>596</v>
      </c>
      <c r="H14" s="12" t="s">
        <v>596</v>
      </c>
      <c r="I14" s="12" t="s">
        <v>596</v>
      </c>
      <c r="J14" s="12" t="s">
        <v>596</v>
      </c>
      <c r="K14" s="12" t="s">
        <v>596</v>
      </c>
      <c r="L14" s="12" t="s">
        <v>597</v>
      </c>
      <c r="M14" s="12" t="s">
        <v>690</v>
      </c>
      <c r="N14" s="12" t="s">
        <v>641</v>
      </c>
      <c r="O14" s="12" t="s">
        <v>690</v>
      </c>
      <c r="P14" s="12" t="s">
        <v>641</v>
      </c>
      <c r="Q14" s="12" t="s">
        <v>641</v>
      </c>
      <c r="R14" s="12" t="s">
        <v>690</v>
      </c>
      <c r="S14" s="12" t="s">
        <v>690</v>
      </c>
      <c r="T14" s="12" t="s">
        <v>598</v>
      </c>
      <c r="U14" s="12" t="s">
        <v>599</v>
      </c>
      <c r="V14" s="12" t="s">
        <v>599</v>
      </c>
      <c r="W14" s="12" t="s">
        <v>599</v>
      </c>
      <c r="X14" s="12" t="s">
        <v>599</v>
      </c>
      <c r="Y14" s="12" t="s">
        <v>599</v>
      </c>
      <c r="Z14" s="12" t="s">
        <v>599</v>
      </c>
      <c r="AA14" s="12" t="s">
        <v>599</v>
      </c>
      <c r="AB14" s="12" t="s">
        <v>599</v>
      </c>
      <c r="AC14" s="12" t="s">
        <v>599</v>
      </c>
      <c r="AD14" s="12" t="s">
        <v>599</v>
      </c>
      <c r="AE14" s="12" t="s">
        <v>599</v>
      </c>
      <c r="AF14" s="12" t="s">
        <v>599</v>
      </c>
      <c r="AG14" s="12" t="s">
        <v>599</v>
      </c>
      <c r="AH14" s="12" t="s">
        <v>599</v>
      </c>
      <c r="AI14" s="12" t="s">
        <v>599</v>
      </c>
      <c r="AJ14" s="12" t="s">
        <v>599</v>
      </c>
      <c r="AK14" s="12" t="s">
        <v>599</v>
      </c>
      <c r="AL14" s="12" t="s">
        <v>599</v>
      </c>
      <c r="AM14" s="12" t="s">
        <v>599</v>
      </c>
      <c r="AN14" s="12" t="s">
        <v>599</v>
      </c>
      <c r="AO14" s="12" t="s">
        <v>599</v>
      </c>
      <c r="AP14" s="12" t="s">
        <v>599</v>
      </c>
      <c r="AQ14" s="12" t="s">
        <v>779</v>
      </c>
      <c r="AR14" s="12" t="s">
        <v>779</v>
      </c>
      <c r="AS14" s="12" t="s">
        <v>779</v>
      </c>
      <c r="AT14" s="12" t="s">
        <v>601</v>
      </c>
      <c r="AU14" s="12" t="s">
        <v>601</v>
      </c>
      <c r="AV14" s="12" t="s">
        <v>886</v>
      </c>
      <c r="AW14" s="12" t="s">
        <v>886</v>
      </c>
      <c r="AX14" s="12" t="s">
        <v>886</v>
      </c>
      <c r="AY14" s="12" t="s">
        <v>780</v>
      </c>
      <c r="AZ14" s="12" t="s">
        <v>780</v>
      </c>
      <c r="BA14" s="12" t="s">
        <v>826</v>
      </c>
      <c r="BB14" s="12" t="s">
        <v>693</v>
      </c>
      <c r="BC14" s="12" t="s">
        <v>693</v>
      </c>
      <c r="BD14" s="12" t="s">
        <v>935</v>
      </c>
      <c r="BE14" s="12" t="s">
        <v>936</v>
      </c>
      <c r="BF14" s="12" t="s">
        <v>937</v>
      </c>
      <c r="BG14" s="12" t="s">
        <v>788</v>
      </c>
      <c r="BH14" s="12" t="s">
        <v>828</v>
      </c>
      <c r="BI14" s="12" t="s">
        <v>609</v>
      </c>
      <c r="BJ14" s="12" t="s">
        <v>938</v>
      </c>
      <c r="BK14" s="12" t="s">
        <v>939</v>
      </c>
      <c r="BL14" s="12" t="s">
        <v>940</v>
      </c>
      <c r="BM14" s="12" t="s">
        <v>663</v>
      </c>
      <c r="BN14" s="12" t="s">
        <v>941</v>
      </c>
      <c r="BO14" s="12" t="s">
        <v>942</v>
      </c>
      <c r="BP14" s="12" t="s">
        <v>943</v>
      </c>
      <c r="BQ14" s="12" t="s">
        <v>944</v>
      </c>
      <c r="BR14" s="12" t="s">
        <v>624</v>
      </c>
      <c r="BS14" s="12" t="s">
        <v>945</v>
      </c>
      <c r="BT14" s="12" t="s">
        <v>946</v>
      </c>
      <c r="BU14" s="12" t="s">
        <v>947</v>
      </c>
      <c r="BV14" s="12" t="s">
        <v>948</v>
      </c>
      <c r="BW14" s="12" t="s">
        <v>949</v>
      </c>
      <c r="BX14" s="12" t="s">
        <v>950</v>
      </c>
      <c r="BY14" s="12" t="s">
        <v>951</v>
      </c>
      <c r="BZ14" s="12" t="s">
        <v>952</v>
      </c>
      <c r="CA14" s="12" t="s">
        <v>953</v>
      </c>
      <c r="CB14" s="12" t="s">
        <v>849</v>
      </c>
      <c r="CC14" s="12" t="s">
        <v>954</v>
      </c>
      <c r="CD14" s="12" t="s">
        <v>955</v>
      </c>
      <c r="CE14" s="12" t="s">
        <v>956</v>
      </c>
      <c r="CF14" s="12" t="s">
        <v>957</v>
      </c>
      <c r="CG14" s="12" t="s">
        <v>958</v>
      </c>
      <c r="CH14" s="12" t="s">
        <v>959</v>
      </c>
      <c r="CI14" s="12" t="s">
        <v>960</v>
      </c>
      <c r="CJ14" s="12" t="s">
        <v>961</v>
      </c>
      <c r="CK14" s="12" t="s">
        <v>962</v>
      </c>
      <c r="CL14" s="12" t="s">
        <v>963</v>
      </c>
      <c r="CM14" s="12" t="s">
        <v>964</v>
      </c>
      <c r="CN14" s="12" t="s">
        <v>965</v>
      </c>
      <c r="CO14" s="12" t="s">
        <v>966</v>
      </c>
      <c r="CP14" s="12" t="s">
        <v>966</v>
      </c>
      <c r="CQ14" s="12" t="s">
        <v>967</v>
      </c>
      <c r="CR14" s="12" t="s">
        <v>967</v>
      </c>
      <c r="CS14" s="12" t="s">
        <v>633</v>
      </c>
      <c r="CT14" s="12" t="s">
        <v>633</v>
      </c>
    </row>
    <row r="15" spans="1:98" hidden="1" x14ac:dyDescent="0.3">
      <c r="A15" s="12" t="s">
        <v>968</v>
      </c>
      <c r="B15" s="12" t="s">
        <v>866</v>
      </c>
      <c r="C15" s="12" t="s">
        <v>969</v>
      </c>
      <c r="D15" s="12" t="s">
        <v>970</v>
      </c>
      <c r="E15" s="12" t="s">
        <v>596</v>
      </c>
      <c r="F15" s="12" t="s">
        <v>596</v>
      </c>
      <c r="G15" s="12" t="s">
        <v>596</v>
      </c>
      <c r="H15" s="12" t="s">
        <v>596</v>
      </c>
      <c r="I15" s="12" t="s">
        <v>596</v>
      </c>
      <c r="J15" s="12" t="s">
        <v>596</v>
      </c>
      <c r="K15" s="12" t="s">
        <v>596</v>
      </c>
      <c r="L15" s="12" t="s">
        <v>596</v>
      </c>
      <c r="M15" s="12" t="s">
        <v>596</v>
      </c>
      <c r="N15" s="12" t="s">
        <v>596</v>
      </c>
      <c r="O15" s="12" t="s">
        <v>597</v>
      </c>
      <c r="P15" s="12" t="s">
        <v>641</v>
      </c>
      <c r="Q15" s="12" t="s">
        <v>641</v>
      </c>
      <c r="R15" s="12" t="s">
        <v>641</v>
      </c>
      <c r="S15" s="12" t="s">
        <v>641</v>
      </c>
      <c r="T15" s="12" t="s">
        <v>641</v>
      </c>
      <c r="U15" s="12" t="s">
        <v>641</v>
      </c>
      <c r="V15" s="12" t="s">
        <v>641</v>
      </c>
      <c r="W15" s="12" t="s">
        <v>641</v>
      </c>
      <c r="X15" s="12" t="s">
        <v>641</v>
      </c>
      <c r="Y15" s="12" t="s">
        <v>641</v>
      </c>
      <c r="Z15" s="12" t="s">
        <v>641</v>
      </c>
      <c r="AA15" s="12" t="s">
        <v>641</v>
      </c>
      <c r="AB15" s="12" t="s">
        <v>641</v>
      </c>
      <c r="AC15" s="12" t="s">
        <v>641</v>
      </c>
      <c r="AD15" s="12" t="s">
        <v>641</v>
      </c>
      <c r="AE15" s="12" t="s">
        <v>641</v>
      </c>
      <c r="AF15" s="12" t="s">
        <v>641</v>
      </c>
      <c r="AG15" s="12" t="s">
        <v>641</v>
      </c>
      <c r="AH15" s="12" t="s">
        <v>641</v>
      </c>
      <c r="AI15" s="12" t="s">
        <v>641</v>
      </c>
      <c r="AJ15" s="12" t="s">
        <v>641</v>
      </c>
      <c r="AK15" s="12" t="s">
        <v>641</v>
      </c>
      <c r="AL15" s="12" t="s">
        <v>641</v>
      </c>
      <c r="AM15" s="12" t="s">
        <v>641</v>
      </c>
      <c r="AN15" s="12" t="s">
        <v>641</v>
      </c>
      <c r="AO15" s="12" t="s">
        <v>641</v>
      </c>
      <c r="AP15" s="12" t="s">
        <v>641</v>
      </c>
      <c r="AQ15" s="12" t="s">
        <v>690</v>
      </c>
      <c r="AR15" s="12" t="s">
        <v>690</v>
      </c>
      <c r="AS15" s="12" t="s">
        <v>690</v>
      </c>
      <c r="AT15" s="12" t="s">
        <v>690</v>
      </c>
      <c r="AU15" s="12" t="s">
        <v>599</v>
      </c>
      <c r="AV15" s="12" t="s">
        <v>599</v>
      </c>
      <c r="AW15" s="12" t="s">
        <v>600</v>
      </c>
      <c r="AX15" s="12" t="s">
        <v>600</v>
      </c>
      <c r="AY15" s="12" t="s">
        <v>600</v>
      </c>
      <c r="AZ15" s="12" t="s">
        <v>600</v>
      </c>
      <c r="BA15" s="12" t="s">
        <v>600</v>
      </c>
      <c r="BB15" s="12" t="s">
        <v>779</v>
      </c>
      <c r="BC15" s="12" t="s">
        <v>779</v>
      </c>
      <c r="BD15" s="12" t="s">
        <v>602</v>
      </c>
      <c r="BE15" s="12" t="s">
        <v>692</v>
      </c>
      <c r="BF15" s="12" t="s">
        <v>693</v>
      </c>
      <c r="BG15" s="12" t="s">
        <v>971</v>
      </c>
      <c r="BH15" s="12" t="s">
        <v>971</v>
      </c>
      <c r="BI15" s="12" t="s">
        <v>695</v>
      </c>
      <c r="BJ15" s="12" t="s">
        <v>647</v>
      </c>
      <c r="BK15" s="12" t="s">
        <v>972</v>
      </c>
      <c r="BL15" s="12" t="s">
        <v>973</v>
      </c>
      <c r="BM15" s="12" t="s">
        <v>879</v>
      </c>
      <c r="BN15" s="12" t="s">
        <v>891</v>
      </c>
      <c r="BO15" s="12" t="s">
        <v>612</v>
      </c>
      <c r="BP15" s="12" t="s">
        <v>612</v>
      </c>
      <c r="BQ15" s="12" t="s">
        <v>833</v>
      </c>
      <c r="BR15" s="12" t="s">
        <v>974</v>
      </c>
      <c r="BS15" s="12" t="s">
        <v>975</v>
      </c>
      <c r="BT15" s="12" t="s">
        <v>617</v>
      </c>
      <c r="BU15" s="12" t="s">
        <v>976</v>
      </c>
      <c r="BV15" s="12" t="s">
        <v>977</v>
      </c>
      <c r="BW15" s="12" t="s">
        <v>619</v>
      </c>
      <c r="BX15" s="12" t="s">
        <v>619</v>
      </c>
      <c r="BY15" s="12" t="s">
        <v>978</v>
      </c>
      <c r="BZ15" s="12" t="s">
        <v>838</v>
      </c>
      <c r="CA15" s="12" t="s">
        <v>838</v>
      </c>
      <c r="CB15" s="12" t="s">
        <v>979</v>
      </c>
      <c r="CC15" s="12" t="s">
        <v>979</v>
      </c>
      <c r="CD15" s="12" t="s">
        <v>980</v>
      </c>
      <c r="CE15" s="12" t="s">
        <v>981</v>
      </c>
      <c r="CF15" s="12" t="s">
        <v>751</v>
      </c>
      <c r="CG15" s="12" t="s">
        <v>982</v>
      </c>
      <c r="CH15" s="12" t="s">
        <v>982</v>
      </c>
      <c r="CI15" s="12" t="s">
        <v>982</v>
      </c>
      <c r="CJ15" s="12" t="s">
        <v>673</v>
      </c>
      <c r="CK15" s="12" t="s">
        <v>673</v>
      </c>
      <c r="CL15" s="12" t="s">
        <v>673</v>
      </c>
      <c r="CM15" s="12" t="s">
        <v>983</v>
      </c>
      <c r="CN15" s="12" t="s">
        <v>983</v>
      </c>
      <c r="CO15" s="12" t="s">
        <v>983</v>
      </c>
      <c r="CP15" s="12" t="s">
        <v>983</v>
      </c>
      <c r="CQ15" s="12" t="s">
        <v>984</v>
      </c>
      <c r="CR15" s="12" t="s">
        <v>985</v>
      </c>
      <c r="CS15" s="12" t="s">
        <v>985</v>
      </c>
      <c r="CT15" s="12" t="s">
        <v>985</v>
      </c>
    </row>
    <row r="16" spans="1:98" hidden="1" x14ac:dyDescent="0.3">
      <c r="A16" s="12" t="s">
        <v>986</v>
      </c>
      <c r="B16" s="12" t="s">
        <v>866</v>
      </c>
      <c r="C16" s="12" t="s">
        <v>987</v>
      </c>
      <c r="D16" s="12" t="s">
        <v>988</v>
      </c>
      <c r="E16" s="12" t="s">
        <v>596</v>
      </c>
      <c r="F16" s="12" t="s">
        <v>596</v>
      </c>
      <c r="G16" s="12" t="s">
        <v>596</v>
      </c>
      <c r="H16" s="12" t="s">
        <v>596</v>
      </c>
      <c r="I16" s="12" t="s">
        <v>596</v>
      </c>
      <c r="J16" s="12" t="s">
        <v>596</v>
      </c>
      <c r="K16" s="12" t="s">
        <v>596</v>
      </c>
      <c r="L16" s="12" t="s">
        <v>596</v>
      </c>
      <c r="M16" s="12" t="s">
        <v>596</v>
      </c>
      <c r="N16" s="12" t="s">
        <v>596</v>
      </c>
      <c r="O16" s="12" t="s">
        <v>596</v>
      </c>
      <c r="P16" s="12" t="s">
        <v>596</v>
      </c>
      <c r="Q16" s="12" t="s">
        <v>596</v>
      </c>
      <c r="R16" s="12" t="s">
        <v>596</v>
      </c>
      <c r="S16" s="12" t="s">
        <v>596</v>
      </c>
      <c r="T16" s="12" t="s">
        <v>596</v>
      </c>
      <c r="U16" s="12" t="s">
        <v>596</v>
      </c>
      <c r="V16" s="12" t="s">
        <v>596</v>
      </c>
      <c r="W16" s="12" t="s">
        <v>596</v>
      </c>
      <c r="X16" s="12" t="s">
        <v>596</v>
      </c>
      <c r="Y16" s="12" t="s">
        <v>596</v>
      </c>
      <c r="Z16" s="12" t="s">
        <v>596</v>
      </c>
      <c r="AA16" s="12" t="s">
        <v>596</v>
      </c>
      <c r="AB16" s="12" t="s">
        <v>596</v>
      </c>
      <c r="AC16" s="12" t="s">
        <v>596</v>
      </c>
      <c r="AD16" s="12" t="s">
        <v>596</v>
      </c>
      <c r="AE16" s="12" t="s">
        <v>596</v>
      </c>
      <c r="AF16" s="12" t="s">
        <v>596</v>
      </c>
      <c r="AG16" s="12" t="s">
        <v>596</v>
      </c>
      <c r="AH16" s="12" t="s">
        <v>596</v>
      </c>
      <c r="AI16" s="12" t="s">
        <v>596</v>
      </c>
      <c r="AJ16" s="12" t="s">
        <v>596</v>
      </c>
      <c r="AK16" s="12" t="s">
        <v>596</v>
      </c>
      <c r="AL16" s="12" t="s">
        <v>596</v>
      </c>
      <c r="AM16" s="12" t="s">
        <v>596</v>
      </c>
      <c r="AN16" s="12" t="s">
        <v>596</v>
      </c>
      <c r="AO16" s="12" t="s">
        <v>596</v>
      </c>
      <c r="AP16" s="12" t="s">
        <v>596</v>
      </c>
      <c r="AQ16" s="12" t="s">
        <v>596</v>
      </c>
      <c r="AR16" s="12" t="s">
        <v>596</v>
      </c>
      <c r="AS16" s="12" t="s">
        <v>597</v>
      </c>
      <c r="AT16" s="12" t="s">
        <v>597</v>
      </c>
      <c r="AU16" s="12" t="s">
        <v>597</v>
      </c>
      <c r="AV16" s="12" t="s">
        <v>597</v>
      </c>
      <c r="AW16" s="12" t="s">
        <v>597</v>
      </c>
      <c r="AX16" s="12" t="s">
        <v>597</v>
      </c>
      <c r="AY16" s="12" t="s">
        <v>641</v>
      </c>
      <c r="AZ16" s="12" t="s">
        <v>641</v>
      </c>
      <c r="BA16" s="12" t="s">
        <v>641</v>
      </c>
      <c r="BB16" s="12" t="s">
        <v>690</v>
      </c>
      <c r="BC16" s="12" t="s">
        <v>690</v>
      </c>
      <c r="BD16" s="12" t="s">
        <v>599</v>
      </c>
      <c r="BE16" s="12" t="s">
        <v>599</v>
      </c>
      <c r="BF16" s="12" t="s">
        <v>869</v>
      </c>
      <c r="BG16" s="12" t="s">
        <v>600</v>
      </c>
      <c r="BH16" s="12" t="s">
        <v>600</v>
      </c>
      <c r="BI16" s="12" t="s">
        <v>642</v>
      </c>
      <c r="BJ16" s="12" t="s">
        <v>642</v>
      </c>
      <c r="BK16" s="12" t="s">
        <v>642</v>
      </c>
      <c r="BL16" s="12" t="s">
        <v>602</v>
      </c>
      <c r="BM16" s="12" t="s">
        <v>604</v>
      </c>
      <c r="BN16" s="12" t="s">
        <v>887</v>
      </c>
      <c r="BO16" s="12" t="s">
        <v>887</v>
      </c>
      <c r="BP16" s="12" t="s">
        <v>989</v>
      </c>
      <c r="BQ16" s="12" t="s">
        <v>990</v>
      </c>
      <c r="BR16" s="12" t="s">
        <v>990</v>
      </c>
      <c r="BS16" s="12" t="s">
        <v>871</v>
      </c>
      <c r="BT16" s="12" t="s">
        <v>991</v>
      </c>
      <c r="BU16" s="12" t="s">
        <v>991</v>
      </c>
      <c r="BV16" s="12" t="s">
        <v>992</v>
      </c>
      <c r="BW16" s="12" t="s">
        <v>992</v>
      </c>
      <c r="BX16" s="12" t="s">
        <v>993</v>
      </c>
      <c r="BY16" s="12" t="s">
        <v>607</v>
      </c>
      <c r="BZ16" s="12" t="s">
        <v>874</v>
      </c>
      <c r="CA16" s="12" t="s">
        <v>994</v>
      </c>
      <c r="CB16" s="12" t="s">
        <v>995</v>
      </c>
      <c r="CC16" s="12" t="s">
        <v>654</v>
      </c>
      <c r="CD16" s="12" t="s">
        <v>996</v>
      </c>
      <c r="CE16" s="12" t="s">
        <v>997</v>
      </c>
      <c r="CF16" s="12" t="s">
        <v>998</v>
      </c>
      <c r="CG16" s="12" t="s">
        <v>741</v>
      </c>
      <c r="CH16" s="12" t="s">
        <v>741</v>
      </c>
      <c r="CI16" s="12" t="s">
        <v>938</v>
      </c>
      <c r="CJ16" s="12" t="s">
        <v>999</v>
      </c>
      <c r="CK16" s="12" t="s">
        <v>999</v>
      </c>
      <c r="CL16" s="12" t="s">
        <v>1000</v>
      </c>
      <c r="CM16" s="12" t="s">
        <v>1001</v>
      </c>
      <c r="CN16" s="12" t="s">
        <v>743</v>
      </c>
      <c r="CO16" s="12" t="s">
        <v>1002</v>
      </c>
      <c r="CP16" s="12" t="s">
        <v>1003</v>
      </c>
      <c r="CQ16" s="12" t="s">
        <v>702</v>
      </c>
      <c r="CR16" s="12" t="s">
        <v>1004</v>
      </c>
      <c r="CS16" s="12" t="s">
        <v>1005</v>
      </c>
      <c r="CT16" s="12" t="s">
        <v>1005</v>
      </c>
    </row>
    <row r="17" spans="1:98" hidden="1" x14ac:dyDescent="0.3">
      <c r="A17" s="12" t="s">
        <v>1006</v>
      </c>
      <c r="B17" s="12" t="s">
        <v>866</v>
      </c>
      <c r="C17" s="12" t="s">
        <v>1007</v>
      </c>
      <c r="D17" s="12" t="s">
        <v>1008</v>
      </c>
      <c r="E17" s="12" t="s">
        <v>596</v>
      </c>
      <c r="F17" s="12" t="s">
        <v>596</v>
      </c>
      <c r="G17" s="12" t="s">
        <v>596</v>
      </c>
      <c r="H17" s="12" t="s">
        <v>596</v>
      </c>
      <c r="I17" s="12" t="s">
        <v>597</v>
      </c>
      <c r="J17" s="12" t="s">
        <v>597</v>
      </c>
      <c r="K17" s="12" t="s">
        <v>597</v>
      </c>
      <c r="L17" s="12" t="s">
        <v>597</v>
      </c>
      <c r="M17" s="12" t="s">
        <v>641</v>
      </c>
      <c r="N17" s="12" t="s">
        <v>690</v>
      </c>
      <c r="O17" s="12" t="s">
        <v>598</v>
      </c>
      <c r="P17" s="12" t="s">
        <v>598</v>
      </c>
      <c r="Q17" s="12" t="s">
        <v>598</v>
      </c>
      <c r="R17" s="12" t="s">
        <v>598</v>
      </c>
      <c r="S17" s="12" t="s">
        <v>598</v>
      </c>
      <c r="T17" s="12" t="s">
        <v>598</v>
      </c>
      <c r="U17" s="12" t="s">
        <v>598</v>
      </c>
      <c r="V17" s="12" t="s">
        <v>598</v>
      </c>
      <c r="W17" s="12" t="s">
        <v>598</v>
      </c>
      <c r="X17" s="12" t="s">
        <v>598</v>
      </c>
      <c r="Y17" s="12" t="s">
        <v>598</v>
      </c>
      <c r="Z17" s="12" t="s">
        <v>598</v>
      </c>
      <c r="AA17" s="12" t="s">
        <v>598</v>
      </c>
      <c r="AB17" s="12" t="s">
        <v>598</v>
      </c>
      <c r="AC17" s="12" t="s">
        <v>598</v>
      </c>
      <c r="AD17" s="12" t="s">
        <v>598</v>
      </c>
      <c r="AE17" s="12" t="s">
        <v>598</v>
      </c>
      <c r="AF17" s="12" t="s">
        <v>598</v>
      </c>
      <c r="AG17" s="12" t="s">
        <v>598</v>
      </c>
      <c r="AH17" s="12" t="s">
        <v>598</v>
      </c>
      <c r="AI17" s="12" t="s">
        <v>598</v>
      </c>
      <c r="AJ17" s="12" t="s">
        <v>598</v>
      </c>
      <c r="AK17" s="12" t="s">
        <v>598</v>
      </c>
      <c r="AL17" s="12" t="s">
        <v>598</v>
      </c>
      <c r="AM17" s="12" t="s">
        <v>598</v>
      </c>
      <c r="AN17" s="12" t="s">
        <v>598</v>
      </c>
      <c r="AO17" s="12" t="s">
        <v>598</v>
      </c>
      <c r="AP17" s="12" t="s">
        <v>598</v>
      </c>
      <c r="AQ17" s="12" t="s">
        <v>600</v>
      </c>
      <c r="AR17" s="12" t="s">
        <v>600</v>
      </c>
      <c r="AS17" s="12" t="s">
        <v>779</v>
      </c>
      <c r="AT17" s="12" t="s">
        <v>779</v>
      </c>
      <c r="AU17" s="12" t="s">
        <v>642</v>
      </c>
      <c r="AV17" s="12" t="s">
        <v>642</v>
      </c>
      <c r="AW17" s="12" t="s">
        <v>642</v>
      </c>
      <c r="AX17" s="12" t="s">
        <v>601</v>
      </c>
      <c r="AY17" s="12" t="s">
        <v>601</v>
      </c>
      <c r="AZ17" s="12" t="s">
        <v>780</v>
      </c>
      <c r="BA17" s="12" t="s">
        <v>826</v>
      </c>
      <c r="BB17" s="12" t="s">
        <v>603</v>
      </c>
      <c r="BC17" s="12" t="s">
        <v>603</v>
      </c>
      <c r="BD17" s="12" t="s">
        <v>989</v>
      </c>
      <c r="BE17" s="12" t="s">
        <v>1009</v>
      </c>
      <c r="BF17" s="12" t="s">
        <v>1010</v>
      </c>
      <c r="BG17" s="12" t="s">
        <v>872</v>
      </c>
      <c r="BH17" s="12" t="s">
        <v>609</v>
      </c>
      <c r="BI17" s="12" t="s">
        <v>1011</v>
      </c>
      <c r="BJ17" s="12" t="s">
        <v>1011</v>
      </c>
      <c r="BK17" s="12" t="s">
        <v>1011</v>
      </c>
      <c r="BL17" s="12" t="s">
        <v>1012</v>
      </c>
      <c r="BM17" s="12" t="s">
        <v>1013</v>
      </c>
      <c r="BN17" s="12" t="s">
        <v>1013</v>
      </c>
      <c r="BO17" s="12" t="s">
        <v>979</v>
      </c>
      <c r="BP17" s="12" t="s">
        <v>753</v>
      </c>
      <c r="BQ17" s="12" t="s">
        <v>1014</v>
      </c>
      <c r="BR17" s="12" t="s">
        <v>1015</v>
      </c>
      <c r="BS17" s="12" t="s">
        <v>1016</v>
      </c>
      <c r="BT17" s="12" t="s">
        <v>1017</v>
      </c>
      <c r="BU17" s="12" t="s">
        <v>1018</v>
      </c>
      <c r="BV17" s="12" t="s">
        <v>1019</v>
      </c>
      <c r="BW17" s="12" t="s">
        <v>1020</v>
      </c>
      <c r="BX17" s="12" t="s">
        <v>1021</v>
      </c>
      <c r="BY17" s="12" t="s">
        <v>1022</v>
      </c>
      <c r="BZ17" s="12" t="s">
        <v>1023</v>
      </c>
      <c r="CA17" s="12" t="s">
        <v>1024</v>
      </c>
      <c r="CB17" s="12" t="s">
        <v>1025</v>
      </c>
      <c r="CC17" s="12" t="s">
        <v>1026</v>
      </c>
      <c r="CD17" s="12" t="s">
        <v>1027</v>
      </c>
      <c r="CE17" s="12" t="s">
        <v>1028</v>
      </c>
      <c r="CF17" s="12" t="s">
        <v>1029</v>
      </c>
      <c r="CG17" s="12" t="s">
        <v>803</v>
      </c>
      <c r="CH17" s="12" t="s">
        <v>1030</v>
      </c>
      <c r="CI17" s="12" t="s">
        <v>1031</v>
      </c>
      <c r="CJ17" s="12" t="s">
        <v>859</v>
      </c>
      <c r="CK17" s="12" t="s">
        <v>1032</v>
      </c>
      <c r="CL17" s="12" t="s">
        <v>1032</v>
      </c>
      <c r="CM17" s="12" t="s">
        <v>1033</v>
      </c>
      <c r="CN17" s="12" t="s">
        <v>1034</v>
      </c>
      <c r="CO17" s="12" t="s">
        <v>1035</v>
      </c>
      <c r="CP17" s="12" t="s">
        <v>1036</v>
      </c>
      <c r="CQ17" s="12" t="s">
        <v>1037</v>
      </c>
      <c r="CR17" s="12" t="s">
        <v>1037</v>
      </c>
      <c r="CS17" s="12" t="s">
        <v>1038</v>
      </c>
      <c r="CT17" s="12" t="s">
        <v>1039</v>
      </c>
    </row>
    <row r="18" spans="1:98" hidden="1" x14ac:dyDescent="0.3">
      <c r="A18" s="12" t="s">
        <v>1040</v>
      </c>
      <c r="B18" s="12" t="s">
        <v>866</v>
      </c>
      <c r="C18" s="12" t="s">
        <v>1041</v>
      </c>
      <c r="D18" s="12" t="s">
        <v>1042</v>
      </c>
      <c r="E18" s="12" t="s">
        <v>596</v>
      </c>
      <c r="F18" s="12" t="s">
        <v>596</v>
      </c>
      <c r="G18" s="12" t="s">
        <v>596</v>
      </c>
      <c r="H18" s="12" t="s">
        <v>596</v>
      </c>
      <c r="I18" s="12" t="s">
        <v>596</v>
      </c>
      <c r="J18" s="12" t="s">
        <v>596</v>
      </c>
      <c r="K18" s="12" t="s">
        <v>596</v>
      </c>
      <c r="L18" s="12" t="s">
        <v>596</v>
      </c>
      <c r="M18" s="12" t="s">
        <v>596</v>
      </c>
      <c r="N18" s="12" t="s">
        <v>596</v>
      </c>
      <c r="O18" s="12" t="s">
        <v>596</v>
      </c>
      <c r="P18" s="12" t="s">
        <v>596</v>
      </c>
      <c r="Q18" s="12" t="s">
        <v>596</v>
      </c>
      <c r="R18" s="12" t="s">
        <v>596</v>
      </c>
      <c r="S18" s="12" t="s">
        <v>596</v>
      </c>
      <c r="T18" s="12" t="s">
        <v>596</v>
      </c>
      <c r="U18" s="12" t="s">
        <v>596</v>
      </c>
      <c r="V18" s="12" t="s">
        <v>596</v>
      </c>
      <c r="W18" s="12" t="s">
        <v>596</v>
      </c>
      <c r="X18" s="12" t="s">
        <v>596</v>
      </c>
      <c r="Y18" s="12" t="s">
        <v>596</v>
      </c>
      <c r="Z18" s="12" t="s">
        <v>596</v>
      </c>
      <c r="AA18" s="12" t="s">
        <v>596</v>
      </c>
      <c r="AB18" s="12" t="s">
        <v>596</v>
      </c>
      <c r="AC18" s="12" t="s">
        <v>596</v>
      </c>
      <c r="AD18" s="12" t="s">
        <v>596</v>
      </c>
      <c r="AE18" s="12" t="s">
        <v>596</v>
      </c>
      <c r="AF18" s="12" t="s">
        <v>596</v>
      </c>
      <c r="AG18" s="12" t="s">
        <v>596</v>
      </c>
      <c r="AH18" s="12" t="s">
        <v>596</v>
      </c>
      <c r="AI18" s="12" t="s">
        <v>596</v>
      </c>
      <c r="AJ18" s="12" t="s">
        <v>596</v>
      </c>
      <c r="AK18" s="12" t="s">
        <v>596</v>
      </c>
      <c r="AL18" s="12" t="s">
        <v>596</v>
      </c>
      <c r="AM18" s="12" t="s">
        <v>596</v>
      </c>
      <c r="AN18" s="12" t="s">
        <v>596</v>
      </c>
      <c r="AO18" s="12" t="s">
        <v>596</v>
      </c>
      <c r="AP18" s="12" t="s">
        <v>596</v>
      </c>
      <c r="AQ18" s="12" t="s">
        <v>641</v>
      </c>
      <c r="AR18" s="12" t="s">
        <v>641</v>
      </c>
      <c r="AS18" s="12" t="s">
        <v>641</v>
      </c>
      <c r="AT18" s="12" t="s">
        <v>641</v>
      </c>
      <c r="AU18" s="12" t="s">
        <v>641</v>
      </c>
      <c r="AV18" s="12" t="s">
        <v>690</v>
      </c>
      <c r="AW18" s="12" t="s">
        <v>690</v>
      </c>
      <c r="AX18" s="12" t="s">
        <v>690</v>
      </c>
      <c r="AY18" s="12" t="s">
        <v>690</v>
      </c>
      <c r="AZ18" s="12" t="s">
        <v>598</v>
      </c>
      <c r="BA18" s="12" t="s">
        <v>869</v>
      </c>
      <c r="BB18" s="12" t="s">
        <v>779</v>
      </c>
      <c r="BC18" s="12" t="s">
        <v>779</v>
      </c>
      <c r="BD18" s="12" t="s">
        <v>774</v>
      </c>
      <c r="BE18" s="12" t="s">
        <v>691</v>
      </c>
      <c r="BF18" s="12" t="s">
        <v>691</v>
      </c>
      <c r="BG18" s="12" t="s">
        <v>887</v>
      </c>
      <c r="BH18" s="12" t="s">
        <v>784</v>
      </c>
      <c r="BI18" s="12" t="s">
        <v>935</v>
      </c>
      <c r="BJ18" s="12" t="s">
        <v>827</v>
      </c>
      <c r="BK18" s="12" t="s">
        <v>651</v>
      </c>
      <c r="BL18" s="12" t="s">
        <v>700</v>
      </c>
      <c r="BM18" s="12" t="s">
        <v>611</v>
      </c>
      <c r="BN18" s="12" t="s">
        <v>1043</v>
      </c>
      <c r="BO18" s="12" t="s">
        <v>1044</v>
      </c>
      <c r="BP18" s="12" t="s">
        <v>1044</v>
      </c>
      <c r="BQ18" s="12" t="s">
        <v>1045</v>
      </c>
      <c r="BR18" s="12" t="s">
        <v>1045</v>
      </c>
      <c r="BS18" s="12" t="s">
        <v>1046</v>
      </c>
      <c r="BT18" s="12" t="s">
        <v>1047</v>
      </c>
      <c r="BU18" s="12" t="s">
        <v>1013</v>
      </c>
      <c r="BV18" s="12" t="s">
        <v>1048</v>
      </c>
      <c r="BW18" s="12" t="s">
        <v>1049</v>
      </c>
      <c r="BX18" s="12" t="s">
        <v>670</v>
      </c>
      <c r="BY18" s="12" t="s">
        <v>670</v>
      </c>
      <c r="BZ18" s="12" t="s">
        <v>896</v>
      </c>
      <c r="CA18" s="12" t="s">
        <v>1050</v>
      </c>
      <c r="CB18" s="12" t="s">
        <v>1051</v>
      </c>
      <c r="CC18" s="12" t="s">
        <v>1051</v>
      </c>
      <c r="CD18" s="12" t="s">
        <v>1052</v>
      </c>
      <c r="CE18" s="12" t="s">
        <v>1053</v>
      </c>
      <c r="CF18" s="12" t="s">
        <v>1054</v>
      </c>
      <c r="CG18" s="12" t="s">
        <v>1055</v>
      </c>
      <c r="CH18" s="12" t="s">
        <v>1055</v>
      </c>
      <c r="CI18" s="12" t="s">
        <v>1056</v>
      </c>
      <c r="CJ18" s="12" t="s">
        <v>1057</v>
      </c>
      <c r="CK18" s="12" t="s">
        <v>1057</v>
      </c>
      <c r="CL18" s="12" t="s">
        <v>841</v>
      </c>
      <c r="CM18" s="12" t="s">
        <v>1058</v>
      </c>
      <c r="CN18" s="12" t="s">
        <v>1059</v>
      </c>
      <c r="CO18" s="12" t="s">
        <v>756</v>
      </c>
      <c r="CP18" s="12" t="s">
        <v>756</v>
      </c>
      <c r="CQ18" s="12" t="s">
        <v>1060</v>
      </c>
      <c r="CR18" s="12" t="s">
        <v>1060</v>
      </c>
      <c r="CS18" s="12" t="s">
        <v>1060</v>
      </c>
      <c r="CT18" s="12" t="s">
        <v>680</v>
      </c>
    </row>
    <row r="19" spans="1:98" hidden="1" x14ac:dyDescent="0.3">
      <c r="A19" s="12" t="s">
        <v>25</v>
      </c>
      <c r="B19" s="12" t="s">
        <v>1061</v>
      </c>
      <c r="C19" s="12" t="s">
        <v>1062</v>
      </c>
      <c r="D19" s="12" t="s">
        <v>1063</v>
      </c>
      <c r="E19" s="12" t="s">
        <v>596</v>
      </c>
      <c r="F19" s="12" t="s">
        <v>596</v>
      </c>
      <c r="G19" s="12" t="s">
        <v>596</v>
      </c>
      <c r="H19" s="12" t="s">
        <v>596</v>
      </c>
      <c r="I19" s="12" t="s">
        <v>596</v>
      </c>
      <c r="J19" s="12" t="s">
        <v>596</v>
      </c>
      <c r="K19" s="12" t="s">
        <v>596</v>
      </c>
      <c r="L19" s="12" t="s">
        <v>596</v>
      </c>
      <c r="M19" s="12" t="s">
        <v>596</v>
      </c>
      <c r="N19" s="12" t="s">
        <v>596</v>
      </c>
      <c r="O19" s="12" t="s">
        <v>596</v>
      </c>
      <c r="P19" s="12" t="s">
        <v>596</v>
      </c>
      <c r="Q19" s="12" t="s">
        <v>596</v>
      </c>
      <c r="R19" s="12" t="s">
        <v>596</v>
      </c>
      <c r="S19" s="12" t="s">
        <v>596</v>
      </c>
      <c r="T19" s="12" t="s">
        <v>596</v>
      </c>
      <c r="U19" s="12" t="s">
        <v>596</v>
      </c>
      <c r="V19" s="12" t="s">
        <v>596</v>
      </c>
      <c r="W19" s="12" t="s">
        <v>596</v>
      </c>
      <c r="X19" s="12" t="s">
        <v>596</v>
      </c>
      <c r="Y19" s="12" t="s">
        <v>596</v>
      </c>
      <c r="Z19" s="12" t="s">
        <v>596</v>
      </c>
      <c r="AA19" s="12" t="s">
        <v>596</v>
      </c>
      <c r="AB19" s="12" t="s">
        <v>596</v>
      </c>
      <c r="AC19" s="12" t="s">
        <v>596</v>
      </c>
      <c r="AD19" s="12" t="s">
        <v>596</v>
      </c>
      <c r="AE19" s="12" t="s">
        <v>596</v>
      </c>
      <c r="AF19" s="12" t="s">
        <v>596</v>
      </c>
      <c r="AG19" s="12" t="s">
        <v>596</v>
      </c>
      <c r="AH19" s="12" t="s">
        <v>596</v>
      </c>
      <c r="AI19" s="12" t="s">
        <v>596</v>
      </c>
      <c r="AJ19" s="12" t="s">
        <v>596</v>
      </c>
      <c r="AK19" s="12" t="s">
        <v>596</v>
      </c>
      <c r="AL19" s="12" t="s">
        <v>596</v>
      </c>
      <c r="AM19" s="12" t="s">
        <v>641</v>
      </c>
      <c r="AN19" s="12" t="s">
        <v>641</v>
      </c>
      <c r="AO19" s="12" t="s">
        <v>690</v>
      </c>
      <c r="AP19" s="12" t="s">
        <v>690</v>
      </c>
      <c r="AQ19" s="12" t="s">
        <v>779</v>
      </c>
      <c r="AR19" s="12" t="s">
        <v>774</v>
      </c>
      <c r="AS19" s="12" t="s">
        <v>826</v>
      </c>
      <c r="AT19" s="12" t="s">
        <v>603</v>
      </c>
      <c r="AU19" s="12" t="s">
        <v>971</v>
      </c>
      <c r="AV19" s="12" t="s">
        <v>1064</v>
      </c>
      <c r="AW19" s="12" t="s">
        <v>649</v>
      </c>
      <c r="AX19" s="12" t="s">
        <v>789</v>
      </c>
      <c r="AY19" s="12" t="s">
        <v>655</v>
      </c>
      <c r="AZ19" s="12" t="s">
        <v>1065</v>
      </c>
      <c r="BA19" s="12" t="s">
        <v>1066</v>
      </c>
      <c r="BB19" s="12" t="s">
        <v>1067</v>
      </c>
      <c r="BC19" s="12" t="s">
        <v>705</v>
      </c>
      <c r="BD19" s="12" t="s">
        <v>1068</v>
      </c>
      <c r="BE19" s="12" t="s">
        <v>1069</v>
      </c>
      <c r="BF19" s="12" t="s">
        <v>1070</v>
      </c>
      <c r="BG19" s="12" t="s">
        <v>1071</v>
      </c>
      <c r="BH19" s="12" t="s">
        <v>1072</v>
      </c>
      <c r="BI19" s="12" t="s">
        <v>1073</v>
      </c>
      <c r="BJ19" s="12" t="s">
        <v>1074</v>
      </c>
      <c r="BK19" s="12" t="s">
        <v>1075</v>
      </c>
      <c r="BL19" s="12" t="s">
        <v>1076</v>
      </c>
      <c r="BM19" s="12" t="s">
        <v>1077</v>
      </c>
      <c r="BN19" s="12" t="s">
        <v>1078</v>
      </c>
      <c r="BO19" s="12" t="s">
        <v>1079</v>
      </c>
      <c r="BP19" s="12" t="s">
        <v>1080</v>
      </c>
      <c r="BQ19" s="12" t="s">
        <v>1081</v>
      </c>
      <c r="BR19" s="12" t="s">
        <v>1082</v>
      </c>
      <c r="BS19" s="12" t="s">
        <v>1083</v>
      </c>
      <c r="BT19" s="12" t="s">
        <v>1084</v>
      </c>
      <c r="BU19" s="12" t="s">
        <v>1085</v>
      </c>
      <c r="BV19" s="12" t="s">
        <v>1086</v>
      </c>
      <c r="BW19" s="12" t="s">
        <v>1087</v>
      </c>
      <c r="BX19" s="12" t="s">
        <v>1088</v>
      </c>
      <c r="BY19" s="12" t="s">
        <v>1089</v>
      </c>
      <c r="BZ19" s="12" t="s">
        <v>1090</v>
      </c>
      <c r="CA19" s="12" t="s">
        <v>1091</v>
      </c>
      <c r="CB19" s="12" t="s">
        <v>1092</v>
      </c>
      <c r="CC19" s="12" t="s">
        <v>1093</v>
      </c>
      <c r="CD19" s="12" t="s">
        <v>1094</v>
      </c>
      <c r="CE19" s="12" t="s">
        <v>1095</v>
      </c>
      <c r="CF19" s="12" t="s">
        <v>1096</v>
      </c>
      <c r="CG19" s="12" t="s">
        <v>1097</v>
      </c>
      <c r="CH19" s="12" t="s">
        <v>1098</v>
      </c>
      <c r="CI19" s="12" t="s">
        <v>1099</v>
      </c>
      <c r="CJ19" s="12" t="s">
        <v>1100</v>
      </c>
      <c r="CK19" s="12" t="s">
        <v>1101</v>
      </c>
      <c r="CL19" s="12" t="s">
        <v>1102</v>
      </c>
      <c r="CM19" s="12" t="s">
        <v>1103</v>
      </c>
      <c r="CN19" s="12" t="s">
        <v>1104</v>
      </c>
      <c r="CO19" s="12" t="s">
        <v>1105</v>
      </c>
      <c r="CP19" s="12" t="s">
        <v>1106</v>
      </c>
      <c r="CQ19" s="12" t="s">
        <v>1107</v>
      </c>
      <c r="CR19" s="12" t="s">
        <v>1108</v>
      </c>
      <c r="CS19" s="12" t="s">
        <v>1109</v>
      </c>
      <c r="CT19" s="12" t="s">
        <v>1110</v>
      </c>
    </row>
    <row r="20" spans="1:98" hidden="1" x14ac:dyDescent="0.3">
      <c r="A20" s="12" t="s">
        <v>25</v>
      </c>
      <c r="B20" s="12" t="s">
        <v>1111</v>
      </c>
      <c r="C20" s="12" t="s">
        <v>1112</v>
      </c>
      <c r="D20" s="12" t="s">
        <v>1113</v>
      </c>
      <c r="E20" s="12" t="s">
        <v>596</v>
      </c>
      <c r="F20" s="12" t="s">
        <v>596</v>
      </c>
      <c r="G20" s="12" t="s">
        <v>596</v>
      </c>
      <c r="H20" s="12" t="s">
        <v>596</v>
      </c>
      <c r="I20" s="12" t="s">
        <v>596</v>
      </c>
      <c r="J20" s="12" t="s">
        <v>596</v>
      </c>
      <c r="K20" s="12" t="s">
        <v>596</v>
      </c>
      <c r="L20" s="12" t="s">
        <v>596</v>
      </c>
      <c r="M20" s="12" t="s">
        <v>596</v>
      </c>
      <c r="N20" s="12" t="s">
        <v>596</v>
      </c>
      <c r="O20" s="12" t="s">
        <v>596</v>
      </c>
      <c r="P20" s="12" t="s">
        <v>596</v>
      </c>
      <c r="Q20" s="12" t="s">
        <v>596</v>
      </c>
      <c r="R20" s="12" t="s">
        <v>596</v>
      </c>
      <c r="S20" s="12" t="s">
        <v>596</v>
      </c>
      <c r="T20" s="12" t="s">
        <v>596</v>
      </c>
      <c r="U20" s="12" t="s">
        <v>596</v>
      </c>
      <c r="V20" s="12" t="s">
        <v>596</v>
      </c>
      <c r="W20" s="12" t="s">
        <v>596</v>
      </c>
      <c r="X20" s="12" t="s">
        <v>596</v>
      </c>
      <c r="Y20" s="12" t="s">
        <v>596</v>
      </c>
      <c r="Z20" s="12" t="s">
        <v>596</v>
      </c>
      <c r="AA20" s="12" t="s">
        <v>596</v>
      </c>
      <c r="AB20" s="12" t="s">
        <v>596</v>
      </c>
      <c r="AC20" s="12" t="s">
        <v>596</v>
      </c>
      <c r="AD20" s="12" t="s">
        <v>596</v>
      </c>
      <c r="AE20" s="12" t="s">
        <v>596</v>
      </c>
      <c r="AF20" s="12" t="s">
        <v>596</v>
      </c>
      <c r="AG20" s="12" t="s">
        <v>596</v>
      </c>
      <c r="AH20" s="12" t="s">
        <v>596</v>
      </c>
      <c r="AI20" s="12" t="s">
        <v>596</v>
      </c>
      <c r="AJ20" s="12" t="s">
        <v>596</v>
      </c>
      <c r="AK20" s="12" t="s">
        <v>596</v>
      </c>
      <c r="AL20" s="12" t="s">
        <v>596</v>
      </c>
      <c r="AM20" s="12" t="s">
        <v>596</v>
      </c>
      <c r="AN20" s="12" t="s">
        <v>596</v>
      </c>
      <c r="AO20" s="12" t="s">
        <v>596</v>
      </c>
      <c r="AP20" s="12" t="s">
        <v>596</v>
      </c>
      <c r="AQ20" s="12" t="s">
        <v>596</v>
      </c>
      <c r="AR20" s="12" t="s">
        <v>690</v>
      </c>
      <c r="AS20" s="12" t="s">
        <v>690</v>
      </c>
      <c r="AT20" s="12" t="s">
        <v>690</v>
      </c>
      <c r="AU20" s="12" t="s">
        <v>690</v>
      </c>
      <c r="AV20" s="12" t="s">
        <v>869</v>
      </c>
      <c r="AW20" s="12" t="s">
        <v>869</v>
      </c>
      <c r="AX20" s="12" t="s">
        <v>779</v>
      </c>
      <c r="AY20" s="12" t="s">
        <v>779</v>
      </c>
      <c r="AZ20" s="12" t="s">
        <v>779</v>
      </c>
      <c r="BA20" s="12" t="s">
        <v>601</v>
      </c>
      <c r="BB20" s="12" t="s">
        <v>601</v>
      </c>
      <c r="BC20" s="12" t="s">
        <v>601</v>
      </c>
      <c r="BD20" s="12" t="s">
        <v>780</v>
      </c>
      <c r="BE20" s="12" t="s">
        <v>780</v>
      </c>
      <c r="BF20" s="12" t="s">
        <v>644</v>
      </c>
      <c r="BG20" s="12" t="s">
        <v>887</v>
      </c>
      <c r="BH20" s="12" t="s">
        <v>887</v>
      </c>
      <c r="BI20" s="12" t="s">
        <v>887</v>
      </c>
      <c r="BJ20" s="12" t="s">
        <v>1114</v>
      </c>
      <c r="BK20" s="12" t="s">
        <v>1114</v>
      </c>
      <c r="BL20" s="12" t="s">
        <v>737</v>
      </c>
      <c r="BM20" s="12" t="s">
        <v>888</v>
      </c>
      <c r="BN20" s="12" t="s">
        <v>993</v>
      </c>
      <c r="BO20" s="12" t="s">
        <v>699</v>
      </c>
      <c r="BP20" s="12" t="s">
        <v>876</v>
      </c>
      <c r="BQ20" s="12" t="s">
        <v>998</v>
      </c>
      <c r="BR20" s="12" t="s">
        <v>999</v>
      </c>
      <c r="BS20" s="12" t="s">
        <v>1066</v>
      </c>
      <c r="BT20" s="12" t="s">
        <v>1115</v>
      </c>
      <c r="BU20" s="12" t="s">
        <v>615</v>
      </c>
      <c r="BV20" s="12" t="s">
        <v>1116</v>
      </c>
      <c r="BW20" s="12" t="s">
        <v>1117</v>
      </c>
      <c r="BX20" s="12" t="s">
        <v>670</v>
      </c>
      <c r="BY20" s="12" t="s">
        <v>943</v>
      </c>
      <c r="BZ20" s="12" t="s">
        <v>623</v>
      </c>
      <c r="CA20" s="12" t="s">
        <v>682</v>
      </c>
      <c r="CB20" s="12" t="s">
        <v>1118</v>
      </c>
      <c r="CC20" s="12" t="s">
        <v>767</v>
      </c>
      <c r="CD20" s="12" t="s">
        <v>845</v>
      </c>
      <c r="CE20" s="12" t="s">
        <v>1119</v>
      </c>
      <c r="CF20" s="12" t="s">
        <v>1120</v>
      </c>
      <c r="CG20" s="12" t="s">
        <v>1121</v>
      </c>
      <c r="CH20" s="12" t="s">
        <v>1122</v>
      </c>
      <c r="CI20" s="12" t="s">
        <v>1123</v>
      </c>
      <c r="CJ20" s="12" t="s">
        <v>1124</v>
      </c>
      <c r="CK20" s="12" t="s">
        <v>1125</v>
      </c>
      <c r="CL20" s="12" t="s">
        <v>1126</v>
      </c>
      <c r="CM20" s="12" t="s">
        <v>1127</v>
      </c>
      <c r="CN20" s="12" t="s">
        <v>1128</v>
      </c>
      <c r="CO20" s="12" t="s">
        <v>1129</v>
      </c>
      <c r="CP20" s="12" t="s">
        <v>1130</v>
      </c>
      <c r="CQ20" s="12" t="s">
        <v>1131</v>
      </c>
      <c r="CR20" s="12" t="s">
        <v>1132</v>
      </c>
      <c r="CS20" s="12" t="s">
        <v>1133</v>
      </c>
      <c r="CT20" s="12" t="s">
        <v>1134</v>
      </c>
    </row>
    <row r="21" spans="1:98" hidden="1" x14ac:dyDescent="0.3">
      <c r="A21" s="12" t="s">
        <v>25</v>
      </c>
      <c r="B21" s="12" t="s">
        <v>1135</v>
      </c>
      <c r="C21" s="12" t="s">
        <v>1136</v>
      </c>
      <c r="D21" s="12" t="s">
        <v>1137</v>
      </c>
      <c r="E21" s="12" t="s">
        <v>596</v>
      </c>
      <c r="F21" s="12" t="s">
        <v>596</v>
      </c>
      <c r="G21" s="12" t="s">
        <v>596</v>
      </c>
      <c r="H21" s="12" t="s">
        <v>596</v>
      </c>
      <c r="I21" s="12" t="s">
        <v>596</v>
      </c>
      <c r="J21" s="12" t="s">
        <v>596</v>
      </c>
      <c r="K21" s="12" t="s">
        <v>596</v>
      </c>
      <c r="L21" s="12" t="s">
        <v>596</v>
      </c>
      <c r="M21" s="12" t="s">
        <v>596</v>
      </c>
      <c r="N21" s="12" t="s">
        <v>596</v>
      </c>
      <c r="O21" s="12" t="s">
        <v>596</v>
      </c>
      <c r="P21" s="12" t="s">
        <v>596</v>
      </c>
      <c r="Q21" s="12" t="s">
        <v>596</v>
      </c>
      <c r="R21" s="12" t="s">
        <v>596</v>
      </c>
      <c r="S21" s="12" t="s">
        <v>596</v>
      </c>
      <c r="T21" s="12" t="s">
        <v>596</v>
      </c>
      <c r="U21" s="12" t="s">
        <v>596</v>
      </c>
      <c r="V21" s="12" t="s">
        <v>596</v>
      </c>
      <c r="W21" s="12" t="s">
        <v>596</v>
      </c>
      <c r="X21" s="12" t="s">
        <v>596</v>
      </c>
      <c r="Y21" s="12" t="s">
        <v>596</v>
      </c>
      <c r="Z21" s="12" t="s">
        <v>596</v>
      </c>
      <c r="AA21" s="12" t="s">
        <v>596</v>
      </c>
      <c r="AB21" s="12" t="s">
        <v>596</v>
      </c>
      <c r="AC21" s="12" t="s">
        <v>596</v>
      </c>
      <c r="AD21" s="12" t="s">
        <v>596</v>
      </c>
      <c r="AE21" s="12" t="s">
        <v>596</v>
      </c>
      <c r="AF21" s="12" t="s">
        <v>596</v>
      </c>
      <c r="AG21" s="12" t="s">
        <v>596</v>
      </c>
      <c r="AH21" s="12" t="s">
        <v>596</v>
      </c>
      <c r="AI21" s="12" t="s">
        <v>596</v>
      </c>
      <c r="AJ21" s="12" t="s">
        <v>596</v>
      </c>
      <c r="AK21" s="12" t="s">
        <v>596</v>
      </c>
      <c r="AL21" s="12" t="s">
        <v>596</v>
      </c>
      <c r="AM21" s="12" t="s">
        <v>596</v>
      </c>
      <c r="AN21" s="12" t="s">
        <v>596</v>
      </c>
      <c r="AO21" s="12" t="s">
        <v>596</v>
      </c>
      <c r="AP21" s="12" t="s">
        <v>596</v>
      </c>
      <c r="AQ21" s="12" t="s">
        <v>596</v>
      </c>
      <c r="AR21" s="12" t="s">
        <v>596</v>
      </c>
      <c r="AS21" s="12" t="s">
        <v>596</v>
      </c>
      <c r="AT21" s="12" t="s">
        <v>596</v>
      </c>
      <c r="AU21" s="12" t="s">
        <v>596</v>
      </c>
      <c r="AV21" s="12" t="s">
        <v>596</v>
      </c>
      <c r="AW21" s="12" t="s">
        <v>596</v>
      </c>
      <c r="AX21" s="12" t="s">
        <v>596</v>
      </c>
      <c r="AY21" s="12" t="s">
        <v>596</v>
      </c>
      <c r="AZ21" s="12" t="s">
        <v>596</v>
      </c>
      <c r="BA21" s="12" t="s">
        <v>596</v>
      </c>
      <c r="BB21" s="12" t="s">
        <v>596</v>
      </c>
      <c r="BC21" s="12" t="s">
        <v>596</v>
      </c>
      <c r="BD21" s="12" t="s">
        <v>596</v>
      </c>
      <c r="BE21" s="12" t="s">
        <v>596</v>
      </c>
      <c r="BF21" s="12" t="s">
        <v>596</v>
      </c>
      <c r="BG21" s="12" t="s">
        <v>597</v>
      </c>
      <c r="BH21" s="12" t="s">
        <v>597</v>
      </c>
      <c r="BI21" s="12" t="s">
        <v>597</v>
      </c>
      <c r="BJ21" s="12" t="s">
        <v>690</v>
      </c>
      <c r="BK21" s="12" t="s">
        <v>690</v>
      </c>
      <c r="BL21" s="12" t="s">
        <v>598</v>
      </c>
      <c r="BM21" s="12" t="s">
        <v>598</v>
      </c>
      <c r="BN21" s="12" t="s">
        <v>598</v>
      </c>
      <c r="BO21" s="12" t="s">
        <v>599</v>
      </c>
      <c r="BP21" s="12" t="s">
        <v>599</v>
      </c>
      <c r="BQ21" s="12" t="s">
        <v>779</v>
      </c>
      <c r="BR21" s="12" t="s">
        <v>642</v>
      </c>
      <c r="BS21" s="12" t="s">
        <v>642</v>
      </c>
      <c r="BT21" s="12" t="s">
        <v>601</v>
      </c>
      <c r="BU21" s="12" t="s">
        <v>774</v>
      </c>
      <c r="BV21" s="12" t="s">
        <v>774</v>
      </c>
      <c r="BW21" s="12" t="s">
        <v>603</v>
      </c>
      <c r="BX21" s="12" t="s">
        <v>605</v>
      </c>
      <c r="BY21" s="12" t="s">
        <v>605</v>
      </c>
      <c r="BZ21" s="12" t="s">
        <v>887</v>
      </c>
      <c r="CA21" s="12" t="s">
        <v>887</v>
      </c>
      <c r="CB21" s="12" t="s">
        <v>971</v>
      </c>
      <c r="CC21" s="12" t="s">
        <v>645</v>
      </c>
      <c r="CD21" s="12" t="s">
        <v>606</v>
      </c>
      <c r="CE21" s="12" t="s">
        <v>1064</v>
      </c>
      <c r="CF21" s="12" t="s">
        <v>647</v>
      </c>
      <c r="CG21" s="12" t="s">
        <v>936</v>
      </c>
      <c r="CH21" s="12" t="s">
        <v>936</v>
      </c>
      <c r="CI21" s="12" t="s">
        <v>990</v>
      </c>
      <c r="CJ21" s="12" t="s">
        <v>1009</v>
      </c>
      <c r="CK21" s="12" t="s">
        <v>1009</v>
      </c>
      <c r="CL21" s="12" t="s">
        <v>737</v>
      </c>
      <c r="CM21" s="12" t="s">
        <v>697</v>
      </c>
      <c r="CN21" s="12" t="s">
        <v>649</v>
      </c>
      <c r="CO21" s="12" t="s">
        <v>649</v>
      </c>
      <c r="CP21" s="12" t="s">
        <v>698</v>
      </c>
      <c r="CQ21" s="12" t="s">
        <v>888</v>
      </c>
      <c r="CR21" s="12" t="s">
        <v>888</v>
      </c>
      <c r="CS21" s="12" t="s">
        <v>993</v>
      </c>
      <c r="CT21" s="12" t="s">
        <v>1138</v>
      </c>
    </row>
    <row r="22" spans="1:98" hidden="1" x14ac:dyDescent="0.3">
      <c r="A22" s="12" t="s">
        <v>25</v>
      </c>
      <c r="B22" s="12" t="s">
        <v>1139</v>
      </c>
      <c r="C22" s="12" t="s">
        <v>1140</v>
      </c>
      <c r="D22" s="12" t="s">
        <v>1141</v>
      </c>
      <c r="E22" s="12" t="s">
        <v>596</v>
      </c>
      <c r="F22" s="12" t="s">
        <v>596</v>
      </c>
      <c r="G22" s="12" t="s">
        <v>596</v>
      </c>
      <c r="H22" s="12" t="s">
        <v>596</v>
      </c>
      <c r="I22" s="12" t="s">
        <v>596</v>
      </c>
      <c r="J22" s="12" t="s">
        <v>596</v>
      </c>
      <c r="K22" s="12" t="s">
        <v>596</v>
      </c>
      <c r="L22" s="12" t="s">
        <v>596</v>
      </c>
      <c r="M22" s="12" t="s">
        <v>596</v>
      </c>
      <c r="N22" s="12" t="s">
        <v>596</v>
      </c>
      <c r="O22" s="12" t="s">
        <v>596</v>
      </c>
      <c r="P22" s="12" t="s">
        <v>596</v>
      </c>
      <c r="Q22" s="12" t="s">
        <v>596</v>
      </c>
      <c r="R22" s="12" t="s">
        <v>596</v>
      </c>
      <c r="S22" s="12" t="s">
        <v>596</v>
      </c>
      <c r="T22" s="12" t="s">
        <v>596</v>
      </c>
      <c r="U22" s="12" t="s">
        <v>596</v>
      </c>
      <c r="V22" s="12" t="s">
        <v>596</v>
      </c>
      <c r="W22" s="12" t="s">
        <v>596</v>
      </c>
      <c r="X22" s="12" t="s">
        <v>596</v>
      </c>
      <c r="Y22" s="12" t="s">
        <v>596</v>
      </c>
      <c r="Z22" s="12" t="s">
        <v>596</v>
      </c>
      <c r="AA22" s="12" t="s">
        <v>596</v>
      </c>
      <c r="AB22" s="12" t="s">
        <v>596</v>
      </c>
      <c r="AC22" s="12" t="s">
        <v>596</v>
      </c>
      <c r="AD22" s="12" t="s">
        <v>596</v>
      </c>
      <c r="AE22" s="12" t="s">
        <v>596</v>
      </c>
      <c r="AF22" s="12" t="s">
        <v>596</v>
      </c>
      <c r="AG22" s="12" t="s">
        <v>596</v>
      </c>
      <c r="AH22" s="12" t="s">
        <v>596</v>
      </c>
      <c r="AI22" s="12" t="s">
        <v>596</v>
      </c>
      <c r="AJ22" s="12" t="s">
        <v>596</v>
      </c>
      <c r="AK22" s="12" t="s">
        <v>596</v>
      </c>
      <c r="AL22" s="12" t="s">
        <v>597</v>
      </c>
      <c r="AM22" s="12" t="s">
        <v>644</v>
      </c>
      <c r="AN22" s="12" t="s">
        <v>645</v>
      </c>
      <c r="AO22" s="12" t="s">
        <v>645</v>
      </c>
      <c r="AP22" s="12" t="s">
        <v>989</v>
      </c>
      <c r="AQ22" s="12" t="s">
        <v>1064</v>
      </c>
      <c r="AR22" s="12" t="s">
        <v>990</v>
      </c>
      <c r="AS22" s="12" t="s">
        <v>1009</v>
      </c>
      <c r="AT22" s="12" t="s">
        <v>1009</v>
      </c>
      <c r="AU22" s="12" t="s">
        <v>827</v>
      </c>
      <c r="AV22" s="12" t="s">
        <v>649</v>
      </c>
      <c r="AW22" s="12" t="s">
        <v>698</v>
      </c>
      <c r="AX22" s="12" t="s">
        <v>1142</v>
      </c>
      <c r="AY22" s="12" t="s">
        <v>1142</v>
      </c>
      <c r="AZ22" s="12" t="s">
        <v>1143</v>
      </c>
      <c r="BA22" s="12" t="s">
        <v>610</v>
      </c>
      <c r="BB22" s="12" t="s">
        <v>1002</v>
      </c>
      <c r="BC22" s="12" t="s">
        <v>1002</v>
      </c>
      <c r="BD22" s="12" t="s">
        <v>1002</v>
      </c>
      <c r="BE22" s="12" t="s">
        <v>893</v>
      </c>
      <c r="BF22" s="12" t="s">
        <v>1144</v>
      </c>
      <c r="BG22" s="12" t="s">
        <v>1144</v>
      </c>
      <c r="BH22" s="12" t="s">
        <v>1145</v>
      </c>
      <c r="BI22" s="12" t="s">
        <v>1146</v>
      </c>
      <c r="BJ22" s="12" t="s">
        <v>1046</v>
      </c>
      <c r="BK22" s="12" t="s">
        <v>1147</v>
      </c>
      <c r="BL22" s="12" t="s">
        <v>976</v>
      </c>
      <c r="BM22" s="12" t="s">
        <v>747</v>
      </c>
      <c r="BN22" s="12" t="s">
        <v>668</v>
      </c>
      <c r="BO22" s="12" t="s">
        <v>1049</v>
      </c>
      <c r="BP22" s="12" t="s">
        <v>1148</v>
      </c>
      <c r="BQ22" s="12" t="s">
        <v>1149</v>
      </c>
      <c r="BR22" s="12" t="s">
        <v>753</v>
      </c>
      <c r="BS22" s="12" t="s">
        <v>1150</v>
      </c>
      <c r="BT22" s="12" t="s">
        <v>1151</v>
      </c>
      <c r="BU22" s="12" t="s">
        <v>1152</v>
      </c>
      <c r="BV22" s="12" t="s">
        <v>1153</v>
      </c>
      <c r="BW22" s="12" t="s">
        <v>1154</v>
      </c>
      <c r="BX22" s="12" t="s">
        <v>1155</v>
      </c>
      <c r="BY22" s="12" t="s">
        <v>1156</v>
      </c>
      <c r="BZ22" s="12" t="s">
        <v>1157</v>
      </c>
      <c r="CA22" s="12" t="s">
        <v>1158</v>
      </c>
      <c r="CB22" s="12" t="s">
        <v>1159</v>
      </c>
      <c r="CC22" s="12" t="s">
        <v>1160</v>
      </c>
      <c r="CD22" s="12" t="s">
        <v>1161</v>
      </c>
      <c r="CE22" s="12" t="s">
        <v>1162</v>
      </c>
      <c r="CF22" s="12" t="s">
        <v>1163</v>
      </c>
      <c r="CG22" s="12" t="s">
        <v>1164</v>
      </c>
      <c r="CH22" s="12" t="s">
        <v>1165</v>
      </c>
      <c r="CI22" s="12" t="s">
        <v>1166</v>
      </c>
      <c r="CJ22" s="12" t="s">
        <v>1167</v>
      </c>
      <c r="CK22" s="12" t="s">
        <v>1168</v>
      </c>
      <c r="CL22" s="12" t="s">
        <v>1169</v>
      </c>
      <c r="CM22" s="12" t="s">
        <v>1170</v>
      </c>
      <c r="CN22" s="12" t="s">
        <v>1171</v>
      </c>
      <c r="CO22" s="12" t="s">
        <v>1172</v>
      </c>
      <c r="CP22" s="12" t="s">
        <v>1173</v>
      </c>
      <c r="CQ22" s="12" t="s">
        <v>1174</v>
      </c>
      <c r="CR22" s="12" t="s">
        <v>1175</v>
      </c>
      <c r="CS22" s="12" t="s">
        <v>1176</v>
      </c>
      <c r="CT22" s="12" t="s">
        <v>1177</v>
      </c>
    </row>
    <row r="23" spans="1:98" hidden="1" x14ac:dyDescent="0.3">
      <c r="A23" s="12" t="s">
        <v>25</v>
      </c>
      <c r="B23" s="12" t="s">
        <v>1178</v>
      </c>
      <c r="C23" s="12" t="s">
        <v>1179</v>
      </c>
      <c r="D23" s="12" t="s">
        <v>1180</v>
      </c>
      <c r="E23" s="12" t="s">
        <v>596</v>
      </c>
      <c r="F23" s="12" t="s">
        <v>596</v>
      </c>
      <c r="G23" s="12" t="s">
        <v>596</v>
      </c>
      <c r="H23" s="12" t="s">
        <v>596</v>
      </c>
      <c r="I23" s="12" t="s">
        <v>596</v>
      </c>
      <c r="J23" s="12" t="s">
        <v>596</v>
      </c>
      <c r="K23" s="12" t="s">
        <v>596</v>
      </c>
      <c r="L23" s="12" t="s">
        <v>596</v>
      </c>
      <c r="M23" s="12" t="s">
        <v>596</v>
      </c>
      <c r="N23" s="12" t="s">
        <v>596</v>
      </c>
      <c r="O23" s="12" t="s">
        <v>596</v>
      </c>
      <c r="P23" s="12" t="s">
        <v>596</v>
      </c>
      <c r="Q23" s="12" t="s">
        <v>596</v>
      </c>
      <c r="R23" s="12" t="s">
        <v>596</v>
      </c>
      <c r="S23" s="12" t="s">
        <v>596</v>
      </c>
      <c r="T23" s="12" t="s">
        <v>596</v>
      </c>
      <c r="U23" s="12" t="s">
        <v>596</v>
      </c>
      <c r="V23" s="12" t="s">
        <v>596</v>
      </c>
      <c r="W23" s="12" t="s">
        <v>596</v>
      </c>
      <c r="X23" s="12" t="s">
        <v>596</v>
      </c>
      <c r="Y23" s="12" t="s">
        <v>596</v>
      </c>
      <c r="Z23" s="12" t="s">
        <v>596</v>
      </c>
      <c r="AA23" s="12" t="s">
        <v>596</v>
      </c>
      <c r="AB23" s="12" t="s">
        <v>596</v>
      </c>
      <c r="AC23" s="12" t="s">
        <v>596</v>
      </c>
      <c r="AD23" s="12" t="s">
        <v>596</v>
      </c>
      <c r="AE23" s="12" t="s">
        <v>596</v>
      </c>
      <c r="AF23" s="12" t="s">
        <v>596</v>
      </c>
      <c r="AG23" s="12" t="s">
        <v>596</v>
      </c>
      <c r="AH23" s="12" t="s">
        <v>596</v>
      </c>
      <c r="AI23" s="12" t="s">
        <v>596</v>
      </c>
      <c r="AJ23" s="12" t="s">
        <v>596</v>
      </c>
      <c r="AK23" s="12" t="s">
        <v>596</v>
      </c>
      <c r="AL23" s="12" t="s">
        <v>596</v>
      </c>
      <c r="AM23" s="12" t="s">
        <v>596</v>
      </c>
      <c r="AN23" s="12" t="s">
        <v>596</v>
      </c>
      <c r="AO23" s="12" t="s">
        <v>596</v>
      </c>
      <c r="AP23" s="12" t="s">
        <v>596</v>
      </c>
      <c r="AQ23" s="12" t="s">
        <v>596</v>
      </c>
      <c r="AR23" s="12" t="s">
        <v>596</v>
      </c>
      <c r="AS23" s="12" t="s">
        <v>596</v>
      </c>
      <c r="AT23" s="12" t="s">
        <v>596</v>
      </c>
      <c r="AU23" s="12" t="s">
        <v>596</v>
      </c>
      <c r="AV23" s="12" t="s">
        <v>596</v>
      </c>
      <c r="AW23" s="12" t="s">
        <v>596</v>
      </c>
      <c r="AX23" s="12" t="s">
        <v>596</v>
      </c>
      <c r="AY23" s="12" t="s">
        <v>690</v>
      </c>
      <c r="AZ23" s="12" t="s">
        <v>690</v>
      </c>
      <c r="BA23" s="12" t="s">
        <v>690</v>
      </c>
      <c r="BB23" s="12" t="s">
        <v>690</v>
      </c>
      <c r="BC23" s="12" t="s">
        <v>690</v>
      </c>
      <c r="BD23" s="12" t="s">
        <v>690</v>
      </c>
      <c r="BE23" s="12" t="s">
        <v>690</v>
      </c>
      <c r="BF23" s="12" t="s">
        <v>599</v>
      </c>
      <c r="BG23" s="12" t="s">
        <v>773</v>
      </c>
      <c r="BH23" s="12" t="s">
        <v>642</v>
      </c>
      <c r="BI23" s="12" t="s">
        <v>774</v>
      </c>
      <c r="BJ23" s="12" t="s">
        <v>691</v>
      </c>
      <c r="BK23" s="12" t="s">
        <v>693</v>
      </c>
      <c r="BL23" s="12" t="s">
        <v>775</v>
      </c>
      <c r="BM23" s="12" t="s">
        <v>931</v>
      </c>
      <c r="BN23" s="12" t="s">
        <v>645</v>
      </c>
      <c r="BO23" s="12" t="s">
        <v>736</v>
      </c>
      <c r="BP23" s="12" t="s">
        <v>736</v>
      </c>
      <c r="BQ23" s="12" t="s">
        <v>1114</v>
      </c>
      <c r="BR23" s="12" t="s">
        <v>696</v>
      </c>
      <c r="BS23" s="12" t="s">
        <v>696</v>
      </c>
      <c r="BT23" s="12" t="s">
        <v>696</v>
      </c>
      <c r="BU23" s="12" t="s">
        <v>1009</v>
      </c>
      <c r="BV23" s="12" t="s">
        <v>648</v>
      </c>
      <c r="BW23" s="12" t="s">
        <v>697</v>
      </c>
      <c r="BX23" s="12" t="s">
        <v>787</v>
      </c>
      <c r="BY23" s="12" t="s">
        <v>937</v>
      </c>
      <c r="BZ23" s="12" t="s">
        <v>652</v>
      </c>
      <c r="CA23" s="12" t="s">
        <v>739</v>
      </c>
      <c r="CB23" s="12" t="s">
        <v>656</v>
      </c>
      <c r="CC23" s="12" t="s">
        <v>742</v>
      </c>
      <c r="CD23" s="12" t="s">
        <v>1181</v>
      </c>
      <c r="CE23" s="12" t="s">
        <v>1182</v>
      </c>
      <c r="CF23" s="12" t="s">
        <v>839</v>
      </c>
      <c r="CG23" s="12" t="s">
        <v>840</v>
      </c>
      <c r="CH23" s="12" t="s">
        <v>1183</v>
      </c>
      <c r="CI23" s="12" t="s">
        <v>1184</v>
      </c>
      <c r="CJ23" s="12" t="s">
        <v>1185</v>
      </c>
      <c r="CK23" s="12" t="s">
        <v>1186</v>
      </c>
      <c r="CL23" s="12" t="s">
        <v>716</v>
      </c>
      <c r="CM23" s="12" t="s">
        <v>1187</v>
      </c>
      <c r="CN23" s="12" t="s">
        <v>1188</v>
      </c>
      <c r="CO23" s="12" t="s">
        <v>1189</v>
      </c>
      <c r="CP23" s="12" t="s">
        <v>1190</v>
      </c>
      <c r="CQ23" s="12" t="s">
        <v>1191</v>
      </c>
      <c r="CR23" s="12" t="s">
        <v>1192</v>
      </c>
      <c r="CS23" s="12" t="s">
        <v>1193</v>
      </c>
      <c r="CT23" s="12" t="s">
        <v>1194</v>
      </c>
    </row>
    <row r="24" spans="1:98" hidden="1" x14ac:dyDescent="0.3">
      <c r="A24" s="12" t="s">
        <v>25</v>
      </c>
      <c r="B24" s="12" t="s">
        <v>1195</v>
      </c>
      <c r="C24" s="12" t="s">
        <v>1196</v>
      </c>
      <c r="D24" s="12" t="s">
        <v>1197</v>
      </c>
      <c r="E24" s="12" t="s">
        <v>596</v>
      </c>
      <c r="F24" s="12" t="s">
        <v>596</v>
      </c>
      <c r="G24" s="12" t="s">
        <v>596</v>
      </c>
      <c r="H24" s="12" t="s">
        <v>596</v>
      </c>
      <c r="I24" s="12" t="s">
        <v>596</v>
      </c>
      <c r="J24" s="12" t="s">
        <v>596</v>
      </c>
      <c r="K24" s="12" t="s">
        <v>596</v>
      </c>
      <c r="L24" s="12" t="s">
        <v>596</v>
      </c>
      <c r="M24" s="12" t="s">
        <v>596</v>
      </c>
      <c r="N24" s="12" t="s">
        <v>596</v>
      </c>
      <c r="O24" s="12" t="s">
        <v>596</v>
      </c>
      <c r="P24" s="12" t="s">
        <v>596</v>
      </c>
      <c r="Q24" s="12" t="s">
        <v>596</v>
      </c>
      <c r="R24" s="12" t="s">
        <v>596</v>
      </c>
      <c r="S24" s="12" t="s">
        <v>596</v>
      </c>
      <c r="T24" s="12" t="s">
        <v>596</v>
      </c>
      <c r="U24" s="12" t="s">
        <v>596</v>
      </c>
      <c r="V24" s="12" t="s">
        <v>596</v>
      </c>
      <c r="W24" s="12" t="s">
        <v>596</v>
      </c>
      <c r="X24" s="12" t="s">
        <v>596</v>
      </c>
      <c r="Y24" s="12" t="s">
        <v>596</v>
      </c>
      <c r="Z24" s="12" t="s">
        <v>596</v>
      </c>
      <c r="AA24" s="12" t="s">
        <v>596</v>
      </c>
      <c r="AB24" s="12" t="s">
        <v>596</v>
      </c>
      <c r="AC24" s="12" t="s">
        <v>596</v>
      </c>
      <c r="AD24" s="12" t="s">
        <v>596</v>
      </c>
      <c r="AE24" s="12" t="s">
        <v>596</v>
      </c>
      <c r="AF24" s="12" t="s">
        <v>596</v>
      </c>
      <c r="AG24" s="12" t="s">
        <v>596</v>
      </c>
      <c r="AH24" s="12" t="s">
        <v>596</v>
      </c>
      <c r="AI24" s="12" t="s">
        <v>596</v>
      </c>
      <c r="AJ24" s="12" t="s">
        <v>596</v>
      </c>
      <c r="AK24" s="12" t="s">
        <v>596</v>
      </c>
      <c r="AL24" s="12" t="s">
        <v>596</v>
      </c>
      <c r="AM24" s="12" t="s">
        <v>596</v>
      </c>
      <c r="AN24" s="12" t="s">
        <v>596</v>
      </c>
      <c r="AO24" s="12" t="s">
        <v>596</v>
      </c>
      <c r="AP24" s="12" t="s">
        <v>596</v>
      </c>
      <c r="AQ24" s="12" t="s">
        <v>596</v>
      </c>
      <c r="AR24" s="12" t="s">
        <v>596</v>
      </c>
      <c r="AS24" s="12" t="s">
        <v>596</v>
      </c>
      <c r="AT24" s="12" t="s">
        <v>596</v>
      </c>
      <c r="AU24" s="12" t="s">
        <v>596</v>
      </c>
      <c r="AV24" s="12" t="s">
        <v>596</v>
      </c>
      <c r="AW24" s="12" t="s">
        <v>596</v>
      </c>
      <c r="AX24" s="12" t="s">
        <v>596</v>
      </c>
      <c r="AY24" s="12" t="s">
        <v>596</v>
      </c>
      <c r="AZ24" s="12" t="s">
        <v>596</v>
      </c>
      <c r="BA24" s="12" t="s">
        <v>596</v>
      </c>
      <c r="BB24" s="12" t="s">
        <v>596</v>
      </c>
      <c r="BC24" s="12" t="s">
        <v>596</v>
      </c>
      <c r="BD24" s="12" t="s">
        <v>596</v>
      </c>
      <c r="BE24" s="12" t="s">
        <v>596</v>
      </c>
      <c r="BF24" s="12" t="s">
        <v>596</v>
      </c>
      <c r="BG24" s="12" t="s">
        <v>596</v>
      </c>
      <c r="BH24" s="12" t="s">
        <v>641</v>
      </c>
      <c r="BI24" s="12" t="s">
        <v>641</v>
      </c>
      <c r="BJ24" s="12" t="s">
        <v>599</v>
      </c>
      <c r="BK24" s="12" t="s">
        <v>599</v>
      </c>
      <c r="BL24" s="12" t="s">
        <v>869</v>
      </c>
      <c r="BM24" s="12" t="s">
        <v>774</v>
      </c>
      <c r="BN24" s="12" t="s">
        <v>691</v>
      </c>
      <c r="BO24" s="12" t="s">
        <v>826</v>
      </c>
      <c r="BP24" s="12" t="s">
        <v>826</v>
      </c>
      <c r="BQ24" s="12" t="s">
        <v>826</v>
      </c>
      <c r="BR24" s="12" t="s">
        <v>605</v>
      </c>
      <c r="BS24" s="12" t="s">
        <v>694</v>
      </c>
      <c r="BT24" s="12" t="s">
        <v>645</v>
      </c>
      <c r="BU24" s="12" t="s">
        <v>645</v>
      </c>
      <c r="BV24" s="12" t="s">
        <v>785</v>
      </c>
      <c r="BW24" s="12" t="s">
        <v>785</v>
      </c>
      <c r="BX24" s="12" t="s">
        <v>936</v>
      </c>
      <c r="BY24" s="12" t="s">
        <v>648</v>
      </c>
      <c r="BZ24" s="12" t="s">
        <v>827</v>
      </c>
      <c r="CA24" s="12" t="s">
        <v>787</v>
      </c>
      <c r="CB24" s="12" t="s">
        <v>698</v>
      </c>
      <c r="CC24" s="12" t="s">
        <v>1198</v>
      </c>
      <c r="CD24" s="12" t="s">
        <v>1198</v>
      </c>
      <c r="CE24" s="12" t="s">
        <v>991</v>
      </c>
      <c r="CF24" s="12" t="s">
        <v>973</v>
      </c>
      <c r="CG24" s="12" t="s">
        <v>788</v>
      </c>
      <c r="CH24" s="12" t="s">
        <v>872</v>
      </c>
      <c r="CI24" s="12" t="s">
        <v>993</v>
      </c>
      <c r="CJ24" s="12" t="s">
        <v>993</v>
      </c>
      <c r="CK24" s="12" t="s">
        <v>1138</v>
      </c>
      <c r="CL24" s="12" t="s">
        <v>738</v>
      </c>
      <c r="CM24" s="12" t="s">
        <v>738</v>
      </c>
      <c r="CN24" s="12" t="s">
        <v>738</v>
      </c>
      <c r="CO24" s="12" t="s">
        <v>738</v>
      </c>
      <c r="CP24" s="12" t="s">
        <v>738</v>
      </c>
      <c r="CQ24" s="12" t="s">
        <v>738</v>
      </c>
      <c r="CR24" s="12" t="s">
        <v>738</v>
      </c>
      <c r="CS24" s="12" t="s">
        <v>653</v>
      </c>
      <c r="CT24" s="12" t="s">
        <v>873</v>
      </c>
    </row>
    <row r="25" spans="1:98" hidden="1" x14ac:dyDescent="0.3">
      <c r="A25" s="12" t="s">
        <v>25</v>
      </c>
      <c r="B25" s="12" t="s">
        <v>1199</v>
      </c>
      <c r="C25" s="12" t="s">
        <v>1200</v>
      </c>
      <c r="D25" s="12" t="s">
        <v>1201</v>
      </c>
      <c r="E25" s="12" t="s">
        <v>596</v>
      </c>
      <c r="F25" s="12" t="s">
        <v>596</v>
      </c>
      <c r="G25" s="12" t="s">
        <v>596</v>
      </c>
      <c r="H25" s="12" t="s">
        <v>596</v>
      </c>
      <c r="I25" s="12" t="s">
        <v>596</v>
      </c>
      <c r="J25" s="12" t="s">
        <v>596</v>
      </c>
      <c r="K25" s="12" t="s">
        <v>596</v>
      </c>
      <c r="L25" s="12" t="s">
        <v>596</v>
      </c>
      <c r="M25" s="12" t="s">
        <v>596</v>
      </c>
      <c r="N25" s="12" t="s">
        <v>596</v>
      </c>
      <c r="O25" s="12" t="s">
        <v>596</v>
      </c>
      <c r="P25" s="12" t="s">
        <v>596</v>
      </c>
      <c r="Q25" s="12" t="s">
        <v>596</v>
      </c>
      <c r="R25" s="12" t="s">
        <v>596</v>
      </c>
      <c r="S25" s="12" t="s">
        <v>596</v>
      </c>
      <c r="T25" s="12" t="s">
        <v>596</v>
      </c>
      <c r="U25" s="12" t="s">
        <v>596</v>
      </c>
      <c r="V25" s="12" t="s">
        <v>596</v>
      </c>
      <c r="W25" s="12" t="s">
        <v>596</v>
      </c>
      <c r="X25" s="12" t="s">
        <v>596</v>
      </c>
      <c r="Y25" s="12" t="s">
        <v>596</v>
      </c>
      <c r="Z25" s="12" t="s">
        <v>596</v>
      </c>
      <c r="AA25" s="12" t="s">
        <v>596</v>
      </c>
      <c r="AB25" s="12" t="s">
        <v>596</v>
      </c>
      <c r="AC25" s="12" t="s">
        <v>596</v>
      </c>
      <c r="AD25" s="12" t="s">
        <v>596</v>
      </c>
      <c r="AE25" s="12" t="s">
        <v>596</v>
      </c>
      <c r="AF25" s="12" t="s">
        <v>596</v>
      </c>
      <c r="AG25" s="12" t="s">
        <v>596</v>
      </c>
      <c r="AH25" s="12" t="s">
        <v>596</v>
      </c>
      <c r="AI25" s="12" t="s">
        <v>596</v>
      </c>
      <c r="AJ25" s="12" t="s">
        <v>596</v>
      </c>
      <c r="AK25" s="12" t="s">
        <v>596</v>
      </c>
      <c r="AL25" s="12" t="s">
        <v>596</v>
      </c>
      <c r="AM25" s="12" t="s">
        <v>596</v>
      </c>
      <c r="AN25" s="12" t="s">
        <v>596</v>
      </c>
      <c r="AO25" s="12" t="s">
        <v>596</v>
      </c>
      <c r="AP25" s="12" t="s">
        <v>597</v>
      </c>
      <c r="AQ25" s="12" t="s">
        <v>597</v>
      </c>
      <c r="AR25" s="12" t="s">
        <v>597</v>
      </c>
      <c r="AS25" s="12" t="s">
        <v>597</v>
      </c>
      <c r="AT25" s="12" t="s">
        <v>597</v>
      </c>
      <c r="AU25" s="12" t="s">
        <v>869</v>
      </c>
      <c r="AV25" s="12" t="s">
        <v>869</v>
      </c>
      <c r="AW25" s="12" t="s">
        <v>869</v>
      </c>
      <c r="AX25" s="12" t="s">
        <v>869</v>
      </c>
      <c r="AY25" s="12" t="s">
        <v>869</v>
      </c>
      <c r="AZ25" s="12" t="s">
        <v>869</v>
      </c>
      <c r="BA25" s="12" t="s">
        <v>779</v>
      </c>
      <c r="BB25" s="12" t="s">
        <v>779</v>
      </c>
      <c r="BC25" s="12" t="s">
        <v>643</v>
      </c>
      <c r="BD25" s="12" t="s">
        <v>931</v>
      </c>
      <c r="BE25" s="12" t="s">
        <v>931</v>
      </c>
      <c r="BF25" s="12" t="s">
        <v>931</v>
      </c>
      <c r="BG25" s="12" t="s">
        <v>989</v>
      </c>
      <c r="BH25" s="12" t="s">
        <v>989</v>
      </c>
      <c r="BI25" s="12" t="s">
        <v>648</v>
      </c>
      <c r="BJ25" s="12" t="s">
        <v>648</v>
      </c>
      <c r="BK25" s="12" t="s">
        <v>992</v>
      </c>
      <c r="BL25" s="12" t="s">
        <v>653</v>
      </c>
      <c r="BM25" s="12" t="s">
        <v>653</v>
      </c>
      <c r="BN25" s="12" t="s">
        <v>1202</v>
      </c>
      <c r="BO25" s="12" t="s">
        <v>1202</v>
      </c>
      <c r="BP25" s="12" t="s">
        <v>995</v>
      </c>
      <c r="BQ25" s="12" t="s">
        <v>995</v>
      </c>
      <c r="BR25" s="12" t="s">
        <v>609</v>
      </c>
      <c r="BS25" s="12" t="s">
        <v>609</v>
      </c>
      <c r="BT25" s="12" t="s">
        <v>609</v>
      </c>
      <c r="BU25" s="12" t="s">
        <v>1203</v>
      </c>
      <c r="BV25" s="12" t="s">
        <v>1203</v>
      </c>
      <c r="BW25" s="12" t="s">
        <v>1204</v>
      </c>
      <c r="BX25" s="12" t="s">
        <v>665</v>
      </c>
      <c r="BY25" s="12" t="s">
        <v>1205</v>
      </c>
      <c r="BZ25" s="12" t="s">
        <v>1206</v>
      </c>
      <c r="CA25" s="12" t="s">
        <v>681</v>
      </c>
      <c r="CB25" s="12" t="s">
        <v>1158</v>
      </c>
      <c r="CC25" s="12" t="s">
        <v>1207</v>
      </c>
      <c r="CD25" s="12" t="s">
        <v>1208</v>
      </c>
      <c r="CE25" s="12" t="s">
        <v>1209</v>
      </c>
      <c r="CF25" s="12" t="s">
        <v>1210</v>
      </c>
      <c r="CG25" s="12" t="s">
        <v>1211</v>
      </c>
      <c r="CH25" s="12" t="s">
        <v>1212</v>
      </c>
      <c r="CI25" s="12" t="s">
        <v>1213</v>
      </c>
      <c r="CJ25" s="12" t="s">
        <v>1214</v>
      </c>
      <c r="CK25" s="12" t="s">
        <v>1215</v>
      </c>
      <c r="CL25" s="12" t="s">
        <v>1216</v>
      </c>
      <c r="CM25" s="12" t="s">
        <v>1217</v>
      </c>
      <c r="CN25" s="12" t="s">
        <v>1217</v>
      </c>
      <c r="CO25" s="12" t="s">
        <v>1217</v>
      </c>
      <c r="CP25" s="12" t="s">
        <v>1218</v>
      </c>
      <c r="CQ25" s="12" t="s">
        <v>1219</v>
      </c>
      <c r="CR25" s="12" t="s">
        <v>1220</v>
      </c>
      <c r="CS25" s="12" t="s">
        <v>1221</v>
      </c>
      <c r="CT25" s="12" t="s">
        <v>1222</v>
      </c>
    </row>
    <row r="26" spans="1:98" hidden="1" x14ac:dyDescent="0.3">
      <c r="A26" s="12" t="s">
        <v>25</v>
      </c>
      <c r="B26" s="12" t="s">
        <v>1223</v>
      </c>
      <c r="C26" s="12" t="s">
        <v>1224</v>
      </c>
      <c r="D26" s="12" t="s">
        <v>1225</v>
      </c>
      <c r="E26" s="12" t="s">
        <v>596</v>
      </c>
      <c r="F26" s="12" t="s">
        <v>596</v>
      </c>
      <c r="G26" s="12" t="s">
        <v>596</v>
      </c>
      <c r="H26" s="12" t="s">
        <v>596</v>
      </c>
      <c r="I26" s="12" t="s">
        <v>596</v>
      </c>
      <c r="J26" s="12" t="s">
        <v>596</v>
      </c>
      <c r="K26" s="12" t="s">
        <v>596</v>
      </c>
      <c r="L26" s="12" t="s">
        <v>596</v>
      </c>
      <c r="M26" s="12" t="s">
        <v>596</v>
      </c>
      <c r="N26" s="12" t="s">
        <v>596</v>
      </c>
      <c r="O26" s="12" t="s">
        <v>596</v>
      </c>
      <c r="P26" s="12" t="s">
        <v>596</v>
      </c>
      <c r="Q26" s="12" t="s">
        <v>596</v>
      </c>
      <c r="R26" s="12" t="s">
        <v>597</v>
      </c>
      <c r="S26" s="12" t="s">
        <v>597</v>
      </c>
      <c r="T26" s="12" t="s">
        <v>597</v>
      </c>
      <c r="U26" s="12" t="s">
        <v>597</v>
      </c>
      <c r="V26" s="12" t="s">
        <v>597</v>
      </c>
      <c r="W26" s="12" t="s">
        <v>597</v>
      </c>
      <c r="X26" s="12" t="s">
        <v>597</v>
      </c>
      <c r="Y26" s="12" t="s">
        <v>597</v>
      </c>
      <c r="Z26" s="12" t="s">
        <v>597</v>
      </c>
      <c r="AA26" s="12" t="s">
        <v>597</v>
      </c>
      <c r="AB26" s="12" t="s">
        <v>597</v>
      </c>
      <c r="AC26" s="12" t="s">
        <v>597</v>
      </c>
      <c r="AD26" s="12" t="s">
        <v>597</v>
      </c>
      <c r="AE26" s="12" t="s">
        <v>597</v>
      </c>
      <c r="AF26" s="12" t="s">
        <v>597</v>
      </c>
      <c r="AG26" s="12" t="s">
        <v>597</v>
      </c>
      <c r="AH26" s="12" t="s">
        <v>597</v>
      </c>
      <c r="AI26" s="12" t="s">
        <v>597</v>
      </c>
      <c r="AJ26" s="12" t="s">
        <v>597</v>
      </c>
      <c r="AK26" s="12" t="s">
        <v>597</v>
      </c>
      <c r="AL26" s="12" t="s">
        <v>597</v>
      </c>
      <c r="AM26" s="12" t="s">
        <v>597</v>
      </c>
      <c r="AN26" s="12" t="s">
        <v>597</v>
      </c>
      <c r="AO26" s="12" t="s">
        <v>597</v>
      </c>
      <c r="AP26" s="12" t="s">
        <v>597</v>
      </c>
      <c r="AQ26" s="12" t="s">
        <v>597</v>
      </c>
      <c r="AR26" s="12" t="s">
        <v>641</v>
      </c>
      <c r="AS26" s="12" t="s">
        <v>773</v>
      </c>
      <c r="AT26" s="12" t="s">
        <v>886</v>
      </c>
      <c r="AU26" s="12" t="s">
        <v>644</v>
      </c>
      <c r="AV26" s="12" t="s">
        <v>972</v>
      </c>
      <c r="AW26" s="12" t="s">
        <v>1226</v>
      </c>
      <c r="AX26" s="12" t="s">
        <v>1000</v>
      </c>
      <c r="AY26" s="12" t="s">
        <v>1003</v>
      </c>
      <c r="AZ26" s="12" t="s">
        <v>1227</v>
      </c>
      <c r="BA26" s="12" t="s">
        <v>745</v>
      </c>
      <c r="BB26" s="12" t="s">
        <v>1228</v>
      </c>
      <c r="BC26" s="12" t="s">
        <v>1228</v>
      </c>
      <c r="BD26" s="12" t="s">
        <v>1229</v>
      </c>
      <c r="BE26" s="12" t="s">
        <v>947</v>
      </c>
      <c r="BF26" s="12" t="s">
        <v>1230</v>
      </c>
      <c r="BG26" s="12" t="s">
        <v>1121</v>
      </c>
      <c r="BH26" s="12" t="s">
        <v>1231</v>
      </c>
      <c r="BI26" s="12" t="s">
        <v>1209</v>
      </c>
      <c r="BJ26" s="12" t="s">
        <v>808</v>
      </c>
      <c r="BK26" s="12" t="s">
        <v>1232</v>
      </c>
      <c r="BL26" s="12" t="s">
        <v>1233</v>
      </c>
      <c r="BM26" s="12" t="s">
        <v>1234</v>
      </c>
      <c r="BN26" s="12" t="s">
        <v>1235</v>
      </c>
      <c r="BO26" s="12" t="s">
        <v>1236</v>
      </c>
      <c r="BP26" s="12" t="s">
        <v>1237</v>
      </c>
      <c r="BQ26" s="12" t="s">
        <v>1238</v>
      </c>
      <c r="BR26" s="12" t="s">
        <v>1239</v>
      </c>
      <c r="BS26" s="12" t="s">
        <v>1240</v>
      </c>
      <c r="BT26" s="12" t="s">
        <v>1241</v>
      </c>
      <c r="BU26" s="12" t="s">
        <v>1242</v>
      </c>
      <c r="BV26" s="12" t="s">
        <v>1243</v>
      </c>
      <c r="BW26" s="12" t="s">
        <v>1244</v>
      </c>
      <c r="BX26" s="12" t="s">
        <v>1245</v>
      </c>
      <c r="BY26" s="12" t="s">
        <v>1246</v>
      </c>
      <c r="BZ26" s="12" t="s">
        <v>1247</v>
      </c>
      <c r="CA26" s="12" t="s">
        <v>1248</v>
      </c>
      <c r="CB26" s="12" t="s">
        <v>1249</v>
      </c>
      <c r="CC26" s="12" t="s">
        <v>1250</v>
      </c>
      <c r="CD26" s="12" t="s">
        <v>1251</v>
      </c>
      <c r="CE26" s="12" t="s">
        <v>1252</v>
      </c>
      <c r="CF26" s="12" t="s">
        <v>1253</v>
      </c>
      <c r="CG26" s="12" t="s">
        <v>1254</v>
      </c>
      <c r="CH26" s="12" t="s">
        <v>1255</v>
      </c>
      <c r="CI26" s="12" t="s">
        <v>1256</v>
      </c>
      <c r="CJ26" s="12" t="s">
        <v>1257</v>
      </c>
      <c r="CK26" s="12" t="s">
        <v>1258</v>
      </c>
      <c r="CL26" s="12" t="s">
        <v>1259</v>
      </c>
      <c r="CM26" s="12" t="s">
        <v>1260</v>
      </c>
      <c r="CN26" s="12" t="s">
        <v>1261</v>
      </c>
      <c r="CO26" s="12" t="s">
        <v>1262</v>
      </c>
      <c r="CP26" s="12" t="s">
        <v>1263</v>
      </c>
      <c r="CQ26" s="12" t="s">
        <v>1264</v>
      </c>
      <c r="CR26" s="12" t="s">
        <v>1265</v>
      </c>
      <c r="CS26" s="12" t="s">
        <v>1266</v>
      </c>
      <c r="CT26" s="12" t="s">
        <v>1267</v>
      </c>
    </row>
    <row r="27" spans="1:98" hidden="1" x14ac:dyDescent="0.3">
      <c r="A27" s="12" t="s">
        <v>25</v>
      </c>
      <c r="B27" s="12" t="s">
        <v>1268</v>
      </c>
      <c r="C27" s="12" t="s">
        <v>1269</v>
      </c>
      <c r="D27" s="12" t="s">
        <v>1270</v>
      </c>
      <c r="E27" s="12" t="s">
        <v>596</v>
      </c>
      <c r="F27" s="12" t="s">
        <v>596</v>
      </c>
      <c r="G27" s="12" t="s">
        <v>596</v>
      </c>
      <c r="H27" s="12" t="s">
        <v>596</v>
      </c>
      <c r="I27" s="12" t="s">
        <v>596</v>
      </c>
      <c r="J27" s="12" t="s">
        <v>596</v>
      </c>
      <c r="K27" s="12" t="s">
        <v>596</v>
      </c>
      <c r="L27" s="12" t="s">
        <v>596</v>
      </c>
      <c r="M27" s="12" t="s">
        <v>596</v>
      </c>
      <c r="N27" s="12" t="s">
        <v>596</v>
      </c>
      <c r="O27" s="12" t="s">
        <v>596</v>
      </c>
      <c r="P27" s="12" t="s">
        <v>596</v>
      </c>
      <c r="Q27" s="12" t="s">
        <v>596</v>
      </c>
      <c r="R27" s="12" t="s">
        <v>596</v>
      </c>
      <c r="S27" s="12" t="s">
        <v>596</v>
      </c>
      <c r="T27" s="12" t="s">
        <v>596</v>
      </c>
      <c r="U27" s="12" t="s">
        <v>596</v>
      </c>
      <c r="V27" s="12" t="s">
        <v>596</v>
      </c>
      <c r="W27" s="12" t="s">
        <v>596</v>
      </c>
      <c r="X27" s="12" t="s">
        <v>596</v>
      </c>
      <c r="Y27" s="12" t="s">
        <v>596</v>
      </c>
      <c r="Z27" s="12" t="s">
        <v>596</v>
      </c>
      <c r="AA27" s="12" t="s">
        <v>596</v>
      </c>
      <c r="AB27" s="12" t="s">
        <v>596</v>
      </c>
      <c r="AC27" s="12" t="s">
        <v>596</v>
      </c>
      <c r="AD27" s="12" t="s">
        <v>596</v>
      </c>
      <c r="AE27" s="12" t="s">
        <v>596</v>
      </c>
      <c r="AF27" s="12" t="s">
        <v>596</v>
      </c>
      <c r="AG27" s="12" t="s">
        <v>596</v>
      </c>
      <c r="AH27" s="12" t="s">
        <v>596</v>
      </c>
      <c r="AI27" s="12" t="s">
        <v>596</v>
      </c>
      <c r="AJ27" s="12" t="s">
        <v>596</v>
      </c>
      <c r="AK27" s="12" t="s">
        <v>596</v>
      </c>
      <c r="AL27" s="12" t="s">
        <v>596</v>
      </c>
      <c r="AM27" s="12" t="s">
        <v>596</v>
      </c>
      <c r="AN27" s="12" t="s">
        <v>596</v>
      </c>
      <c r="AO27" s="12" t="s">
        <v>596</v>
      </c>
      <c r="AP27" s="12" t="s">
        <v>596</v>
      </c>
      <c r="AQ27" s="12" t="s">
        <v>596</v>
      </c>
      <c r="AR27" s="12" t="s">
        <v>596</v>
      </c>
      <c r="AS27" s="12" t="s">
        <v>596</v>
      </c>
      <c r="AT27" s="12" t="s">
        <v>596</v>
      </c>
      <c r="AU27" s="12" t="s">
        <v>596</v>
      </c>
      <c r="AV27" s="12" t="s">
        <v>596</v>
      </c>
      <c r="AW27" s="12" t="s">
        <v>596</v>
      </c>
      <c r="AX27" s="12" t="s">
        <v>596</v>
      </c>
      <c r="AY27" s="12" t="s">
        <v>596</v>
      </c>
      <c r="AZ27" s="12" t="s">
        <v>596</v>
      </c>
      <c r="BA27" s="12" t="s">
        <v>596</v>
      </c>
      <c r="BB27" s="12" t="s">
        <v>596</v>
      </c>
      <c r="BC27" s="12" t="s">
        <v>596</v>
      </c>
      <c r="BD27" s="12" t="s">
        <v>596</v>
      </c>
      <c r="BE27" s="12" t="s">
        <v>596</v>
      </c>
      <c r="BF27" s="12" t="s">
        <v>596</v>
      </c>
      <c r="BG27" s="12" t="s">
        <v>597</v>
      </c>
      <c r="BH27" s="12" t="s">
        <v>597</v>
      </c>
      <c r="BI27" s="12" t="s">
        <v>641</v>
      </c>
      <c r="BJ27" s="12" t="s">
        <v>641</v>
      </c>
      <c r="BK27" s="12" t="s">
        <v>641</v>
      </c>
      <c r="BL27" s="12" t="s">
        <v>641</v>
      </c>
      <c r="BM27" s="12" t="s">
        <v>641</v>
      </c>
      <c r="BN27" s="12" t="s">
        <v>599</v>
      </c>
      <c r="BO27" s="12" t="s">
        <v>869</v>
      </c>
      <c r="BP27" s="12" t="s">
        <v>869</v>
      </c>
      <c r="BQ27" s="12" t="s">
        <v>869</v>
      </c>
      <c r="BR27" s="12" t="s">
        <v>869</v>
      </c>
      <c r="BS27" s="12" t="s">
        <v>869</v>
      </c>
      <c r="BT27" s="12" t="s">
        <v>869</v>
      </c>
      <c r="BU27" s="12" t="s">
        <v>869</v>
      </c>
      <c r="BV27" s="12" t="s">
        <v>779</v>
      </c>
      <c r="BW27" s="12" t="s">
        <v>886</v>
      </c>
      <c r="BX27" s="12" t="s">
        <v>886</v>
      </c>
      <c r="BY27" s="12" t="s">
        <v>602</v>
      </c>
      <c r="BZ27" s="12" t="s">
        <v>602</v>
      </c>
      <c r="CA27" s="12" t="s">
        <v>604</v>
      </c>
      <c r="CB27" s="12" t="s">
        <v>694</v>
      </c>
      <c r="CC27" s="12" t="s">
        <v>694</v>
      </c>
      <c r="CD27" s="12" t="s">
        <v>694</v>
      </c>
      <c r="CE27" s="12" t="s">
        <v>694</v>
      </c>
      <c r="CF27" s="12" t="s">
        <v>935</v>
      </c>
      <c r="CG27" s="12" t="s">
        <v>935</v>
      </c>
      <c r="CH27" s="12" t="s">
        <v>935</v>
      </c>
      <c r="CI27" s="12" t="s">
        <v>935</v>
      </c>
      <c r="CJ27" s="12" t="s">
        <v>935</v>
      </c>
      <c r="CK27" s="12" t="s">
        <v>935</v>
      </c>
      <c r="CL27" s="12" t="s">
        <v>935</v>
      </c>
      <c r="CM27" s="12" t="s">
        <v>935</v>
      </c>
      <c r="CN27" s="12" t="s">
        <v>935</v>
      </c>
      <c r="CO27" s="12" t="s">
        <v>935</v>
      </c>
      <c r="CP27" s="12" t="s">
        <v>697</v>
      </c>
      <c r="CQ27" s="12" t="s">
        <v>697</v>
      </c>
      <c r="CR27" s="12" t="s">
        <v>697</v>
      </c>
      <c r="CS27" s="12" t="s">
        <v>697</v>
      </c>
      <c r="CT27" s="12" t="s">
        <v>697</v>
      </c>
    </row>
    <row r="28" spans="1:98" hidden="1" x14ac:dyDescent="0.3">
      <c r="A28" s="12" t="s">
        <v>25</v>
      </c>
      <c r="B28" s="12" t="s">
        <v>1271</v>
      </c>
      <c r="C28" s="12" t="s">
        <v>1272</v>
      </c>
      <c r="D28" s="12" t="s">
        <v>1273</v>
      </c>
      <c r="E28" s="12" t="s">
        <v>596</v>
      </c>
      <c r="F28" s="12" t="s">
        <v>596</v>
      </c>
      <c r="G28" s="12" t="s">
        <v>596</v>
      </c>
      <c r="H28" s="12" t="s">
        <v>596</v>
      </c>
      <c r="I28" s="12" t="s">
        <v>596</v>
      </c>
      <c r="J28" s="12" t="s">
        <v>596</v>
      </c>
      <c r="K28" s="12" t="s">
        <v>596</v>
      </c>
      <c r="L28" s="12" t="s">
        <v>596</v>
      </c>
      <c r="M28" s="12" t="s">
        <v>596</v>
      </c>
      <c r="N28" s="12" t="s">
        <v>596</v>
      </c>
      <c r="O28" s="12" t="s">
        <v>596</v>
      </c>
      <c r="P28" s="12" t="s">
        <v>596</v>
      </c>
      <c r="Q28" s="12" t="s">
        <v>596</v>
      </c>
      <c r="R28" s="12" t="s">
        <v>596</v>
      </c>
      <c r="S28" s="12" t="s">
        <v>596</v>
      </c>
      <c r="T28" s="12" t="s">
        <v>596</v>
      </c>
      <c r="U28" s="12" t="s">
        <v>596</v>
      </c>
      <c r="V28" s="12" t="s">
        <v>596</v>
      </c>
      <c r="W28" s="12" t="s">
        <v>596</v>
      </c>
      <c r="X28" s="12" t="s">
        <v>596</v>
      </c>
      <c r="Y28" s="12" t="s">
        <v>596</v>
      </c>
      <c r="Z28" s="12" t="s">
        <v>596</v>
      </c>
      <c r="AA28" s="12" t="s">
        <v>596</v>
      </c>
      <c r="AB28" s="12" t="s">
        <v>596</v>
      </c>
      <c r="AC28" s="12" t="s">
        <v>596</v>
      </c>
      <c r="AD28" s="12" t="s">
        <v>596</v>
      </c>
      <c r="AE28" s="12" t="s">
        <v>596</v>
      </c>
      <c r="AF28" s="12" t="s">
        <v>596</v>
      </c>
      <c r="AG28" s="12" t="s">
        <v>596</v>
      </c>
      <c r="AH28" s="12" t="s">
        <v>596</v>
      </c>
      <c r="AI28" s="12" t="s">
        <v>596</v>
      </c>
      <c r="AJ28" s="12" t="s">
        <v>596</v>
      </c>
      <c r="AK28" s="12" t="s">
        <v>596</v>
      </c>
      <c r="AL28" s="12" t="s">
        <v>596</v>
      </c>
      <c r="AM28" s="12" t="s">
        <v>596</v>
      </c>
      <c r="AN28" s="12" t="s">
        <v>596</v>
      </c>
      <c r="AO28" s="12" t="s">
        <v>596</v>
      </c>
      <c r="AP28" s="12" t="s">
        <v>596</v>
      </c>
      <c r="AQ28" s="12" t="s">
        <v>596</v>
      </c>
      <c r="AR28" s="12" t="s">
        <v>596</v>
      </c>
      <c r="AS28" s="12" t="s">
        <v>596</v>
      </c>
      <c r="AT28" s="12" t="s">
        <v>596</v>
      </c>
      <c r="AU28" s="12" t="s">
        <v>596</v>
      </c>
      <c r="AV28" s="12" t="s">
        <v>596</v>
      </c>
      <c r="AW28" s="12" t="s">
        <v>597</v>
      </c>
      <c r="AX28" s="12" t="s">
        <v>597</v>
      </c>
      <c r="AY28" s="12" t="s">
        <v>597</v>
      </c>
      <c r="AZ28" s="12" t="s">
        <v>597</v>
      </c>
      <c r="BA28" s="12" t="s">
        <v>597</v>
      </c>
      <c r="BB28" s="12" t="s">
        <v>597</v>
      </c>
      <c r="BC28" s="12" t="s">
        <v>597</v>
      </c>
      <c r="BD28" s="12" t="s">
        <v>597</v>
      </c>
      <c r="BE28" s="12" t="s">
        <v>597</v>
      </c>
      <c r="BF28" s="12" t="s">
        <v>597</v>
      </c>
      <c r="BG28" s="12" t="s">
        <v>597</v>
      </c>
      <c r="BH28" s="12" t="s">
        <v>597</v>
      </c>
      <c r="BI28" s="12" t="s">
        <v>597</v>
      </c>
      <c r="BJ28" s="12" t="s">
        <v>597</v>
      </c>
      <c r="BK28" s="12" t="s">
        <v>641</v>
      </c>
      <c r="BL28" s="12" t="s">
        <v>641</v>
      </c>
      <c r="BM28" s="12" t="s">
        <v>641</v>
      </c>
      <c r="BN28" s="12" t="s">
        <v>641</v>
      </c>
      <c r="BO28" s="12" t="s">
        <v>641</v>
      </c>
      <c r="BP28" s="12" t="s">
        <v>641</v>
      </c>
      <c r="BQ28" s="12" t="s">
        <v>641</v>
      </c>
      <c r="BR28" s="12" t="s">
        <v>690</v>
      </c>
      <c r="BS28" s="12" t="s">
        <v>690</v>
      </c>
      <c r="BT28" s="12" t="s">
        <v>598</v>
      </c>
      <c r="BU28" s="12" t="s">
        <v>598</v>
      </c>
      <c r="BV28" s="12" t="s">
        <v>598</v>
      </c>
      <c r="BW28" s="12" t="s">
        <v>598</v>
      </c>
      <c r="BX28" s="12" t="s">
        <v>599</v>
      </c>
      <c r="BY28" s="12" t="s">
        <v>599</v>
      </c>
      <c r="BZ28" s="12" t="s">
        <v>599</v>
      </c>
      <c r="CA28" s="12" t="s">
        <v>599</v>
      </c>
      <c r="CB28" s="12" t="s">
        <v>599</v>
      </c>
      <c r="CC28" s="12" t="s">
        <v>599</v>
      </c>
      <c r="CD28" s="12" t="s">
        <v>599</v>
      </c>
      <c r="CE28" s="12" t="s">
        <v>599</v>
      </c>
      <c r="CF28" s="12" t="s">
        <v>599</v>
      </c>
      <c r="CG28" s="12" t="s">
        <v>599</v>
      </c>
      <c r="CH28" s="12" t="s">
        <v>599</v>
      </c>
      <c r="CI28" s="12" t="s">
        <v>599</v>
      </c>
      <c r="CJ28" s="12" t="s">
        <v>599</v>
      </c>
      <c r="CK28" s="12" t="s">
        <v>599</v>
      </c>
      <c r="CL28" s="12" t="s">
        <v>599</v>
      </c>
      <c r="CM28" s="12" t="s">
        <v>599</v>
      </c>
      <c r="CN28" s="12" t="s">
        <v>599</v>
      </c>
      <c r="CO28" s="12" t="s">
        <v>599</v>
      </c>
      <c r="CP28" s="12" t="s">
        <v>599</v>
      </c>
      <c r="CQ28" s="12" t="s">
        <v>869</v>
      </c>
      <c r="CR28" s="12" t="s">
        <v>869</v>
      </c>
      <c r="CS28" s="12" t="s">
        <v>600</v>
      </c>
      <c r="CT28" s="12" t="s">
        <v>600</v>
      </c>
    </row>
    <row r="29" spans="1:98" hidden="1" x14ac:dyDescent="0.3">
      <c r="A29" s="12" t="s">
        <v>25</v>
      </c>
      <c r="B29" s="12" t="s">
        <v>1274</v>
      </c>
      <c r="C29" s="12" t="s">
        <v>1275</v>
      </c>
      <c r="D29" s="12" t="s">
        <v>1276</v>
      </c>
      <c r="E29" s="12" t="s">
        <v>596</v>
      </c>
      <c r="F29" s="12" t="s">
        <v>596</v>
      </c>
      <c r="G29" s="12" t="s">
        <v>596</v>
      </c>
      <c r="H29" s="12" t="s">
        <v>596</v>
      </c>
      <c r="I29" s="12" t="s">
        <v>596</v>
      </c>
      <c r="J29" s="12" t="s">
        <v>596</v>
      </c>
      <c r="K29" s="12" t="s">
        <v>596</v>
      </c>
      <c r="L29" s="12" t="s">
        <v>596</v>
      </c>
      <c r="M29" s="12" t="s">
        <v>596</v>
      </c>
      <c r="N29" s="12" t="s">
        <v>596</v>
      </c>
      <c r="O29" s="12" t="s">
        <v>596</v>
      </c>
      <c r="P29" s="12" t="s">
        <v>596</v>
      </c>
      <c r="Q29" s="12" t="s">
        <v>596</v>
      </c>
      <c r="R29" s="12" t="s">
        <v>596</v>
      </c>
      <c r="S29" s="12" t="s">
        <v>596</v>
      </c>
      <c r="T29" s="12" t="s">
        <v>596</v>
      </c>
      <c r="U29" s="12" t="s">
        <v>596</v>
      </c>
      <c r="V29" s="12" t="s">
        <v>596</v>
      </c>
      <c r="W29" s="12" t="s">
        <v>596</v>
      </c>
      <c r="X29" s="12" t="s">
        <v>596</v>
      </c>
      <c r="Y29" s="12" t="s">
        <v>596</v>
      </c>
      <c r="Z29" s="12" t="s">
        <v>596</v>
      </c>
      <c r="AA29" s="12" t="s">
        <v>596</v>
      </c>
      <c r="AB29" s="12" t="s">
        <v>596</v>
      </c>
      <c r="AC29" s="12" t="s">
        <v>596</v>
      </c>
      <c r="AD29" s="12" t="s">
        <v>596</v>
      </c>
      <c r="AE29" s="12" t="s">
        <v>596</v>
      </c>
      <c r="AF29" s="12" t="s">
        <v>596</v>
      </c>
      <c r="AG29" s="12" t="s">
        <v>596</v>
      </c>
      <c r="AH29" s="12" t="s">
        <v>596</v>
      </c>
      <c r="AI29" s="12" t="s">
        <v>596</v>
      </c>
      <c r="AJ29" s="12" t="s">
        <v>596</v>
      </c>
      <c r="AK29" s="12" t="s">
        <v>596</v>
      </c>
      <c r="AL29" s="12" t="s">
        <v>596</v>
      </c>
      <c r="AM29" s="12" t="s">
        <v>596</v>
      </c>
      <c r="AN29" s="12" t="s">
        <v>596</v>
      </c>
      <c r="AO29" s="12" t="s">
        <v>596</v>
      </c>
      <c r="AP29" s="12" t="s">
        <v>596</v>
      </c>
      <c r="AQ29" s="12" t="s">
        <v>596</v>
      </c>
      <c r="AR29" s="12" t="s">
        <v>596</v>
      </c>
      <c r="AS29" s="12" t="s">
        <v>596</v>
      </c>
      <c r="AT29" s="12" t="s">
        <v>596</v>
      </c>
      <c r="AU29" s="12" t="s">
        <v>596</v>
      </c>
      <c r="AV29" s="12" t="s">
        <v>596</v>
      </c>
      <c r="AW29" s="12" t="s">
        <v>596</v>
      </c>
      <c r="AX29" s="12" t="s">
        <v>596</v>
      </c>
      <c r="AY29" s="12" t="s">
        <v>596</v>
      </c>
      <c r="AZ29" s="12" t="s">
        <v>596</v>
      </c>
      <c r="BA29" s="12" t="s">
        <v>596</v>
      </c>
      <c r="BB29" s="12" t="s">
        <v>641</v>
      </c>
      <c r="BC29" s="12" t="s">
        <v>641</v>
      </c>
      <c r="BD29" s="12" t="s">
        <v>690</v>
      </c>
      <c r="BE29" s="12" t="s">
        <v>642</v>
      </c>
      <c r="BF29" s="12" t="s">
        <v>642</v>
      </c>
      <c r="BG29" s="12" t="s">
        <v>601</v>
      </c>
      <c r="BH29" s="12" t="s">
        <v>601</v>
      </c>
      <c r="BI29" s="12" t="s">
        <v>643</v>
      </c>
      <c r="BJ29" s="12" t="s">
        <v>643</v>
      </c>
      <c r="BK29" s="12" t="s">
        <v>780</v>
      </c>
      <c r="BL29" s="12" t="s">
        <v>692</v>
      </c>
      <c r="BM29" s="12" t="s">
        <v>605</v>
      </c>
      <c r="BN29" s="12" t="s">
        <v>931</v>
      </c>
      <c r="BO29" s="12" t="s">
        <v>971</v>
      </c>
      <c r="BP29" s="12" t="s">
        <v>870</v>
      </c>
      <c r="BQ29" s="12" t="s">
        <v>1277</v>
      </c>
      <c r="BR29" s="12" t="s">
        <v>937</v>
      </c>
      <c r="BS29" s="12" t="s">
        <v>607</v>
      </c>
      <c r="BT29" s="12" t="s">
        <v>1202</v>
      </c>
      <c r="BU29" s="12" t="s">
        <v>790</v>
      </c>
      <c r="BV29" s="12" t="s">
        <v>1278</v>
      </c>
      <c r="BW29" s="12" t="s">
        <v>829</v>
      </c>
      <c r="BX29" s="12" t="s">
        <v>656</v>
      </c>
      <c r="BY29" s="12" t="s">
        <v>1279</v>
      </c>
      <c r="BZ29" s="12" t="s">
        <v>701</v>
      </c>
      <c r="CA29" s="12" t="s">
        <v>1280</v>
      </c>
      <c r="CB29" s="12" t="s">
        <v>1281</v>
      </c>
      <c r="CC29" s="12" t="s">
        <v>832</v>
      </c>
      <c r="CD29" s="12" t="s">
        <v>893</v>
      </c>
      <c r="CE29" s="12" t="s">
        <v>704</v>
      </c>
      <c r="CF29" s="12" t="s">
        <v>1282</v>
      </c>
      <c r="CG29" s="12" t="s">
        <v>1283</v>
      </c>
      <c r="CH29" s="12" t="s">
        <v>1284</v>
      </c>
      <c r="CI29" s="12" t="s">
        <v>1182</v>
      </c>
      <c r="CJ29" s="12" t="s">
        <v>1285</v>
      </c>
      <c r="CK29" s="12" t="s">
        <v>942</v>
      </c>
      <c r="CL29" s="12" t="s">
        <v>1286</v>
      </c>
      <c r="CM29" s="12" t="s">
        <v>1287</v>
      </c>
      <c r="CN29" s="12" t="s">
        <v>944</v>
      </c>
      <c r="CO29" s="12" t="s">
        <v>1014</v>
      </c>
      <c r="CP29" s="12" t="s">
        <v>757</v>
      </c>
      <c r="CQ29" s="12" t="s">
        <v>1288</v>
      </c>
      <c r="CR29" s="12" t="s">
        <v>683</v>
      </c>
      <c r="CS29" s="12" t="s">
        <v>1289</v>
      </c>
      <c r="CT29" s="12" t="s">
        <v>1290</v>
      </c>
    </row>
    <row r="30" spans="1:98" hidden="1" x14ac:dyDescent="0.3">
      <c r="A30" s="12" t="s">
        <v>25</v>
      </c>
      <c r="B30" s="12" t="s">
        <v>1291</v>
      </c>
      <c r="C30" s="12" t="s">
        <v>1292</v>
      </c>
      <c r="D30" s="12" t="s">
        <v>1293</v>
      </c>
      <c r="E30" s="12" t="s">
        <v>596</v>
      </c>
      <c r="F30" s="12" t="s">
        <v>596</v>
      </c>
      <c r="G30" s="12" t="s">
        <v>596</v>
      </c>
      <c r="H30" s="12" t="s">
        <v>596</v>
      </c>
      <c r="I30" s="12" t="s">
        <v>596</v>
      </c>
      <c r="J30" s="12" t="s">
        <v>596</v>
      </c>
      <c r="K30" s="12" t="s">
        <v>596</v>
      </c>
      <c r="L30" s="12" t="s">
        <v>596</v>
      </c>
      <c r="M30" s="12" t="s">
        <v>596</v>
      </c>
      <c r="N30" s="12" t="s">
        <v>596</v>
      </c>
      <c r="O30" s="12" t="s">
        <v>596</v>
      </c>
      <c r="P30" s="12" t="s">
        <v>596</v>
      </c>
      <c r="Q30" s="12" t="s">
        <v>596</v>
      </c>
      <c r="R30" s="12" t="s">
        <v>596</v>
      </c>
      <c r="S30" s="12" t="s">
        <v>596</v>
      </c>
      <c r="T30" s="12" t="s">
        <v>596</v>
      </c>
      <c r="U30" s="12" t="s">
        <v>596</v>
      </c>
      <c r="V30" s="12" t="s">
        <v>596</v>
      </c>
      <c r="W30" s="12" t="s">
        <v>596</v>
      </c>
      <c r="X30" s="12" t="s">
        <v>596</v>
      </c>
      <c r="Y30" s="12" t="s">
        <v>596</v>
      </c>
      <c r="Z30" s="12" t="s">
        <v>596</v>
      </c>
      <c r="AA30" s="12" t="s">
        <v>596</v>
      </c>
      <c r="AB30" s="12" t="s">
        <v>596</v>
      </c>
      <c r="AC30" s="12" t="s">
        <v>596</v>
      </c>
      <c r="AD30" s="12" t="s">
        <v>596</v>
      </c>
      <c r="AE30" s="12" t="s">
        <v>596</v>
      </c>
      <c r="AF30" s="12" t="s">
        <v>596</v>
      </c>
      <c r="AG30" s="12" t="s">
        <v>596</v>
      </c>
      <c r="AH30" s="12" t="s">
        <v>596</v>
      </c>
      <c r="AI30" s="12" t="s">
        <v>596</v>
      </c>
      <c r="AJ30" s="12" t="s">
        <v>596</v>
      </c>
      <c r="AK30" s="12" t="s">
        <v>596</v>
      </c>
      <c r="AL30" s="12" t="s">
        <v>596</v>
      </c>
      <c r="AM30" s="12" t="s">
        <v>596</v>
      </c>
      <c r="AN30" s="12" t="s">
        <v>596</v>
      </c>
      <c r="AO30" s="12" t="s">
        <v>596</v>
      </c>
      <c r="AP30" s="12" t="s">
        <v>596</v>
      </c>
      <c r="AQ30" s="12" t="s">
        <v>596</v>
      </c>
      <c r="AR30" s="12" t="s">
        <v>596</v>
      </c>
      <c r="AS30" s="12" t="s">
        <v>596</v>
      </c>
      <c r="AT30" s="12" t="s">
        <v>596</v>
      </c>
      <c r="AU30" s="12" t="s">
        <v>596</v>
      </c>
      <c r="AV30" s="12" t="s">
        <v>641</v>
      </c>
      <c r="AW30" s="12" t="s">
        <v>641</v>
      </c>
      <c r="AX30" s="12" t="s">
        <v>690</v>
      </c>
      <c r="AY30" s="12" t="s">
        <v>690</v>
      </c>
      <c r="AZ30" s="12" t="s">
        <v>690</v>
      </c>
      <c r="BA30" s="12" t="s">
        <v>599</v>
      </c>
      <c r="BB30" s="12" t="s">
        <v>600</v>
      </c>
      <c r="BC30" s="12" t="s">
        <v>601</v>
      </c>
      <c r="BD30" s="12" t="s">
        <v>886</v>
      </c>
      <c r="BE30" s="12" t="s">
        <v>826</v>
      </c>
      <c r="BF30" s="12" t="s">
        <v>605</v>
      </c>
      <c r="BG30" s="12" t="s">
        <v>775</v>
      </c>
      <c r="BH30" s="12" t="s">
        <v>694</v>
      </c>
      <c r="BI30" s="12" t="s">
        <v>646</v>
      </c>
      <c r="BJ30" s="12" t="s">
        <v>1198</v>
      </c>
      <c r="BK30" s="12" t="s">
        <v>654</v>
      </c>
      <c r="BL30" s="12" t="s">
        <v>876</v>
      </c>
      <c r="BM30" s="12" t="s">
        <v>1294</v>
      </c>
      <c r="BN30" s="12" t="s">
        <v>830</v>
      </c>
      <c r="BO30" s="12" t="s">
        <v>1295</v>
      </c>
      <c r="BP30" s="12" t="s">
        <v>1296</v>
      </c>
      <c r="BQ30" s="12" t="s">
        <v>1297</v>
      </c>
      <c r="BR30" s="12" t="s">
        <v>614</v>
      </c>
      <c r="BS30" s="12" t="s">
        <v>1298</v>
      </c>
      <c r="BT30" s="12" t="s">
        <v>1299</v>
      </c>
      <c r="BU30" s="12" t="s">
        <v>1300</v>
      </c>
      <c r="BV30" s="12" t="s">
        <v>981</v>
      </c>
      <c r="BW30" s="12" t="s">
        <v>1301</v>
      </c>
      <c r="BX30" s="12" t="s">
        <v>1302</v>
      </c>
      <c r="BY30" s="12" t="s">
        <v>1303</v>
      </c>
      <c r="BZ30" s="12" t="s">
        <v>1304</v>
      </c>
      <c r="CA30" s="12" t="s">
        <v>1305</v>
      </c>
      <c r="CB30" s="12" t="s">
        <v>1306</v>
      </c>
      <c r="CC30" s="12" t="s">
        <v>1307</v>
      </c>
      <c r="CD30" s="12" t="s">
        <v>1308</v>
      </c>
      <c r="CE30" s="12" t="s">
        <v>1309</v>
      </c>
      <c r="CF30" s="12" t="s">
        <v>1310</v>
      </c>
      <c r="CG30" s="12" t="s">
        <v>1311</v>
      </c>
      <c r="CH30" s="12" t="s">
        <v>1312</v>
      </c>
      <c r="CI30" s="12" t="s">
        <v>1313</v>
      </c>
      <c r="CJ30" s="12" t="s">
        <v>1314</v>
      </c>
      <c r="CK30" s="12" t="s">
        <v>1315</v>
      </c>
      <c r="CL30" s="12" t="s">
        <v>1316</v>
      </c>
      <c r="CM30" s="12" t="s">
        <v>1317</v>
      </c>
      <c r="CN30" s="12" t="s">
        <v>1030</v>
      </c>
      <c r="CO30" s="12" t="s">
        <v>1318</v>
      </c>
      <c r="CP30" s="12" t="s">
        <v>1319</v>
      </c>
      <c r="CQ30" s="12" t="s">
        <v>1320</v>
      </c>
      <c r="CR30" s="12" t="s">
        <v>1321</v>
      </c>
      <c r="CS30" s="12" t="s">
        <v>1322</v>
      </c>
      <c r="CT30" s="12" t="s">
        <v>1323</v>
      </c>
    </row>
    <row r="31" spans="1:98" hidden="1" x14ac:dyDescent="0.3">
      <c r="A31" s="12" t="s">
        <v>25</v>
      </c>
      <c r="B31" s="12" t="s">
        <v>1324</v>
      </c>
      <c r="C31" s="12" t="s">
        <v>1325</v>
      </c>
      <c r="D31" s="12" t="s">
        <v>1326</v>
      </c>
      <c r="E31" s="12" t="s">
        <v>596</v>
      </c>
      <c r="F31" s="12" t="s">
        <v>596</v>
      </c>
      <c r="G31" s="12" t="s">
        <v>596</v>
      </c>
      <c r="H31" s="12" t="s">
        <v>596</v>
      </c>
      <c r="I31" s="12" t="s">
        <v>596</v>
      </c>
      <c r="J31" s="12" t="s">
        <v>596</v>
      </c>
      <c r="K31" s="12" t="s">
        <v>596</v>
      </c>
      <c r="L31" s="12" t="s">
        <v>596</v>
      </c>
      <c r="M31" s="12" t="s">
        <v>596</v>
      </c>
      <c r="N31" s="12" t="s">
        <v>596</v>
      </c>
      <c r="O31" s="12" t="s">
        <v>596</v>
      </c>
      <c r="P31" s="12" t="s">
        <v>596</v>
      </c>
      <c r="Q31" s="12" t="s">
        <v>596</v>
      </c>
      <c r="R31" s="12" t="s">
        <v>596</v>
      </c>
      <c r="S31" s="12" t="s">
        <v>596</v>
      </c>
      <c r="T31" s="12" t="s">
        <v>596</v>
      </c>
      <c r="U31" s="12" t="s">
        <v>596</v>
      </c>
      <c r="V31" s="12" t="s">
        <v>596</v>
      </c>
      <c r="W31" s="12" t="s">
        <v>596</v>
      </c>
      <c r="X31" s="12" t="s">
        <v>596</v>
      </c>
      <c r="Y31" s="12" t="s">
        <v>596</v>
      </c>
      <c r="Z31" s="12" t="s">
        <v>596</v>
      </c>
      <c r="AA31" s="12" t="s">
        <v>596</v>
      </c>
      <c r="AB31" s="12" t="s">
        <v>596</v>
      </c>
      <c r="AC31" s="12" t="s">
        <v>596</v>
      </c>
      <c r="AD31" s="12" t="s">
        <v>596</v>
      </c>
      <c r="AE31" s="12" t="s">
        <v>596</v>
      </c>
      <c r="AF31" s="12" t="s">
        <v>596</v>
      </c>
      <c r="AG31" s="12" t="s">
        <v>596</v>
      </c>
      <c r="AH31" s="12" t="s">
        <v>596</v>
      </c>
      <c r="AI31" s="12" t="s">
        <v>596</v>
      </c>
      <c r="AJ31" s="12" t="s">
        <v>596</v>
      </c>
      <c r="AK31" s="12" t="s">
        <v>596</v>
      </c>
      <c r="AL31" s="12" t="s">
        <v>596</v>
      </c>
      <c r="AM31" s="12" t="s">
        <v>596</v>
      </c>
      <c r="AN31" s="12" t="s">
        <v>597</v>
      </c>
      <c r="AO31" s="12" t="s">
        <v>597</v>
      </c>
      <c r="AP31" s="12" t="s">
        <v>597</v>
      </c>
      <c r="AQ31" s="12" t="s">
        <v>641</v>
      </c>
      <c r="AR31" s="12" t="s">
        <v>641</v>
      </c>
      <c r="AS31" s="12" t="s">
        <v>641</v>
      </c>
      <c r="AT31" s="12" t="s">
        <v>641</v>
      </c>
      <c r="AU31" s="12" t="s">
        <v>598</v>
      </c>
      <c r="AV31" s="12" t="s">
        <v>598</v>
      </c>
      <c r="AW31" s="12" t="s">
        <v>886</v>
      </c>
      <c r="AX31" s="12" t="s">
        <v>886</v>
      </c>
      <c r="AY31" s="12" t="s">
        <v>693</v>
      </c>
      <c r="AZ31" s="12" t="s">
        <v>775</v>
      </c>
      <c r="BA31" s="12" t="s">
        <v>784</v>
      </c>
      <c r="BB31" s="12" t="s">
        <v>646</v>
      </c>
      <c r="BC31" s="12" t="s">
        <v>827</v>
      </c>
      <c r="BD31" s="12" t="s">
        <v>1327</v>
      </c>
      <c r="BE31" s="12" t="s">
        <v>1327</v>
      </c>
      <c r="BF31" s="12" t="s">
        <v>1328</v>
      </c>
      <c r="BG31" s="12" t="s">
        <v>1003</v>
      </c>
      <c r="BH31" s="12" t="s">
        <v>1329</v>
      </c>
      <c r="BI31" s="12" t="s">
        <v>1330</v>
      </c>
      <c r="BJ31" s="12" t="s">
        <v>1183</v>
      </c>
      <c r="BK31" s="12" t="s">
        <v>1331</v>
      </c>
      <c r="BL31" s="12" t="s">
        <v>1332</v>
      </c>
      <c r="BM31" s="12" t="s">
        <v>1333</v>
      </c>
      <c r="BN31" s="12" t="s">
        <v>1334</v>
      </c>
      <c r="BO31" s="12" t="s">
        <v>1335</v>
      </c>
      <c r="BP31" s="12" t="s">
        <v>1336</v>
      </c>
      <c r="BQ31" s="12" t="s">
        <v>1337</v>
      </c>
      <c r="BR31" s="12" t="s">
        <v>1338</v>
      </c>
      <c r="BS31" s="12" t="s">
        <v>1339</v>
      </c>
      <c r="BT31" s="12" t="s">
        <v>1340</v>
      </c>
      <c r="BU31" s="12" t="s">
        <v>1341</v>
      </c>
      <c r="BV31" s="12" t="s">
        <v>1342</v>
      </c>
      <c r="BW31" s="12" t="s">
        <v>1343</v>
      </c>
      <c r="BX31" s="12" t="s">
        <v>1344</v>
      </c>
      <c r="BY31" s="12" t="s">
        <v>1345</v>
      </c>
      <c r="BZ31" s="12" t="s">
        <v>1346</v>
      </c>
      <c r="CA31" s="12" t="s">
        <v>1347</v>
      </c>
      <c r="CB31" s="12" t="s">
        <v>1348</v>
      </c>
      <c r="CC31" s="12" t="s">
        <v>1349</v>
      </c>
      <c r="CD31" s="12" t="s">
        <v>1350</v>
      </c>
      <c r="CE31" s="12" t="s">
        <v>1351</v>
      </c>
      <c r="CF31" s="12" t="s">
        <v>1352</v>
      </c>
      <c r="CG31" s="12" t="s">
        <v>1353</v>
      </c>
      <c r="CH31" s="12" t="s">
        <v>1354</v>
      </c>
      <c r="CI31" s="12" t="s">
        <v>1355</v>
      </c>
      <c r="CJ31" s="12" t="s">
        <v>1356</v>
      </c>
      <c r="CK31" s="12" t="s">
        <v>1357</v>
      </c>
      <c r="CL31" s="12" t="s">
        <v>1358</v>
      </c>
      <c r="CM31" s="12" t="s">
        <v>1359</v>
      </c>
      <c r="CN31" s="12" t="s">
        <v>1360</v>
      </c>
      <c r="CO31" s="12" t="s">
        <v>1361</v>
      </c>
      <c r="CP31" s="12" t="s">
        <v>1362</v>
      </c>
      <c r="CQ31" s="12" t="s">
        <v>1363</v>
      </c>
      <c r="CR31" s="12" t="s">
        <v>1364</v>
      </c>
      <c r="CS31" s="12" t="s">
        <v>1365</v>
      </c>
      <c r="CT31" s="12" t="s">
        <v>1366</v>
      </c>
    </row>
    <row r="32" spans="1:98" hidden="1" x14ac:dyDescent="0.3">
      <c r="A32" s="12" t="s">
        <v>25</v>
      </c>
      <c r="B32" s="12" t="s">
        <v>1367</v>
      </c>
      <c r="C32" s="12" t="s">
        <v>1368</v>
      </c>
      <c r="D32" s="12" t="s">
        <v>1369</v>
      </c>
      <c r="E32" s="12" t="s">
        <v>596</v>
      </c>
      <c r="F32" s="12" t="s">
        <v>596</v>
      </c>
      <c r="G32" s="12" t="s">
        <v>596</v>
      </c>
      <c r="H32" s="12" t="s">
        <v>596</v>
      </c>
      <c r="I32" s="12" t="s">
        <v>596</v>
      </c>
      <c r="J32" s="12" t="s">
        <v>596</v>
      </c>
      <c r="K32" s="12" t="s">
        <v>596</v>
      </c>
      <c r="L32" s="12" t="s">
        <v>596</v>
      </c>
      <c r="M32" s="12" t="s">
        <v>596</v>
      </c>
      <c r="N32" s="12" t="s">
        <v>596</v>
      </c>
      <c r="O32" s="12" t="s">
        <v>596</v>
      </c>
      <c r="P32" s="12" t="s">
        <v>596</v>
      </c>
      <c r="Q32" s="12" t="s">
        <v>596</v>
      </c>
      <c r="R32" s="12" t="s">
        <v>596</v>
      </c>
      <c r="S32" s="12" t="s">
        <v>596</v>
      </c>
      <c r="T32" s="12" t="s">
        <v>596</v>
      </c>
      <c r="U32" s="12" t="s">
        <v>596</v>
      </c>
      <c r="V32" s="12" t="s">
        <v>596</v>
      </c>
      <c r="W32" s="12" t="s">
        <v>596</v>
      </c>
      <c r="X32" s="12" t="s">
        <v>596</v>
      </c>
      <c r="Y32" s="12" t="s">
        <v>596</v>
      </c>
      <c r="Z32" s="12" t="s">
        <v>596</v>
      </c>
      <c r="AA32" s="12" t="s">
        <v>596</v>
      </c>
      <c r="AB32" s="12" t="s">
        <v>596</v>
      </c>
      <c r="AC32" s="12" t="s">
        <v>596</v>
      </c>
      <c r="AD32" s="12" t="s">
        <v>596</v>
      </c>
      <c r="AE32" s="12" t="s">
        <v>596</v>
      </c>
      <c r="AF32" s="12" t="s">
        <v>596</v>
      </c>
      <c r="AG32" s="12" t="s">
        <v>596</v>
      </c>
      <c r="AH32" s="12" t="s">
        <v>596</v>
      </c>
      <c r="AI32" s="12" t="s">
        <v>596</v>
      </c>
      <c r="AJ32" s="12" t="s">
        <v>596</v>
      </c>
      <c r="AK32" s="12" t="s">
        <v>596</v>
      </c>
      <c r="AL32" s="12" t="s">
        <v>596</v>
      </c>
      <c r="AM32" s="12" t="s">
        <v>596</v>
      </c>
      <c r="AN32" s="12" t="s">
        <v>596</v>
      </c>
      <c r="AO32" s="12" t="s">
        <v>596</v>
      </c>
      <c r="AP32" s="12" t="s">
        <v>596</v>
      </c>
      <c r="AQ32" s="12" t="s">
        <v>596</v>
      </c>
      <c r="AR32" s="12" t="s">
        <v>596</v>
      </c>
      <c r="AS32" s="12" t="s">
        <v>596</v>
      </c>
      <c r="AT32" s="12" t="s">
        <v>596</v>
      </c>
      <c r="AU32" s="12" t="s">
        <v>596</v>
      </c>
      <c r="AV32" s="12" t="s">
        <v>596</v>
      </c>
      <c r="AW32" s="12" t="s">
        <v>596</v>
      </c>
      <c r="AX32" s="12" t="s">
        <v>596</v>
      </c>
      <c r="AY32" s="12" t="s">
        <v>596</v>
      </c>
      <c r="AZ32" s="12" t="s">
        <v>597</v>
      </c>
      <c r="BA32" s="12" t="s">
        <v>597</v>
      </c>
      <c r="BB32" s="12" t="s">
        <v>601</v>
      </c>
      <c r="BC32" s="12" t="s">
        <v>601</v>
      </c>
      <c r="BD32" s="12" t="s">
        <v>695</v>
      </c>
      <c r="BE32" s="12" t="s">
        <v>606</v>
      </c>
      <c r="BF32" s="12" t="s">
        <v>972</v>
      </c>
      <c r="BG32" s="12" t="s">
        <v>697</v>
      </c>
      <c r="BH32" s="12" t="s">
        <v>787</v>
      </c>
      <c r="BI32" s="12" t="s">
        <v>788</v>
      </c>
      <c r="BJ32" s="12" t="s">
        <v>738</v>
      </c>
      <c r="BK32" s="12" t="s">
        <v>828</v>
      </c>
      <c r="BL32" s="12" t="s">
        <v>1370</v>
      </c>
      <c r="BM32" s="12" t="s">
        <v>739</v>
      </c>
      <c r="BN32" s="12" t="s">
        <v>875</v>
      </c>
      <c r="BO32" s="12" t="s">
        <v>655</v>
      </c>
      <c r="BP32" s="12" t="s">
        <v>1226</v>
      </c>
      <c r="BQ32" s="12" t="s">
        <v>1371</v>
      </c>
      <c r="BR32" s="12" t="s">
        <v>829</v>
      </c>
      <c r="BS32" s="12" t="s">
        <v>611</v>
      </c>
      <c r="BT32" s="12" t="s">
        <v>1294</v>
      </c>
      <c r="BU32" s="12" t="s">
        <v>1372</v>
      </c>
      <c r="BV32" s="12" t="s">
        <v>1373</v>
      </c>
      <c r="BW32" s="12" t="s">
        <v>1065</v>
      </c>
      <c r="BX32" s="12" t="s">
        <v>741</v>
      </c>
      <c r="BY32" s="12" t="s">
        <v>891</v>
      </c>
      <c r="BZ32" s="12" t="s">
        <v>1374</v>
      </c>
      <c r="CA32" s="12" t="s">
        <v>1374</v>
      </c>
      <c r="CB32" s="12" t="s">
        <v>1374</v>
      </c>
      <c r="CC32" s="12" t="s">
        <v>1374</v>
      </c>
      <c r="CD32" s="12" t="s">
        <v>1374</v>
      </c>
      <c r="CE32" s="12" t="s">
        <v>1374</v>
      </c>
      <c r="CF32" s="12" t="s">
        <v>830</v>
      </c>
      <c r="CG32" s="12" t="s">
        <v>830</v>
      </c>
      <c r="CH32" s="12" t="s">
        <v>830</v>
      </c>
      <c r="CI32" s="12" t="s">
        <v>830</v>
      </c>
      <c r="CJ32" s="12" t="s">
        <v>830</v>
      </c>
      <c r="CK32" s="12" t="s">
        <v>830</v>
      </c>
      <c r="CL32" s="12" t="s">
        <v>830</v>
      </c>
      <c r="CM32" s="12" t="s">
        <v>830</v>
      </c>
      <c r="CN32" s="12" t="s">
        <v>1375</v>
      </c>
      <c r="CO32" s="12" t="s">
        <v>1376</v>
      </c>
      <c r="CP32" s="12" t="s">
        <v>1376</v>
      </c>
      <c r="CQ32" s="12" t="s">
        <v>1376</v>
      </c>
      <c r="CR32" s="12" t="s">
        <v>1376</v>
      </c>
      <c r="CS32" s="12" t="s">
        <v>1376</v>
      </c>
      <c r="CT32" s="12" t="s">
        <v>1376</v>
      </c>
    </row>
    <row r="33" spans="1:98" hidden="1" x14ac:dyDescent="0.3">
      <c r="A33" s="12" t="s">
        <v>25</v>
      </c>
      <c r="B33" s="12" t="s">
        <v>1377</v>
      </c>
      <c r="C33" s="12" t="s">
        <v>1378</v>
      </c>
      <c r="D33" s="12" t="s">
        <v>1379</v>
      </c>
      <c r="E33" s="12" t="s">
        <v>596</v>
      </c>
      <c r="F33" s="12" t="s">
        <v>596</v>
      </c>
      <c r="G33" s="12" t="s">
        <v>596</v>
      </c>
      <c r="H33" s="12" t="s">
        <v>596</v>
      </c>
      <c r="I33" s="12" t="s">
        <v>596</v>
      </c>
      <c r="J33" s="12" t="s">
        <v>596</v>
      </c>
      <c r="K33" s="12" t="s">
        <v>596</v>
      </c>
      <c r="L33" s="12" t="s">
        <v>596</v>
      </c>
      <c r="M33" s="12" t="s">
        <v>596</v>
      </c>
      <c r="N33" s="12" t="s">
        <v>596</v>
      </c>
      <c r="O33" s="12" t="s">
        <v>596</v>
      </c>
      <c r="P33" s="12" t="s">
        <v>596</v>
      </c>
      <c r="Q33" s="12" t="s">
        <v>596</v>
      </c>
      <c r="R33" s="12" t="s">
        <v>596</v>
      </c>
      <c r="S33" s="12" t="s">
        <v>596</v>
      </c>
      <c r="T33" s="12" t="s">
        <v>596</v>
      </c>
      <c r="U33" s="12" t="s">
        <v>596</v>
      </c>
      <c r="V33" s="12" t="s">
        <v>596</v>
      </c>
      <c r="W33" s="12" t="s">
        <v>596</v>
      </c>
      <c r="X33" s="12" t="s">
        <v>596</v>
      </c>
      <c r="Y33" s="12" t="s">
        <v>596</v>
      </c>
      <c r="Z33" s="12" t="s">
        <v>596</v>
      </c>
      <c r="AA33" s="12" t="s">
        <v>596</v>
      </c>
      <c r="AB33" s="12" t="s">
        <v>596</v>
      </c>
      <c r="AC33" s="12" t="s">
        <v>596</v>
      </c>
      <c r="AD33" s="12" t="s">
        <v>596</v>
      </c>
      <c r="AE33" s="12" t="s">
        <v>596</v>
      </c>
      <c r="AF33" s="12" t="s">
        <v>596</v>
      </c>
      <c r="AG33" s="12" t="s">
        <v>596</v>
      </c>
      <c r="AH33" s="12" t="s">
        <v>596</v>
      </c>
      <c r="AI33" s="12" t="s">
        <v>596</v>
      </c>
      <c r="AJ33" s="12" t="s">
        <v>596</v>
      </c>
      <c r="AK33" s="12" t="s">
        <v>596</v>
      </c>
      <c r="AL33" s="12" t="s">
        <v>596</v>
      </c>
      <c r="AM33" s="12" t="s">
        <v>596</v>
      </c>
      <c r="AN33" s="12" t="s">
        <v>596</v>
      </c>
      <c r="AO33" s="12" t="s">
        <v>596</v>
      </c>
      <c r="AP33" s="12" t="s">
        <v>596</v>
      </c>
      <c r="AQ33" s="12" t="s">
        <v>596</v>
      </c>
      <c r="AR33" s="12" t="s">
        <v>596</v>
      </c>
      <c r="AS33" s="12" t="s">
        <v>596</v>
      </c>
      <c r="AT33" s="12" t="s">
        <v>596</v>
      </c>
      <c r="AU33" s="12" t="s">
        <v>596</v>
      </c>
      <c r="AV33" s="12" t="s">
        <v>596</v>
      </c>
      <c r="AW33" s="12" t="s">
        <v>596</v>
      </c>
      <c r="AX33" s="12" t="s">
        <v>596</v>
      </c>
      <c r="AY33" s="12" t="s">
        <v>598</v>
      </c>
      <c r="AZ33" s="12" t="s">
        <v>598</v>
      </c>
      <c r="BA33" s="12" t="s">
        <v>598</v>
      </c>
      <c r="BB33" s="12" t="s">
        <v>600</v>
      </c>
      <c r="BC33" s="12" t="s">
        <v>600</v>
      </c>
      <c r="BD33" s="12" t="s">
        <v>644</v>
      </c>
      <c r="BE33" s="12" t="s">
        <v>1064</v>
      </c>
      <c r="BF33" s="12" t="s">
        <v>648</v>
      </c>
      <c r="BG33" s="12" t="s">
        <v>827</v>
      </c>
      <c r="BH33" s="12" t="s">
        <v>973</v>
      </c>
      <c r="BI33" s="12" t="s">
        <v>889</v>
      </c>
      <c r="BJ33" s="12" t="s">
        <v>609</v>
      </c>
      <c r="BK33" s="12" t="s">
        <v>1372</v>
      </c>
      <c r="BL33" s="12" t="s">
        <v>1204</v>
      </c>
      <c r="BM33" s="12" t="s">
        <v>1380</v>
      </c>
      <c r="BN33" s="12" t="s">
        <v>702</v>
      </c>
      <c r="BO33" s="12" t="s">
        <v>1181</v>
      </c>
      <c r="BP33" s="12" t="s">
        <v>1381</v>
      </c>
      <c r="BQ33" s="12" t="s">
        <v>704</v>
      </c>
      <c r="BR33" s="12" t="s">
        <v>1382</v>
      </c>
      <c r="BS33" s="12" t="s">
        <v>1383</v>
      </c>
      <c r="BT33" s="12" t="s">
        <v>1384</v>
      </c>
      <c r="BU33" s="12" t="s">
        <v>1117</v>
      </c>
      <c r="BV33" s="12" t="s">
        <v>1385</v>
      </c>
      <c r="BW33" s="12" t="s">
        <v>1386</v>
      </c>
      <c r="BX33" s="12" t="s">
        <v>1387</v>
      </c>
      <c r="BY33" s="12" t="s">
        <v>1388</v>
      </c>
      <c r="BZ33" s="12" t="s">
        <v>1389</v>
      </c>
      <c r="CA33" s="12" t="s">
        <v>1390</v>
      </c>
      <c r="CB33" s="12" t="s">
        <v>1391</v>
      </c>
      <c r="CC33" s="12" t="s">
        <v>1392</v>
      </c>
      <c r="CD33" s="12" t="s">
        <v>1393</v>
      </c>
      <c r="CE33" s="12" t="s">
        <v>1394</v>
      </c>
      <c r="CF33" s="12" t="s">
        <v>1395</v>
      </c>
      <c r="CG33" s="12" t="s">
        <v>1396</v>
      </c>
      <c r="CH33" s="12" t="s">
        <v>1397</v>
      </c>
      <c r="CI33" s="12" t="s">
        <v>1016</v>
      </c>
      <c r="CJ33" s="12" t="s">
        <v>766</v>
      </c>
      <c r="CK33" s="12" t="s">
        <v>1398</v>
      </c>
      <c r="CL33" s="12" t="s">
        <v>1399</v>
      </c>
      <c r="CM33" s="12" t="s">
        <v>1400</v>
      </c>
      <c r="CN33" s="12" t="s">
        <v>1401</v>
      </c>
      <c r="CO33" s="12" t="s">
        <v>1402</v>
      </c>
      <c r="CP33" s="12" t="s">
        <v>1403</v>
      </c>
      <c r="CQ33" s="12" t="s">
        <v>1404</v>
      </c>
      <c r="CR33" s="12" t="s">
        <v>967</v>
      </c>
      <c r="CS33" s="12" t="s">
        <v>1405</v>
      </c>
      <c r="CT33" s="12" t="s">
        <v>1406</v>
      </c>
    </row>
    <row r="34" spans="1:98" hidden="1" x14ac:dyDescent="0.3">
      <c r="A34" s="12" t="s">
        <v>25</v>
      </c>
      <c r="B34" s="12" t="s">
        <v>1407</v>
      </c>
      <c r="C34" s="12" t="s">
        <v>1408</v>
      </c>
      <c r="D34" s="12" t="s">
        <v>1409</v>
      </c>
      <c r="E34" s="12" t="s">
        <v>596</v>
      </c>
      <c r="F34" s="12" t="s">
        <v>596</v>
      </c>
      <c r="G34" s="12" t="s">
        <v>596</v>
      </c>
      <c r="H34" s="12" t="s">
        <v>596</v>
      </c>
      <c r="I34" s="12" t="s">
        <v>596</v>
      </c>
      <c r="J34" s="12" t="s">
        <v>596</v>
      </c>
      <c r="K34" s="12" t="s">
        <v>596</v>
      </c>
      <c r="L34" s="12" t="s">
        <v>596</v>
      </c>
      <c r="M34" s="12" t="s">
        <v>596</v>
      </c>
      <c r="N34" s="12" t="s">
        <v>596</v>
      </c>
      <c r="O34" s="12" t="s">
        <v>596</v>
      </c>
      <c r="P34" s="12" t="s">
        <v>596</v>
      </c>
      <c r="Q34" s="12" t="s">
        <v>596</v>
      </c>
      <c r="R34" s="12" t="s">
        <v>596</v>
      </c>
      <c r="S34" s="12" t="s">
        <v>596</v>
      </c>
      <c r="T34" s="12" t="s">
        <v>596</v>
      </c>
      <c r="U34" s="12" t="s">
        <v>596</v>
      </c>
      <c r="V34" s="12" t="s">
        <v>596</v>
      </c>
      <c r="W34" s="12" t="s">
        <v>596</v>
      </c>
      <c r="X34" s="12" t="s">
        <v>596</v>
      </c>
      <c r="Y34" s="12" t="s">
        <v>596</v>
      </c>
      <c r="Z34" s="12" t="s">
        <v>596</v>
      </c>
      <c r="AA34" s="12" t="s">
        <v>596</v>
      </c>
      <c r="AB34" s="12" t="s">
        <v>596</v>
      </c>
      <c r="AC34" s="12" t="s">
        <v>596</v>
      </c>
      <c r="AD34" s="12" t="s">
        <v>596</v>
      </c>
      <c r="AE34" s="12" t="s">
        <v>596</v>
      </c>
      <c r="AF34" s="12" t="s">
        <v>596</v>
      </c>
      <c r="AG34" s="12" t="s">
        <v>596</v>
      </c>
      <c r="AH34" s="12" t="s">
        <v>596</v>
      </c>
      <c r="AI34" s="12" t="s">
        <v>596</v>
      </c>
      <c r="AJ34" s="12" t="s">
        <v>596</v>
      </c>
      <c r="AK34" s="12" t="s">
        <v>596</v>
      </c>
      <c r="AL34" s="12" t="s">
        <v>596</v>
      </c>
      <c r="AM34" s="12" t="s">
        <v>596</v>
      </c>
      <c r="AN34" s="12" t="s">
        <v>596</v>
      </c>
      <c r="AO34" s="12" t="s">
        <v>596</v>
      </c>
      <c r="AP34" s="12" t="s">
        <v>596</v>
      </c>
      <c r="AQ34" s="12" t="s">
        <v>596</v>
      </c>
      <c r="AR34" s="12" t="s">
        <v>596</v>
      </c>
      <c r="AS34" s="12" t="s">
        <v>596</v>
      </c>
      <c r="AT34" s="12" t="s">
        <v>596</v>
      </c>
      <c r="AU34" s="12" t="s">
        <v>596</v>
      </c>
      <c r="AV34" s="12" t="s">
        <v>596</v>
      </c>
      <c r="AW34" s="12" t="s">
        <v>596</v>
      </c>
      <c r="AX34" s="12" t="s">
        <v>596</v>
      </c>
      <c r="AY34" s="12" t="s">
        <v>596</v>
      </c>
      <c r="AZ34" s="12" t="s">
        <v>596</v>
      </c>
      <c r="BA34" s="12" t="s">
        <v>597</v>
      </c>
      <c r="BB34" s="12" t="s">
        <v>641</v>
      </c>
      <c r="BC34" s="12" t="s">
        <v>641</v>
      </c>
      <c r="BD34" s="12" t="s">
        <v>641</v>
      </c>
      <c r="BE34" s="12" t="s">
        <v>641</v>
      </c>
      <c r="BF34" s="12" t="s">
        <v>690</v>
      </c>
      <c r="BG34" s="12" t="s">
        <v>780</v>
      </c>
      <c r="BH34" s="12" t="s">
        <v>780</v>
      </c>
      <c r="BI34" s="12" t="s">
        <v>693</v>
      </c>
      <c r="BJ34" s="12" t="s">
        <v>645</v>
      </c>
      <c r="BK34" s="12" t="s">
        <v>606</v>
      </c>
      <c r="BL34" s="12" t="s">
        <v>651</v>
      </c>
      <c r="BM34" s="12" t="s">
        <v>738</v>
      </c>
      <c r="BN34" s="12" t="s">
        <v>878</v>
      </c>
      <c r="BO34" s="12" t="s">
        <v>1371</v>
      </c>
      <c r="BP34" s="12" t="s">
        <v>657</v>
      </c>
      <c r="BQ34" s="12" t="s">
        <v>1203</v>
      </c>
      <c r="BR34" s="12" t="s">
        <v>1001</v>
      </c>
      <c r="BS34" s="12" t="s">
        <v>1005</v>
      </c>
      <c r="BT34" s="12" t="s">
        <v>1410</v>
      </c>
      <c r="BU34" s="12" t="s">
        <v>1067</v>
      </c>
      <c r="BV34" s="12" t="s">
        <v>1411</v>
      </c>
      <c r="BW34" s="12" t="s">
        <v>1412</v>
      </c>
      <c r="BX34" s="12" t="s">
        <v>1413</v>
      </c>
      <c r="BY34" s="12" t="s">
        <v>705</v>
      </c>
      <c r="BZ34" s="12" t="s">
        <v>1414</v>
      </c>
      <c r="CA34" s="12" t="s">
        <v>1415</v>
      </c>
      <c r="CB34" s="12" t="s">
        <v>1048</v>
      </c>
      <c r="CC34" s="12" t="s">
        <v>1416</v>
      </c>
      <c r="CD34" s="12" t="s">
        <v>1417</v>
      </c>
      <c r="CE34" s="12" t="s">
        <v>943</v>
      </c>
      <c r="CF34" s="12" t="s">
        <v>943</v>
      </c>
      <c r="CG34" s="12" t="s">
        <v>622</v>
      </c>
      <c r="CH34" s="12" t="s">
        <v>1418</v>
      </c>
      <c r="CI34" s="12" t="s">
        <v>1418</v>
      </c>
      <c r="CJ34" s="12" t="s">
        <v>1419</v>
      </c>
      <c r="CK34" s="12" t="s">
        <v>1420</v>
      </c>
      <c r="CL34" s="12" t="s">
        <v>1060</v>
      </c>
      <c r="CM34" s="12" t="s">
        <v>1421</v>
      </c>
      <c r="CN34" s="12" t="s">
        <v>1422</v>
      </c>
      <c r="CO34" s="12" t="s">
        <v>1423</v>
      </c>
      <c r="CP34" s="12" t="s">
        <v>1424</v>
      </c>
      <c r="CQ34" s="12" t="s">
        <v>1425</v>
      </c>
      <c r="CR34" s="12" t="s">
        <v>683</v>
      </c>
      <c r="CS34" s="12" t="s">
        <v>1426</v>
      </c>
      <c r="CT34" s="12" t="s">
        <v>1427</v>
      </c>
    </row>
    <row r="35" spans="1:98" hidden="1" x14ac:dyDescent="0.3">
      <c r="A35" s="12" t="s">
        <v>25</v>
      </c>
      <c r="B35" s="12" t="s">
        <v>1428</v>
      </c>
      <c r="C35" s="12" t="s">
        <v>1429</v>
      </c>
      <c r="D35" s="12" t="s">
        <v>1430</v>
      </c>
      <c r="E35" s="12" t="s">
        <v>596</v>
      </c>
      <c r="F35" s="12" t="s">
        <v>596</v>
      </c>
      <c r="G35" s="12" t="s">
        <v>596</v>
      </c>
      <c r="H35" s="12" t="s">
        <v>596</v>
      </c>
      <c r="I35" s="12" t="s">
        <v>596</v>
      </c>
      <c r="J35" s="12" t="s">
        <v>596</v>
      </c>
      <c r="K35" s="12" t="s">
        <v>596</v>
      </c>
      <c r="L35" s="12" t="s">
        <v>596</v>
      </c>
      <c r="M35" s="12" t="s">
        <v>596</v>
      </c>
      <c r="N35" s="12" t="s">
        <v>596</v>
      </c>
      <c r="O35" s="12" t="s">
        <v>596</v>
      </c>
      <c r="P35" s="12" t="s">
        <v>596</v>
      </c>
      <c r="Q35" s="12" t="s">
        <v>596</v>
      </c>
      <c r="R35" s="12" t="s">
        <v>596</v>
      </c>
      <c r="S35" s="12" t="s">
        <v>596</v>
      </c>
      <c r="T35" s="12" t="s">
        <v>596</v>
      </c>
      <c r="U35" s="12" t="s">
        <v>596</v>
      </c>
      <c r="V35" s="12" t="s">
        <v>596</v>
      </c>
      <c r="W35" s="12" t="s">
        <v>596</v>
      </c>
      <c r="X35" s="12" t="s">
        <v>596</v>
      </c>
      <c r="Y35" s="12" t="s">
        <v>596</v>
      </c>
      <c r="Z35" s="12" t="s">
        <v>596</v>
      </c>
      <c r="AA35" s="12" t="s">
        <v>596</v>
      </c>
      <c r="AB35" s="12" t="s">
        <v>596</v>
      </c>
      <c r="AC35" s="12" t="s">
        <v>596</v>
      </c>
      <c r="AD35" s="12" t="s">
        <v>596</v>
      </c>
      <c r="AE35" s="12" t="s">
        <v>596</v>
      </c>
      <c r="AF35" s="12" t="s">
        <v>596</v>
      </c>
      <c r="AG35" s="12" t="s">
        <v>596</v>
      </c>
      <c r="AH35" s="12" t="s">
        <v>596</v>
      </c>
      <c r="AI35" s="12" t="s">
        <v>596</v>
      </c>
      <c r="AJ35" s="12" t="s">
        <v>596</v>
      </c>
      <c r="AK35" s="12" t="s">
        <v>596</v>
      </c>
      <c r="AL35" s="12" t="s">
        <v>596</v>
      </c>
      <c r="AM35" s="12" t="s">
        <v>596</v>
      </c>
      <c r="AN35" s="12" t="s">
        <v>596</v>
      </c>
      <c r="AO35" s="12" t="s">
        <v>596</v>
      </c>
      <c r="AP35" s="12" t="s">
        <v>596</v>
      </c>
      <c r="AQ35" s="12" t="s">
        <v>596</v>
      </c>
      <c r="AR35" s="12" t="s">
        <v>596</v>
      </c>
      <c r="AS35" s="12" t="s">
        <v>596</v>
      </c>
      <c r="AT35" s="12" t="s">
        <v>596</v>
      </c>
      <c r="AU35" s="12" t="s">
        <v>596</v>
      </c>
      <c r="AV35" s="12" t="s">
        <v>596</v>
      </c>
      <c r="AW35" s="12" t="s">
        <v>596</v>
      </c>
      <c r="AX35" s="12" t="s">
        <v>596</v>
      </c>
      <c r="AY35" s="12" t="s">
        <v>596</v>
      </c>
      <c r="AZ35" s="12" t="s">
        <v>596</v>
      </c>
      <c r="BA35" s="12" t="s">
        <v>596</v>
      </c>
      <c r="BB35" s="12" t="s">
        <v>596</v>
      </c>
      <c r="BC35" s="12" t="s">
        <v>596</v>
      </c>
      <c r="BD35" s="12" t="s">
        <v>596</v>
      </c>
      <c r="BE35" s="12" t="s">
        <v>596</v>
      </c>
      <c r="BF35" s="12" t="s">
        <v>596</v>
      </c>
      <c r="BG35" s="12" t="s">
        <v>596</v>
      </c>
      <c r="BH35" s="12" t="s">
        <v>596</v>
      </c>
      <c r="BI35" s="12" t="s">
        <v>596</v>
      </c>
      <c r="BJ35" s="12" t="s">
        <v>596</v>
      </c>
      <c r="BK35" s="12" t="s">
        <v>597</v>
      </c>
      <c r="BL35" s="12" t="s">
        <v>690</v>
      </c>
      <c r="BM35" s="12" t="s">
        <v>690</v>
      </c>
      <c r="BN35" s="12" t="s">
        <v>690</v>
      </c>
      <c r="BO35" s="12" t="s">
        <v>690</v>
      </c>
      <c r="BP35" s="12" t="s">
        <v>598</v>
      </c>
      <c r="BQ35" s="12" t="s">
        <v>598</v>
      </c>
      <c r="BR35" s="12" t="s">
        <v>599</v>
      </c>
      <c r="BS35" s="12" t="s">
        <v>599</v>
      </c>
      <c r="BT35" s="12" t="s">
        <v>869</v>
      </c>
      <c r="BU35" s="12" t="s">
        <v>869</v>
      </c>
      <c r="BV35" s="12" t="s">
        <v>869</v>
      </c>
      <c r="BW35" s="12" t="s">
        <v>869</v>
      </c>
      <c r="BX35" s="12" t="s">
        <v>869</v>
      </c>
      <c r="BY35" s="12" t="s">
        <v>869</v>
      </c>
      <c r="BZ35" s="12" t="s">
        <v>600</v>
      </c>
      <c r="CA35" s="12" t="s">
        <v>600</v>
      </c>
      <c r="CB35" s="12" t="s">
        <v>600</v>
      </c>
      <c r="CC35" s="12" t="s">
        <v>600</v>
      </c>
      <c r="CD35" s="12" t="s">
        <v>600</v>
      </c>
      <c r="CE35" s="12" t="s">
        <v>600</v>
      </c>
      <c r="CF35" s="12" t="s">
        <v>600</v>
      </c>
      <c r="CG35" s="12" t="s">
        <v>773</v>
      </c>
      <c r="CH35" s="12" t="s">
        <v>773</v>
      </c>
      <c r="CI35" s="12" t="s">
        <v>642</v>
      </c>
      <c r="CJ35" s="12" t="s">
        <v>601</v>
      </c>
      <c r="CK35" s="12" t="s">
        <v>787</v>
      </c>
      <c r="CL35" s="12" t="s">
        <v>787</v>
      </c>
      <c r="CM35" s="12" t="s">
        <v>787</v>
      </c>
      <c r="CN35" s="12" t="s">
        <v>1431</v>
      </c>
      <c r="CO35" s="12" t="s">
        <v>937</v>
      </c>
      <c r="CP35" s="12" t="s">
        <v>973</v>
      </c>
      <c r="CQ35" s="12" t="s">
        <v>788</v>
      </c>
      <c r="CR35" s="12" t="s">
        <v>1138</v>
      </c>
      <c r="CS35" s="12" t="s">
        <v>994</v>
      </c>
      <c r="CT35" s="12" t="s">
        <v>739</v>
      </c>
    </row>
    <row r="36" spans="1:98" hidden="1" x14ac:dyDescent="0.3">
      <c r="A36" s="12" t="s">
        <v>25</v>
      </c>
      <c r="B36" s="12" t="s">
        <v>1432</v>
      </c>
      <c r="C36" s="12" t="s">
        <v>1433</v>
      </c>
      <c r="D36" s="12" t="s">
        <v>1434</v>
      </c>
      <c r="E36" s="12" t="s">
        <v>596</v>
      </c>
      <c r="F36" s="12" t="s">
        <v>596</v>
      </c>
      <c r="G36" s="12" t="s">
        <v>596</v>
      </c>
      <c r="H36" s="12" t="s">
        <v>596</v>
      </c>
      <c r="I36" s="12" t="s">
        <v>596</v>
      </c>
      <c r="J36" s="12" t="s">
        <v>597</v>
      </c>
      <c r="K36" s="12" t="s">
        <v>597</v>
      </c>
      <c r="L36" s="12" t="s">
        <v>597</v>
      </c>
      <c r="M36" s="12" t="s">
        <v>597</v>
      </c>
      <c r="N36" s="12" t="s">
        <v>597</v>
      </c>
      <c r="O36" s="12" t="s">
        <v>597</v>
      </c>
      <c r="P36" s="12" t="s">
        <v>597</v>
      </c>
      <c r="Q36" s="12" t="s">
        <v>597</v>
      </c>
      <c r="R36" s="12" t="s">
        <v>597</v>
      </c>
      <c r="S36" s="12" t="s">
        <v>597</v>
      </c>
      <c r="T36" s="12" t="s">
        <v>597</v>
      </c>
      <c r="U36" s="12" t="s">
        <v>597</v>
      </c>
      <c r="V36" s="12" t="s">
        <v>597</v>
      </c>
      <c r="W36" s="12" t="s">
        <v>597</v>
      </c>
      <c r="X36" s="12" t="s">
        <v>597</v>
      </c>
      <c r="Y36" s="12" t="s">
        <v>597</v>
      </c>
      <c r="Z36" s="12" t="s">
        <v>597</v>
      </c>
      <c r="AA36" s="12" t="s">
        <v>597</v>
      </c>
      <c r="AB36" s="12" t="s">
        <v>597</v>
      </c>
      <c r="AC36" s="12" t="s">
        <v>597</v>
      </c>
      <c r="AD36" s="12" t="s">
        <v>597</v>
      </c>
      <c r="AE36" s="12" t="s">
        <v>597</v>
      </c>
      <c r="AF36" s="12" t="s">
        <v>597</v>
      </c>
      <c r="AG36" s="12" t="s">
        <v>597</v>
      </c>
      <c r="AH36" s="12" t="s">
        <v>597</v>
      </c>
      <c r="AI36" s="12" t="s">
        <v>597</v>
      </c>
      <c r="AJ36" s="12" t="s">
        <v>597</v>
      </c>
      <c r="AK36" s="12" t="s">
        <v>597</v>
      </c>
      <c r="AL36" s="12" t="s">
        <v>597</v>
      </c>
      <c r="AM36" s="12" t="s">
        <v>597</v>
      </c>
      <c r="AN36" s="12" t="s">
        <v>597</v>
      </c>
      <c r="AO36" s="12" t="s">
        <v>597</v>
      </c>
      <c r="AP36" s="12" t="s">
        <v>597</v>
      </c>
      <c r="AQ36" s="12" t="s">
        <v>597</v>
      </c>
      <c r="AR36" s="12" t="s">
        <v>597</v>
      </c>
      <c r="AS36" s="12" t="s">
        <v>597</v>
      </c>
      <c r="AT36" s="12" t="s">
        <v>597</v>
      </c>
      <c r="AU36" s="12" t="s">
        <v>597</v>
      </c>
      <c r="AV36" s="12" t="s">
        <v>597</v>
      </c>
      <c r="AW36" s="12" t="s">
        <v>597</v>
      </c>
      <c r="AX36" s="12" t="s">
        <v>597</v>
      </c>
      <c r="AY36" s="12" t="s">
        <v>641</v>
      </c>
      <c r="AZ36" s="12" t="s">
        <v>641</v>
      </c>
      <c r="BA36" s="12" t="s">
        <v>641</v>
      </c>
      <c r="BB36" s="12" t="s">
        <v>690</v>
      </c>
      <c r="BC36" s="12" t="s">
        <v>690</v>
      </c>
      <c r="BD36" s="12" t="s">
        <v>599</v>
      </c>
      <c r="BE36" s="12" t="s">
        <v>600</v>
      </c>
      <c r="BF36" s="12" t="s">
        <v>600</v>
      </c>
      <c r="BG36" s="12" t="s">
        <v>600</v>
      </c>
      <c r="BH36" s="12" t="s">
        <v>645</v>
      </c>
      <c r="BI36" s="12" t="s">
        <v>935</v>
      </c>
      <c r="BJ36" s="12" t="s">
        <v>695</v>
      </c>
      <c r="BK36" s="12" t="s">
        <v>648</v>
      </c>
      <c r="BL36" s="12" t="s">
        <v>737</v>
      </c>
      <c r="BM36" s="12" t="s">
        <v>608</v>
      </c>
      <c r="BN36" s="12" t="s">
        <v>699</v>
      </c>
      <c r="BO36" s="12" t="s">
        <v>875</v>
      </c>
      <c r="BP36" s="12" t="s">
        <v>877</v>
      </c>
      <c r="BQ36" s="12" t="s">
        <v>877</v>
      </c>
      <c r="BR36" s="12" t="s">
        <v>878</v>
      </c>
      <c r="BS36" s="12" t="s">
        <v>878</v>
      </c>
      <c r="BT36" s="12" t="s">
        <v>880</v>
      </c>
      <c r="BU36" s="12" t="s">
        <v>1278</v>
      </c>
      <c r="BV36" s="12" t="s">
        <v>1226</v>
      </c>
      <c r="BW36" s="12" t="s">
        <v>1226</v>
      </c>
      <c r="BX36" s="12" t="s">
        <v>610</v>
      </c>
      <c r="BY36" s="12" t="s">
        <v>1371</v>
      </c>
      <c r="BZ36" s="12" t="s">
        <v>1371</v>
      </c>
      <c r="CA36" s="12" t="s">
        <v>1371</v>
      </c>
      <c r="CB36" s="12" t="s">
        <v>1371</v>
      </c>
      <c r="CC36" s="12" t="s">
        <v>829</v>
      </c>
      <c r="CD36" s="12" t="s">
        <v>1435</v>
      </c>
      <c r="CE36" s="12" t="s">
        <v>1436</v>
      </c>
      <c r="CF36" s="12" t="s">
        <v>1436</v>
      </c>
      <c r="CG36" s="12" t="s">
        <v>611</v>
      </c>
      <c r="CH36" s="12" t="s">
        <v>998</v>
      </c>
      <c r="CI36" s="12" t="s">
        <v>998</v>
      </c>
      <c r="CJ36" s="12" t="s">
        <v>998</v>
      </c>
      <c r="CK36" s="12" t="s">
        <v>998</v>
      </c>
      <c r="CL36" s="12" t="s">
        <v>998</v>
      </c>
      <c r="CM36" s="12" t="s">
        <v>998</v>
      </c>
      <c r="CN36" s="12" t="s">
        <v>998</v>
      </c>
      <c r="CO36" s="12" t="s">
        <v>998</v>
      </c>
      <c r="CP36" s="12" t="s">
        <v>998</v>
      </c>
      <c r="CQ36" s="12" t="s">
        <v>998</v>
      </c>
      <c r="CR36" s="12" t="s">
        <v>998</v>
      </c>
      <c r="CS36" s="12" t="s">
        <v>998</v>
      </c>
      <c r="CT36" s="12" t="s">
        <v>998</v>
      </c>
    </row>
    <row r="37" spans="1:98" hidden="1" x14ac:dyDescent="0.3">
      <c r="A37" s="12" t="s">
        <v>25</v>
      </c>
      <c r="B37" s="12" t="s">
        <v>1437</v>
      </c>
      <c r="C37" s="12" t="s">
        <v>1438</v>
      </c>
      <c r="D37" s="12" t="s">
        <v>1439</v>
      </c>
      <c r="E37" s="12" t="s">
        <v>596</v>
      </c>
      <c r="F37" s="12" t="s">
        <v>596</v>
      </c>
      <c r="G37" s="12" t="s">
        <v>596</v>
      </c>
      <c r="H37" s="12" t="s">
        <v>596</v>
      </c>
      <c r="I37" s="12" t="s">
        <v>596</v>
      </c>
      <c r="J37" s="12" t="s">
        <v>596</v>
      </c>
      <c r="K37" s="12" t="s">
        <v>596</v>
      </c>
      <c r="L37" s="12" t="s">
        <v>596</v>
      </c>
      <c r="M37" s="12" t="s">
        <v>596</v>
      </c>
      <c r="N37" s="12" t="s">
        <v>596</v>
      </c>
      <c r="O37" s="12" t="s">
        <v>596</v>
      </c>
      <c r="P37" s="12" t="s">
        <v>596</v>
      </c>
      <c r="Q37" s="12" t="s">
        <v>596</v>
      </c>
      <c r="R37" s="12" t="s">
        <v>596</v>
      </c>
      <c r="S37" s="12" t="s">
        <v>596</v>
      </c>
      <c r="T37" s="12" t="s">
        <v>596</v>
      </c>
      <c r="U37" s="12" t="s">
        <v>596</v>
      </c>
      <c r="V37" s="12" t="s">
        <v>596</v>
      </c>
      <c r="W37" s="12" t="s">
        <v>596</v>
      </c>
      <c r="X37" s="12" t="s">
        <v>596</v>
      </c>
      <c r="Y37" s="12" t="s">
        <v>596</v>
      </c>
      <c r="Z37" s="12" t="s">
        <v>596</v>
      </c>
      <c r="AA37" s="12" t="s">
        <v>596</v>
      </c>
      <c r="AB37" s="12" t="s">
        <v>596</v>
      </c>
      <c r="AC37" s="12" t="s">
        <v>596</v>
      </c>
      <c r="AD37" s="12" t="s">
        <v>596</v>
      </c>
      <c r="AE37" s="12" t="s">
        <v>596</v>
      </c>
      <c r="AF37" s="12" t="s">
        <v>596</v>
      </c>
      <c r="AG37" s="12" t="s">
        <v>596</v>
      </c>
      <c r="AH37" s="12" t="s">
        <v>596</v>
      </c>
      <c r="AI37" s="12" t="s">
        <v>596</v>
      </c>
      <c r="AJ37" s="12" t="s">
        <v>596</v>
      </c>
      <c r="AK37" s="12" t="s">
        <v>596</v>
      </c>
      <c r="AL37" s="12" t="s">
        <v>596</v>
      </c>
      <c r="AM37" s="12" t="s">
        <v>596</v>
      </c>
      <c r="AN37" s="12" t="s">
        <v>596</v>
      </c>
      <c r="AO37" s="12" t="s">
        <v>596</v>
      </c>
      <c r="AP37" s="12" t="s">
        <v>596</v>
      </c>
      <c r="AQ37" s="12" t="s">
        <v>596</v>
      </c>
      <c r="AR37" s="12" t="s">
        <v>596</v>
      </c>
      <c r="AS37" s="12" t="s">
        <v>596</v>
      </c>
      <c r="AT37" s="12" t="s">
        <v>596</v>
      </c>
      <c r="AU37" s="12" t="s">
        <v>596</v>
      </c>
      <c r="AV37" s="12" t="s">
        <v>596</v>
      </c>
      <c r="AW37" s="12" t="s">
        <v>597</v>
      </c>
      <c r="AX37" s="12" t="s">
        <v>597</v>
      </c>
      <c r="AY37" s="12" t="s">
        <v>641</v>
      </c>
      <c r="AZ37" s="12" t="s">
        <v>641</v>
      </c>
      <c r="BA37" s="12" t="s">
        <v>641</v>
      </c>
      <c r="BB37" s="12" t="s">
        <v>641</v>
      </c>
      <c r="BC37" s="12" t="s">
        <v>641</v>
      </c>
      <c r="BD37" s="12" t="s">
        <v>641</v>
      </c>
      <c r="BE37" s="12" t="s">
        <v>641</v>
      </c>
      <c r="BF37" s="12" t="s">
        <v>641</v>
      </c>
      <c r="BG37" s="12" t="s">
        <v>598</v>
      </c>
      <c r="BH37" s="12" t="s">
        <v>642</v>
      </c>
      <c r="BI37" s="12" t="s">
        <v>642</v>
      </c>
      <c r="BJ37" s="12" t="s">
        <v>886</v>
      </c>
      <c r="BK37" s="12" t="s">
        <v>693</v>
      </c>
      <c r="BL37" s="12" t="s">
        <v>931</v>
      </c>
      <c r="BM37" s="12" t="s">
        <v>606</v>
      </c>
      <c r="BN37" s="12" t="s">
        <v>787</v>
      </c>
      <c r="BO37" s="12" t="s">
        <v>991</v>
      </c>
      <c r="BP37" s="12" t="s">
        <v>738</v>
      </c>
      <c r="BQ37" s="12" t="s">
        <v>738</v>
      </c>
      <c r="BR37" s="12" t="s">
        <v>875</v>
      </c>
      <c r="BS37" s="12" t="s">
        <v>875</v>
      </c>
      <c r="BT37" s="12" t="s">
        <v>701</v>
      </c>
      <c r="BU37" s="12" t="s">
        <v>701</v>
      </c>
      <c r="BV37" s="12" t="s">
        <v>1440</v>
      </c>
      <c r="BW37" s="12" t="s">
        <v>1441</v>
      </c>
      <c r="BX37" s="12" t="s">
        <v>1442</v>
      </c>
      <c r="BY37" s="12" t="s">
        <v>1443</v>
      </c>
      <c r="BZ37" s="12" t="s">
        <v>624</v>
      </c>
      <c r="CA37" s="12" t="s">
        <v>1444</v>
      </c>
      <c r="CB37" s="12" t="s">
        <v>1445</v>
      </c>
      <c r="CC37" s="12" t="s">
        <v>1445</v>
      </c>
      <c r="CD37" s="12" t="s">
        <v>1446</v>
      </c>
      <c r="CE37" s="12" t="s">
        <v>1446</v>
      </c>
      <c r="CF37" s="12" t="s">
        <v>800</v>
      </c>
      <c r="CG37" s="12" t="s">
        <v>800</v>
      </c>
      <c r="CH37" s="12" t="s">
        <v>800</v>
      </c>
      <c r="CI37" s="12" t="s">
        <v>800</v>
      </c>
      <c r="CJ37" s="12" t="s">
        <v>1447</v>
      </c>
      <c r="CK37" s="12" t="s">
        <v>1447</v>
      </c>
      <c r="CL37" s="12" t="s">
        <v>632</v>
      </c>
      <c r="CM37" s="12" t="s">
        <v>632</v>
      </c>
      <c r="CN37" s="12" t="s">
        <v>1448</v>
      </c>
      <c r="CO37" s="12" t="s">
        <v>1448</v>
      </c>
      <c r="CP37" s="12" t="s">
        <v>1449</v>
      </c>
      <c r="CQ37" s="12" t="s">
        <v>1449</v>
      </c>
      <c r="CR37" s="12" t="s">
        <v>1449</v>
      </c>
      <c r="CS37" s="12" t="s">
        <v>1450</v>
      </c>
      <c r="CT37" s="12" t="s">
        <v>1451</v>
      </c>
    </row>
    <row r="38" spans="1:98" hidden="1" x14ac:dyDescent="0.3">
      <c r="A38" s="12" t="s">
        <v>1452</v>
      </c>
      <c r="B38" s="12" t="s">
        <v>1453</v>
      </c>
      <c r="C38" s="12" t="s">
        <v>1454</v>
      </c>
      <c r="D38" s="12" t="s">
        <v>1455</v>
      </c>
      <c r="E38" s="12" t="s">
        <v>596</v>
      </c>
      <c r="F38" s="12" t="s">
        <v>596</v>
      </c>
      <c r="G38" s="12" t="s">
        <v>596</v>
      </c>
      <c r="H38" s="12" t="s">
        <v>596</v>
      </c>
      <c r="I38" s="12" t="s">
        <v>596</v>
      </c>
      <c r="J38" s="12" t="s">
        <v>596</v>
      </c>
      <c r="K38" s="12" t="s">
        <v>596</v>
      </c>
      <c r="L38" s="12" t="s">
        <v>596</v>
      </c>
      <c r="M38" s="12" t="s">
        <v>596</v>
      </c>
      <c r="N38" s="12" t="s">
        <v>596</v>
      </c>
      <c r="O38" s="12" t="s">
        <v>596</v>
      </c>
      <c r="P38" s="12" t="s">
        <v>596</v>
      </c>
      <c r="Q38" s="12" t="s">
        <v>596</v>
      </c>
      <c r="R38" s="12" t="s">
        <v>596</v>
      </c>
      <c r="S38" s="12" t="s">
        <v>596</v>
      </c>
      <c r="T38" s="12" t="s">
        <v>596</v>
      </c>
      <c r="U38" s="12" t="s">
        <v>596</v>
      </c>
      <c r="V38" s="12" t="s">
        <v>596</v>
      </c>
      <c r="W38" s="12" t="s">
        <v>596</v>
      </c>
      <c r="X38" s="12" t="s">
        <v>596</v>
      </c>
      <c r="Y38" s="12" t="s">
        <v>596</v>
      </c>
      <c r="Z38" s="12" t="s">
        <v>596</v>
      </c>
      <c r="AA38" s="12" t="s">
        <v>596</v>
      </c>
      <c r="AB38" s="12" t="s">
        <v>596</v>
      </c>
      <c r="AC38" s="12" t="s">
        <v>596</v>
      </c>
      <c r="AD38" s="12" t="s">
        <v>596</v>
      </c>
      <c r="AE38" s="12" t="s">
        <v>596</v>
      </c>
      <c r="AF38" s="12" t="s">
        <v>596</v>
      </c>
      <c r="AG38" s="12" t="s">
        <v>596</v>
      </c>
      <c r="AH38" s="12" t="s">
        <v>596</v>
      </c>
      <c r="AI38" s="12" t="s">
        <v>596</v>
      </c>
      <c r="AJ38" s="12" t="s">
        <v>596</v>
      </c>
      <c r="AK38" s="12" t="s">
        <v>596</v>
      </c>
      <c r="AL38" s="12" t="s">
        <v>596</v>
      </c>
      <c r="AM38" s="12" t="s">
        <v>596</v>
      </c>
      <c r="AN38" s="12" t="s">
        <v>596</v>
      </c>
      <c r="AO38" s="12" t="s">
        <v>596</v>
      </c>
      <c r="AP38" s="12" t="s">
        <v>596</v>
      </c>
      <c r="AQ38" s="12" t="s">
        <v>596</v>
      </c>
      <c r="AR38" s="12" t="s">
        <v>596</v>
      </c>
      <c r="AS38" s="12" t="s">
        <v>596</v>
      </c>
      <c r="AT38" s="12" t="s">
        <v>596</v>
      </c>
      <c r="AU38" s="12" t="s">
        <v>596</v>
      </c>
      <c r="AV38" s="12" t="s">
        <v>596</v>
      </c>
      <c r="AW38" s="12" t="s">
        <v>597</v>
      </c>
      <c r="AX38" s="12" t="s">
        <v>641</v>
      </c>
      <c r="AY38" s="12" t="s">
        <v>598</v>
      </c>
      <c r="AZ38" s="12" t="s">
        <v>600</v>
      </c>
      <c r="BA38" s="12" t="s">
        <v>600</v>
      </c>
      <c r="BB38" s="12" t="s">
        <v>692</v>
      </c>
      <c r="BC38" s="12" t="s">
        <v>692</v>
      </c>
      <c r="BD38" s="12" t="s">
        <v>971</v>
      </c>
      <c r="BE38" s="12" t="s">
        <v>971</v>
      </c>
      <c r="BF38" s="12" t="s">
        <v>736</v>
      </c>
      <c r="BG38" s="12" t="s">
        <v>787</v>
      </c>
      <c r="BH38" s="12" t="s">
        <v>607</v>
      </c>
      <c r="BI38" s="12" t="s">
        <v>790</v>
      </c>
      <c r="BJ38" s="12" t="s">
        <v>1436</v>
      </c>
      <c r="BK38" s="12" t="s">
        <v>657</v>
      </c>
      <c r="BL38" s="12" t="s">
        <v>1002</v>
      </c>
      <c r="BM38" s="12" t="s">
        <v>663</v>
      </c>
      <c r="BN38" s="12" t="s">
        <v>794</v>
      </c>
      <c r="BO38" s="12" t="s">
        <v>1117</v>
      </c>
      <c r="BP38" s="12" t="s">
        <v>1456</v>
      </c>
      <c r="BQ38" s="12" t="s">
        <v>1457</v>
      </c>
      <c r="BR38" s="12" t="s">
        <v>1420</v>
      </c>
      <c r="BS38" s="12" t="s">
        <v>1420</v>
      </c>
      <c r="BT38" s="12" t="s">
        <v>1183</v>
      </c>
      <c r="BU38" s="12" t="s">
        <v>1396</v>
      </c>
      <c r="BV38" s="12" t="s">
        <v>798</v>
      </c>
      <c r="BW38" s="12" t="s">
        <v>1458</v>
      </c>
      <c r="BX38" s="12" t="s">
        <v>1459</v>
      </c>
      <c r="BY38" s="12" t="s">
        <v>1459</v>
      </c>
      <c r="BZ38" s="12" t="s">
        <v>1460</v>
      </c>
      <c r="CA38" s="12" t="s">
        <v>1461</v>
      </c>
      <c r="CB38" s="12" t="s">
        <v>1462</v>
      </c>
      <c r="CC38" s="12" t="s">
        <v>1128</v>
      </c>
      <c r="CD38" s="12" t="s">
        <v>1128</v>
      </c>
      <c r="CE38" s="12" t="s">
        <v>714</v>
      </c>
      <c r="CF38" s="12" t="s">
        <v>804</v>
      </c>
      <c r="CG38" s="12" t="s">
        <v>1463</v>
      </c>
      <c r="CH38" s="12" t="s">
        <v>1463</v>
      </c>
      <c r="CI38" s="12" t="s">
        <v>1464</v>
      </c>
      <c r="CJ38" s="12" t="s">
        <v>1465</v>
      </c>
      <c r="CK38" s="12" t="s">
        <v>1465</v>
      </c>
      <c r="CL38" s="12" t="s">
        <v>1466</v>
      </c>
      <c r="CM38" s="12" t="s">
        <v>1467</v>
      </c>
      <c r="CN38" s="12" t="s">
        <v>1468</v>
      </c>
      <c r="CO38" s="12" t="s">
        <v>1469</v>
      </c>
      <c r="CP38" s="12" t="s">
        <v>1470</v>
      </c>
      <c r="CQ38" s="12" t="s">
        <v>1471</v>
      </c>
      <c r="CR38" s="12" t="s">
        <v>1234</v>
      </c>
      <c r="CS38" s="12" t="s">
        <v>1472</v>
      </c>
      <c r="CT38" s="12" t="s">
        <v>1473</v>
      </c>
    </row>
    <row r="39" spans="1:98" hidden="1" x14ac:dyDescent="0.3">
      <c r="A39" s="12" t="s">
        <v>1474</v>
      </c>
      <c r="B39" s="12" t="s">
        <v>1453</v>
      </c>
      <c r="C39" s="12" t="s">
        <v>1475</v>
      </c>
      <c r="D39" s="12" t="s">
        <v>1476</v>
      </c>
      <c r="E39" s="12" t="s">
        <v>596</v>
      </c>
      <c r="F39" s="12" t="s">
        <v>596</v>
      </c>
      <c r="G39" s="12" t="s">
        <v>596</v>
      </c>
      <c r="H39" s="12" t="s">
        <v>596</v>
      </c>
      <c r="I39" s="12" t="s">
        <v>596</v>
      </c>
      <c r="J39" s="12" t="s">
        <v>596</v>
      </c>
      <c r="K39" s="12" t="s">
        <v>597</v>
      </c>
      <c r="L39" s="12" t="s">
        <v>597</v>
      </c>
      <c r="M39" s="12" t="s">
        <v>597</v>
      </c>
      <c r="N39" s="12" t="s">
        <v>597</v>
      </c>
      <c r="O39" s="12" t="s">
        <v>597</v>
      </c>
      <c r="P39" s="12" t="s">
        <v>597</v>
      </c>
      <c r="Q39" s="12" t="s">
        <v>597</v>
      </c>
      <c r="R39" s="12" t="s">
        <v>597</v>
      </c>
      <c r="S39" s="12" t="s">
        <v>641</v>
      </c>
      <c r="T39" s="12" t="s">
        <v>641</v>
      </c>
      <c r="U39" s="12" t="s">
        <v>598</v>
      </c>
      <c r="V39" s="12" t="s">
        <v>598</v>
      </c>
      <c r="W39" s="12" t="s">
        <v>598</v>
      </c>
      <c r="X39" s="12" t="s">
        <v>598</v>
      </c>
      <c r="Y39" s="12" t="s">
        <v>598</v>
      </c>
      <c r="Z39" s="12" t="s">
        <v>598</v>
      </c>
      <c r="AA39" s="12" t="s">
        <v>598</v>
      </c>
      <c r="AB39" s="12" t="s">
        <v>598</v>
      </c>
      <c r="AC39" s="12" t="s">
        <v>598</v>
      </c>
      <c r="AD39" s="12" t="s">
        <v>598</v>
      </c>
      <c r="AE39" s="12" t="s">
        <v>599</v>
      </c>
      <c r="AF39" s="12" t="s">
        <v>599</v>
      </c>
      <c r="AG39" s="12" t="s">
        <v>599</v>
      </c>
      <c r="AH39" s="12" t="s">
        <v>599</v>
      </c>
      <c r="AI39" s="12" t="s">
        <v>869</v>
      </c>
      <c r="AJ39" s="12" t="s">
        <v>869</v>
      </c>
      <c r="AK39" s="12" t="s">
        <v>869</v>
      </c>
      <c r="AL39" s="12" t="s">
        <v>869</v>
      </c>
      <c r="AM39" s="12" t="s">
        <v>600</v>
      </c>
      <c r="AN39" s="12" t="s">
        <v>600</v>
      </c>
      <c r="AO39" s="12" t="s">
        <v>600</v>
      </c>
      <c r="AP39" s="12" t="s">
        <v>600</v>
      </c>
      <c r="AQ39" s="12" t="s">
        <v>773</v>
      </c>
      <c r="AR39" s="12" t="s">
        <v>773</v>
      </c>
      <c r="AS39" s="12" t="s">
        <v>773</v>
      </c>
      <c r="AT39" s="12" t="s">
        <v>779</v>
      </c>
      <c r="AU39" s="12" t="s">
        <v>643</v>
      </c>
      <c r="AV39" s="12" t="s">
        <v>886</v>
      </c>
      <c r="AW39" s="12" t="s">
        <v>603</v>
      </c>
      <c r="AX39" s="12" t="s">
        <v>603</v>
      </c>
      <c r="AY39" s="12" t="s">
        <v>931</v>
      </c>
      <c r="AZ39" s="12" t="s">
        <v>870</v>
      </c>
      <c r="BA39" s="12" t="s">
        <v>870</v>
      </c>
      <c r="BB39" s="12" t="s">
        <v>736</v>
      </c>
      <c r="BC39" s="12" t="s">
        <v>936</v>
      </c>
      <c r="BD39" s="12" t="s">
        <v>651</v>
      </c>
      <c r="BE39" s="12" t="s">
        <v>651</v>
      </c>
      <c r="BF39" s="12" t="s">
        <v>1138</v>
      </c>
      <c r="BG39" s="12" t="s">
        <v>880</v>
      </c>
      <c r="BH39" s="12" t="s">
        <v>880</v>
      </c>
      <c r="BI39" s="12" t="s">
        <v>658</v>
      </c>
      <c r="BJ39" s="12" t="s">
        <v>1045</v>
      </c>
      <c r="BK39" s="12" t="s">
        <v>1477</v>
      </c>
      <c r="BL39" s="12" t="s">
        <v>839</v>
      </c>
      <c r="BM39" s="12" t="s">
        <v>839</v>
      </c>
      <c r="BN39" s="12" t="s">
        <v>1478</v>
      </c>
      <c r="BO39" s="12" t="s">
        <v>1479</v>
      </c>
      <c r="BP39" s="12" t="s">
        <v>1479</v>
      </c>
      <c r="BQ39" s="12" t="s">
        <v>1480</v>
      </c>
      <c r="BR39" s="12" t="s">
        <v>1480</v>
      </c>
      <c r="BS39" s="12" t="s">
        <v>1481</v>
      </c>
      <c r="BT39" s="12" t="s">
        <v>1481</v>
      </c>
      <c r="BU39" s="12" t="s">
        <v>1482</v>
      </c>
      <c r="BV39" s="12" t="s">
        <v>852</v>
      </c>
      <c r="BW39" s="12" t="s">
        <v>852</v>
      </c>
      <c r="BX39" s="12" t="s">
        <v>1483</v>
      </c>
      <c r="BY39" s="12" t="s">
        <v>1484</v>
      </c>
      <c r="BZ39" s="12" t="s">
        <v>1485</v>
      </c>
      <c r="CA39" s="12" t="s">
        <v>1485</v>
      </c>
      <c r="CB39" s="12" t="s">
        <v>1486</v>
      </c>
      <c r="CC39" s="12" t="s">
        <v>1486</v>
      </c>
      <c r="CD39" s="12" t="s">
        <v>859</v>
      </c>
      <c r="CE39" s="12" t="s">
        <v>1037</v>
      </c>
      <c r="CF39" s="12" t="s">
        <v>1487</v>
      </c>
      <c r="CG39" s="12" t="s">
        <v>1488</v>
      </c>
      <c r="CH39" s="12" t="s">
        <v>1488</v>
      </c>
      <c r="CI39" s="12" t="s">
        <v>1489</v>
      </c>
      <c r="CJ39" s="12" t="s">
        <v>1489</v>
      </c>
      <c r="CK39" s="12" t="s">
        <v>1490</v>
      </c>
      <c r="CL39" s="12" t="s">
        <v>1491</v>
      </c>
      <c r="CM39" s="12" t="s">
        <v>1492</v>
      </c>
      <c r="CN39" s="12" t="s">
        <v>1493</v>
      </c>
      <c r="CO39" s="12" t="s">
        <v>1494</v>
      </c>
      <c r="CP39" s="12" t="s">
        <v>1494</v>
      </c>
      <c r="CQ39" s="12" t="s">
        <v>1495</v>
      </c>
      <c r="CR39" s="12" t="s">
        <v>808</v>
      </c>
      <c r="CS39" s="12" t="s">
        <v>1496</v>
      </c>
      <c r="CT39" s="12" t="s">
        <v>1497</v>
      </c>
    </row>
    <row r="40" spans="1:98" hidden="1" x14ac:dyDescent="0.3">
      <c r="A40" s="12" t="s">
        <v>1498</v>
      </c>
      <c r="B40" s="12" t="s">
        <v>1453</v>
      </c>
      <c r="C40" s="12" t="s">
        <v>1499</v>
      </c>
      <c r="D40" s="12" t="s">
        <v>1500</v>
      </c>
      <c r="E40" s="12" t="s">
        <v>596</v>
      </c>
      <c r="F40" s="12" t="s">
        <v>596</v>
      </c>
      <c r="G40" s="12" t="s">
        <v>596</v>
      </c>
      <c r="H40" s="12" t="s">
        <v>596</v>
      </c>
      <c r="I40" s="12" t="s">
        <v>596</v>
      </c>
      <c r="J40" s="12" t="s">
        <v>596</v>
      </c>
      <c r="K40" s="12" t="s">
        <v>596</v>
      </c>
      <c r="L40" s="12" t="s">
        <v>596</v>
      </c>
      <c r="M40" s="12" t="s">
        <v>596</v>
      </c>
      <c r="N40" s="12" t="s">
        <v>596</v>
      </c>
      <c r="O40" s="12" t="s">
        <v>596</v>
      </c>
      <c r="P40" s="12" t="s">
        <v>596</v>
      </c>
      <c r="Q40" s="12" t="s">
        <v>596</v>
      </c>
      <c r="R40" s="12" t="s">
        <v>596</v>
      </c>
      <c r="S40" s="12" t="s">
        <v>596</v>
      </c>
      <c r="T40" s="12" t="s">
        <v>596</v>
      </c>
      <c r="U40" s="12" t="s">
        <v>596</v>
      </c>
      <c r="V40" s="12" t="s">
        <v>596</v>
      </c>
      <c r="W40" s="12" t="s">
        <v>596</v>
      </c>
      <c r="X40" s="12" t="s">
        <v>596</v>
      </c>
      <c r="Y40" s="12" t="s">
        <v>596</v>
      </c>
      <c r="Z40" s="12" t="s">
        <v>596</v>
      </c>
      <c r="AA40" s="12" t="s">
        <v>596</v>
      </c>
      <c r="AB40" s="12" t="s">
        <v>596</v>
      </c>
      <c r="AC40" s="12" t="s">
        <v>596</v>
      </c>
      <c r="AD40" s="12" t="s">
        <v>596</v>
      </c>
      <c r="AE40" s="12" t="s">
        <v>596</v>
      </c>
      <c r="AF40" s="12" t="s">
        <v>596</v>
      </c>
      <c r="AG40" s="12" t="s">
        <v>596</v>
      </c>
      <c r="AH40" s="12" t="s">
        <v>596</v>
      </c>
      <c r="AI40" s="12" t="s">
        <v>596</v>
      </c>
      <c r="AJ40" s="12" t="s">
        <v>596</v>
      </c>
      <c r="AK40" s="12" t="s">
        <v>596</v>
      </c>
      <c r="AL40" s="12" t="s">
        <v>596</v>
      </c>
      <c r="AM40" s="12" t="s">
        <v>596</v>
      </c>
      <c r="AN40" s="12" t="s">
        <v>596</v>
      </c>
      <c r="AO40" s="12" t="s">
        <v>596</v>
      </c>
      <c r="AP40" s="12" t="s">
        <v>596</v>
      </c>
      <c r="AQ40" s="12" t="s">
        <v>596</v>
      </c>
      <c r="AR40" s="12" t="s">
        <v>596</v>
      </c>
      <c r="AS40" s="12" t="s">
        <v>596</v>
      </c>
      <c r="AT40" s="12" t="s">
        <v>596</v>
      </c>
      <c r="AU40" s="12" t="s">
        <v>596</v>
      </c>
      <c r="AV40" s="12" t="s">
        <v>596</v>
      </c>
      <c r="AW40" s="12" t="s">
        <v>596</v>
      </c>
      <c r="AX40" s="12" t="s">
        <v>596</v>
      </c>
      <c r="AY40" s="12" t="s">
        <v>596</v>
      </c>
      <c r="AZ40" s="12" t="s">
        <v>596</v>
      </c>
      <c r="BA40" s="12" t="s">
        <v>596</v>
      </c>
      <c r="BB40" s="12" t="s">
        <v>596</v>
      </c>
      <c r="BC40" s="12" t="s">
        <v>596</v>
      </c>
      <c r="BD40" s="12" t="s">
        <v>641</v>
      </c>
      <c r="BE40" s="12" t="s">
        <v>641</v>
      </c>
      <c r="BF40" s="12" t="s">
        <v>641</v>
      </c>
      <c r="BG40" s="12" t="s">
        <v>641</v>
      </c>
      <c r="BH40" s="12" t="s">
        <v>773</v>
      </c>
      <c r="BI40" s="12" t="s">
        <v>779</v>
      </c>
      <c r="BJ40" s="12" t="s">
        <v>779</v>
      </c>
      <c r="BK40" s="12" t="s">
        <v>642</v>
      </c>
      <c r="BL40" s="12" t="s">
        <v>642</v>
      </c>
      <c r="BM40" s="12" t="s">
        <v>886</v>
      </c>
      <c r="BN40" s="12" t="s">
        <v>886</v>
      </c>
      <c r="BO40" s="12" t="s">
        <v>886</v>
      </c>
      <c r="BP40" s="12" t="s">
        <v>886</v>
      </c>
      <c r="BQ40" s="12" t="s">
        <v>886</v>
      </c>
      <c r="BR40" s="12" t="s">
        <v>886</v>
      </c>
      <c r="BS40" s="12" t="s">
        <v>886</v>
      </c>
      <c r="BT40" s="12" t="s">
        <v>886</v>
      </c>
      <c r="BU40" s="12" t="s">
        <v>886</v>
      </c>
      <c r="BV40" s="12" t="s">
        <v>886</v>
      </c>
      <c r="BW40" s="12" t="s">
        <v>886</v>
      </c>
      <c r="BX40" s="12" t="s">
        <v>886</v>
      </c>
      <c r="BY40" s="12" t="s">
        <v>886</v>
      </c>
      <c r="BZ40" s="12" t="s">
        <v>886</v>
      </c>
      <c r="CA40" s="12" t="s">
        <v>886</v>
      </c>
      <c r="CB40" s="12" t="s">
        <v>886</v>
      </c>
      <c r="CC40" s="12" t="s">
        <v>886</v>
      </c>
      <c r="CD40" s="12" t="s">
        <v>886</v>
      </c>
      <c r="CE40" s="12" t="s">
        <v>886</v>
      </c>
      <c r="CF40" s="12" t="s">
        <v>886</v>
      </c>
      <c r="CG40" s="12" t="s">
        <v>886</v>
      </c>
      <c r="CH40" s="12" t="s">
        <v>886</v>
      </c>
      <c r="CI40" s="12" t="s">
        <v>886</v>
      </c>
      <c r="CJ40" s="12" t="s">
        <v>886</v>
      </c>
      <c r="CK40" s="12" t="s">
        <v>886</v>
      </c>
      <c r="CL40" s="12" t="s">
        <v>886</v>
      </c>
      <c r="CM40" s="12" t="s">
        <v>886</v>
      </c>
      <c r="CN40" s="12" t="s">
        <v>886</v>
      </c>
      <c r="CO40" s="12" t="s">
        <v>886</v>
      </c>
      <c r="CP40" s="12" t="s">
        <v>886</v>
      </c>
      <c r="CQ40" s="12" t="s">
        <v>886</v>
      </c>
      <c r="CR40" s="12" t="s">
        <v>1501</v>
      </c>
      <c r="CS40" s="12" t="s">
        <v>1501</v>
      </c>
      <c r="CT40" s="12" t="s">
        <v>1501</v>
      </c>
    </row>
    <row r="41" spans="1:98" hidden="1" x14ac:dyDescent="0.3">
      <c r="A41" s="12" t="s">
        <v>1502</v>
      </c>
      <c r="B41" s="12" t="s">
        <v>1453</v>
      </c>
      <c r="C41" s="12" t="s">
        <v>1503</v>
      </c>
      <c r="D41" s="12" t="s">
        <v>1504</v>
      </c>
      <c r="E41" s="12" t="s">
        <v>596</v>
      </c>
      <c r="F41" s="12" t="s">
        <v>596</v>
      </c>
      <c r="G41" s="12" t="s">
        <v>596</v>
      </c>
      <c r="H41" s="12" t="s">
        <v>596</v>
      </c>
      <c r="I41" s="12" t="s">
        <v>596</v>
      </c>
      <c r="J41" s="12" t="s">
        <v>596</v>
      </c>
      <c r="K41" s="12" t="s">
        <v>596</v>
      </c>
      <c r="L41" s="12" t="s">
        <v>596</v>
      </c>
      <c r="M41" s="12" t="s">
        <v>596</v>
      </c>
      <c r="N41" s="12" t="s">
        <v>596</v>
      </c>
      <c r="O41" s="12" t="s">
        <v>596</v>
      </c>
      <c r="P41" s="12" t="s">
        <v>596</v>
      </c>
      <c r="Q41" s="12" t="s">
        <v>596</v>
      </c>
      <c r="R41" s="12" t="s">
        <v>596</v>
      </c>
      <c r="S41" s="12" t="s">
        <v>596</v>
      </c>
      <c r="T41" s="12" t="s">
        <v>596</v>
      </c>
      <c r="U41" s="12" t="s">
        <v>596</v>
      </c>
      <c r="V41" s="12" t="s">
        <v>596</v>
      </c>
      <c r="W41" s="12" t="s">
        <v>596</v>
      </c>
      <c r="X41" s="12" t="s">
        <v>596</v>
      </c>
      <c r="Y41" s="12" t="s">
        <v>596</v>
      </c>
      <c r="Z41" s="12" t="s">
        <v>596</v>
      </c>
      <c r="AA41" s="12" t="s">
        <v>596</v>
      </c>
      <c r="AB41" s="12" t="s">
        <v>596</v>
      </c>
      <c r="AC41" s="12" t="s">
        <v>596</v>
      </c>
      <c r="AD41" s="12" t="s">
        <v>596</v>
      </c>
      <c r="AE41" s="12" t="s">
        <v>596</v>
      </c>
      <c r="AF41" s="12" t="s">
        <v>596</v>
      </c>
      <c r="AG41" s="12" t="s">
        <v>596</v>
      </c>
      <c r="AH41" s="12" t="s">
        <v>596</v>
      </c>
      <c r="AI41" s="12" t="s">
        <v>596</v>
      </c>
      <c r="AJ41" s="12" t="s">
        <v>596</v>
      </c>
      <c r="AK41" s="12" t="s">
        <v>596</v>
      </c>
      <c r="AL41" s="12" t="s">
        <v>596</v>
      </c>
      <c r="AM41" s="12" t="s">
        <v>596</v>
      </c>
      <c r="AN41" s="12" t="s">
        <v>596</v>
      </c>
      <c r="AO41" s="12" t="s">
        <v>596</v>
      </c>
      <c r="AP41" s="12" t="s">
        <v>596</v>
      </c>
      <c r="AQ41" s="12" t="s">
        <v>596</v>
      </c>
      <c r="AR41" s="12" t="s">
        <v>596</v>
      </c>
      <c r="AS41" s="12" t="s">
        <v>596</v>
      </c>
      <c r="AT41" s="12" t="s">
        <v>596</v>
      </c>
      <c r="AU41" s="12" t="s">
        <v>596</v>
      </c>
      <c r="AV41" s="12" t="s">
        <v>596</v>
      </c>
      <c r="AW41" s="12" t="s">
        <v>596</v>
      </c>
      <c r="AX41" s="12" t="s">
        <v>596</v>
      </c>
      <c r="AY41" s="12" t="s">
        <v>596</v>
      </c>
      <c r="AZ41" s="12" t="s">
        <v>596</v>
      </c>
      <c r="BA41" s="12" t="s">
        <v>596</v>
      </c>
      <c r="BB41" s="12" t="s">
        <v>596</v>
      </c>
      <c r="BC41" s="12" t="s">
        <v>596</v>
      </c>
      <c r="BD41" s="12" t="s">
        <v>598</v>
      </c>
      <c r="BE41" s="12" t="s">
        <v>598</v>
      </c>
      <c r="BF41" s="12" t="s">
        <v>598</v>
      </c>
      <c r="BG41" s="12" t="s">
        <v>600</v>
      </c>
      <c r="BH41" s="12" t="s">
        <v>773</v>
      </c>
      <c r="BI41" s="12" t="s">
        <v>780</v>
      </c>
      <c r="BJ41" s="12" t="s">
        <v>691</v>
      </c>
      <c r="BK41" s="12" t="s">
        <v>691</v>
      </c>
      <c r="BL41" s="12" t="s">
        <v>826</v>
      </c>
      <c r="BM41" s="12" t="s">
        <v>693</v>
      </c>
      <c r="BN41" s="12" t="s">
        <v>693</v>
      </c>
      <c r="BO41" s="12" t="s">
        <v>603</v>
      </c>
      <c r="BP41" s="12" t="s">
        <v>935</v>
      </c>
      <c r="BQ41" s="12" t="s">
        <v>989</v>
      </c>
      <c r="BR41" s="12" t="s">
        <v>736</v>
      </c>
      <c r="BS41" s="12" t="s">
        <v>651</v>
      </c>
      <c r="BT41" s="12" t="s">
        <v>993</v>
      </c>
      <c r="BU41" s="12" t="s">
        <v>877</v>
      </c>
      <c r="BV41" s="12" t="s">
        <v>880</v>
      </c>
      <c r="BW41" s="12" t="s">
        <v>1372</v>
      </c>
      <c r="BX41" s="12" t="s">
        <v>1505</v>
      </c>
      <c r="BY41" s="12" t="s">
        <v>1066</v>
      </c>
      <c r="BZ41" s="12" t="s">
        <v>1066</v>
      </c>
      <c r="CA41" s="12" t="s">
        <v>1506</v>
      </c>
      <c r="CB41" s="12" t="s">
        <v>1506</v>
      </c>
      <c r="CC41" s="12" t="s">
        <v>1507</v>
      </c>
      <c r="CD41" s="12" t="s">
        <v>1507</v>
      </c>
      <c r="CE41" s="12" t="s">
        <v>940</v>
      </c>
      <c r="CF41" s="12" t="s">
        <v>703</v>
      </c>
      <c r="CG41" s="12" t="s">
        <v>662</v>
      </c>
      <c r="CH41" s="12" t="s">
        <v>1381</v>
      </c>
      <c r="CI41" s="12" t="s">
        <v>1067</v>
      </c>
      <c r="CJ41" s="12" t="s">
        <v>1067</v>
      </c>
      <c r="CK41" s="12" t="s">
        <v>1067</v>
      </c>
      <c r="CL41" s="12" t="s">
        <v>1508</v>
      </c>
      <c r="CM41" s="12" t="s">
        <v>1508</v>
      </c>
      <c r="CN41" s="12" t="s">
        <v>1509</v>
      </c>
      <c r="CO41" s="12" t="s">
        <v>1510</v>
      </c>
      <c r="CP41" s="12" t="s">
        <v>1510</v>
      </c>
      <c r="CQ41" s="12" t="s">
        <v>1511</v>
      </c>
      <c r="CR41" s="12" t="s">
        <v>974</v>
      </c>
      <c r="CS41" s="12" t="s">
        <v>1512</v>
      </c>
      <c r="CT41" s="12" t="s">
        <v>1513</v>
      </c>
    </row>
    <row r="42" spans="1:98" hidden="1" x14ac:dyDescent="0.3">
      <c r="A42" s="12" t="s">
        <v>1514</v>
      </c>
      <c r="B42" s="12" t="s">
        <v>1453</v>
      </c>
      <c r="C42" s="12" t="s">
        <v>1515</v>
      </c>
      <c r="D42" s="12" t="s">
        <v>1516</v>
      </c>
      <c r="E42" s="12" t="s">
        <v>596</v>
      </c>
      <c r="F42" s="12" t="s">
        <v>596</v>
      </c>
      <c r="G42" s="12" t="s">
        <v>596</v>
      </c>
      <c r="H42" s="12" t="s">
        <v>596</v>
      </c>
      <c r="I42" s="12" t="s">
        <v>596</v>
      </c>
      <c r="J42" s="12" t="s">
        <v>596</v>
      </c>
      <c r="K42" s="12" t="s">
        <v>596</v>
      </c>
      <c r="L42" s="12" t="s">
        <v>596</v>
      </c>
      <c r="M42" s="12" t="s">
        <v>596</v>
      </c>
      <c r="N42" s="12" t="s">
        <v>596</v>
      </c>
      <c r="O42" s="12" t="s">
        <v>596</v>
      </c>
      <c r="P42" s="12" t="s">
        <v>596</v>
      </c>
      <c r="Q42" s="12" t="s">
        <v>596</v>
      </c>
      <c r="R42" s="12" t="s">
        <v>596</v>
      </c>
      <c r="S42" s="12" t="s">
        <v>596</v>
      </c>
      <c r="T42" s="12" t="s">
        <v>596</v>
      </c>
      <c r="U42" s="12" t="s">
        <v>596</v>
      </c>
      <c r="V42" s="12" t="s">
        <v>596</v>
      </c>
      <c r="W42" s="12" t="s">
        <v>596</v>
      </c>
      <c r="X42" s="12" t="s">
        <v>596</v>
      </c>
      <c r="Y42" s="12" t="s">
        <v>596</v>
      </c>
      <c r="Z42" s="12" t="s">
        <v>596</v>
      </c>
      <c r="AA42" s="12" t="s">
        <v>596</v>
      </c>
      <c r="AB42" s="12" t="s">
        <v>596</v>
      </c>
      <c r="AC42" s="12" t="s">
        <v>596</v>
      </c>
      <c r="AD42" s="12" t="s">
        <v>596</v>
      </c>
      <c r="AE42" s="12" t="s">
        <v>596</v>
      </c>
      <c r="AF42" s="12" t="s">
        <v>596</v>
      </c>
      <c r="AG42" s="12" t="s">
        <v>596</v>
      </c>
      <c r="AH42" s="12" t="s">
        <v>596</v>
      </c>
      <c r="AI42" s="12" t="s">
        <v>596</v>
      </c>
      <c r="AJ42" s="12" t="s">
        <v>596</v>
      </c>
      <c r="AK42" s="12" t="s">
        <v>596</v>
      </c>
      <c r="AL42" s="12" t="s">
        <v>596</v>
      </c>
      <c r="AM42" s="12" t="s">
        <v>596</v>
      </c>
      <c r="AN42" s="12" t="s">
        <v>596</v>
      </c>
      <c r="AO42" s="12" t="s">
        <v>596</v>
      </c>
      <c r="AP42" s="12" t="s">
        <v>596</v>
      </c>
      <c r="AQ42" s="12" t="s">
        <v>596</v>
      </c>
      <c r="AR42" s="12" t="s">
        <v>596</v>
      </c>
      <c r="AS42" s="12" t="s">
        <v>596</v>
      </c>
      <c r="AT42" s="12" t="s">
        <v>596</v>
      </c>
      <c r="AU42" s="12" t="s">
        <v>596</v>
      </c>
      <c r="AV42" s="12" t="s">
        <v>596</v>
      </c>
      <c r="AW42" s="12" t="s">
        <v>596</v>
      </c>
      <c r="AX42" s="12" t="s">
        <v>596</v>
      </c>
      <c r="AY42" s="12" t="s">
        <v>596</v>
      </c>
      <c r="AZ42" s="12" t="s">
        <v>596</v>
      </c>
      <c r="BA42" s="12" t="s">
        <v>596</v>
      </c>
      <c r="BB42" s="12" t="s">
        <v>597</v>
      </c>
      <c r="BC42" s="12" t="s">
        <v>597</v>
      </c>
      <c r="BD42" s="12" t="s">
        <v>597</v>
      </c>
      <c r="BE42" s="12" t="s">
        <v>597</v>
      </c>
      <c r="BF42" s="12" t="s">
        <v>641</v>
      </c>
      <c r="BG42" s="12" t="s">
        <v>869</v>
      </c>
      <c r="BH42" s="12" t="s">
        <v>773</v>
      </c>
      <c r="BI42" s="12" t="s">
        <v>601</v>
      </c>
      <c r="BJ42" s="12" t="s">
        <v>601</v>
      </c>
      <c r="BK42" s="12" t="s">
        <v>601</v>
      </c>
      <c r="BL42" s="12" t="s">
        <v>691</v>
      </c>
      <c r="BM42" s="12" t="s">
        <v>691</v>
      </c>
      <c r="BN42" s="12" t="s">
        <v>691</v>
      </c>
      <c r="BO42" s="12" t="s">
        <v>826</v>
      </c>
      <c r="BP42" s="12" t="s">
        <v>826</v>
      </c>
      <c r="BQ42" s="12" t="s">
        <v>645</v>
      </c>
      <c r="BR42" s="12" t="s">
        <v>786</v>
      </c>
      <c r="BS42" s="12" t="s">
        <v>648</v>
      </c>
      <c r="BT42" s="12" t="s">
        <v>991</v>
      </c>
      <c r="BU42" s="12" t="s">
        <v>788</v>
      </c>
      <c r="BV42" s="12" t="s">
        <v>652</v>
      </c>
      <c r="BW42" s="12" t="s">
        <v>1202</v>
      </c>
      <c r="BX42" s="12" t="s">
        <v>875</v>
      </c>
      <c r="BY42" s="12" t="s">
        <v>875</v>
      </c>
      <c r="BZ42" s="12" t="s">
        <v>875</v>
      </c>
      <c r="CA42" s="12" t="s">
        <v>996</v>
      </c>
      <c r="CB42" s="12" t="s">
        <v>880</v>
      </c>
      <c r="CC42" s="12" t="s">
        <v>882</v>
      </c>
      <c r="CD42" s="12" t="s">
        <v>882</v>
      </c>
      <c r="CE42" s="12" t="s">
        <v>1517</v>
      </c>
      <c r="CF42" s="12" t="s">
        <v>890</v>
      </c>
      <c r="CG42" s="12" t="s">
        <v>890</v>
      </c>
      <c r="CH42" s="12" t="s">
        <v>1371</v>
      </c>
      <c r="CI42" s="12" t="s">
        <v>1518</v>
      </c>
      <c r="CJ42" s="12" t="s">
        <v>1518</v>
      </c>
      <c r="CK42" s="12" t="s">
        <v>1435</v>
      </c>
      <c r="CL42" s="12" t="s">
        <v>1435</v>
      </c>
      <c r="CM42" s="12" t="s">
        <v>1435</v>
      </c>
      <c r="CN42" s="12" t="s">
        <v>1435</v>
      </c>
      <c r="CO42" s="12" t="s">
        <v>1519</v>
      </c>
      <c r="CP42" s="12" t="s">
        <v>1519</v>
      </c>
      <c r="CQ42" s="12" t="s">
        <v>1519</v>
      </c>
      <c r="CR42" s="12" t="s">
        <v>1519</v>
      </c>
      <c r="CS42" s="12" t="s">
        <v>1519</v>
      </c>
      <c r="CT42" s="12" t="s">
        <v>1519</v>
      </c>
    </row>
    <row r="43" spans="1:98" hidden="1" x14ac:dyDescent="0.3">
      <c r="A43" s="12" t="s">
        <v>1520</v>
      </c>
      <c r="B43" s="12" t="s">
        <v>1453</v>
      </c>
      <c r="C43" s="12" t="s">
        <v>1521</v>
      </c>
      <c r="D43" s="12" t="s">
        <v>1522</v>
      </c>
      <c r="E43" s="12" t="s">
        <v>596</v>
      </c>
      <c r="F43" s="12" t="s">
        <v>596</v>
      </c>
      <c r="G43" s="12" t="s">
        <v>596</v>
      </c>
      <c r="H43" s="12" t="s">
        <v>596</v>
      </c>
      <c r="I43" s="12" t="s">
        <v>596</v>
      </c>
      <c r="J43" s="12" t="s">
        <v>596</v>
      </c>
      <c r="K43" s="12" t="s">
        <v>596</v>
      </c>
      <c r="L43" s="12" t="s">
        <v>596</v>
      </c>
      <c r="M43" s="12" t="s">
        <v>596</v>
      </c>
      <c r="N43" s="12" t="s">
        <v>596</v>
      </c>
      <c r="O43" s="12" t="s">
        <v>596</v>
      </c>
      <c r="P43" s="12" t="s">
        <v>596</v>
      </c>
      <c r="Q43" s="12" t="s">
        <v>596</v>
      </c>
      <c r="R43" s="12" t="s">
        <v>596</v>
      </c>
      <c r="S43" s="12" t="s">
        <v>596</v>
      </c>
      <c r="T43" s="12" t="s">
        <v>596</v>
      </c>
      <c r="U43" s="12" t="s">
        <v>596</v>
      </c>
      <c r="V43" s="12" t="s">
        <v>596</v>
      </c>
      <c r="W43" s="12" t="s">
        <v>596</v>
      </c>
      <c r="X43" s="12" t="s">
        <v>596</v>
      </c>
      <c r="Y43" s="12" t="s">
        <v>596</v>
      </c>
      <c r="Z43" s="12" t="s">
        <v>596</v>
      </c>
      <c r="AA43" s="12" t="s">
        <v>596</v>
      </c>
      <c r="AB43" s="12" t="s">
        <v>596</v>
      </c>
      <c r="AC43" s="12" t="s">
        <v>596</v>
      </c>
      <c r="AD43" s="12" t="s">
        <v>596</v>
      </c>
      <c r="AE43" s="12" t="s">
        <v>596</v>
      </c>
      <c r="AF43" s="12" t="s">
        <v>596</v>
      </c>
      <c r="AG43" s="12" t="s">
        <v>596</v>
      </c>
      <c r="AH43" s="12" t="s">
        <v>596</v>
      </c>
      <c r="AI43" s="12" t="s">
        <v>596</v>
      </c>
      <c r="AJ43" s="12" t="s">
        <v>596</v>
      </c>
      <c r="AK43" s="12" t="s">
        <v>596</v>
      </c>
      <c r="AL43" s="12" t="s">
        <v>596</v>
      </c>
      <c r="AM43" s="12" t="s">
        <v>596</v>
      </c>
      <c r="AN43" s="12" t="s">
        <v>596</v>
      </c>
      <c r="AO43" s="12" t="s">
        <v>596</v>
      </c>
      <c r="AP43" s="12" t="s">
        <v>596</v>
      </c>
      <c r="AQ43" s="12" t="s">
        <v>596</v>
      </c>
      <c r="AR43" s="12" t="s">
        <v>596</v>
      </c>
      <c r="AS43" s="12" t="s">
        <v>596</v>
      </c>
      <c r="AT43" s="12" t="s">
        <v>596</v>
      </c>
      <c r="AU43" s="12" t="s">
        <v>596</v>
      </c>
      <c r="AV43" s="12" t="s">
        <v>596</v>
      </c>
      <c r="AW43" s="12" t="s">
        <v>596</v>
      </c>
      <c r="AX43" s="12" t="s">
        <v>596</v>
      </c>
      <c r="AY43" s="12" t="s">
        <v>596</v>
      </c>
      <c r="AZ43" s="12" t="s">
        <v>596</v>
      </c>
      <c r="BA43" s="12" t="s">
        <v>596</v>
      </c>
      <c r="BB43" s="12" t="s">
        <v>596</v>
      </c>
      <c r="BC43" s="12" t="s">
        <v>596</v>
      </c>
      <c r="BD43" s="12" t="s">
        <v>596</v>
      </c>
      <c r="BE43" s="12" t="s">
        <v>596</v>
      </c>
      <c r="BF43" s="12" t="s">
        <v>597</v>
      </c>
      <c r="BG43" s="12" t="s">
        <v>597</v>
      </c>
      <c r="BH43" s="12" t="s">
        <v>690</v>
      </c>
      <c r="BI43" s="12" t="s">
        <v>690</v>
      </c>
      <c r="BJ43" s="12" t="s">
        <v>690</v>
      </c>
      <c r="BK43" s="12" t="s">
        <v>598</v>
      </c>
      <c r="BL43" s="12" t="s">
        <v>869</v>
      </c>
      <c r="BM43" s="12" t="s">
        <v>779</v>
      </c>
      <c r="BN43" s="12" t="s">
        <v>605</v>
      </c>
      <c r="BO43" s="12" t="s">
        <v>935</v>
      </c>
      <c r="BP43" s="12" t="s">
        <v>935</v>
      </c>
      <c r="BQ43" s="12" t="s">
        <v>994</v>
      </c>
      <c r="BR43" s="12" t="s">
        <v>881</v>
      </c>
      <c r="BS43" s="12" t="s">
        <v>611</v>
      </c>
      <c r="BT43" s="12" t="s">
        <v>1374</v>
      </c>
      <c r="BU43" s="12" t="s">
        <v>1523</v>
      </c>
      <c r="BV43" s="12" t="s">
        <v>1203</v>
      </c>
      <c r="BW43" s="12" t="s">
        <v>1044</v>
      </c>
      <c r="BX43" s="12" t="s">
        <v>1281</v>
      </c>
      <c r="BY43" s="12" t="s">
        <v>1002</v>
      </c>
      <c r="BZ43" s="12" t="s">
        <v>1002</v>
      </c>
      <c r="CA43" s="12" t="s">
        <v>1507</v>
      </c>
      <c r="CB43" s="12" t="s">
        <v>1524</v>
      </c>
      <c r="CC43" s="12" t="s">
        <v>1145</v>
      </c>
      <c r="CD43" s="12" t="s">
        <v>1145</v>
      </c>
      <c r="CE43" s="12" t="s">
        <v>1525</v>
      </c>
      <c r="CF43" s="12" t="s">
        <v>1227</v>
      </c>
      <c r="CG43" s="12" t="s">
        <v>1526</v>
      </c>
      <c r="CH43" s="12" t="s">
        <v>1381</v>
      </c>
      <c r="CI43" s="12" t="s">
        <v>1527</v>
      </c>
      <c r="CJ43" s="12" t="s">
        <v>1527</v>
      </c>
      <c r="CK43" s="12" t="s">
        <v>1528</v>
      </c>
      <c r="CL43" s="12" t="s">
        <v>1529</v>
      </c>
      <c r="CM43" s="12" t="s">
        <v>1146</v>
      </c>
      <c r="CN43" s="12" t="s">
        <v>974</v>
      </c>
      <c r="CO43" s="12" t="s">
        <v>974</v>
      </c>
      <c r="CP43" s="12" t="s">
        <v>974</v>
      </c>
      <c r="CQ43" s="12" t="s">
        <v>974</v>
      </c>
      <c r="CR43" s="12" t="s">
        <v>1146</v>
      </c>
      <c r="CS43" s="12" t="s">
        <v>1146</v>
      </c>
      <c r="CT43" s="12" t="s">
        <v>1146</v>
      </c>
    </row>
    <row r="44" spans="1:98" hidden="1" x14ac:dyDescent="0.3">
      <c r="A44" s="12" t="s">
        <v>1530</v>
      </c>
      <c r="B44" s="12" t="s">
        <v>1453</v>
      </c>
      <c r="C44" s="12" t="s">
        <v>1531</v>
      </c>
      <c r="D44" s="12" t="s">
        <v>1532</v>
      </c>
      <c r="E44" s="12" t="s">
        <v>596</v>
      </c>
      <c r="F44" s="12" t="s">
        <v>596</v>
      </c>
      <c r="G44" s="12" t="s">
        <v>596</v>
      </c>
      <c r="H44" s="12" t="s">
        <v>596</v>
      </c>
      <c r="I44" s="12" t="s">
        <v>596</v>
      </c>
      <c r="J44" s="12" t="s">
        <v>596</v>
      </c>
      <c r="K44" s="12" t="s">
        <v>596</v>
      </c>
      <c r="L44" s="12" t="s">
        <v>596</v>
      </c>
      <c r="M44" s="12" t="s">
        <v>596</v>
      </c>
      <c r="N44" s="12" t="s">
        <v>596</v>
      </c>
      <c r="O44" s="12" t="s">
        <v>596</v>
      </c>
      <c r="P44" s="12" t="s">
        <v>596</v>
      </c>
      <c r="Q44" s="12" t="s">
        <v>596</v>
      </c>
      <c r="R44" s="12" t="s">
        <v>596</v>
      </c>
      <c r="S44" s="12" t="s">
        <v>596</v>
      </c>
      <c r="T44" s="12" t="s">
        <v>596</v>
      </c>
      <c r="U44" s="12" t="s">
        <v>596</v>
      </c>
      <c r="V44" s="12" t="s">
        <v>596</v>
      </c>
      <c r="W44" s="12" t="s">
        <v>596</v>
      </c>
      <c r="X44" s="12" t="s">
        <v>596</v>
      </c>
      <c r="Y44" s="12" t="s">
        <v>596</v>
      </c>
      <c r="Z44" s="12" t="s">
        <v>596</v>
      </c>
      <c r="AA44" s="12" t="s">
        <v>596</v>
      </c>
      <c r="AB44" s="12" t="s">
        <v>596</v>
      </c>
      <c r="AC44" s="12" t="s">
        <v>596</v>
      </c>
      <c r="AD44" s="12" t="s">
        <v>596</v>
      </c>
      <c r="AE44" s="12" t="s">
        <v>596</v>
      </c>
      <c r="AF44" s="12" t="s">
        <v>596</v>
      </c>
      <c r="AG44" s="12" t="s">
        <v>596</v>
      </c>
      <c r="AH44" s="12" t="s">
        <v>596</v>
      </c>
      <c r="AI44" s="12" t="s">
        <v>596</v>
      </c>
      <c r="AJ44" s="12" t="s">
        <v>596</v>
      </c>
      <c r="AK44" s="12" t="s">
        <v>596</v>
      </c>
      <c r="AL44" s="12" t="s">
        <v>596</v>
      </c>
      <c r="AM44" s="12" t="s">
        <v>596</v>
      </c>
      <c r="AN44" s="12" t="s">
        <v>596</v>
      </c>
      <c r="AO44" s="12" t="s">
        <v>596</v>
      </c>
      <c r="AP44" s="12" t="s">
        <v>596</v>
      </c>
      <c r="AQ44" s="12" t="s">
        <v>596</v>
      </c>
      <c r="AR44" s="12" t="s">
        <v>596</v>
      </c>
      <c r="AS44" s="12" t="s">
        <v>596</v>
      </c>
      <c r="AT44" s="12" t="s">
        <v>596</v>
      </c>
      <c r="AU44" s="12" t="s">
        <v>596</v>
      </c>
      <c r="AV44" s="12" t="s">
        <v>596</v>
      </c>
      <c r="AW44" s="12" t="s">
        <v>596</v>
      </c>
      <c r="AX44" s="12" t="s">
        <v>596</v>
      </c>
      <c r="AY44" s="12" t="s">
        <v>596</v>
      </c>
      <c r="AZ44" s="12" t="s">
        <v>596</v>
      </c>
      <c r="BA44" s="12" t="s">
        <v>596</v>
      </c>
      <c r="BB44" s="12" t="s">
        <v>596</v>
      </c>
      <c r="BC44" s="12" t="s">
        <v>596</v>
      </c>
      <c r="BD44" s="12" t="s">
        <v>596</v>
      </c>
      <c r="BE44" s="12" t="s">
        <v>596</v>
      </c>
      <c r="BF44" s="12" t="s">
        <v>596</v>
      </c>
      <c r="BG44" s="12" t="s">
        <v>599</v>
      </c>
      <c r="BH44" s="12" t="s">
        <v>600</v>
      </c>
      <c r="BI44" s="12" t="s">
        <v>643</v>
      </c>
      <c r="BJ44" s="12" t="s">
        <v>774</v>
      </c>
      <c r="BK44" s="12" t="s">
        <v>780</v>
      </c>
      <c r="BL44" s="12" t="s">
        <v>603</v>
      </c>
      <c r="BM44" s="12" t="s">
        <v>887</v>
      </c>
      <c r="BN44" s="12" t="s">
        <v>1064</v>
      </c>
      <c r="BO44" s="12" t="s">
        <v>648</v>
      </c>
      <c r="BP44" s="12" t="s">
        <v>788</v>
      </c>
      <c r="BQ44" s="12" t="s">
        <v>1138</v>
      </c>
      <c r="BR44" s="12" t="s">
        <v>700</v>
      </c>
      <c r="BS44" s="12" t="s">
        <v>610</v>
      </c>
      <c r="BT44" s="12" t="s">
        <v>998</v>
      </c>
      <c r="BU44" s="12" t="s">
        <v>1372</v>
      </c>
      <c r="BV44" s="12" t="s">
        <v>1533</v>
      </c>
      <c r="BW44" s="12" t="s">
        <v>1534</v>
      </c>
      <c r="BX44" s="12" t="s">
        <v>1440</v>
      </c>
      <c r="BY44" s="12" t="s">
        <v>1005</v>
      </c>
      <c r="BZ44" s="12" t="s">
        <v>1535</v>
      </c>
      <c r="CA44" s="12" t="s">
        <v>1512</v>
      </c>
      <c r="CB44" s="12" t="s">
        <v>1382</v>
      </c>
      <c r="CC44" s="12" t="s">
        <v>1536</v>
      </c>
      <c r="CD44" s="12" t="s">
        <v>1536</v>
      </c>
      <c r="CE44" s="12" t="s">
        <v>1537</v>
      </c>
      <c r="CF44" s="12" t="s">
        <v>838</v>
      </c>
      <c r="CG44" s="12" t="s">
        <v>751</v>
      </c>
      <c r="CH44" s="12" t="s">
        <v>1538</v>
      </c>
      <c r="CI44" s="12" t="s">
        <v>1539</v>
      </c>
      <c r="CJ44" s="12" t="s">
        <v>1056</v>
      </c>
      <c r="CK44" s="12" t="s">
        <v>1391</v>
      </c>
      <c r="CL44" s="12" t="s">
        <v>1303</v>
      </c>
      <c r="CM44" s="12" t="s">
        <v>1540</v>
      </c>
      <c r="CN44" s="12" t="s">
        <v>1541</v>
      </c>
      <c r="CO44" s="12" t="s">
        <v>1397</v>
      </c>
      <c r="CP44" s="12" t="s">
        <v>1542</v>
      </c>
      <c r="CQ44" s="12" t="s">
        <v>1543</v>
      </c>
      <c r="CR44" s="12" t="s">
        <v>1544</v>
      </c>
      <c r="CS44" s="12" t="s">
        <v>1545</v>
      </c>
      <c r="CT44" s="12" t="s">
        <v>1501</v>
      </c>
    </row>
    <row r="45" spans="1:98" hidden="1" x14ac:dyDescent="0.3">
      <c r="A45" s="12" t="s">
        <v>1546</v>
      </c>
      <c r="B45" s="12" t="s">
        <v>1453</v>
      </c>
      <c r="C45" s="12" t="s">
        <v>1547</v>
      </c>
      <c r="D45" s="12" t="s">
        <v>1548</v>
      </c>
      <c r="E45" s="12" t="s">
        <v>596</v>
      </c>
      <c r="F45" s="12" t="s">
        <v>596</v>
      </c>
      <c r="G45" s="12" t="s">
        <v>596</v>
      </c>
      <c r="H45" s="12" t="s">
        <v>596</v>
      </c>
      <c r="I45" s="12" t="s">
        <v>597</v>
      </c>
      <c r="J45" s="12" t="s">
        <v>597</v>
      </c>
      <c r="K45" s="12" t="s">
        <v>597</v>
      </c>
      <c r="L45" s="12" t="s">
        <v>597</v>
      </c>
      <c r="M45" s="12" t="s">
        <v>597</v>
      </c>
      <c r="N45" s="12" t="s">
        <v>690</v>
      </c>
      <c r="O45" s="12" t="s">
        <v>690</v>
      </c>
      <c r="P45" s="12" t="s">
        <v>690</v>
      </c>
      <c r="Q45" s="12" t="s">
        <v>690</v>
      </c>
      <c r="R45" s="12" t="s">
        <v>690</v>
      </c>
      <c r="S45" s="12" t="s">
        <v>690</v>
      </c>
      <c r="T45" s="12" t="s">
        <v>690</v>
      </c>
      <c r="U45" s="12" t="s">
        <v>690</v>
      </c>
      <c r="V45" s="12" t="s">
        <v>690</v>
      </c>
      <c r="W45" s="12" t="s">
        <v>690</v>
      </c>
      <c r="X45" s="12" t="s">
        <v>690</v>
      </c>
      <c r="Y45" s="12" t="s">
        <v>690</v>
      </c>
      <c r="Z45" s="12" t="s">
        <v>690</v>
      </c>
      <c r="AA45" s="12" t="s">
        <v>690</v>
      </c>
      <c r="AB45" s="12" t="s">
        <v>690</v>
      </c>
      <c r="AC45" s="12" t="s">
        <v>690</v>
      </c>
      <c r="AD45" s="12" t="s">
        <v>690</v>
      </c>
      <c r="AE45" s="12" t="s">
        <v>690</v>
      </c>
      <c r="AF45" s="12" t="s">
        <v>690</v>
      </c>
      <c r="AG45" s="12" t="s">
        <v>690</v>
      </c>
      <c r="AH45" s="12" t="s">
        <v>690</v>
      </c>
      <c r="AI45" s="12" t="s">
        <v>690</v>
      </c>
      <c r="AJ45" s="12" t="s">
        <v>690</v>
      </c>
      <c r="AK45" s="12" t="s">
        <v>690</v>
      </c>
      <c r="AL45" s="12" t="s">
        <v>598</v>
      </c>
      <c r="AM45" s="12" t="s">
        <v>598</v>
      </c>
      <c r="AN45" s="12" t="s">
        <v>598</v>
      </c>
      <c r="AO45" s="12" t="s">
        <v>869</v>
      </c>
      <c r="AP45" s="12" t="s">
        <v>869</v>
      </c>
      <c r="AQ45" s="12" t="s">
        <v>601</v>
      </c>
      <c r="AR45" s="12" t="s">
        <v>780</v>
      </c>
      <c r="AS45" s="12" t="s">
        <v>826</v>
      </c>
      <c r="AT45" s="12" t="s">
        <v>693</v>
      </c>
      <c r="AU45" s="12" t="s">
        <v>693</v>
      </c>
      <c r="AV45" s="12" t="s">
        <v>604</v>
      </c>
      <c r="AW45" s="12" t="s">
        <v>775</v>
      </c>
      <c r="AX45" s="12" t="s">
        <v>887</v>
      </c>
      <c r="AY45" s="12" t="s">
        <v>971</v>
      </c>
      <c r="AZ45" s="12" t="s">
        <v>785</v>
      </c>
      <c r="BA45" s="12" t="s">
        <v>989</v>
      </c>
      <c r="BB45" s="12" t="s">
        <v>1064</v>
      </c>
      <c r="BC45" s="12" t="s">
        <v>647</v>
      </c>
      <c r="BD45" s="12" t="s">
        <v>607</v>
      </c>
      <c r="BE45" s="12" t="s">
        <v>789</v>
      </c>
      <c r="BF45" s="12" t="s">
        <v>655</v>
      </c>
      <c r="BG45" s="12" t="s">
        <v>1549</v>
      </c>
      <c r="BH45" s="12" t="s">
        <v>1550</v>
      </c>
      <c r="BI45" s="12" t="s">
        <v>940</v>
      </c>
      <c r="BJ45" s="12" t="s">
        <v>974</v>
      </c>
      <c r="BK45" s="12" t="s">
        <v>746</v>
      </c>
      <c r="BL45" s="12" t="s">
        <v>668</v>
      </c>
      <c r="BM45" s="12" t="s">
        <v>1551</v>
      </c>
      <c r="BN45" s="12" t="s">
        <v>1389</v>
      </c>
      <c r="BO45" s="12" t="s">
        <v>1552</v>
      </c>
      <c r="BP45" s="12" t="s">
        <v>1157</v>
      </c>
      <c r="BQ45" s="12" t="s">
        <v>1309</v>
      </c>
      <c r="BR45" s="12" t="s">
        <v>1553</v>
      </c>
      <c r="BS45" s="12" t="s">
        <v>1554</v>
      </c>
      <c r="BT45" s="12" t="s">
        <v>1555</v>
      </c>
      <c r="BU45" s="12" t="s">
        <v>1556</v>
      </c>
      <c r="BV45" s="12" t="s">
        <v>1557</v>
      </c>
      <c r="BW45" s="12" t="s">
        <v>1558</v>
      </c>
      <c r="BX45" s="12" t="s">
        <v>1559</v>
      </c>
      <c r="BY45" s="12" t="s">
        <v>1560</v>
      </c>
      <c r="BZ45" s="12" t="s">
        <v>1561</v>
      </c>
      <c r="CA45" s="12" t="s">
        <v>1562</v>
      </c>
      <c r="CB45" s="12" t="s">
        <v>1563</v>
      </c>
      <c r="CC45" s="12" t="s">
        <v>1564</v>
      </c>
      <c r="CD45" s="12" t="s">
        <v>1565</v>
      </c>
      <c r="CE45" s="12" t="s">
        <v>1566</v>
      </c>
      <c r="CF45" s="12" t="s">
        <v>1567</v>
      </c>
      <c r="CG45" s="12" t="s">
        <v>1568</v>
      </c>
      <c r="CH45" s="12" t="s">
        <v>1569</v>
      </c>
      <c r="CI45" s="12" t="s">
        <v>245</v>
      </c>
      <c r="CJ45" s="12" t="s">
        <v>1570</v>
      </c>
      <c r="CK45" s="12" t="s">
        <v>1571</v>
      </c>
      <c r="CL45" s="12" t="s">
        <v>1572</v>
      </c>
      <c r="CM45" s="12" t="s">
        <v>1573</v>
      </c>
      <c r="CN45" s="12" t="s">
        <v>1574</v>
      </c>
      <c r="CO45" s="12" t="s">
        <v>1575</v>
      </c>
      <c r="CP45" s="12" t="s">
        <v>1576</v>
      </c>
      <c r="CQ45" s="12" t="s">
        <v>1577</v>
      </c>
      <c r="CR45" s="12" t="s">
        <v>1578</v>
      </c>
      <c r="CS45" s="12" t="s">
        <v>1579</v>
      </c>
      <c r="CT45" s="12" t="s">
        <v>1580</v>
      </c>
    </row>
    <row r="46" spans="1:98" hidden="1" x14ac:dyDescent="0.3">
      <c r="A46" s="12" t="s">
        <v>1581</v>
      </c>
      <c r="B46" s="12" t="s">
        <v>1453</v>
      </c>
      <c r="C46" s="12" t="s">
        <v>1582</v>
      </c>
      <c r="D46" s="12" t="s">
        <v>1583</v>
      </c>
      <c r="E46" s="12" t="s">
        <v>596</v>
      </c>
      <c r="F46" s="12" t="s">
        <v>596</v>
      </c>
      <c r="G46" s="12" t="s">
        <v>596</v>
      </c>
      <c r="H46" s="12" t="s">
        <v>596</v>
      </c>
      <c r="I46" s="12" t="s">
        <v>596</v>
      </c>
      <c r="J46" s="12" t="s">
        <v>596</v>
      </c>
      <c r="K46" s="12" t="s">
        <v>596</v>
      </c>
      <c r="L46" s="12" t="s">
        <v>596</v>
      </c>
      <c r="M46" s="12" t="s">
        <v>596</v>
      </c>
      <c r="N46" s="12" t="s">
        <v>596</v>
      </c>
      <c r="O46" s="12" t="s">
        <v>596</v>
      </c>
      <c r="P46" s="12" t="s">
        <v>596</v>
      </c>
      <c r="Q46" s="12" t="s">
        <v>596</v>
      </c>
      <c r="R46" s="12" t="s">
        <v>596</v>
      </c>
      <c r="S46" s="12" t="s">
        <v>596</v>
      </c>
      <c r="T46" s="12" t="s">
        <v>596</v>
      </c>
      <c r="U46" s="12" t="s">
        <v>596</v>
      </c>
      <c r="V46" s="12" t="s">
        <v>596</v>
      </c>
      <c r="W46" s="12" t="s">
        <v>596</v>
      </c>
      <c r="X46" s="12" t="s">
        <v>596</v>
      </c>
      <c r="Y46" s="12" t="s">
        <v>596</v>
      </c>
      <c r="Z46" s="12" t="s">
        <v>596</v>
      </c>
      <c r="AA46" s="12" t="s">
        <v>596</v>
      </c>
      <c r="AB46" s="12" t="s">
        <v>596</v>
      </c>
      <c r="AC46" s="12" t="s">
        <v>596</v>
      </c>
      <c r="AD46" s="12" t="s">
        <v>596</v>
      </c>
      <c r="AE46" s="12" t="s">
        <v>596</v>
      </c>
      <c r="AF46" s="12" t="s">
        <v>596</v>
      </c>
      <c r="AG46" s="12" t="s">
        <v>596</v>
      </c>
      <c r="AH46" s="12" t="s">
        <v>596</v>
      </c>
      <c r="AI46" s="12" t="s">
        <v>596</v>
      </c>
      <c r="AJ46" s="12" t="s">
        <v>596</v>
      </c>
      <c r="AK46" s="12" t="s">
        <v>596</v>
      </c>
      <c r="AL46" s="12" t="s">
        <v>596</v>
      </c>
      <c r="AM46" s="12" t="s">
        <v>596</v>
      </c>
      <c r="AN46" s="12" t="s">
        <v>596</v>
      </c>
      <c r="AO46" s="12" t="s">
        <v>596</v>
      </c>
      <c r="AP46" s="12" t="s">
        <v>596</v>
      </c>
      <c r="AQ46" s="12" t="s">
        <v>596</v>
      </c>
      <c r="AR46" s="12" t="s">
        <v>596</v>
      </c>
      <c r="AS46" s="12" t="s">
        <v>596</v>
      </c>
      <c r="AT46" s="12" t="s">
        <v>596</v>
      </c>
      <c r="AU46" s="12" t="s">
        <v>596</v>
      </c>
      <c r="AV46" s="12" t="s">
        <v>596</v>
      </c>
      <c r="AW46" s="12" t="s">
        <v>596</v>
      </c>
      <c r="AX46" s="12" t="s">
        <v>596</v>
      </c>
      <c r="AY46" s="12" t="s">
        <v>596</v>
      </c>
      <c r="AZ46" s="12" t="s">
        <v>596</v>
      </c>
      <c r="BA46" s="12" t="s">
        <v>596</v>
      </c>
      <c r="BB46" s="12" t="s">
        <v>596</v>
      </c>
      <c r="BC46" s="12" t="s">
        <v>596</v>
      </c>
      <c r="BD46" s="12" t="s">
        <v>596</v>
      </c>
      <c r="BE46" s="12" t="s">
        <v>596</v>
      </c>
      <c r="BF46" s="12" t="s">
        <v>597</v>
      </c>
      <c r="BG46" s="12" t="s">
        <v>597</v>
      </c>
      <c r="BH46" s="12" t="s">
        <v>597</v>
      </c>
      <c r="BI46" s="12" t="s">
        <v>597</v>
      </c>
      <c r="BJ46" s="12" t="s">
        <v>641</v>
      </c>
      <c r="BK46" s="12" t="s">
        <v>641</v>
      </c>
      <c r="BL46" s="12" t="s">
        <v>641</v>
      </c>
      <c r="BM46" s="12" t="s">
        <v>690</v>
      </c>
      <c r="BN46" s="12" t="s">
        <v>690</v>
      </c>
      <c r="BO46" s="12" t="s">
        <v>690</v>
      </c>
      <c r="BP46" s="12" t="s">
        <v>599</v>
      </c>
      <c r="BQ46" s="12" t="s">
        <v>599</v>
      </c>
      <c r="BR46" s="12" t="s">
        <v>779</v>
      </c>
      <c r="BS46" s="12" t="s">
        <v>601</v>
      </c>
      <c r="BT46" s="12" t="s">
        <v>601</v>
      </c>
      <c r="BU46" s="12" t="s">
        <v>826</v>
      </c>
      <c r="BV46" s="12" t="s">
        <v>603</v>
      </c>
      <c r="BW46" s="12" t="s">
        <v>603</v>
      </c>
      <c r="BX46" s="12" t="s">
        <v>604</v>
      </c>
      <c r="BY46" s="12" t="s">
        <v>604</v>
      </c>
      <c r="BZ46" s="12" t="s">
        <v>604</v>
      </c>
      <c r="CA46" s="12" t="s">
        <v>604</v>
      </c>
      <c r="CB46" s="12" t="s">
        <v>604</v>
      </c>
      <c r="CC46" s="12" t="s">
        <v>604</v>
      </c>
      <c r="CD46" s="12" t="s">
        <v>775</v>
      </c>
      <c r="CE46" s="12" t="s">
        <v>775</v>
      </c>
      <c r="CF46" s="12" t="s">
        <v>775</v>
      </c>
      <c r="CG46" s="12" t="s">
        <v>775</v>
      </c>
      <c r="CH46" s="12" t="s">
        <v>775</v>
      </c>
      <c r="CI46" s="12" t="s">
        <v>775</v>
      </c>
      <c r="CJ46" s="12" t="s">
        <v>775</v>
      </c>
      <c r="CK46" s="12" t="s">
        <v>694</v>
      </c>
      <c r="CL46" s="12" t="s">
        <v>694</v>
      </c>
      <c r="CM46" s="12" t="s">
        <v>694</v>
      </c>
      <c r="CN46" s="12" t="s">
        <v>694</v>
      </c>
      <c r="CO46" s="12" t="s">
        <v>694</v>
      </c>
      <c r="CP46" s="12" t="s">
        <v>694</v>
      </c>
      <c r="CQ46" s="12" t="s">
        <v>694</v>
      </c>
      <c r="CR46" s="12" t="s">
        <v>694</v>
      </c>
      <c r="CS46" s="12" t="s">
        <v>694</v>
      </c>
      <c r="CT46" s="12" t="s">
        <v>694</v>
      </c>
    </row>
    <row r="47" spans="1:98" hidden="1" x14ac:dyDescent="0.3">
      <c r="A47" s="12" t="s">
        <v>1584</v>
      </c>
      <c r="B47" s="12" t="s">
        <v>1453</v>
      </c>
      <c r="C47" s="12" t="s">
        <v>1585</v>
      </c>
      <c r="D47" s="12" t="s">
        <v>1586</v>
      </c>
      <c r="E47" s="12" t="s">
        <v>596</v>
      </c>
      <c r="F47" s="12" t="s">
        <v>596</v>
      </c>
      <c r="G47" s="12" t="s">
        <v>596</v>
      </c>
      <c r="H47" s="12" t="s">
        <v>596</v>
      </c>
      <c r="I47" s="12" t="s">
        <v>596</v>
      </c>
      <c r="J47" s="12" t="s">
        <v>596</v>
      </c>
      <c r="K47" s="12" t="s">
        <v>596</v>
      </c>
      <c r="L47" s="12" t="s">
        <v>596</v>
      </c>
      <c r="M47" s="12" t="s">
        <v>596</v>
      </c>
      <c r="N47" s="12" t="s">
        <v>596</v>
      </c>
      <c r="O47" s="12" t="s">
        <v>596</v>
      </c>
      <c r="P47" s="12" t="s">
        <v>596</v>
      </c>
      <c r="Q47" s="12" t="s">
        <v>596</v>
      </c>
      <c r="R47" s="12" t="s">
        <v>596</v>
      </c>
      <c r="S47" s="12" t="s">
        <v>596</v>
      </c>
      <c r="T47" s="12" t="s">
        <v>596</v>
      </c>
      <c r="U47" s="12" t="s">
        <v>596</v>
      </c>
      <c r="V47" s="12" t="s">
        <v>596</v>
      </c>
      <c r="W47" s="12" t="s">
        <v>596</v>
      </c>
      <c r="X47" s="12" t="s">
        <v>596</v>
      </c>
      <c r="Y47" s="12" t="s">
        <v>596</v>
      </c>
      <c r="Z47" s="12" t="s">
        <v>596</v>
      </c>
      <c r="AA47" s="12" t="s">
        <v>596</v>
      </c>
      <c r="AB47" s="12" t="s">
        <v>596</v>
      </c>
      <c r="AC47" s="12" t="s">
        <v>596</v>
      </c>
      <c r="AD47" s="12" t="s">
        <v>596</v>
      </c>
      <c r="AE47" s="12" t="s">
        <v>596</v>
      </c>
      <c r="AF47" s="12" t="s">
        <v>596</v>
      </c>
      <c r="AG47" s="12" t="s">
        <v>596</v>
      </c>
      <c r="AH47" s="12" t="s">
        <v>596</v>
      </c>
      <c r="AI47" s="12" t="s">
        <v>596</v>
      </c>
      <c r="AJ47" s="12" t="s">
        <v>596</v>
      </c>
      <c r="AK47" s="12" t="s">
        <v>596</v>
      </c>
      <c r="AL47" s="12" t="s">
        <v>596</v>
      </c>
      <c r="AM47" s="12" t="s">
        <v>596</v>
      </c>
      <c r="AN47" s="12" t="s">
        <v>596</v>
      </c>
      <c r="AO47" s="12" t="s">
        <v>596</v>
      </c>
      <c r="AP47" s="12" t="s">
        <v>597</v>
      </c>
      <c r="AQ47" s="12" t="s">
        <v>597</v>
      </c>
      <c r="AR47" s="12" t="s">
        <v>597</v>
      </c>
      <c r="AS47" s="12" t="s">
        <v>597</v>
      </c>
      <c r="AT47" s="12" t="s">
        <v>597</v>
      </c>
      <c r="AU47" s="12" t="s">
        <v>597</v>
      </c>
      <c r="AV47" s="12" t="s">
        <v>641</v>
      </c>
      <c r="AW47" s="12" t="s">
        <v>641</v>
      </c>
      <c r="AX47" s="12" t="s">
        <v>690</v>
      </c>
      <c r="AY47" s="12" t="s">
        <v>598</v>
      </c>
      <c r="AZ47" s="12" t="s">
        <v>598</v>
      </c>
      <c r="BA47" s="12" t="s">
        <v>598</v>
      </c>
      <c r="BB47" s="12" t="s">
        <v>773</v>
      </c>
      <c r="BC47" s="12" t="s">
        <v>779</v>
      </c>
      <c r="BD47" s="12" t="s">
        <v>691</v>
      </c>
      <c r="BE47" s="12" t="s">
        <v>691</v>
      </c>
      <c r="BF47" s="12" t="s">
        <v>605</v>
      </c>
      <c r="BG47" s="12" t="s">
        <v>972</v>
      </c>
      <c r="BH47" s="12" t="s">
        <v>607</v>
      </c>
      <c r="BI47" s="12" t="s">
        <v>609</v>
      </c>
      <c r="BJ47" s="12" t="s">
        <v>1011</v>
      </c>
      <c r="BK47" s="12" t="s">
        <v>701</v>
      </c>
      <c r="BL47" s="12" t="s">
        <v>1587</v>
      </c>
      <c r="BM47" s="12" t="s">
        <v>1588</v>
      </c>
      <c r="BN47" s="12" t="s">
        <v>1589</v>
      </c>
      <c r="BO47" s="12" t="s">
        <v>852</v>
      </c>
      <c r="BP47" s="12" t="s">
        <v>1320</v>
      </c>
      <c r="BQ47" s="12" t="s">
        <v>1590</v>
      </c>
      <c r="BR47" s="12" t="s">
        <v>1591</v>
      </c>
      <c r="BS47" s="12" t="s">
        <v>1592</v>
      </c>
      <c r="BT47" s="12" t="s">
        <v>1593</v>
      </c>
      <c r="BU47" s="12" t="s">
        <v>1594</v>
      </c>
      <c r="BV47" s="12" t="s">
        <v>1595</v>
      </c>
      <c r="BW47" s="12" t="s">
        <v>1596</v>
      </c>
      <c r="BX47" s="12" t="s">
        <v>1597</v>
      </c>
      <c r="BY47" s="12" t="s">
        <v>1598</v>
      </c>
      <c r="BZ47" s="12" t="s">
        <v>1598</v>
      </c>
      <c r="CA47" s="12" t="s">
        <v>1599</v>
      </c>
      <c r="CB47" s="12" t="s">
        <v>1600</v>
      </c>
      <c r="CC47" s="12" t="s">
        <v>1601</v>
      </c>
      <c r="CD47" s="12" t="s">
        <v>1602</v>
      </c>
      <c r="CE47" s="12" t="s">
        <v>1603</v>
      </c>
      <c r="CF47" s="12" t="s">
        <v>1604</v>
      </c>
      <c r="CG47" s="12" t="s">
        <v>1605</v>
      </c>
      <c r="CH47" s="12" t="s">
        <v>1606</v>
      </c>
      <c r="CI47" s="12" t="s">
        <v>1607</v>
      </c>
      <c r="CJ47" s="12" t="s">
        <v>1608</v>
      </c>
      <c r="CK47" s="12" t="s">
        <v>1609</v>
      </c>
      <c r="CL47" s="12" t="s">
        <v>1610</v>
      </c>
      <c r="CM47" s="12" t="s">
        <v>1611</v>
      </c>
      <c r="CN47" s="12" t="s">
        <v>1612</v>
      </c>
      <c r="CO47" s="12" t="s">
        <v>1613</v>
      </c>
      <c r="CP47" s="12" t="s">
        <v>1614</v>
      </c>
      <c r="CQ47" s="12" t="s">
        <v>1615</v>
      </c>
      <c r="CR47" s="12" t="s">
        <v>1616</v>
      </c>
      <c r="CS47" s="12" t="s">
        <v>1617</v>
      </c>
      <c r="CT47" s="12" t="s">
        <v>1618</v>
      </c>
    </row>
    <row r="48" spans="1:98" hidden="1" x14ac:dyDescent="0.3">
      <c r="A48" s="12" t="s">
        <v>1619</v>
      </c>
      <c r="B48" s="12" t="s">
        <v>1453</v>
      </c>
      <c r="C48" s="12" t="s">
        <v>1585</v>
      </c>
      <c r="D48" s="12" t="s">
        <v>1620</v>
      </c>
      <c r="E48" s="12" t="s">
        <v>596</v>
      </c>
      <c r="F48" s="12" t="s">
        <v>596</v>
      </c>
      <c r="G48" s="12" t="s">
        <v>596</v>
      </c>
      <c r="H48" s="12" t="s">
        <v>596</v>
      </c>
      <c r="I48" s="12" t="s">
        <v>596</v>
      </c>
      <c r="J48" s="12" t="s">
        <v>596</v>
      </c>
      <c r="K48" s="12" t="s">
        <v>596</v>
      </c>
      <c r="L48" s="12" t="s">
        <v>596</v>
      </c>
      <c r="M48" s="12" t="s">
        <v>596</v>
      </c>
      <c r="N48" s="12" t="s">
        <v>596</v>
      </c>
      <c r="O48" s="12" t="s">
        <v>596</v>
      </c>
      <c r="P48" s="12" t="s">
        <v>596</v>
      </c>
      <c r="Q48" s="12" t="s">
        <v>596</v>
      </c>
      <c r="R48" s="12" t="s">
        <v>596</v>
      </c>
      <c r="S48" s="12" t="s">
        <v>596</v>
      </c>
      <c r="T48" s="12" t="s">
        <v>596</v>
      </c>
      <c r="U48" s="12" t="s">
        <v>596</v>
      </c>
      <c r="V48" s="12" t="s">
        <v>596</v>
      </c>
      <c r="W48" s="12" t="s">
        <v>596</v>
      </c>
      <c r="X48" s="12" t="s">
        <v>596</v>
      </c>
      <c r="Y48" s="12" t="s">
        <v>596</v>
      </c>
      <c r="Z48" s="12" t="s">
        <v>596</v>
      </c>
      <c r="AA48" s="12" t="s">
        <v>596</v>
      </c>
      <c r="AB48" s="12" t="s">
        <v>596</v>
      </c>
      <c r="AC48" s="12" t="s">
        <v>596</v>
      </c>
      <c r="AD48" s="12" t="s">
        <v>596</v>
      </c>
      <c r="AE48" s="12" t="s">
        <v>596</v>
      </c>
      <c r="AF48" s="12" t="s">
        <v>596</v>
      </c>
      <c r="AG48" s="12" t="s">
        <v>596</v>
      </c>
      <c r="AH48" s="12" t="s">
        <v>596</v>
      </c>
      <c r="AI48" s="12" t="s">
        <v>596</v>
      </c>
      <c r="AJ48" s="12" t="s">
        <v>596</v>
      </c>
      <c r="AK48" s="12" t="s">
        <v>596</v>
      </c>
      <c r="AL48" s="12" t="s">
        <v>596</v>
      </c>
      <c r="AM48" s="12" t="s">
        <v>596</v>
      </c>
      <c r="AN48" s="12" t="s">
        <v>596</v>
      </c>
      <c r="AO48" s="12" t="s">
        <v>596</v>
      </c>
      <c r="AP48" s="12" t="s">
        <v>596</v>
      </c>
      <c r="AQ48" s="12" t="s">
        <v>596</v>
      </c>
      <c r="AR48" s="12" t="s">
        <v>596</v>
      </c>
      <c r="AS48" s="12" t="s">
        <v>596</v>
      </c>
      <c r="AT48" s="12" t="s">
        <v>596</v>
      </c>
      <c r="AU48" s="12" t="s">
        <v>596</v>
      </c>
      <c r="AV48" s="12" t="s">
        <v>596</v>
      </c>
      <c r="AW48" s="12" t="s">
        <v>596</v>
      </c>
      <c r="AX48" s="12" t="s">
        <v>596</v>
      </c>
      <c r="AY48" s="12" t="s">
        <v>596</v>
      </c>
      <c r="AZ48" s="12" t="s">
        <v>596</v>
      </c>
      <c r="BA48" s="12" t="s">
        <v>596</v>
      </c>
      <c r="BB48" s="12" t="s">
        <v>596</v>
      </c>
      <c r="BC48" s="12" t="s">
        <v>596</v>
      </c>
      <c r="BD48" s="12" t="s">
        <v>641</v>
      </c>
      <c r="BE48" s="12" t="s">
        <v>641</v>
      </c>
      <c r="BF48" s="12" t="s">
        <v>641</v>
      </c>
      <c r="BG48" s="12" t="s">
        <v>600</v>
      </c>
      <c r="BH48" s="12" t="s">
        <v>600</v>
      </c>
      <c r="BI48" s="12" t="s">
        <v>773</v>
      </c>
      <c r="BJ48" s="12" t="s">
        <v>602</v>
      </c>
      <c r="BK48" s="12" t="s">
        <v>693</v>
      </c>
      <c r="BL48" s="12" t="s">
        <v>694</v>
      </c>
      <c r="BM48" s="12" t="s">
        <v>827</v>
      </c>
      <c r="BN48" s="12" t="s">
        <v>991</v>
      </c>
      <c r="BO48" s="12" t="s">
        <v>993</v>
      </c>
      <c r="BP48" s="12" t="s">
        <v>993</v>
      </c>
      <c r="BQ48" s="12" t="s">
        <v>1143</v>
      </c>
      <c r="BR48" s="12" t="s">
        <v>1143</v>
      </c>
      <c r="BS48" s="12" t="s">
        <v>891</v>
      </c>
      <c r="BT48" s="12" t="s">
        <v>1621</v>
      </c>
      <c r="BU48" s="12" t="s">
        <v>1621</v>
      </c>
      <c r="BV48" s="12" t="s">
        <v>939</v>
      </c>
      <c r="BW48" s="12" t="s">
        <v>1440</v>
      </c>
      <c r="BX48" s="12" t="s">
        <v>1622</v>
      </c>
      <c r="BY48" s="12" t="s">
        <v>1623</v>
      </c>
      <c r="BZ48" s="12" t="s">
        <v>1623</v>
      </c>
      <c r="CA48" s="12" t="s">
        <v>834</v>
      </c>
      <c r="CB48" s="12" t="s">
        <v>834</v>
      </c>
      <c r="CC48" s="12" t="s">
        <v>1624</v>
      </c>
      <c r="CD48" s="12" t="s">
        <v>1624</v>
      </c>
      <c r="CE48" s="12" t="s">
        <v>1477</v>
      </c>
      <c r="CF48" s="12" t="s">
        <v>1147</v>
      </c>
      <c r="CG48" s="12" t="s">
        <v>1625</v>
      </c>
      <c r="CH48" s="12" t="s">
        <v>1116</v>
      </c>
      <c r="CI48" s="12" t="s">
        <v>1284</v>
      </c>
      <c r="CJ48" s="12" t="s">
        <v>1284</v>
      </c>
      <c r="CK48" s="12" t="s">
        <v>665</v>
      </c>
      <c r="CL48" s="12" t="s">
        <v>976</v>
      </c>
      <c r="CM48" s="12" t="s">
        <v>894</v>
      </c>
      <c r="CN48" s="12" t="s">
        <v>1626</v>
      </c>
      <c r="CO48" s="12" t="s">
        <v>1627</v>
      </c>
      <c r="CP48" s="12" t="s">
        <v>1628</v>
      </c>
      <c r="CQ48" s="12" t="s">
        <v>1629</v>
      </c>
      <c r="CR48" s="12" t="s">
        <v>1630</v>
      </c>
      <c r="CS48" s="12" t="s">
        <v>1383</v>
      </c>
      <c r="CT48" s="12" t="s">
        <v>1631</v>
      </c>
    </row>
    <row r="49" spans="1:98" hidden="1" x14ac:dyDescent="0.3">
      <c r="A49" s="12" t="s">
        <v>25</v>
      </c>
      <c r="B49" s="12" t="s">
        <v>1632</v>
      </c>
      <c r="C49" s="12" t="s">
        <v>1633</v>
      </c>
      <c r="D49" s="12" t="s">
        <v>1634</v>
      </c>
      <c r="E49" s="12" t="s">
        <v>596</v>
      </c>
      <c r="F49" s="12" t="s">
        <v>596</v>
      </c>
      <c r="G49" s="12" t="s">
        <v>596</v>
      </c>
      <c r="H49" s="12" t="s">
        <v>596</v>
      </c>
      <c r="I49" s="12" t="s">
        <v>596</v>
      </c>
      <c r="J49" s="12" t="s">
        <v>596</v>
      </c>
      <c r="K49" s="12" t="s">
        <v>596</v>
      </c>
      <c r="L49" s="12" t="s">
        <v>596</v>
      </c>
      <c r="M49" s="12" t="s">
        <v>596</v>
      </c>
      <c r="N49" s="12" t="s">
        <v>596</v>
      </c>
      <c r="O49" s="12" t="s">
        <v>596</v>
      </c>
      <c r="P49" s="12" t="s">
        <v>596</v>
      </c>
      <c r="Q49" s="12" t="s">
        <v>596</v>
      </c>
      <c r="R49" s="12" t="s">
        <v>596</v>
      </c>
      <c r="S49" s="12" t="s">
        <v>596</v>
      </c>
      <c r="T49" s="12" t="s">
        <v>596</v>
      </c>
      <c r="U49" s="12" t="s">
        <v>596</v>
      </c>
      <c r="V49" s="12" t="s">
        <v>596</v>
      </c>
      <c r="W49" s="12" t="s">
        <v>596</v>
      </c>
      <c r="X49" s="12" t="s">
        <v>596</v>
      </c>
      <c r="Y49" s="12" t="s">
        <v>596</v>
      </c>
      <c r="Z49" s="12" t="s">
        <v>596</v>
      </c>
      <c r="AA49" s="12" t="s">
        <v>596</v>
      </c>
      <c r="AB49" s="12" t="s">
        <v>596</v>
      </c>
      <c r="AC49" s="12" t="s">
        <v>596</v>
      </c>
      <c r="AD49" s="12" t="s">
        <v>596</v>
      </c>
      <c r="AE49" s="12" t="s">
        <v>596</v>
      </c>
      <c r="AF49" s="12" t="s">
        <v>596</v>
      </c>
      <c r="AG49" s="12" t="s">
        <v>596</v>
      </c>
      <c r="AH49" s="12" t="s">
        <v>596</v>
      </c>
      <c r="AI49" s="12" t="s">
        <v>596</v>
      </c>
      <c r="AJ49" s="12" t="s">
        <v>596</v>
      </c>
      <c r="AK49" s="12" t="s">
        <v>596</v>
      </c>
      <c r="AL49" s="12" t="s">
        <v>596</v>
      </c>
      <c r="AM49" s="12" t="s">
        <v>596</v>
      </c>
      <c r="AN49" s="12" t="s">
        <v>596</v>
      </c>
      <c r="AO49" s="12" t="s">
        <v>596</v>
      </c>
      <c r="AP49" s="12" t="s">
        <v>596</v>
      </c>
      <c r="AQ49" s="12" t="s">
        <v>596</v>
      </c>
      <c r="AR49" s="12" t="s">
        <v>596</v>
      </c>
      <c r="AS49" s="12" t="s">
        <v>596</v>
      </c>
      <c r="AT49" s="12" t="s">
        <v>596</v>
      </c>
      <c r="AU49" s="12" t="s">
        <v>596</v>
      </c>
      <c r="AV49" s="12" t="s">
        <v>596</v>
      </c>
      <c r="AW49" s="12" t="s">
        <v>596</v>
      </c>
      <c r="AX49" s="12" t="s">
        <v>596</v>
      </c>
      <c r="AY49" s="12" t="s">
        <v>596</v>
      </c>
      <c r="AZ49" s="12" t="s">
        <v>596</v>
      </c>
      <c r="BA49" s="12" t="s">
        <v>596</v>
      </c>
      <c r="BB49" s="12" t="s">
        <v>596</v>
      </c>
      <c r="BC49" s="12" t="s">
        <v>596</v>
      </c>
      <c r="BD49" s="12" t="s">
        <v>596</v>
      </c>
      <c r="BE49" s="12" t="s">
        <v>596</v>
      </c>
      <c r="BF49" s="12" t="s">
        <v>597</v>
      </c>
      <c r="BG49" s="12" t="s">
        <v>597</v>
      </c>
      <c r="BH49" s="12" t="s">
        <v>597</v>
      </c>
      <c r="BI49" s="12" t="s">
        <v>597</v>
      </c>
      <c r="BJ49" s="12" t="s">
        <v>597</v>
      </c>
      <c r="BK49" s="12" t="s">
        <v>690</v>
      </c>
      <c r="BL49" s="12" t="s">
        <v>690</v>
      </c>
      <c r="BM49" s="12" t="s">
        <v>690</v>
      </c>
      <c r="BN49" s="12" t="s">
        <v>690</v>
      </c>
      <c r="BO49" s="12" t="s">
        <v>690</v>
      </c>
      <c r="BP49" s="12" t="s">
        <v>690</v>
      </c>
      <c r="BQ49" s="12" t="s">
        <v>690</v>
      </c>
      <c r="BR49" s="12" t="s">
        <v>690</v>
      </c>
      <c r="BS49" s="12" t="s">
        <v>690</v>
      </c>
      <c r="BT49" s="12" t="s">
        <v>690</v>
      </c>
      <c r="BU49" s="12" t="s">
        <v>690</v>
      </c>
      <c r="BV49" s="12" t="s">
        <v>690</v>
      </c>
      <c r="BW49" s="12" t="s">
        <v>690</v>
      </c>
      <c r="BX49" s="12" t="s">
        <v>690</v>
      </c>
      <c r="BY49" s="12" t="s">
        <v>773</v>
      </c>
      <c r="BZ49" s="12" t="s">
        <v>773</v>
      </c>
      <c r="CA49" s="12" t="s">
        <v>773</v>
      </c>
      <c r="CB49" s="12" t="s">
        <v>773</v>
      </c>
      <c r="CC49" s="12" t="s">
        <v>773</v>
      </c>
      <c r="CD49" s="12" t="s">
        <v>773</v>
      </c>
      <c r="CE49" s="12" t="s">
        <v>773</v>
      </c>
      <c r="CF49" s="12" t="s">
        <v>773</v>
      </c>
      <c r="CG49" s="12" t="s">
        <v>773</v>
      </c>
      <c r="CH49" s="12" t="s">
        <v>773</v>
      </c>
      <c r="CI49" s="12" t="s">
        <v>601</v>
      </c>
      <c r="CJ49" s="12" t="s">
        <v>601</v>
      </c>
      <c r="CK49" s="12" t="s">
        <v>643</v>
      </c>
      <c r="CL49" s="12" t="s">
        <v>643</v>
      </c>
      <c r="CM49" s="12" t="s">
        <v>643</v>
      </c>
      <c r="CN49" s="12" t="s">
        <v>643</v>
      </c>
      <c r="CO49" s="12" t="s">
        <v>643</v>
      </c>
      <c r="CP49" s="12" t="s">
        <v>643</v>
      </c>
      <c r="CQ49" s="12" t="s">
        <v>774</v>
      </c>
      <c r="CR49" s="12" t="s">
        <v>774</v>
      </c>
      <c r="CS49" s="12" t="s">
        <v>602</v>
      </c>
      <c r="CT49" s="12" t="s">
        <v>602</v>
      </c>
    </row>
    <row r="50" spans="1:98" hidden="1" x14ac:dyDescent="0.3">
      <c r="A50" s="12" t="s">
        <v>25</v>
      </c>
      <c r="B50" s="12" t="s">
        <v>1635</v>
      </c>
      <c r="C50" s="12" t="s">
        <v>1636</v>
      </c>
      <c r="D50" s="12" t="s">
        <v>1637</v>
      </c>
      <c r="E50" s="12" t="s">
        <v>596</v>
      </c>
      <c r="F50" s="12" t="s">
        <v>596</v>
      </c>
      <c r="G50" s="12" t="s">
        <v>596</v>
      </c>
      <c r="H50" s="12" t="s">
        <v>596</v>
      </c>
      <c r="I50" s="12" t="s">
        <v>596</v>
      </c>
      <c r="J50" s="12" t="s">
        <v>596</v>
      </c>
      <c r="K50" s="12" t="s">
        <v>596</v>
      </c>
      <c r="L50" s="12" t="s">
        <v>596</v>
      </c>
      <c r="M50" s="12" t="s">
        <v>596</v>
      </c>
      <c r="N50" s="12" t="s">
        <v>596</v>
      </c>
      <c r="O50" s="12" t="s">
        <v>596</v>
      </c>
      <c r="P50" s="12" t="s">
        <v>596</v>
      </c>
      <c r="Q50" s="12" t="s">
        <v>596</v>
      </c>
      <c r="R50" s="12" t="s">
        <v>596</v>
      </c>
      <c r="S50" s="12" t="s">
        <v>596</v>
      </c>
      <c r="T50" s="12" t="s">
        <v>596</v>
      </c>
      <c r="U50" s="12" t="s">
        <v>596</v>
      </c>
      <c r="V50" s="12" t="s">
        <v>596</v>
      </c>
      <c r="W50" s="12" t="s">
        <v>596</v>
      </c>
      <c r="X50" s="12" t="s">
        <v>596</v>
      </c>
      <c r="Y50" s="12" t="s">
        <v>596</v>
      </c>
      <c r="Z50" s="12" t="s">
        <v>596</v>
      </c>
      <c r="AA50" s="12" t="s">
        <v>596</v>
      </c>
      <c r="AB50" s="12" t="s">
        <v>596</v>
      </c>
      <c r="AC50" s="12" t="s">
        <v>596</v>
      </c>
      <c r="AD50" s="12" t="s">
        <v>596</v>
      </c>
      <c r="AE50" s="12" t="s">
        <v>596</v>
      </c>
      <c r="AF50" s="12" t="s">
        <v>596</v>
      </c>
      <c r="AG50" s="12" t="s">
        <v>596</v>
      </c>
      <c r="AH50" s="12" t="s">
        <v>596</v>
      </c>
      <c r="AI50" s="12" t="s">
        <v>596</v>
      </c>
      <c r="AJ50" s="12" t="s">
        <v>596</v>
      </c>
      <c r="AK50" s="12" t="s">
        <v>596</v>
      </c>
      <c r="AL50" s="12" t="s">
        <v>596</v>
      </c>
      <c r="AM50" s="12" t="s">
        <v>596</v>
      </c>
      <c r="AN50" s="12" t="s">
        <v>596</v>
      </c>
      <c r="AO50" s="12" t="s">
        <v>596</v>
      </c>
      <c r="AP50" s="12" t="s">
        <v>596</v>
      </c>
      <c r="AQ50" s="12" t="s">
        <v>596</v>
      </c>
      <c r="AR50" s="12" t="s">
        <v>596</v>
      </c>
      <c r="AS50" s="12" t="s">
        <v>596</v>
      </c>
      <c r="AT50" s="12" t="s">
        <v>596</v>
      </c>
      <c r="AU50" s="12" t="s">
        <v>596</v>
      </c>
      <c r="AV50" s="12" t="s">
        <v>596</v>
      </c>
      <c r="AW50" s="12" t="s">
        <v>596</v>
      </c>
      <c r="AX50" s="12" t="s">
        <v>596</v>
      </c>
      <c r="AY50" s="12" t="s">
        <v>596</v>
      </c>
      <c r="AZ50" s="12" t="s">
        <v>596</v>
      </c>
      <c r="BA50" s="12" t="s">
        <v>596</v>
      </c>
      <c r="BB50" s="12" t="s">
        <v>596</v>
      </c>
      <c r="BC50" s="12" t="s">
        <v>596</v>
      </c>
      <c r="BD50" s="12" t="s">
        <v>596</v>
      </c>
      <c r="BE50" s="12" t="s">
        <v>596</v>
      </c>
      <c r="BF50" s="12" t="s">
        <v>596</v>
      </c>
      <c r="BG50" s="12" t="s">
        <v>596</v>
      </c>
      <c r="BH50" s="12" t="s">
        <v>596</v>
      </c>
      <c r="BI50" s="12" t="s">
        <v>596</v>
      </c>
      <c r="BJ50" s="12" t="s">
        <v>597</v>
      </c>
      <c r="BK50" s="12" t="s">
        <v>597</v>
      </c>
      <c r="BL50" s="12" t="s">
        <v>597</v>
      </c>
      <c r="BM50" s="12" t="s">
        <v>597</v>
      </c>
      <c r="BN50" s="12" t="s">
        <v>597</v>
      </c>
      <c r="BO50" s="12" t="s">
        <v>690</v>
      </c>
      <c r="BP50" s="12" t="s">
        <v>690</v>
      </c>
      <c r="BQ50" s="12" t="s">
        <v>690</v>
      </c>
      <c r="BR50" s="12" t="s">
        <v>690</v>
      </c>
      <c r="BS50" s="12" t="s">
        <v>690</v>
      </c>
      <c r="BT50" s="12" t="s">
        <v>690</v>
      </c>
      <c r="BU50" s="12" t="s">
        <v>599</v>
      </c>
      <c r="BV50" s="12" t="s">
        <v>600</v>
      </c>
      <c r="BW50" s="12" t="s">
        <v>600</v>
      </c>
      <c r="BX50" s="12" t="s">
        <v>773</v>
      </c>
      <c r="BY50" s="12" t="s">
        <v>773</v>
      </c>
      <c r="BZ50" s="12" t="s">
        <v>779</v>
      </c>
      <c r="CA50" s="12" t="s">
        <v>779</v>
      </c>
      <c r="CB50" s="12" t="s">
        <v>779</v>
      </c>
      <c r="CC50" s="12" t="s">
        <v>642</v>
      </c>
      <c r="CD50" s="12" t="s">
        <v>642</v>
      </c>
      <c r="CE50" s="12" t="s">
        <v>601</v>
      </c>
      <c r="CF50" s="12" t="s">
        <v>601</v>
      </c>
      <c r="CG50" s="12" t="s">
        <v>601</v>
      </c>
      <c r="CH50" s="12" t="s">
        <v>826</v>
      </c>
      <c r="CI50" s="12" t="s">
        <v>644</v>
      </c>
      <c r="CJ50" s="12" t="s">
        <v>644</v>
      </c>
      <c r="CK50" s="12" t="s">
        <v>644</v>
      </c>
      <c r="CL50" s="12" t="s">
        <v>931</v>
      </c>
      <c r="CM50" s="12" t="s">
        <v>931</v>
      </c>
      <c r="CN50" s="12" t="s">
        <v>645</v>
      </c>
      <c r="CO50" s="12" t="s">
        <v>645</v>
      </c>
      <c r="CP50" s="12" t="s">
        <v>645</v>
      </c>
      <c r="CQ50" s="12" t="s">
        <v>645</v>
      </c>
      <c r="CR50" s="12" t="s">
        <v>645</v>
      </c>
      <c r="CS50" s="12" t="s">
        <v>645</v>
      </c>
      <c r="CT50" s="12" t="s">
        <v>606</v>
      </c>
    </row>
    <row r="51" spans="1:98" hidden="1" x14ac:dyDescent="0.3">
      <c r="A51" s="12" t="s">
        <v>25</v>
      </c>
      <c r="B51" s="12" t="s">
        <v>1638</v>
      </c>
      <c r="C51" s="12" t="s">
        <v>1639</v>
      </c>
      <c r="D51" s="12" t="s">
        <v>1640</v>
      </c>
      <c r="E51" s="12" t="s">
        <v>596</v>
      </c>
      <c r="F51" s="12" t="s">
        <v>596</v>
      </c>
      <c r="G51" s="12" t="s">
        <v>596</v>
      </c>
      <c r="H51" s="12" t="s">
        <v>596</v>
      </c>
      <c r="I51" s="12" t="s">
        <v>596</v>
      </c>
      <c r="J51" s="12" t="s">
        <v>596</v>
      </c>
      <c r="K51" s="12" t="s">
        <v>596</v>
      </c>
      <c r="L51" s="12" t="s">
        <v>596</v>
      </c>
      <c r="M51" s="12" t="s">
        <v>596</v>
      </c>
      <c r="N51" s="12" t="s">
        <v>596</v>
      </c>
      <c r="O51" s="12" t="s">
        <v>596</v>
      </c>
      <c r="P51" s="12" t="s">
        <v>596</v>
      </c>
      <c r="Q51" s="12" t="s">
        <v>596</v>
      </c>
      <c r="R51" s="12" t="s">
        <v>596</v>
      </c>
      <c r="S51" s="12" t="s">
        <v>596</v>
      </c>
      <c r="T51" s="12" t="s">
        <v>596</v>
      </c>
      <c r="U51" s="12" t="s">
        <v>596</v>
      </c>
      <c r="V51" s="12" t="s">
        <v>596</v>
      </c>
      <c r="W51" s="12" t="s">
        <v>596</v>
      </c>
      <c r="X51" s="12" t="s">
        <v>596</v>
      </c>
      <c r="Y51" s="12" t="s">
        <v>596</v>
      </c>
      <c r="Z51" s="12" t="s">
        <v>596</v>
      </c>
      <c r="AA51" s="12" t="s">
        <v>596</v>
      </c>
      <c r="AB51" s="12" t="s">
        <v>596</v>
      </c>
      <c r="AC51" s="12" t="s">
        <v>596</v>
      </c>
      <c r="AD51" s="12" t="s">
        <v>596</v>
      </c>
      <c r="AE51" s="12" t="s">
        <v>596</v>
      </c>
      <c r="AF51" s="12" t="s">
        <v>596</v>
      </c>
      <c r="AG51" s="12" t="s">
        <v>596</v>
      </c>
      <c r="AH51" s="12" t="s">
        <v>596</v>
      </c>
      <c r="AI51" s="12" t="s">
        <v>596</v>
      </c>
      <c r="AJ51" s="12" t="s">
        <v>596</v>
      </c>
      <c r="AK51" s="12" t="s">
        <v>596</v>
      </c>
      <c r="AL51" s="12" t="s">
        <v>596</v>
      </c>
      <c r="AM51" s="12" t="s">
        <v>596</v>
      </c>
      <c r="AN51" s="12" t="s">
        <v>596</v>
      </c>
      <c r="AO51" s="12" t="s">
        <v>596</v>
      </c>
      <c r="AP51" s="12" t="s">
        <v>596</v>
      </c>
      <c r="AQ51" s="12" t="s">
        <v>596</v>
      </c>
      <c r="AR51" s="12" t="s">
        <v>596</v>
      </c>
      <c r="AS51" s="12" t="s">
        <v>596</v>
      </c>
      <c r="AT51" s="12" t="s">
        <v>597</v>
      </c>
      <c r="AU51" s="12" t="s">
        <v>597</v>
      </c>
      <c r="AV51" s="12" t="s">
        <v>598</v>
      </c>
      <c r="AW51" s="12" t="s">
        <v>598</v>
      </c>
      <c r="AX51" s="12" t="s">
        <v>598</v>
      </c>
      <c r="AY51" s="12" t="s">
        <v>773</v>
      </c>
      <c r="AZ51" s="12" t="s">
        <v>773</v>
      </c>
      <c r="BA51" s="12" t="s">
        <v>886</v>
      </c>
      <c r="BB51" s="12" t="s">
        <v>644</v>
      </c>
      <c r="BC51" s="12" t="s">
        <v>644</v>
      </c>
      <c r="BD51" s="12" t="s">
        <v>1277</v>
      </c>
      <c r="BE51" s="12" t="s">
        <v>937</v>
      </c>
      <c r="BF51" s="12" t="s">
        <v>607</v>
      </c>
      <c r="BG51" s="12" t="s">
        <v>1641</v>
      </c>
      <c r="BH51" s="12" t="s">
        <v>702</v>
      </c>
      <c r="BI51" s="12" t="s">
        <v>1642</v>
      </c>
      <c r="BJ51" s="12" t="s">
        <v>1642</v>
      </c>
      <c r="BK51" s="12" t="s">
        <v>1643</v>
      </c>
      <c r="BL51" s="12" t="s">
        <v>1644</v>
      </c>
      <c r="BM51" s="12" t="s">
        <v>1645</v>
      </c>
      <c r="BN51" s="12" t="s">
        <v>1646</v>
      </c>
      <c r="BO51" s="12" t="s">
        <v>1647</v>
      </c>
      <c r="BP51" s="12" t="s">
        <v>1648</v>
      </c>
      <c r="BQ51" s="12" t="s">
        <v>1649</v>
      </c>
      <c r="BR51" s="12" t="s">
        <v>1650</v>
      </c>
      <c r="BS51" s="12" t="s">
        <v>1651</v>
      </c>
      <c r="BT51" s="12" t="s">
        <v>1652</v>
      </c>
      <c r="BU51" s="12" t="s">
        <v>1653</v>
      </c>
      <c r="BV51" s="12" t="s">
        <v>1654</v>
      </c>
      <c r="BW51" s="12" t="s">
        <v>819</v>
      </c>
      <c r="BX51" s="12" t="s">
        <v>1655</v>
      </c>
      <c r="BY51" s="12" t="s">
        <v>1656</v>
      </c>
      <c r="BZ51" s="12" t="s">
        <v>1657</v>
      </c>
      <c r="CA51" s="12" t="s">
        <v>1658</v>
      </c>
      <c r="CB51" s="12" t="s">
        <v>1659</v>
      </c>
      <c r="CC51" s="12" t="s">
        <v>1660</v>
      </c>
      <c r="CD51" s="12" t="s">
        <v>1661</v>
      </c>
      <c r="CE51" s="12" t="s">
        <v>1662</v>
      </c>
      <c r="CF51" s="12" t="s">
        <v>1663</v>
      </c>
      <c r="CG51" s="12" t="s">
        <v>1664</v>
      </c>
      <c r="CH51" s="12" t="s">
        <v>1665</v>
      </c>
      <c r="CI51" s="12" t="s">
        <v>1666</v>
      </c>
      <c r="CJ51" s="12" t="s">
        <v>1667</v>
      </c>
      <c r="CK51" s="12" t="s">
        <v>1668</v>
      </c>
      <c r="CL51" s="12" t="s">
        <v>1669</v>
      </c>
      <c r="CM51" s="12" t="s">
        <v>1670</v>
      </c>
      <c r="CN51" s="12" t="s">
        <v>1671</v>
      </c>
      <c r="CO51" s="12" t="s">
        <v>1672</v>
      </c>
      <c r="CP51" s="12" t="s">
        <v>1673</v>
      </c>
      <c r="CQ51" s="12" t="s">
        <v>1674</v>
      </c>
      <c r="CR51" s="12" t="s">
        <v>1675</v>
      </c>
      <c r="CS51" s="12" t="s">
        <v>1676</v>
      </c>
      <c r="CT51" s="12" t="s">
        <v>1677</v>
      </c>
    </row>
    <row r="52" spans="1:98" hidden="1" x14ac:dyDescent="0.3">
      <c r="A52" s="12" t="s">
        <v>1678</v>
      </c>
      <c r="B52" s="12" t="s">
        <v>1679</v>
      </c>
      <c r="C52" s="12" t="s">
        <v>1680</v>
      </c>
      <c r="D52" s="12" t="s">
        <v>1681</v>
      </c>
      <c r="E52" s="12" t="s">
        <v>597</v>
      </c>
      <c r="F52" s="12" t="s">
        <v>779</v>
      </c>
      <c r="G52" s="12" t="s">
        <v>780</v>
      </c>
      <c r="H52" s="12" t="s">
        <v>736</v>
      </c>
      <c r="I52" s="12" t="s">
        <v>698</v>
      </c>
      <c r="J52" s="12" t="s">
        <v>652</v>
      </c>
      <c r="K52" s="12" t="s">
        <v>1682</v>
      </c>
      <c r="L52" s="12" t="s">
        <v>1203</v>
      </c>
      <c r="M52" s="12" t="s">
        <v>1003</v>
      </c>
      <c r="N52" s="12" t="s">
        <v>614</v>
      </c>
      <c r="O52" s="12" t="s">
        <v>1683</v>
      </c>
      <c r="P52" s="12" t="s">
        <v>1684</v>
      </c>
      <c r="Q52" s="12" t="s">
        <v>1685</v>
      </c>
      <c r="R52" s="12" t="s">
        <v>1686</v>
      </c>
      <c r="S52" s="12" t="s">
        <v>1687</v>
      </c>
      <c r="T52" s="12" t="s">
        <v>1688</v>
      </c>
      <c r="U52" s="12" t="s">
        <v>626</v>
      </c>
      <c r="V52" s="12" t="s">
        <v>1689</v>
      </c>
      <c r="W52" s="12" t="s">
        <v>1690</v>
      </c>
      <c r="X52" s="12" t="s">
        <v>1691</v>
      </c>
      <c r="Y52" s="12" t="s">
        <v>1070</v>
      </c>
      <c r="Z52" s="12" t="s">
        <v>1692</v>
      </c>
      <c r="AA52" s="12" t="s">
        <v>1693</v>
      </c>
      <c r="AB52" s="12" t="s">
        <v>954</v>
      </c>
      <c r="AC52" s="12" t="s">
        <v>1694</v>
      </c>
      <c r="AD52" s="12" t="s">
        <v>1695</v>
      </c>
      <c r="AE52" s="12" t="s">
        <v>1696</v>
      </c>
      <c r="AF52" s="12" t="s">
        <v>1697</v>
      </c>
      <c r="AG52" s="12" t="s">
        <v>710</v>
      </c>
      <c r="AH52" s="12" t="s">
        <v>960</v>
      </c>
      <c r="AI52" s="12" t="s">
        <v>1698</v>
      </c>
      <c r="AJ52" s="12" t="s">
        <v>1699</v>
      </c>
      <c r="AK52" s="12" t="s">
        <v>1699</v>
      </c>
      <c r="AL52" s="12" t="s">
        <v>1699</v>
      </c>
      <c r="AM52" s="12" t="s">
        <v>1699</v>
      </c>
      <c r="AN52" s="12" t="s">
        <v>1699</v>
      </c>
      <c r="AO52" s="12" t="s">
        <v>1699</v>
      </c>
      <c r="AP52" s="12" t="s">
        <v>1700</v>
      </c>
      <c r="AQ52" s="12" t="s">
        <v>1700</v>
      </c>
      <c r="AR52" s="12" t="s">
        <v>1700</v>
      </c>
      <c r="AS52" s="12" t="s">
        <v>1700</v>
      </c>
      <c r="AT52" s="12" t="s">
        <v>1700</v>
      </c>
      <c r="AU52" s="12" t="s">
        <v>1700</v>
      </c>
      <c r="AV52" s="12" t="s">
        <v>1700</v>
      </c>
      <c r="AW52" s="12" t="s">
        <v>1700</v>
      </c>
      <c r="AX52" s="12" t="s">
        <v>1700</v>
      </c>
      <c r="AY52" s="12" t="s">
        <v>1700</v>
      </c>
      <c r="AZ52" s="12" t="s">
        <v>1700</v>
      </c>
      <c r="BA52" s="12" t="s">
        <v>1700</v>
      </c>
      <c r="BB52" s="12" t="s">
        <v>1700</v>
      </c>
      <c r="BC52" s="12" t="s">
        <v>1700</v>
      </c>
      <c r="BD52" s="12" t="s">
        <v>1700</v>
      </c>
      <c r="BE52" s="12" t="s">
        <v>1700</v>
      </c>
      <c r="BF52" s="12" t="s">
        <v>1700</v>
      </c>
      <c r="BG52" s="12" t="s">
        <v>1700</v>
      </c>
      <c r="BH52" s="12" t="s">
        <v>1700</v>
      </c>
      <c r="BI52" s="12" t="s">
        <v>1700</v>
      </c>
      <c r="BJ52" s="12" t="s">
        <v>1700</v>
      </c>
      <c r="BK52" s="12" t="s">
        <v>1700</v>
      </c>
      <c r="BL52" s="12" t="s">
        <v>1700</v>
      </c>
      <c r="BM52" s="12" t="s">
        <v>1700</v>
      </c>
      <c r="BN52" s="12" t="s">
        <v>1700</v>
      </c>
      <c r="BO52" s="12" t="s">
        <v>1700</v>
      </c>
      <c r="BP52" s="12" t="s">
        <v>1700</v>
      </c>
      <c r="BQ52" s="12" t="s">
        <v>1700</v>
      </c>
      <c r="BR52" s="12" t="s">
        <v>1700</v>
      </c>
      <c r="BS52" s="12" t="s">
        <v>1700</v>
      </c>
      <c r="BT52" s="12" t="s">
        <v>1700</v>
      </c>
      <c r="BU52" s="12" t="s">
        <v>1700</v>
      </c>
      <c r="BV52" s="12" t="s">
        <v>1700</v>
      </c>
      <c r="BW52" s="12" t="s">
        <v>1700</v>
      </c>
      <c r="BX52" s="12" t="s">
        <v>1700</v>
      </c>
      <c r="BY52" s="12" t="s">
        <v>1700</v>
      </c>
      <c r="BZ52" s="12" t="s">
        <v>1700</v>
      </c>
      <c r="CA52" s="12" t="s">
        <v>1700</v>
      </c>
      <c r="CB52" s="12" t="s">
        <v>1700</v>
      </c>
      <c r="CC52" s="12" t="s">
        <v>1700</v>
      </c>
      <c r="CD52" s="12" t="s">
        <v>1700</v>
      </c>
      <c r="CE52" s="12" t="s">
        <v>1120</v>
      </c>
      <c r="CF52" s="12" t="s">
        <v>1120</v>
      </c>
      <c r="CG52" s="12" t="s">
        <v>1120</v>
      </c>
      <c r="CH52" s="12" t="s">
        <v>1120</v>
      </c>
      <c r="CI52" s="12" t="s">
        <v>1120</v>
      </c>
      <c r="CJ52" s="12" t="s">
        <v>1120</v>
      </c>
      <c r="CK52" s="12" t="s">
        <v>1120</v>
      </c>
      <c r="CL52" s="12" t="s">
        <v>1120</v>
      </c>
      <c r="CM52" s="12" t="s">
        <v>1120</v>
      </c>
      <c r="CN52" s="12" t="s">
        <v>1120</v>
      </c>
      <c r="CO52" s="12" t="s">
        <v>1120</v>
      </c>
      <c r="CP52" s="12" t="s">
        <v>1120</v>
      </c>
      <c r="CQ52" s="12" t="s">
        <v>1120</v>
      </c>
      <c r="CR52" s="12" t="s">
        <v>1120</v>
      </c>
      <c r="CS52" s="12" t="s">
        <v>1120</v>
      </c>
      <c r="CT52" s="12" t="s">
        <v>1120</v>
      </c>
    </row>
    <row r="53" spans="1:98" hidden="1" x14ac:dyDescent="0.3">
      <c r="A53" s="12" t="s">
        <v>1701</v>
      </c>
      <c r="B53" s="12" t="s">
        <v>1679</v>
      </c>
      <c r="C53" s="12" t="s">
        <v>1702</v>
      </c>
      <c r="D53" s="12" t="s">
        <v>1703</v>
      </c>
      <c r="E53" s="12" t="s">
        <v>774</v>
      </c>
      <c r="F53" s="12" t="s">
        <v>604</v>
      </c>
      <c r="G53" s="12" t="s">
        <v>989</v>
      </c>
      <c r="H53" s="12" t="s">
        <v>1064</v>
      </c>
      <c r="I53" s="12" t="s">
        <v>788</v>
      </c>
      <c r="J53" s="12" t="s">
        <v>874</v>
      </c>
      <c r="K53" s="12" t="s">
        <v>875</v>
      </c>
      <c r="L53" s="12" t="s">
        <v>997</v>
      </c>
      <c r="M53" s="12" t="s">
        <v>1371</v>
      </c>
      <c r="N53" s="12" t="s">
        <v>701</v>
      </c>
      <c r="O53" s="12" t="s">
        <v>1704</v>
      </c>
      <c r="P53" s="12" t="s">
        <v>1297</v>
      </c>
      <c r="Q53" s="12" t="s">
        <v>660</v>
      </c>
      <c r="R53" s="12" t="s">
        <v>1145</v>
      </c>
      <c r="S53" s="12" t="s">
        <v>1509</v>
      </c>
      <c r="T53" s="12" t="s">
        <v>1705</v>
      </c>
      <c r="U53" s="12" t="s">
        <v>1683</v>
      </c>
      <c r="V53" s="12" t="s">
        <v>1627</v>
      </c>
      <c r="W53" s="12" t="s">
        <v>1630</v>
      </c>
      <c r="X53" s="12" t="s">
        <v>977</v>
      </c>
      <c r="Y53" s="12" t="s">
        <v>1537</v>
      </c>
      <c r="Z53" s="12" t="s">
        <v>1706</v>
      </c>
      <c r="AA53" s="12" t="s">
        <v>1707</v>
      </c>
      <c r="AB53" s="12" t="s">
        <v>1330</v>
      </c>
      <c r="AC53" s="12" t="s">
        <v>1708</v>
      </c>
      <c r="AD53" s="12" t="s">
        <v>1709</v>
      </c>
      <c r="AE53" s="12" t="s">
        <v>1710</v>
      </c>
      <c r="AF53" s="12" t="s">
        <v>795</v>
      </c>
      <c r="AG53" s="12" t="s">
        <v>1711</v>
      </c>
      <c r="AH53" s="12" t="s">
        <v>1712</v>
      </c>
      <c r="AI53" s="12" t="s">
        <v>978</v>
      </c>
      <c r="AJ53" s="12" t="s">
        <v>1385</v>
      </c>
      <c r="AK53" s="12" t="s">
        <v>1385</v>
      </c>
      <c r="AL53" s="12" t="s">
        <v>1385</v>
      </c>
      <c r="AM53" s="12" t="s">
        <v>670</v>
      </c>
      <c r="AN53" s="12" t="s">
        <v>670</v>
      </c>
      <c r="AO53" s="12" t="s">
        <v>1713</v>
      </c>
      <c r="AP53" s="12" t="s">
        <v>1713</v>
      </c>
      <c r="AQ53" s="12" t="s">
        <v>979</v>
      </c>
      <c r="AR53" s="12" t="s">
        <v>1714</v>
      </c>
      <c r="AS53" s="12" t="s">
        <v>1417</v>
      </c>
      <c r="AT53" s="12" t="s">
        <v>1417</v>
      </c>
      <c r="AU53" s="12" t="s">
        <v>1715</v>
      </c>
      <c r="AV53" s="12" t="s">
        <v>1715</v>
      </c>
      <c r="AW53" s="12" t="s">
        <v>1386</v>
      </c>
      <c r="AX53" s="12" t="s">
        <v>1716</v>
      </c>
      <c r="AY53" s="12" t="s">
        <v>751</v>
      </c>
      <c r="AZ53" s="12" t="s">
        <v>751</v>
      </c>
      <c r="BA53" s="12" t="s">
        <v>982</v>
      </c>
      <c r="BB53" s="12" t="s">
        <v>983</v>
      </c>
      <c r="BC53" s="12" t="s">
        <v>983</v>
      </c>
      <c r="BD53" s="12" t="s">
        <v>896</v>
      </c>
      <c r="BE53" s="12" t="s">
        <v>984</v>
      </c>
      <c r="BF53" s="12" t="s">
        <v>1717</v>
      </c>
      <c r="BG53" s="12" t="s">
        <v>1718</v>
      </c>
      <c r="BH53" s="12" t="s">
        <v>1719</v>
      </c>
      <c r="BI53" s="12" t="s">
        <v>1720</v>
      </c>
      <c r="BJ53" s="12" t="s">
        <v>1686</v>
      </c>
      <c r="BK53" s="12" t="s">
        <v>1721</v>
      </c>
      <c r="BL53" s="12" t="s">
        <v>1068</v>
      </c>
      <c r="BM53" s="12" t="s">
        <v>1722</v>
      </c>
      <c r="BN53" s="12" t="s">
        <v>1644</v>
      </c>
      <c r="BO53" s="12" t="s">
        <v>1723</v>
      </c>
      <c r="BP53" s="12" t="s">
        <v>1724</v>
      </c>
      <c r="BQ53" s="12" t="s">
        <v>1725</v>
      </c>
      <c r="BR53" s="12" t="s">
        <v>1154</v>
      </c>
      <c r="BS53" s="12" t="s">
        <v>1726</v>
      </c>
      <c r="BT53" s="12" t="s">
        <v>1392</v>
      </c>
      <c r="BU53" s="12" t="s">
        <v>1392</v>
      </c>
      <c r="BV53" s="12" t="s">
        <v>1727</v>
      </c>
      <c r="BW53" s="12" t="s">
        <v>1727</v>
      </c>
      <c r="BX53" s="12" t="s">
        <v>1728</v>
      </c>
      <c r="BY53" s="12" t="s">
        <v>682</v>
      </c>
      <c r="BZ53" s="12" t="s">
        <v>1729</v>
      </c>
      <c r="CA53" s="12" t="s">
        <v>1730</v>
      </c>
      <c r="CB53" s="12" t="s">
        <v>1731</v>
      </c>
      <c r="CC53" s="12" t="s">
        <v>1731</v>
      </c>
      <c r="CD53" s="12" t="s">
        <v>1552</v>
      </c>
      <c r="CE53" s="12" t="s">
        <v>1552</v>
      </c>
      <c r="CF53" s="12" t="s">
        <v>1552</v>
      </c>
      <c r="CG53" s="12" t="s">
        <v>797</v>
      </c>
      <c r="CH53" s="12" t="s">
        <v>797</v>
      </c>
      <c r="CI53" s="12" t="s">
        <v>797</v>
      </c>
      <c r="CJ53" s="12" t="s">
        <v>797</v>
      </c>
      <c r="CK53" s="12" t="s">
        <v>1732</v>
      </c>
      <c r="CL53" s="12" t="s">
        <v>1393</v>
      </c>
      <c r="CM53" s="12" t="s">
        <v>1393</v>
      </c>
      <c r="CN53" s="12" t="s">
        <v>1393</v>
      </c>
      <c r="CO53" s="12" t="s">
        <v>1393</v>
      </c>
      <c r="CP53" s="12" t="s">
        <v>1393</v>
      </c>
      <c r="CQ53" s="12" t="s">
        <v>1393</v>
      </c>
      <c r="CR53" s="12" t="s">
        <v>1393</v>
      </c>
      <c r="CS53" s="12" t="s">
        <v>1393</v>
      </c>
      <c r="CT53" s="12" t="s">
        <v>1393</v>
      </c>
    </row>
    <row r="54" spans="1:98" hidden="1" x14ac:dyDescent="0.3">
      <c r="A54" s="12" t="s">
        <v>1733</v>
      </c>
      <c r="B54" s="12" t="s">
        <v>1679</v>
      </c>
      <c r="C54" s="12" t="s">
        <v>1734</v>
      </c>
      <c r="D54" s="12" t="s">
        <v>1735</v>
      </c>
      <c r="E54" s="12" t="s">
        <v>869</v>
      </c>
      <c r="F54" s="12" t="s">
        <v>779</v>
      </c>
      <c r="G54" s="12" t="s">
        <v>931</v>
      </c>
      <c r="H54" s="12" t="s">
        <v>1010</v>
      </c>
      <c r="I54" s="12" t="s">
        <v>738</v>
      </c>
      <c r="J54" s="12" t="s">
        <v>610</v>
      </c>
      <c r="K54" s="12" t="s">
        <v>1279</v>
      </c>
      <c r="L54" s="12" t="s">
        <v>1533</v>
      </c>
      <c r="M54" s="12" t="s">
        <v>1066</v>
      </c>
      <c r="N54" s="12" t="s">
        <v>1736</v>
      </c>
      <c r="O54" s="12" t="s">
        <v>1528</v>
      </c>
      <c r="P54" s="12" t="s">
        <v>1284</v>
      </c>
      <c r="Q54" s="12" t="s">
        <v>977</v>
      </c>
      <c r="R54" s="12" t="s">
        <v>1707</v>
      </c>
      <c r="S54" s="12" t="s">
        <v>1737</v>
      </c>
      <c r="T54" s="12" t="s">
        <v>979</v>
      </c>
      <c r="U54" s="12" t="s">
        <v>1716</v>
      </c>
      <c r="V54" s="12" t="s">
        <v>751</v>
      </c>
      <c r="W54" s="12" t="s">
        <v>1738</v>
      </c>
      <c r="X54" s="12" t="s">
        <v>1457</v>
      </c>
      <c r="Y54" s="12" t="s">
        <v>1739</v>
      </c>
      <c r="Z54" s="12" t="s">
        <v>678</v>
      </c>
      <c r="AA54" s="12" t="s">
        <v>1740</v>
      </c>
      <c r="AB54" s="12" t="s">
        <v>1644</v>
      </c>
      <c r="AC54" s="12" t="s">
        <v>1059</v>
      </c>
      <c r="AD54" s="12" t="s">
        <v>1741</v>
      </c>
      <c r="AE54" s="12" t="s">
        <v>1742</v>
      </c>
      <c r="AF54" s="12" t="s">
        <v>624</v>
      </c>
      <c r="AG54" s="12" t="s">
        <v>1743</v>
      </c>
      <c r="AH54" s="12" t="s">
        <v>1153</v>
      </c>
      <c r="AI54" s="12" t="s">
        <v>1744</v>
      </c>
      <c r="AJ54" s="12" t="s">
        <v>1726</v>
      </c>
      <c r="AK54" s="12" t="s">
        <v>1745</v>
      </c>
      <c r="AL54" s="12" t="s">
        <v>1423</v>
      </c>
      <c r="AM54" s="12" t="s">
        <v>1423</v>
      </c>
      <c r="AN54" s="12" t="s">
        <v>1423</v>
      </c>
      <c r="AO54" s="12" t="s">
        <v>1423</v>
      </c>
      <c r="AP54" s="12" t="s">
        <v>1423</v>
      </c>
      <c r="AQ54" s="12" t="s">
        <v>1423</v>
      </c>
      <c r="AR54" s="12" t="s">
        <v>1423</v>
      </c>
      <c r="AS54" s="12" t="s">
        <v>1423</v>
      </c>
      <c r="AT54" s="12" t="s">
        <v>1423</v>
      </c>
      <c r="AU54" s="12" t="s">
        <v>1423</v>
      </c>
      <c r="AV54" s="12" t="s">
        <v>1423</v>
      </c>
      <c r="AW54" s="12" t="s">
        <v>1423</v>
      </c>
      <c r="AX54" s="12" t="s">
        <v>1423</v>
      </c>
      <c r="AY54" s="12" t="s">
        <v>1423</v>
      </c>
      <c r="AZ54" s="12" t="s">
        <v>1423</v>
      </c>
      <c r="BA54" s="12" t="s">
        <v>1423</v>
      </c>
      <c r="BB54" s="12" t="s">
        <v>1423</v>
      </c>
      <c r="BC54" s="12" t="s">
        <v>1423</v>
      </c>
      <c r="BD54" s="12" t="s">
        <v>1423</v>
      </c>
      <c r="BE54" s="12" t="s">
        <v>1423</v>
      </c>
      <c r="BF54" s="12" t="s">
        <v>1423</v>
      </c>
      <c r="BG54" s="12" t="s">
        <v>1423</v>
      </c>
      <c r="BH54" s="12" t="s">
        <v>1423</v>
      </c>
      <c r="BI54" s="12" t="s">
        <v>1423</v>
      </c>
      <c r="BJ54" s="12" t="s">
        <v>1423</v>
      </c>
      <c r="BK54" s="12" t="s">
        <v>1423</v>
      </c>
      <c r="BL54" s="12" t="s">
        <v>1423</v>
      </c>
      <c r="BM54" s="12" t="s">
        <v>1392</v>
      </c>
      <c r="BN54" s="12" t="s">
        <v>1746</v>
      </c>
      <c r="BO54" s="12" t="s">
        <v>1746</v>
      </c>
      <c r="BP54" s="12" t="s">
        <v>1746</v>
      </c>
      <c r="BQ54" s="12" t="s">
        <v>1746</v>
      </c>
      <c r="BR54" s="12" t="s">
        <v>1746</v>
      </c>
      <c r="BS54" s="12" t="s">
        <v>1746</v>
      </c>
      <c r="BT54" s="12" t="s">
        <v>1303</v>
      </c>
      <c r="BU54" s="12" t="s">
        <v>1303</v>
      </c>
      <c r="BV54" s="12" t="s">
        <v>1303</v>
      </c>
      <c r="BW54" s="12" t="s">
        <v>1303</v>
      </c>
      <c r="BX54" s="12" t="s">
        <v>1303</v>
      </c>
      <c r="BY54" s="12" t="s">
        <v>1303</v>
      </c>
      <c r="BZ54" s="12" t="s">
        <v>1303</v>
      </c>
      <c r="CA54" s="12" t="s">
        <v>1303</v>
      </c>
      <c r="CB54" s="12" t="s">
        <v>1303</v>
      </c>
      <c r="CC54" s="12" t="s">
        <v>1303</v>
      </c>
      <c r="CD54" s="12" t="s">
        <v>1303</v>
      </c>
      <c r="CE54" s="12" t="s">
        <v>1303</v>
      </c>
      <c r="CF54" s="12" t="s">
        <v>1303</v>
      </c>
      <c r="CG54" s="12" t="s">
        <v>1303</v>
      </c>
      <c r="CH54" s="12" t="s">
        <v>1303</v>
      </c>
      <c r="CI54" s="12" t="s">
        <v>1303</v>
      </c>
      <c r="CJ54" s="12" t="s">
        <v>1303</v>
      </c>
      <c r="CK54" s="12" t="s">
        <v>1303</v>
      </c>
      <c r="CL54" s="12" t="s">
        <v>1303</v>
      </c>
      <c r="CM54" s="12" t="s">
        <v>1303</v>
      </c>
      <c r="CN54" s="12" t="s">
        <v>1303</v>
      </c>
      <c r="CO54" s="12" t="s">
        <v>1303</v>
      </c>
      <c r="CP54" s="12" t="s">
        <v>1303</v>
      </c>
      <c r="CQ54" s="12" t="s">
        <v>1303</v>
      </c>
      <c r="CR54" s="12" t="s">
        <v>1303</v>
      </c>
      <c r="CS54" s="12" t="s">
        <v>1303</v>
      </c>
      <c r="CT54" s="12" t="s">
        <v>1303</v>
      </c>
    </row>
    <row r="55" spans="1:98" hidden="1" x14ac:dyDescent="0.3">
      <c r="A55" s="12" t="s">
        <v>1747</v>
      </c>
      <c r="B55" s="12" t="s">
        <v>1679</v>
      </c>
      <c r="C55" s="12" t="s">
        <v>1748</v>
      </c>
      <c r="D55" s="12" t="s">
        <v>1749</v>
      </c>
      <c r="E55" s="12" t="s">
        <v>597</v>
      </c>
      <c r="F55" s="12" t="s">
        <v>599</v>
      </c>
      <c r="G55" s="12" t="s">
        <v>642</v>
      </c>
      <c r="H55" s="12" t="s">
        <v>826</v>
      </c>
      <c r="I55" s="12" t="s">
        <v>935</v>
      </c>
      <c r="J55" s="12" t="s">
        <v>650</v>
      </c>
      <c r="K55" s="12" t="s">
        <v>874</v>
      </c>
      <c r="L55" s="12" t="s">
        <v>608</v>
      </c>
      <c r="M55" s="12" t="s">
        <v>1750</v>
      </c>
      <c r="N55" s="12" t="s">
        <v>611</v>
      </c>
      <c r="O55" s="12" t="s">
        <v>938</v>
      </c>
      <c r="P55" s="12" t="s">
        <v>1751</v>
      </c>
      <c r="Q55" s="12" t="s">
        <v>1752</v>
      </c>
      <c r="R55" s="12" t="s">
        <v>832</v>
      </c>
      <c r="S55" s="12" t="s">
        <v>1004</v>
      </c>
      <c r="T55" s="12" t="s">
        <v>1753</v>
      </c>
      <c r="U55" s="12" t="s">
        <v>744</v>
      </c>
      <c r="V55" s="12" t="s">
        <v>1227</v>
      </c>
      <c r="W55" s="12" t="s">
        <v>1508</v>
      </c>
      <c r="X55" s="12" t="s">
        <v>1411</v>
      </c>
      <c r="Y55" s="12" t="s">
        <v>745</v>
      </c>
      <c r="Z55" s="12" t="s">
        <v>1754</v>
      </c>
      <c r="AA55" s="12" t="s">
        <v>1755</v>
      </c>
      <c r="AB55" s="12" t="s">
        <v>616</v>
      </c>
      <c r="AC55" s="12" t="s">
        <v>1147</v>
      </c>
      <c r="AD55" s="12" t="s">
        <v>975</v>
      </c>
      <c r="AE55" s="12" t="s">
        <v>836</v>
      </c>
      <c r="AF55" s="12" t="s">
        <v>1756</v>
      </c>
      <c r="AG55" s="12" t="s">
        <v>1382</v>
      </c>
      <c r="AH55" s="12" t="s">
        <v>1382</v>
      </c>
      <c r="AI55" s="12" t="s">
        <v>1382</v>
      </c>
      <c r="AJ55" s="12" t="s">
        <v>1382</v>
      </c>
      <c r="AK55" s="12" t="s">
        <v>1382</v>
      </c>
      <c r="AL55" s="12" t="s">
        <v>1382</v>
      </c>
      <c r="AM55" s="12" t="s">
        <v>1757</v>
      </c>
      <c r="AN55" s="12" t="s">
        <v>1757</v>
      </c>
      <c r="AO55" s="12" t="s">
        <v>1758</v>
      </c>
      <c r="AP55" s="12" t="s">
        <v>1758</v>
      </c>
      <c r="AQ55" s="12" t="s">
        <v>1758</v>
      </c>
      <c r="AR55" s="12" t="s">
        <v>1758</v>
      </c>
      <c r="AS55" s="12" t="s">
        <v>1758</v>
      </c>
      <c r="AT55" s="12" t="s">
        <v>1758</v>
      </c>
      <c r="AU55" s="12" t="s">
        <v>1758</v>
      </c>
      <c r="AV55" s="12" t="s">
        <v>1758</v>
      </c>
      <c r="AW55" s="12" t="s">
        <v>1758</v>
      </c>
      <c r="AX55" s="12" t="s">
        <v>1758</v>
      </c>
      <c r="AY55" s="12" t="s">
        <v>1758</v>
      </c>
      <c r="AZ55" s="12" t="s">
        <v>1758</v>
      </c>
      <c r="BA55" s="12" t="s">
        <v>1758</v>
      </c>
      <c r="BB55" s="12" t="s">
        <v>1758</v>
      </c>
      <c r="BC55" s="12" t="s">
        <v>1758</v>
      </c>
      <c r="BD55" s="12" t="s">
        <v>1758</v>
      </c>
      <c r="BE55" s="12" t="s">
        <v>1758</v>
      </c>
      <c r="BF55" s="12" t="s">
        <v>1758</v>
      </c>
      <c r="BG55" s="12" t="s">
        <v>1758</v>
      </c>
      <c r="BH55" s="12" t="s">
        <v>1758</v>
      </c>
      <c r="BI55" s="12" t="s">
        <v>1758</v>
      </c>
      <c r="BJ55" s="12" t="s">
        <v>1758</v>
      </c>
      <c r="BK55" s="12" t="s">
        <v>617</v>
      </c>
      <c r="BL55" s="12" t="s">
        <v>1759</v>
      </c>
      <c r="BM55" s="12" t="s">
        <v>1626</v>
      </c>
      <c r="BN55" s="12" t="s">
        <v>1626</v>
      </c>
      <c r="BO55" s="12" t="s">
        <v>1414</v>
      </c>
      <c r="BP55" s="12" t="s">
        <v>1760</v>
      </c>
      <c r="BQ55" s="12" t="s">
        <v>1761</v>
      </c>
      <c r="BR55" s="12" t="s">
        <v>1383</v>
      </c>
      <c r="BS55" s="12" t="s">
        <v>977</v>
      </c>
      <c r="BT55" s="12" t="s">
        <v>1762</v>
      </c>
      <c r="BU55" s="12" t="s">
        <v>1684</v>
      </c>
      <c r="BV55" s="12" t="s">
        <v>1763</v>
      </c>
      <c r="BW55" s="12" t="s">
        <v>1415</v>
      </c>
      <c r="BX55" s="12" t="s">
        <v>1415</v>
      </c>
      <c r="BY55" s="12" t="s">
        <v>618</v>
      </c>
      <c r="BZ55" s="12" t="s">
        <v>1764</v>
      </c>
      <c r="CA55" s="12" t="s">
        <v>1764</v>
      </c>
      <c r="CB55" s="12" t="s">
        <v>1764</v>
      </c>
      <c r="CC55" s="12" t="s">
        <v>1205</v>
      </c>
      <c r="CD55" s="12" t="s">
        <v>1205</v>
      </c>
      <c r="CE55" s="12" t="s">
        <v>1205</v>
      </c>
      <c r="CF55" s="12" t="s">
        <v>1205</v>
      </c>
      <c r="CG55" s="12" t="s">
        <v>1205</v>
      </c>
      <c r="CH55" s="12" t="s">
        <v>1706</v>
      </c>
      <c r="CI55" s="12" t="s">
        <v>1706</v>
      </c>
      <c r="CJ55" s="12" t="s">
        <v>895</v>
      </c>
      <c r="CK55" s="12" t="s">
        <v>895</v>
      </c>
      <c r="CL55" s="12" t="s">
        <v>895</v>
      </c>
      <c r="CM55" s="12" t="s">
        <v>1285</v>
      </c>
      <c r="CN55" s="12" t="s">
        <v>1013</v>
      </c>
      <c r="CO55" s="12" t="s">
        <v>1013</v>
      </c>
      <c r="CP55" s="12" t="s">
        <v>1013</v>
      </c>
      <c r="CQ55" s="12" t="s">
        <v>1013</v>
      </c>
      <c r="CR55" s="12" t="s">
        <v>1013</v>
      </c>
      <c r="CS55" s="12" t="s">
        <v>1013</v>
      </c>
      <c r="CT55" s="12" t="s">
        <v>1013</v>
      </c>
    </row>
    <row r="56" spans="1:98" hidden="1" x14ac:dyDescent="0.3">
      <c r="A56" s="12" t="s">
        <v>1765</v>
      </c>
      <c r="B56" s="12" t="s">
        <v>1679</v>
      </c>
      <c r="C56" s="12" t="s">
        <v>1766</v>
      </c>
      <c r="D56" s="12" t="s">
        <v>1767</v>
      </c>
      <c r="E56" s="12" t="s">
        <v>596</v>
      </c>
      <c r="F56" s="12" t="s">
        <v>641</v>
      </c>
      <c r="G56" s="12" t="s">
        <v>641</v>
      </c>
      <c r="H56" s="12" t="s">
        <v>598</v>
      </c>
      <c r="I56" s="12" t="s">
        <v>600</v>
      </c>
      <c r="J56" s="12" t="s">
        <v>774</v>
      </c>
      <c r="K56" s="12" t="s">
        <v>692</v>
      </c>
      <c r="L56" s="12" t="s">
        <v>605</v>
      </c>
      <c r="M56" s="12" t="s">
        <v>694</v>
      </c>
      <c r="N56" s="12" t="s">
        <v>971</v>
      </c>
      <c r="O56" s="12" t="s">
        <v>606</v>
      </c>
      <c r="P56" s="12" t="s">
        <v>648</v>
      </c>
      <c r="Q56" s="12" t="s">
        <v>649</v>
      </c>
      <c r="R56" s="12" t="s">
        <v>1010</v>
      </c>
      <c r="S56" s="12" t="s">
        <v>871</v>
      </c>
      <c r="T56" s="12" t="s">
        <v>871</v>
      </c>
      <c r="U56" s="12" t="s">
        <v>973</v>
      </c>
      <c r="V56" s="12" t="s">
        <v>789</v>
      </c>
      <c r="W56" s="12" t="s">
        <v>1370</v>
      </c>
      <c r="X56" s="12" t="s">
        <v>1370</v>
      </c>
      <c r="Y56" s="12" t="s">
        <v>995</v>
      </c>
      <c r="Z56" s="12" t="s">
        <v>699</v>
      </c>
      <c r="AA56" s="12" t="s">
        <v>700</v>
      </c>
      <c r="AB56" s="12" t="s">
        <v>700</v>
      </c>
      <c r="AC56" s="12" t="s">
        <v>700</v>
      </c>
      <c r="AD56" s="12" t="s">
        <v>700</v>
      </c>
      <c r="AE56" s="12" t="s">
        <v>875</v>
      </c>
      <c r="AF56" s="12" t="s">
        <v>875</v>
      </c>
      <c r="AG56" s="12" t="s">
        <v>875</v>
      </c>
      <c r="AH56" s="12" t="s">
        <v>875</v>
      </c>
      <c r="AI56" s="12" t="s">
        <v>875</v>
      </c>
      <c r="AJ56" s="12" t="s">
        <v>875</v>
      </c>
      <c r="AK56" s="12" t="s">
        <v>875</v>
      </c>
      <c r="AL56" s="12" t="s">
        <v>875</v>
      </c>
      <c r="AM56" s="12" t="s">
        <v>875</v>
      </c>
      <c r="AN56" s="12" t="s">
        <v>875</v>
      </c>
      <c r="AO56" s="12" t="s">
        <v>875</v>
      </c>
      <c r="AP56" s="12" t="s">
        <v>875</v>
      </c>
      <c r="AQ56" s="12" t="s">
        <v>875</v>
      </c>
      <c r="AR56" s="12" t="s">
        <v>875</v>
      </c>
      <c r="AS56" s="12" t="s">
        <v>875</v>
      </c>
      <c r="AT56" s="12" t="s">
        <v>875</v>
      </c>
      <c r="AU56" s="12" t="s">
        <v>875</v>
      </c>
      <c r="AV56" s="12" t="s">
        <v>881</v>
      </c>
      <c r="AW56" s="12" t="s">
        <v>1436</v>
      </c>
      <c r="AX56" s="12" t="s">
        <v>611</v>
      </c>
      <c r="AY56" s="12" t="s">
        <v>1768</v>
      </c>
      <c r="AZ56" s="12" t="s">
        <v>1768</v>
      </c>
      <c r="BA56" s="12" t="s">
        <v>1769</v>
      </c>
      <c r="BB56" s="12" t="s">
        <v>1372</v>
      </c>
      <c r="BC56" s="12" t="s">
        <v>1372</v>
      </c>
      <c r="BD56" s="12" t="s">
        <v>1372</v>
      </c>
      <c r="BE56" s="12" t="s">
        <v>1373</v>
      </c>
      <c r="BF56" s="12" t="s">
        <v>741</v>
      </c>
      <c r="BG56" s="12" t="s">
        <v>741</v>
      </c>
      <c r="BH56" s="12" t="s">
        <v>741</v>
      </c>
      <c r="BI56" s="12" t="s">
        <v>741</v>
      </c>
      <c r="BJ56" s="12" t="s">
        <v>891</v>
      </c>
      <c r="BK56" s="12" t="s">
        <v>891</v>
      </c>
      <c r="BL56" s="12" t="s">
        <v>891</v>
      </c>
      <c r="BM56" s="12" t="s">
        <v>830</v>
      </c>
      <c r="BN56" s="12" t="s">
        <v>830</v>
      </c>
      <c r="BO56" s="12" t="s">
        <v>830</v>
      </c>
      <c r="BP56" s="12" t="s">
        <v>830</v>
      </c>
      <c r="BQ56" s="12" t="s">
        <v>830</v>
      </c>
      <c r="BR56" s="12" t="s">
        <v>830</v>
      </c>
      <c r="BS56" s="12" t="s">
        <v>830</v>
      </c>
      <c r="BT56" s="12" t="s">
        <v>1376</v>
      </c>
      <c r="BU56" s="12" t="s">
        <v>1376</v>
      </c>
      <c r="BV56" s="12" t="s">
        <v>1376</v>
      </c>
      <c r="BW56" s="12" t="s">
        <v>1376</v>
      </c>
      <c r="BX56" s="12" t="s">
        <v>1376</v>
      </c>
      <c r="BY56" s="12" t="s">
        <v>1376</v>
      </c>
      <c r="BZ56" s="12" t="s">
        <v>1376</v>
      </c>
      <c r="CA56" s="12" t="s">
        <v>1376</v>
      </c>
      <c r="CB56" s="12" t="s">
        <v>701</v>
      </c>
      <c r="CC56" s="12" t="s">
        <v>701</v>
      </c>
      <c r="CD56" s="12" t="s">
        <v>701</v>
      </c>
      <c r="CE56" s="12" t="s">
        <v>701</v>
      </c>
      <c r="CF56" s="12" t="s">
        <v>701</v>
      </c>
      <c r="CG56" s="12" t="s">
        <v>701</v>
      </c>
      <c r="CH56" s="12" t="s">
        <v>701</v>
      </c>
      <c r="CI56" s="12" t="s">
        <v>701</v>
      </c>
      <c r="CJ56" s="12" t="s">
        <v>701</v>
      </c>
      <c r="CK56" s="12" t="s">
        <v>701</v>
      </c>
      <c r="CL56" s="12" t="s">
        <v>701</v>
      </c>
      <c r="CM56" s="12" t="s">
        <v>701</v>
      </c>
      <c r="CN56" s="12" t="s">
        <v>701</v>
      </c>
      <c r="CO56" s="12" t="s">
        <v>701</v>
      </c>
      <c r="CP56" s="12" t="s">
        <v>701</v>
      </c>
      <c r="CQ56" s="12" t="s">
        <v>701</v>
      </c>
      <c r="CR56" s="12" t="s">
        <v>701</v>
      </c>
      <c r="CS56" s="12" t="s">
        <v>701</v>
      </c>
      <c r="CT56" s="12" t="s">
        <v>701</v>
      </c>
    </row>
    <row r="57" spans="1:98" hidden="1" x14ac:dyDescent="0.3">
      <c r="A57" s="12" t="s">
        <v>1770</v>
      </c>
      <c r="B57" s="12" t="s">
        <v>1679</v>
      </c>
      <c r="C57" s="12" t="s">
        <v>1771</v>
      </c>
      <c r="D57" s="12" t="s">
        <v>1772</v>
      </c>
      <c r="E57" s="12" t="s">
        <v>694</v>
      </c>
      <c r="F57" s="12" t="s">
        <v>870</v>
      </c>
      <c r="G57" s="12" t="s">
        <v>737</v>
      </c>
      <c r="H57" s="12" t="s">
        <v>828</v>
      </c>
      <c r="I57" s="12" t="s">
        <v>997</v>
      </c>
      <c r="J57" s="12" t="s">
        <v>1327</v>
      </c>
      <c r="K57" s="12" t="s">
        <v>1005</v>
      </c>
      <c r="L57" s="12" t="s">
        <v>664</v>
      </c>
      <c r="M57" s="12" t="s">
        <v>1285</v>
      </c>
      <c r="N57" s="12" t="s">
        <v>896</v>
      </c>
      <c r="O57" s="12" t="s">
        <v>1773</v>
      </c>
      <c r="P57" s="12" t="s">
        <v>1645</v>
      </c>
      <c r="Q57" s="12" t="s">
        <v>1480</v>
      </c>
      <c r="R57" s="12" t="s">
        <v>1774</v>
      </c>
      <c r="S57" s="12" t="s">
        <v>1775</v>
      </c>
      <c r="T57" s="12" t="s">
        <v>1482</v>
      </c>
      <c r="U57" s="12" t="s">
        <v>1776</v>
      </c>
      <c r="V57" s="12" t="s">
        <v>1777</v>
      </c>
      <c r="W57" s="12" t="s">
        <v>1778</v>
      </c>
      <c r="X57" s="12" t="s">
        <v>856</v>
      </c>
      <c r="Y57" s="12" t="s">
        <v>1779</v>
      </c>
      <c r="Z57" s="12" t="s">
        <v>900</v>
      </c>
      <c r="AA57" s="12" t="s">
        <v>1029</v>
      </c>
      <c r="AB57" s="12" t="s">
        <v>1780</v>
      </c>
      <c r="AC57" s="12" t="s">
        <v>1781</v>
      </c>
      <c r="AD57" s="12" t="s">
        <v>1782</v>
      </c>
      <c r="AE57" s="12" t="s">
        <v>1783</v>
      </c>
      <c r="AF57" s="12" t="s">
        <v>1035</v>
      </c>
      <c r="AG57" s="12" t="s">
        <v>1784</v>
      </c>
      <c r="AH57" s="12" t="s">
        <v>1072</v>
      </c>
      <c r="AI57" s="12" t="s">
        <v>1785</v>
      </c>
      <c r="AJ57" s="12" t="s">
        <v>860</v>
      </c>
      <c r="AK57" s="12" t="s">
        <v>1320</v>
      </c>
      <c r="AL57" s="12" t="s">
        <v>1786</v>
      </c>
      <c r="AM57" s="12" t="s">
        <v>1787</v>
      </c>
      <c r="AN57" s="12" t="s">
        <v>1787</v>
      </c>
      <c r="AO57" s="12" t="s">
        <v>1787</v>
      </c>
      <c r="AP57" s="12" t="s">
        <v>1788</v>
      </c>
      <c r="AQ57" s="12" t="s">
        <v>1789</v>
      </c>
      <c r="AR57" s="12" t="s">
        <v>1789</v>
      </c>
      <c r="AS57" s="12" t="s">
        <v>1790</v>
      </c>
      <c r="AT57" s="12" t="s">
        <v>1790</v>
      </c>
      <c r="AU57" s="12" t="s">
        <v>1790</v>
      </c>
      <c r="AV57" s="12" t="s">
        <v>637</v>
      </c>
      <c r="AW57" s="12" t="s">
        <v>1791</v>
      </c>
      <c r="AX57" s="12" t="s">
        <v>1791</v>
      </c>
      <c r="AY57" s="12" t="s">
        <v>1791</v>
      </c>
      <c r="AZ57" s="12" t="s">
        <v>1791</v>
      </c>
      <c r="BA57" s="12" t="s">
        <v>1792</v>
      </c>
      <c r="BB57" s="12" t="s">
        <v>1793</v>
      </c>
      <c r="BC57" s="12" t="s">
        <v>1793</v>
      </c>
      <c r="BD57" s="12" t="s">
        <v>1793</v>
      </c>
      <c r="BE57" s="12" t="s">
        <v>1793</v>
      </c>
      <c r="BF57" s="12" t="s">
        <v>1794</v>
      </c>
      <c r="BG57" s="12" t="s">
        <v>1166</v>
      </c>
      <c r="BH57" s="12" t="s">
        <v>1795</v>
      </c>
      <c r="BI57" s="12" t="s">
        <v>1487</v>
      </c>
      <c r="BJ57" s="12" t="s">
        <v>1796</v>
      </c>
      <c r="BK57" s="12" t="s">
        <v>1797</v>
      </c>
      <c r="BL57" s="12" t="s">
        <v>1798</v>
      </c>
      <c r="BM57" s="12" t="s">
        <v>1322</v>
      </c>
      <c r="BN57" s="12" t="s">
        <v>1799</v>
      </c>
      <c r="BO57" s="12" t="s">
        <v>1800</v>
      </c>
      <c r="BP57" s="12" t="s">
        <v>1801</v>
      </c>
      <c r="BQ57" s="12" t="s">
        <v>1802</v>
      </c>
      <c r="BR57" s="12" t="s">
        <v>1803</v>
      </c>
      <c r="BS57" s="12" t="s">
        <v>1804</v>
      </c>
      <c r="BT57" s="12" t="s">
        <v>1805</v>
      </c>
      <c r="BU57" s="12" t="s">
        <v>1806</v>
      </c>
      <c r="BV57" s="12" t="s">
        <v>1807</v>
      </c>
      <c r="BW57" s="12" t="s">
        <v>1808</v>
      </c>
      <c r="BX57" s="12" t="s">
        <v>1809</v>
      </c>
      <c r="BY57" s="12" t="s">
        <v>1810</v>
      </c>
      <c r="BZ57" s="12" t="s">
        <v>1811</v>
      </c>
      <c r="CA57" s="12" t="s">
        <v>1812</v>
      </c>
      <c r="CB57" s="12" t="s">
        <v>1813</v>
      </c>
      <c r="CC57" s="12" t="s">
        <v>1814</v>
      </c>
      <c r="CD57" s="12" t="s">
        <v>1815</v>
      </c>
      <c r="CE57" s="12" t="s">
        <v>1816</v>
      </c>
      <c r="CF57" s="12" t="s">
        <v>1817</v>
      </c>
      <c r="CG57" s="12" t="s">
        <v>1133</v>
      </c>
      <c r="CH57" s="12" t="s">
        <v>1818</v>
      </c>
      <c r="CI57" s="12" t="s">
        <v>1819</v>
      </c>
      <c r="CJ57" s="12" t="s">
        <v>1820</v>
      </c>
      <c r="CK57" s="12" t="s">
        <v>1821</v>
      </c>
      <c r="CL57" s="12" t="s">
        <v>1822</v>
      </c>
      <c r="CM57" s="12" t="s">
        <v>1823</v>
      </c>
      <c r="CN57" s="12" t="s">
        <v>1824</v>
      </c>
      <c r="CO57" s="12" t="s">
        <v>1825</v>
      </c>
      <c r="CP57" s="12" t="s">
        <v>1826</v>
      </c>
      <c r="CQ57" s="12" t="s">
        <v>1827</v>
      </c>
      <c r="CR57" s="12" t="s">
        <v>1827</v>
      </c>
      <c r="CS57" s="12" t="s">
        <v>1828</v>
      </c>
      <c r="CT57" s="12" t="s">
        <v>1828</v>
      </c>
    </row>
    <row r="58" spans="1:98" hidden="1" x14ac:dyDescent="0.3">
      <c r="A58" s="12" t="s">
        <v>1829</v>
      </c>
      <c r="B58" s="12" t="s">
        <v>1679</v>
      </c>
      <c r="C58" s="12" t="s">
        <v>1830</v>
      </c>
      <c r="D58" s="12" t="s">
        <v>1831</v>
      </c>
      <c r="E58" s="12" t="s">
        <v>641</v>
      </c>
      <c r="F58" s="12" t="s">
        <v>599</v>
      </c>
      <c r="G58" s="12" t="s">
        <v>644</v>
      </c>
      <c r="H58" s="12" t="s">
        <v>644</v>
      </c>
      <c r="I58" s="12" t="s">
        <v>989</v>
      </c>
      <c r="J58" s="12" t="s">
        <v>936</v>
      </c>
      <c r="K58" s="12" t="s">
        <v>648</v>
      </c>
      <c r="L58" s="12" t="s">
        <v>1431</v>
      </c>
      <c r="M58" s="12" t="s">
        <v>828</v>
      </c>
      <c r="N58" s="12" t="s">
        <v>699</v>
      </c>
      <c r="O58" s="12" t="s">
        <v>879</v>
      </c>
      <c r="P58" s="12" t="s">
        <v>997</v>
      </c>
      <c r="Q58" s="12" t="s">
        <v>1372</v>
      </c>
      <c r="R58" s="12" t="s">
        <v>701</v>
      </c>
      <c r="S58" s="12" t="s">
        <v>1832</v>
      </c>
      <c r="T58" s="12" t="s">
        <v>1704</v>
      </c>
      <c r="U58" s="12" t="s">
        <v>1833</v>
      </c>
      <c r="V58" s="12" t="s">
        <v>1281</v>
      </c>
      <c r="W58" s="12" t="s">
        <v>1002</v>
      </c>
      <c r="X58" s="12" t="s">
        <v>893</v>
      </c>
      <c r="Y58" s="12" t="s">
        <v>1753</v>
      </c>
      <c r="Z58" s="12" t="s">
        <v>1410</v>
      </c>
      <c r="AA58" s="12" t="s">
        <v>1410</v>
      </c>
      <c r="AB58" s="12" t="s">
        <v>1524</v>
      </c>
      <c r="AC58" s="12" t="s">
        <v>833</v>
      </c>
      <c r="AD58" s="12" t="s">
        <v>614</v>
      </c>
      <c r="AE58" s="12" t="s">
        <v>1642</v>
      </c>
      <c r="AF58" s="12" t="s">
        <v>1381</v>
      </c>
      <c r="AG58" s="12" t="s">
        <v>1527</v>
      </c>
      <c r="AH58" s="12" t="s">
        <v>1834</v>
      </c>
      <c r="AI58" s="12" t="s">
        <v>1067</v>
      </c>
      <c r="AJ58" s="12" t="s">
        <v>834</v>
      </c>
      <c r="AK58" s="12" t="s">
        <v>834</v>
      </c>
      <c r="AL58" s="12" t="s">
        <v>1835</v>
      </c>
      <c r="AM58" s="12" t="s">
        <v>1529</v>
      </c>
      <c r="AN58" s="12" t="s">
        <v>1529</v>
      </c>
      <c r="AO58" s="12" t="s">
        <v>1529</v>
      </c>
      <c r="AP58" s="12" t="s">
        <v>1529</v>
      </c>
      <c r="AQ58" s="12" t="s">
        <v>1529</v>
      </c>
      <c r="AR58" s="12" t="s">
        <v>1529</v>
      </c>
      <c r="AS58" s="12" t="s">
        <v>1529</v>
      </c>
      <c r="AT58" s="12" t="s">
        <v>1529</v>
      </c>
      <c r="AU58" s="12" t="s">
        <v>1529</v>
      </c>
      <c r="AV58" s="12" t="s">
        <v>1529</v>
      </c>
      <c r="AW58" s="12" t="s">
        <v>1529</v>
      </c>
      <c r="AX58" s="12" t="s">
        <v>1529</v>
      </c>
      <c r="AY58" s="12" t="s">
        <v>1529</v>
      </c>
      <c r="AZ58" s="12" t="s">
        <v>1529</v>
      </c>
      <c r="BA58" s="12" t="s">
        <v>1529</v>
      </c>
      <c r="BB58" s="12" t="s">
        <v>1529</v>
      </c>
      <c r="BC58" s="12" t="s">
        <v>1529</v>
      </c>
      <c r="BD58" s="12" t="s">
        <v>1529</v>
      </c>
      <c r="BE58" s="12" t="s">
        <v>1529</v>
      </c>
      <c r="BF58" s="12" t="s">
        <v>1529</v>
      </c>
      <c r="BG58" s="12" t="s">
        <v>1529</v>
      </c>
      <c r="BH58" s="12" t="s">
        <v>1509</v>
      </c>
      <c r="BI58" s="12" t="s">
        <v>1509</v>
      </c>
      <c r="BJ58" s="12" t="s">
        <v>1509</v>
      </c>
      <c r="BK58" s="12" t="s">
        <v>1510</v>
      </c>
      <c r="BL58" s="12" t="s">
        <v>1510</v>
      </c>
      <c r="BM58" s="12" t="s">
        <v>1510</v>
      </c>
      <c r="BN58" s="12" t="s">
        <v>1510</v>
      </c>
      <c r="BO58" s="12" t="s">
        <v>1510</v>
      </c>
      <c r="BP58" s="12" t="s">
        <v>1510</v>
      </c>
      <c r="BQ58" s="12" t="s">
        <v>1510</v>
      </c>
      <c r="BR58" s="12" t="s">
        <v>1510</v>
      </c>
      <c r="BS58" s="12" t="s">
        <v>1510</v>
      </c>
      <c r="BT58" s="12" t="s">
        <v>1510</v>
      </c>
      <c r="BU58" s="12" t="s">
        <v>1510</v>
      </c>
      <c r="BV58" s="12" t="s">
        <v>1510</v>
      </c>
      <c r="BW58" s="12" t="s">
        <v>1510</v>
      </c>
      <c r="BX58" s="12" t="s">
        <v>1510</v>
      </c>
      <c r="BY58" s="12" t="s">
        <v>1510</v>
      </c>
      <c r="BZ58" s="12" t="s">
        <v>1510</v>
      </c>
      <c r="CA58" s="12" t="s">
        <v>1510</v>
      </c>
      <c r="CB58" s="12" t="s">
        <v>1510</v>
      </c>
      <c r="CC58" s="12" t="s">
        <v>1510</v>
      </c>
      <c r="CD58" s="12" t="s">
        <v>1510</v>
      </c>
      <c r="CE58" s="12" t="s">
        <v>1510</v>
      </c>
      <c r="CF58" s="12" t="s">
        <v>1510</v>
      </c>
      <c r="CG58" s="12" t="s">
        <v>1510</v>
      </c>
      <c r="CH58" s="12" t="s">
        <v>1510</v>
      </c>
      <c r="CI58" s="12" t="s">
        <v>1510</v>
      </c>
      <c r="CJ58" s="12" t="s">
        <v>1510</v>
      </c>
      <c r="CK58" s="12" t="s">
        <v>1510</v>
      </c>
      <c r="CL58" s="12" t="s">
        <v>1510</v>
      </c>
      <c r="CM58" s="12" t="s">
        <v>1510</v>
      </c>
      <c r="CN58" s="12" t="s">
        <v>1510</v>
      </c>
      <c r="CO58" s="12" t="s">
        <v>1510</v>
      </c>
      <c r="CP58" s="12" t="s">
        <v>1510</v>
      </c>
      <c r="CQ58" s="12" t="s">
        <v>1510</v>
      </c>
      <c r="CR58" s="12" t="s">
        <v>1510</v>
      </c>
      <c r="CS58" s="12" t="s">
        <v>1510</v>
      </c>
      <c r="CT58" s="12" t="s">
        <v>1510</v>
      </c>
    </row>
    <row r="59" spans="1:98" hidden="1" x14ac:dyDescent="0.3">
      <c r="A59" s="12" t="s">
        <v>1836</v>
      </c>
      <c r="B59" s="12" t="s">
        <v>1679</v>
      </c>
      <c r="C59" s="12" t="s">
        <v>1837</v>
      </c>
      <c r="D59" s="12" t="s">
        <v>1838</v>
      </c>
      <c r="E59" s="12" t="s">
        <v>597</v>
      </c>
      <c r="F59" s="12" t="s">
        <v>690</v>
      </c>
      <c r="G59" s="12" t="s">
        <v>690</v>
      </c>
      <c r="H59" s="12" t="s">
        <v>598</v>
      </c>
      <c r="I59" s="12" t="s">
        <v>599</v>
      </c>
      <c r="J59" s="12" t="s">
        <v>600</v>
      </c>
      <c r="K59" s="12" t="s">
        <v>779</v>
      </c>
      <c r="L59" s="12" t="s">
        <v>779</v>
      </c>
      <c r="M59" s="12" t="s">
        <v>643</v>
      </c>
      <c r="N59" s="12" t="s">
        <v>971</v>
      </c>
      <c r="O59" s="12" t="s">
        <v>971</v>
      </c>
      <c r="P59" s="12" t="s">
        <v>646</v>
      </c>
      <c r="Q59" s="12" t="s">
        <v>936</v>
      </c>
      <c r="R59" s="12" t="s">
        <v>1431</v>
      </c>
      <c r="S59" s="12" t="s">
        <v>651</v>
      </c>
      <c r="T59" s="12" t="s">
        <v>872</v>
      </c>
      <c r="U59" s="12" t="s">
        <v>1202</v>
      </c>
      <c r="V59" s="12" t="s">
        <v>654</v>
      </c>
      <c r="W59" s="12" t="s">
        <v>878</v>
      </c>
      <c r="X59" s="12" t="s">
        <v>1226</v>
      </c>
      <c r="Y59" s="12" t="s">
        <v>1372</v>
      </c>
      <c r="Z59" s="12" t="s">
        <v>741</v>
      </c>
      <c r="AA59" s="12" t="s">
        <v>1374</v>
      </c>
      <c r="AB59" s="12" t="s">
        <v>1043</v>
      </c>
      <c r="AC59" s="12" t="s">
        <v>1839</v>
      </c>
      <c r="AD59" s="12" t="s">
        <v>938</v>
      </c>
      <c r="AE59" s="12" t="s">
        <v>657</v>
      </c>
      <c r="AF59" s="12" t="s">
        <v>657</v>
      </c>
      <c r="AG59" s="12" t="s">
        <v>657</v>
      </c>
      <c r="AH59" s="12" t="s">
        <v>657</v>
      </c>
      <c r="AI59" s="12" t="s">
        <v>657</v>
      </c>
      <c r="AJ59" s="12" t="s">
        <v>657</v>
      </c>
      <c r="AK59" s="12" t="s">
        <v>657</v>
      </c>
      <c r="AL59" s="12" t="s">
        <v>657</v>
      </c>
      <c r="AM59" s="12" t="s">
        <v>657</v>
      </c>
      <c r="AN59" s="12" t="s">
        <v>657</v>
      </c>
      <c r="AO59" s="12" t="s">
        <v>657</v>
      </c>
      <c r="AP59" s="12" t="s">
        <v>657</v>
      </c>
      <c r="AQ59" s="12" t="s">
        <v>657</v>
      </c>
      <c r="AR59" s="12" t="s">
        <v>657</v>
      </c>
      <c r="AS59" s="12" t="s">
        <v>657</v>
      </c>
      <c r="AT59" s="12" t="s">
        <v>657</v>
      </c>
      <c r="AU59" s="12" t="s">
        <v>657</v>
      </c>
      <c r="AV59" s="12" t="s">
        <v>657</v>
      </c>
      <c r="AW59" s="12" t="s">
        <v>657</v>
      </c>
      <c r="AX59" s="12" t="s">
        <v>657</v>
      </c>
      <c r="AY59" s="12" t="s">
        <v>657</v>
      </c>
      <c r="AZ59" s="12" t="s">
        <v>657</v>
      </c>
      <c r="BA59" s="12" t="s">
        <v>657</v>
      </c>
      <c r="BB59" s="12" t="s">
        <v>657</v>
      </c>
      <c r="BC59" s="12" t="s">
        <v>657</v>
      </c>
      <c r="BD59" s="12" t="s">
        <v>657</v>
      </c>
      <c r="BE59" s="12" t="s">
        <v>657</v>
      </c>
      <c r="BF59" s="12" t="s">
        <v>657</v>
      </c>
      <c r="BG59" s="12" t="s">
        <v>657</v>
      </c>
      <c r="BH59" s="12" t="s">
        <v>1533</v>
      </c>
      <c r="BI59" s="12" t="s">
        <v>657</v>
      </c>
      <c r="BJ59" s="12" t="s">
        <v>657</v>
      </c>
      <c r="BK59" s="12" t="s">
        <v>657</v>
      </c>
      <c r="BL59" s="12" t="s">
        <v>657</v>
      </c>
      <c r="BM59" s="12" t="s">
        <v>657</v>
      </c>
      <c r="BN59" s="12" t="s">
        <v>657</v>
      </c>
      <c r="BO59" s="12" t="s">
        <v>657</v>
      </c>
      <c r="BP59" s="12" t="s">
        <v>657</v>
      </c>
      <c r="BQ59" s="12" t="s">
        <v>657</v>
      </c>
      <c r="BR59" s="12" t="s">
        <v>657</v>
      </c>
      <c r="BS59" s="12" t="s">
        <v>657</v>
      </c>
      <c r="BT59" s="12" t="s">
        <v>657</v>
      </c>
      <c r="BU59" s="12" t="s">
        <v>657</v>
      </c>
      <c r="BV59" s="12" t="s">
        <v>657</v>
      </c>
      <c r="BW59" s="12" t="s">
        <v>657</v>
      </c>
      <c r="BX59" s="12" t="s">
        <v>657</v>
      </c>
      <c r="BY59" s="12" t="s">
        <v>657</v>
      </c>
      <c r="BZ59" s="12" t="s">
        <v>657</v>
      </c>
      <c r="CA59" s="12" t="s">
        <v>657</v>
      </c>
      <c r="CB59" s="12" t="s">
        <v>657</v>
      </c>
      <c r="CC59" s="12" t="s">
        <v>657</v>
      </c>
      <c r="CD59" s="12" t="s">
        <v>657</v>
      </c>
      <c r="CE59" s="12" t="s">
        <v>657</v>
      </c>
      <c r="CF59" s="12" t="s">
        <v>657</v>
      </c>
      <c r="CG59" s="12" t="s">
        <v>657</v>
      </c>
      <c r="CH59" s="12" t="s">
        <v>657</v>
      </c>
      <c r="CI59" s="12" t="s">
        <v>657</v>
      </c>
      <c r="CJ59" s="12" t="s">
        <v>657</v>
      </c>
      <c r="CK59" s="12" t="s">
        <v>657</v>
      </c>
      <c r="CL59" s="12" t="s">
        <v>657</v>
      </c>
      <c r="CM59" s="12" t="s">
        <v>657</v>
      </c>
      <c r="CN59" s="12" t="s">
        <v>657</v>
      </c>
      <c r="CO59" s="12" t="s">
        <v>1533</v>
      </c>
      <c r="CP59" s="12" t="s">
        <v>1533</v>
      </c>
      <c r="CQ59" s="12" t="s">
        <v>1533</v>
      </c>
      <c r="CR59" s="12" t="s">
        <v>1533</v>
      </c>
      <c r="CS59" s="12" t="s">
        <v>1533</v>
      </c>
      <c r="CT59" s="12" t="s">
        <v>1533</v>
      </c>
    </row>
    <row r="60" spans="1:98" hidden="1" x14ac:dyDescent="0.3">
      <c r="A60" s="12" t="s">
        <v>1840</v>
      </c>
      <c r="B60" s="12" t="s">
        <v>1679</v>
      </c>
      <c r="C60" s="12" t="s">
        <v>1841</v>
      </c>
      <c r="D60" s="12" t="s">
        <v>1842</v>
      </c>
      <c r="E60" s="12" t="s">
        <v>598</v>
      </c>
      <c r="F60" s="12" t="s">
        <v>599</v>
      </c>
      <c r="G60" s="12" t="s">
        <v>773</v>
      </c>
      <c r="H60" s="12" t="s">
        <v>692</v>
      </c>
      <c r="I60" s="12" t="s">
        <v>604</v>
      </c>
      <c r="J60" s="12" t="s">
        <v>645</v>
      </c>
      <c r="K60" s="12" t="s">
        <v>606</v>
      </c>
      <c r="L60" s="12" t="s">
        <v>1277</v>
      </c>
      <c r="M60" s="12" t="s">
        <v>936</v>
      </c>
      <c r="N60" s="12" t="s">
        <v>827</v>
      </c>
      <c r="O60" s="12" t="s">
        <v>871</v>
      </c>
      <c r="P60" s="12" t="s">
        <v>651</v>
      </c>
      <c r="Q60" s="12" t="s">
        <v>993</v>
      </c>
      <c r="R60" s="12" t="s">
        <v>874</v>
      </c>
      <c r="S60" s="12" t="s">
        <v>878</v>
      </c>
      <c r="T60" s="12" t="s">
        <v>1682</v>
      </c>
      <c r="U60" s="12" t="s">
        <v>1435</v>
      </c>
      <c r="V60" s="12" t="s">
        <v>1768</v>
      </c>
      <c r="W60" s="12" t="s">
        <v>1065</v>
      </c>
      <c r="X60" s="12" t="s">
        <v>1376</v>
      </c>
      <c r="Y60" s="12" t="s">
        <v>938</v>
      </c>
      <c r="Z60" s="12" t="s">
        <v>1280</v>
      </c>
      <c r="AA60" s="12" t="s">
        <v>1280</v>
      </c>
      <c r="AB60" s="12" t="s">
        <v>1751</v>
      </c>
      <c r="AC60" s="12" t="s">
        <v>1328</v>
      </c>
      <c r="AD60" s="12" t="s">
        <v>1328</v>
      </c>
      <c r="AE60" s="12" t="s">
        <v>1204</v>
      </c>
      <c r="AF60" s="12" t="s">
        <v>1204</v>
      </c>
      <c r="AG60" s="12" t="s">
        <v>1704</v>
      </c>
      <c r="AH60" s="12" t="s">
        <v>1704</v>
      </c>
      <c r="AI60" s="12" t="s">
        <v>1704</v>
      </c>
      <c r="AJ60" s="12" t="s">
        <v>1704</v>
      </c>
      <c r="AK60" s="12" t="s">
        <v>1704</v>
      </c>
      <c r="AL60" s="12" t="s">
        <v>1704</v>
      </c>
      <c r="AM60" s="12" t="s">
        <v>1704</v>
      </c>
      <c r="AN60" s="12" t="s">
        <v>1704</v>
      </c>
      <c r="AO60" s="12" t="s">
        <v>1704</v>
      </c>
      <c r="AP60" s="12" t="s">
        <v>1704</v>
      </c>
      <c r="AQ60" s="12" t="s">
        <v>1704</v>
      </c>
      <c r="AR60" s="12" t="s">
        <v>1704</v>
      </c>
      <c r="AS60" s="12" t="s">
        <v>1704</v>
      </c>
      <c r="AT60" s="12" t="s">
        <v>1704</v>
      </c>
      <c r="AU60" s="12" t="s">
        <v>1704</v>
      </c>
      <c r="AV60" s="12" t="s">
        <v>1704</v>
      </c>
      <c r="AW60" s="12" t="s">
        <v>1704</v>
      </c>
      <c r="AX60" s="12" t="s">
        <v>1704</v>
      </c>
      <c r="AY60" s="12" t="s">
        <v>1704</v>
      </c>
      <c r="AZ60" s="12" t="s">
        <v>1704</v>
      </c>
      <c r="BA60" s="12" t="s">
        <v>1704</v>
      </c>
      <c r="BB60" s="12" t="s">
        <v>1704</v>
      </c>
      <c r="BC60" s="12" t="s">
        <v>1704</v>
      </c>
      <c r="BD60" s="12" t="s">
        <v>1704</v>
      </c>
      <c r="BE60" s="12" t="s">
        <v>1704</v>
      </c>
      <c r="BF60" s="12" t="s">
        <v>1704</v>
      </c>
      <c r="BG60" s="12" t="s">
        <v>1704</v>
      </c>
      <c r="BH60" s="12" t="s">
        <v>1704</v>
      </c>
      <c r="BI60" s="12" t="s">
        <v>1704</v>
      </c>
      <c r="BJ60" s="12" t="s">
        <v>1704</v>
      </c>
      <c r="BK60" s="12" t="s">
        <v>1704</v>
      </c>
      <c r="BL60" s="12" t="s">
        <v>1704</v>
      </c>
      <c r="BM60" s="12" t="s">
        <v>1704</v>
      </c>
      <c r="BN60" s="12" t="s">
        <v>1704</v>
      </c>
      <c r="BO60" s="12" t="s">
        <v>1704</v>
      </c>
      <c r="BP60" s="12" t="s">
        <v>1704</v>
      </c>
      <c r="BQ60" s="12" t="s">
        <v>1704</v>
      </c>
      <c r="BR60" s="12" t="s">
        <v>1704</v>
      </c>
      <c r="BS60" s="12" t="s">
        <v>1704</v>
      </c>
      <c r="BT60" s="12" t="s">
        <v>1704</v>
      </c>
      <c r="BU60" s="12" t="s">
        <v>1704</v>
      </c>
      <c r="BV60" s="12" t="s">
        <v>1704</v>
      </c>
      <c r="BW60" s="12" t="s">
        <v>1704</v>
      </c>
      <c r="BX60" s="12" t="s">
        <v>1704</v>
      </c>
      <c r="BY60" s="12" t="s">
        <v>1704</v>
      </c>
      <c r="BZ60" s="12" t="s">
        <v>1704</v>
      </c>
      <c r="CA60" s="12" t="s">
        <v>1704</v>
      </c>
      <c r="CB60" s="12" t="s">
        <v>1704</v>
      </c>
      <c r="CC60" s="12" t="s">
        <v>1704</v>
      </c>
      <c r="CD60" s="12" t="s">
        <v>1704</v>
      </c>
      <c r="CE60" s="12" t="s">
        <v>1704</v>
      </c>
      <c r="CF60" s="12" t="s">
        <v>1704</v>
      </c>
      <c r="CG60" s="12" t="s">
        <v>1704</v>
      </c>
      <c r="CH60" s="12" t="s">
        <v>1704</v>
      </c>
      <c r="CI60" s="12" t="s">
        <v>1704</v>
      </c>
      <c r="CJ60" s="12" t="s">
        <v>1704</v>
      </c>
      <c r="CK60" s="12" t="s">
        <v>1704</v>
      </c>
      <c r="CL60" s="12" t="s">
        <v>1704</v>
      </c>
      <c r="CM60" s="12" t="s">
        <v>1704</v>
      </c>
      <c r="CN60" s="12" t="s">
        <v>1704</v>
      </c>
      <c r="CO60" s="12" t="s">
        <v>1704</v>
      </c>
      <c r="CP60" s="12" t="s">
        <v>1704</v>
      </c>
      <c r="CQ60" s="12" t="s">
        <v>1704</v>
      </c>
      <c r="CR60" s="12" t="s">
        <v>1704</v>
      </c>
      <c r="CS60" s="12" t="s">
        <v>1704</v>
      </c>
      <c r="CT60" s="12" t="s">
        <v>1704</v>
      </c>
    </row>
    <row r="61" spans="1:98" hidden="1" x14ac:dyDescent="0.3">
      <c r="A61" s="12" t="s">
        <v>1843</v>
      </c>
      <c r="B61" s="12" t="s">
        <v>1679</v>
      </c>
      <c r="C61" s="12" t="s">
        <v>1844</v>
      </c>
      <c r="D61" s="12" t="s">
        <v>1845</v>
      </c>
      <c r="E61" s="12" t="s">
        <v>597</v>
      </c>
      <c r="F61" s="12" t="s">
        <v>597</v>
      </c>
      <c r="G61" s="12" t="s">
        <v>641</v>
      </c>
      <c r="H61" s="12" t="s">
        <v>773</v>
      </c>
      <c r="I61" s="12" t="s">
        <v>886</v>
      </c>
      <c r="J61" s="12" t="s">
        <v>826</v>
      </c>
      <c r="K61" s="12" t="s">
        <v>645</v>
      </c>
      <c r="L61" s="12" t="s">
        <v>696</v>
      </c>
      <c r="M61" s="12" t="s">
        <v>888</v>
      </c>
      <c r="N61" s="12" t="s">
        <v>994</v>
      </c>
      <c r="O61" s="12" t="s">
        <v>877</v>
      </c>
      <c r="P61" s="12" t="s">
        <v>655</v>
      </c>
      <c r="Q61" s="12" t="s">
        <v>740</v>
      </c>
      <c r="R61" s="12" t="s">
        <v>1294</v>
      </c>
      <c r="S61" s="12" t="s">
        <v>1374</v>
      </c>
      <c r="T61" s="12" t="s">
        <v>1280</v>
      </c>
      <c r="U61" s="12" t="s">
        <v>1833</v>
      </c>
      <c r="V61" s="12" t="s">
        <v>1002</v>
      </c>
      <c r="W61" s="12" t="s">
        <v>1622</v>
      </c>
      <c r="X61" s="12" t="s">
        <v>1181</v>
      </c>
      <c r="Y61" s="12" t="s">
        <v>1227</v>
      </c>
      <c r="Z61" s="12" t="s">
        <v>1835</v>
      </c>
      <c r="AA61" s="12" t="s">
        <v>835</v>
      </c>
      <c r="AB61" s="12" t="s">
        <v>1846</v>
      </c>
      <c r="AC61" s="12" t="s">
        <v>1847</v>
      </c>
      <c r="AD61" s="12" t="s">
        <v>1284</v>
      </c>
      <c r="AE61" s="12" t="s">
        <v>794</v>
      </c>
      <c r="AF61" s="12" t="s">
        <v>1442</v>
      </c>
      <c r="AG61" s="12" t="s">
        <v>1442</v>
      </c>
      <c r="AH61" s="12" t="s">
        <v>894</v>
      </c>
      <c r="AI61" s="12" t="s">
        <v>746</v>
      </c>
      <c r="AJ61" s="12" t="s">
        <v>1848</v>
      </c>
      <c r="AK61" s="12" t="s">
        <v>1047</v>
      </c>
      <c r="AL61" s="12" t="s">
        <v>1047</v>
      </c>
      <c r="AM61" s="12" t="s">
        <v>1047</v>
      </c>
      <c r="AN61" s="12" t="s">
        <v>1849</v>
      </c>
      <c r="AO61" s="12" t="s">
        <v>1850</v>
      </c>
      <c r="AP61" s="12" t="s">
        <v>1414</v>
      </c>
      <c r="AQ61" s="12" t="s">
        <v>1414</v>
      </c>
      <c r="AR61" s="12" t="s">
        <v>1414</v>
      </c>
      <c r="AS61" s="12" t="s">
        <v>1414</v>
      </c>
      <c r="AT61" s="12" t="s">
        <v>1414</v>
      </c>
      <c r="AU61" s="12" t="s">
        <v>1414</v>
      </c>
      <c r="AV61" s="12" t="s">
        <v>1414</v>
      </c>
      <c r="AW61" s="12" t="s">
        <v>1414</v>
      </c>
      <c r="AX61" s="12" t="s">
        <v>1414</v>
      </c>
      <c r="AY61" s="12" t="s">
        <v>1414</v>
      </c>
      <c r="AZ61" s="12" t="s">
        <v>1414</v>
      </c>
      <c r="BA61" s="12" t="s">
        <v>1414</v>
      </c>
      <c r="BB61" s="12" t="s">
        <v>1414</v>
      </c>
      <c r="BC61" s="12" t="s">
        <v>1414</v>
      </c>
      <c r="BD61" s="12" t="s">
        <v>1414</v>
      </c>
      <c r="BE61" s="12" t="s">
        <v>1414</v>
      </c>
      <c r="BF61" s="12" t="s">
        <v>1414</v>
      </c>
      <c r="BG61" s="12" t="s">
        <v>1414</v>
      </c>
      <c r="BH61" s="12" t="s">
        <v>1414</v>
      </c>
      <c r="BI61" s="12" t="s">
        <v>1414</v>
      </c>
      <c r="BJ61" s="12" t="s">
        <v>1414</v>
      </c>
      <c r="BK61" s="12" t="s">
        <v>1414</v>
      </c>
      <c r="BL61" s="12" t="s">
        <v>1414</v>
      </c>
      <c r="BM61" s="12" t="s">
        <v>941</v>
      </c>
      <c r="BN61" s="12" t="s">
        <v>941</v>
      </c>
      <c r="BO61" s="12" t="s">
        <v>941</v>
      </c>
      <c r="BP61" s="12" t="s">
        <v>941</v>
      </c>
      <c r="BQ61" s="12" t="s">
        <v>941</v>
      </c>
      <c r="BR61" s="12" t="s">
        <v>941</v>
      </c>
      <c r="BS61" s="12" t="s">
        <v>941</v>
      </c>
      <c r="BT61" s="12" t="s">
        <v>941</v>
      </c>
      <c r="BU61" s="12" t="s">
        <v>1329</v>
      </c>
      <c r="BV61" s="12" t="s">
        <v>1329</v>
      </c>
      <c r="BW61" s="12" t="s">
        <v>1299</v>
      </c>
      <c r="BX61" s="12" t="s">
        <v>1851</v>
      </c>
      <c r="BY61" s="12" t="s">
        <v>1630</v>
      </c>
      <c r="BZ61" s="12" t="s">
        <v>1630</v>
      </c>
      <c r="CA61" s="12" t="s">
        <v>1852</v>
      </c>
      <c r="CB61" s="12" t="s">
        <v>1852</v>
      </c>
      <c r="CC61" s="12" t="s">
        <v>1852</v>
      </c>
      <c r="CD61" s="12" t="s">
        <v>1852</v>
      </c>
      <c r="CE61" s="12" t="s">
        <v>1852</v>
      </c>
      <c r="CF61" s="12" t="s">
        <v>1852</v>
      </c>
      <c r="CG61" s="12" t="s">
        <v>1852</v>
      </c>
      <c r="CH61" s="12" t="s">
        <v>1852</v>
      </c>
      <c r="CI61" s="12" t="s">
        <v>1852</v>
      </c>
      <c r="CJ61" s="12" t="s">
        <v>1852</v>
      </c>
      <c r="CK61" s="12" t="s">
        <v>1852</v>
      </c>
      <c r="CL61" s="12" t="s">
        <v>1761</v>
      </c>
      <c r="CM61" s="12" t="s">
        <v>1761</v>
      </c>
      <c r="CN61" s="12" t="s">
        <v>1761</v>
      </c>
      <c r="CO61" s="12" t="s">
        <v>1761</v>
      </c>
      <c r="CP61" s="12" t="s">
        <v>1761</v>
      </c>
      <c r="CQ61" s="12" t="s">
        <v>1761</v>
      </c>
      <c r="CR61" s="12" t="s">
        <v>1761</v>
      </c>
      <c r="CS61" s="12" t="s">
        <v>1761</v>
      </c>
      <c r="CT61" s="12" t="s">
        <v>1761</v>
      </c>
    </row>
    <row r="62" spans="1:98" hidden="1" x14ac:dyDescent="0.3">
      <c r="A62" s="12" t="s">
        <v>1853</v>
      </c>
      <c r="B62" s="12" t="s">
        <v>1679</v>
      </c>
      <c r="C62" s="12" t="s">
        <v>1854</v>
      </c>
      <c r="D62" s="12" t="s">
        <v>1855</v>
      </c>
      <c r="E62" s="12" t="s">
        <v>596</v>
      </c>
      <c r="F62" s="12" t="s">
        <v>641</v>
      </c>
      <c r="G62" s="12" t="s">
        <v>598</v>
      </c>
      <c r="H62" s="12" t="s">
        <v>779</v>
      </c>
      <c r="I62" s="12" t="s">
        <v>780</v>
      </c>
      <c r="J62" s="12" t="s">
        <v>603</v>
      </c>
      <c r="K62" s="12" t="s">
        <v>645</v>
      </c>
      <c r="L62" s="12" t="s">
        <v>646</v>
      </c>
      <c r="M62" s="12" t="s">
        <v>1114</v>
      </c>
      <c r="N62" s="12" t="s">
        <v>650</v>
      </c>
      <c r="O62" s="12" t="s">
        <v>874</v>
      </c>
      <c r="P62" s="12" t="s">
        <v>1143</v>
      </c>
      <c r="Q62" s="12" t="s">
        <v>1011</v>
      </c>
      <c r="R62" s="12" t="s">
        <v>1641</v>
      </c>
      <c r="S62" s="12" t="s">
        <v>1856</v>
      </c>
      <c r="T62" s="12" t="s">
        <v>1857</v>
      </c>
      <c r="U62" s="12" t="s">
        <v>664</v>
      </c>
      <c r="V62" s="12" t="s">
        <v>1858</v>
      </c>
      <c r="W62" s="12" t="s">
        <v>894</v>
      </c>
      <c r="X62" s="12" t="s">
        <v>1383</v>
      </c>
      <c r="Y62" s="12" t="s">
        <v>1859</v>
      </c>
      <c r="Z62" s="12" t="s">
        <v>1860</v>
      </c>
      <c r="AA62" s="12" t="s">
        <v>1712</v>
      </c>
      <c r="AB62" s="12" t="s">
        <v>1148</v>
      </c>
      <c r="AC62" s="12" t="s">
        <v>1551</v>
      </c>
      <c r="AD62" s="12" t="s">
        <v>1538</v>
      </c>
      <c r="AE62" s="12" t="s">
        <v>1387</v>
      </c>
      <c r="AF62" s="12" t="s">
        <v>1861</v>
      </c>
      <c r="AG62" s="12" t="s">
        <v>1862</v>
      </c>
      <c r="AH62" s="12" t="s">
        <v>1150</v>
      </c>
      <c r="AI62" s="12" t="s">
        <v>1863</v>
      </c>
      <c r="AJ62" s="12" t="s">
        <v>1863</v>
      </c>
      <c r="AK62" s="12" t="s">
        <v>1686</v>
      </c>
      <c r="AL62" s="12" t="s">
        <v>1686</v>
      </c>
      <c r="AM62" s="12" t="s">
        <v>1686</v>
      </c>
      <c r="AN62" s="12" t="s">
        <v>1686</v>
      </c>
      <c r="AO62" s="12" t="s">
        <v>1686</v>
      </c>
      <c r="AP62" s="12" t="s">
        <v>1686</v>
      </c>
      <c r="AQ62" s="12" t="s">
        <v>1686</v>
      </c>
      <c r="AR62" s="12" t="s">
        <v>1686</v>
      </c>
      <c r="AS62" s="12" t="s">
        <v>1686</v>
      </c>
      <c r="AT62" s="12" t="s">
        <v>1686</v>
      </c>
      <c r="AU62" s="12" t="s">
        <v>1686</v>
      </c>
      <c r="AV62" s="12" t="s">
        <v>1052</v>
      </c>
      <c r="AW62" s="12" t="s">
        <v>1052</v>
      </c>
      <c r="AX62" s="12" t="s">
        <v>1052</v>
      </c>
      <c r="AY62" s="12" t="s">
        <v>1052</v>
      </c>
      <c r="AZ62" s="12" t="s">
        <v>1052</v>
      </c>
      <c r="BA62" s="12" t="s">
        <v>1052</v>
      </c>
      <c r="BB62" s="12" t="s">
        <v>840</v>
      </c>
      <c r="BC62" s="12" t="s">
        <v>840</v>
      </c>
      <c r="BD62" s="12" t="s">
        <v>840</v>
      </c>
      <c r="BE62" s="12" t="s">
        <v>840</v>
      </c>
      <c r="BF62" s="12" t="s">
        <v>840</v>
      </c>
      <c r="BG62" s="12" t="s">
        <v>840</v>
      </c>
      <c r="BH62" s="12" t="s">
        <v>840</v>
      </c>
      <c r="BI62" s="12" t="s">
        <v>840</v>
      </c>
      <c r="BJ62" s="12" t="s">
        <v>1864</v>
      </c>
      <c r="BK62" s="12" t="s">
        <v>622</v>
      </c>
      <c r="BL62" s="12" t="s">
        <v>622</v>
      </c>
      <c r="BM62" s="12" t="s">
        <v>622</v>
      </c>
      <c r="BN62" s="12" t="s">
        <v>622</v>
      </c>
      <c r="BO62" s="12" t="s">
        <v>622</v>
      </c>
      <c r="BP62" s="12" t="s">
        <v>622</v>
      </c>
      <c r="BQ62" s="12" t="s">
        <v>622</v>
      </c>
      <c r="BR62" s="12" t="s">
        <v>622</v>
      </c>
      <c r="BS62" s="12" t="s">
        <v>622</v>
      </c>
      <c r="BT62" s="12" t="s">
        <v>622</v>
      </c>
      <c r="BU62" s="12" t="s">
        <v>622</v>
      </c>
      <c r="BV62" s="12" t="s">
        <v>622</v>
      </c>
      <c r="BW62" s="12" t="s">
        <v>622</v>
      </c>
      <c r="BX62" s="12" t="s">
        <v>1865</v>
      </c>
      <c r="BY62" s="12" t="s">
        <v>1866</v>
      </c>
      <c r="BZ62" s="12" t="s">
        <v>1721</v>
      </c>
      <c r="CA62" s="12" t="s">
        <v>1068</v>
      </c>
      <c r="CB62" s="12" t="s">
        <v>1867</v>
      </c>
      <c r="CC62" s="12" t="s">
        <v>1059</v>
      </c>
      <c r="CD62" s="12" t="s">
        <v>1154</v>
      </c>
      <c r="CE62" s="12" t="s">
        <v>683</v>
      </c>
      <c r="CF62" s="12" t="s">
        <v>760</v>
      </c>
      <c r="CG62" s="12" t="s">
        <v>1396</v>
      </c>
      <c r="CH62" s="12" t="s">
        <v>1868</v>
      </c>
      <c r="CI62" s="12" t="s">
        <v>1869</v>
      </c>
      <c r="CJ62" s="12" t="s">
        <v>1870</v>
      </c>
      <c r="CK62" s="12" t="s">
        <v>1871</v>
      </c>
      <c r="CL62" s="12" t="s">
        <v>1207</v>
      </c>
      <c r="CM62" s="12" t="s">
        <v>1872</v>
      </c>
      <c r="CN62" s="12" t="s">
        <v>1873</v>
      </c>
      <c r="CO62" s="12" t="s">
        <v>1874</v>
      </c>
      <c r="CP62" s="12" t="s">
        <v>1875</v>
      </c>
      <c r="CQ62" s="12" t="s">
        <v>1876</v>
      </c>
      <c r="CR62" s="12" t="s">
        <v>849</v>
      </c>
      <c r="CS62" s="12" t="s">
        <v>1877</v>
      </c>
      <c r="CT62" s="12" t="s">
        <v>1878</v>
      </c>
    </row>
    <row r="63" spans="1:98" hidden="1" x14ac:dyDescent="0.3">
      <c r="A63" s="12" t="s">
        <v>1879</v>
      </c>
      <c r="B63" s="12" t="s">
        <v>1679</v>
      </c>
      <c r="C63" s="12" t="s">
        <v>1880</v>
      </c>
      <c r="D63" s="12" t="s">
        <v>1881</v>
      </c>
      <c r="E63" s="12" t="s">
        <v>599</v>
      </c>
      <c r="F63" s="12" t="s">
        <v>599</v>
      </c>
      <c r="G63" s="12" t="s">
        <v>779</v>
      </c>
      <c r="H63" s="12" t="s">
        <v>870</v>
      </c>
      <c r="I63" s="12" t="s">
        <v>1370</v>
      </c>
      <c r="J63" s="12" t="s">
        <v>791</v>
      </c>
      <c r="K63" s="12" t="s">
        <v>1704</v>
      </c>
      <c r="L63" s="12" t="s">
        <v>1622</v>
      </c>
      <c r="M63" s="12" t="s">
        <v>1046</v>
      </c>
      <c r="N63" s="12" t="s">
        <v>1706</v>
      </c>
      <c r="O63" s="12" t="s">
        <v>1386</v>
      </c>
      <c r="P63" s="12" t="s">
        <v>944</v>
      </c>
      <c r="Q63" s="12" t="s">
        <v>1725</v>
      </c>
      <c r="R63" s="12" t="s">
        <v>1397</v>
      </c>
      <c r="S63" s="12" t="s">
        <v>1307</v>
      </c>
      <c r="T63" s="12" t="s">
        <v>1882</v>
      </c>
      <c r="U63" s="12" t="s">
        <v>1883</v>
      </c>
      <c r="V63" s="12" t="s">
        <v>1884</v>
      </c>
      <c r="W63" s="12" t="s">
        <v>1885</v>
      </c>
      <c r="X63" s="12" t="s">
        <v>1886</v>
      </c>
      <c r="Y63" s="12" t="s">
        <v>1887</v>
      </c>
      <c r="Z63" s="12" t="s">
        <v>1024</v>
      </c>
      <c r="AA63" s="12" t="s">
        <v>1888</v>
      </c>
      <c r="AB63" s="12" t="s">
        <v>1889</v>
      </c>
      <c r="AC63" s="12" t="s">
        <v>1027</v>
      </c>
      <c r="AD63" s="12" t="s">
        <v>1186</v>
      </c>
      <c r="AE63" s="12" t="s">
        <v>1890</v>
      </c>
      <c r="AF63" s="12" t="s">
        <v>1891</v>
      </c>
      <c r="AG63" s="12" t="s">
        <v>1892</v>
      </c>
      <c r="AH63" s="12" t="s">
        <v>803</v>
      </c>
      <c r="AI63" s="12" t="s">
        <v>1893</v>
      </c>
      <c r="AJ63" s="12" t="s">
        <v>1894</v>
      </c>
      <c r="AK63" s="12" t="s">
        <v>1895</v>
      </c>
      <c r="AL63" s="12" t="s">
        <v>1895</v>
      </c>
      <c r="AM63" s="12" t="s">
        <v>1895</v>
      </c>
      <c r="AN63" s="12" t="s">
        <v>1895</v>
      </c>
      <c r="AO63" s="12" t="s">
        <v>1896</v>
      </c>
      <c r="AP63" s="12" t="s">
        <v>1896</v>
      </c>
      <c r="AQ63" s="12" t="s">
        <v>1896</v>
      </c>
      <c r="AR63" s="12" t="s">
        <v>1896</v>
      </c>
      <c r="AS63" s="12" t="s">
        <v>1896</v>
      </c>
      <c r="AT63" s="12" t="s">
        <v>1896</v>
      </c>
      <c r="AU63" s="12" t="s">
        <v>1896</v>
      </c>
      <c r="AV63" s="12" t="s">
        <v>1896</v>
      </c>
      <c r="AW63" s="12" t="s">
        <v>1896</v>
      </c>
      <c r="AX63" s="12" t="s">
        <v>1896</v>
      </c>
      <c r="AY63" s="12" t="s">
        <v>1896</v>
      </c>
      <c r="AZ63" s="12" t="s">
        <v>1896</v>
      </c>
      <c r="BA63" s="12" t="s">
        <v>1896</v>
      </c>
      <c r="BB63" s="12" t="s">
        <v>1897</v>
      </c>
      <c r="BC63" s="12" t="s">
        <v>1897</v>
      </c>
      <c r="BD63" s="12" t="s">
        <v>1897</v>
      </c>
      <c r="BE63" s="12" t="s">
        <v>1897</v>
      </c>
      <c r="BF63" s="12" t="s">
        <v>1897</v>
      </c>
      <c r="BG63" s="12" t="s">
        <v>1897</v>
      </c>
      <c r="BH63" s="12" t="s">
        <v>1897</v>
      </c>
      <c r="BI63" s="12" t="s">
        <v>1897</v>
      </c>
      <c r="BJ63" s="12" t="s">
        <v>1897</v>
      </c>
      <c r="BK63" s="12" t="s">
        <v>1897</v>
      </c>
      <c r="BL63" s="12" t="s">
        <v>1897</v>
      </c>
      <c r="BM63" s="12" t="s">
        <v>1898</v>
      </c>
      <c r="BN63" s="12" t="s">
        <v>1898</v>
      </c>
      <c r="BO63" s="12" t="s">
        <v>1898</v>
      </c>
      <c r="BP63" s="12" t="s">
        <v>1898</v>
      </c>
      <c r="BQ63" s="12" t="s">
        <v>1899</v>
      </c>
      <c r="BR63" s="12" t="s">
        <v>1899</v>
      </c>
      <c r="BS63" s="12" t="s">
        <v>1899</v>
      </c>
      <c r="BT63" s="12" t="s">
        <v>1900</v>
      </c>
      <c r="BU63" s="12" t="s">
        <v>1900</v>
      </c>
      <c r="BV63" s="12" t="s">
        <v>1900</v>
      </c>
      <c r="BW63" s="12" t="s">
        <v>1900</v>
      </c>
      <c r="BX63" s="12" t="s">
        <v>1900</v>
      </c>
      <c r="BY63" s="12" t="s">
        <v>1900</v>
      </c>
      <c r="BZ63" s="12" t="s">
        <v>1900</v>
      </c>
      <c r="CA63" s="12" t="s">
        <v>1900</v>
      </c>
      <c r="CB63" s="12" t="s">
        <v>1900</v>
      </c>
      <c r="CC63" s="12" t="s">
        <v>1900</v>
      </c>
      <c r="CD63" s="12" t="s">
        <v>1900</v>
      </c>
      <c r="CE63" s="12" t="s">
        <v>1900</v>
      </c>
      <c r="CF63" s="12" t="s">
        <v>1900</v>
      </c>
      <c r="CG63" s="12" t="s">
        <v>1900</v>
      </c>
      <c r="CH63" s="12" t="s">
        <v>1900</v>
      </c>
      <c r="CI63" s="12" t="s">
        <v>1900</v>
      </c>
      <c r="CJ63" s="12" t="s">
        <v>1900</v>
      </c>
      <c r="CK63" s="12" t="s">
        <v>1900</v>
      </c>
      <c r="CL63" s="12" t="s">
        <v>1900</v>
      </c>
      <c r="CM63" s="12" t="s">
        <v>1900</v>
      </c>
      <c r="CN63" s="12" t="s">
        <v>1900</v>
      </c>
      <c r="CO63" s="12" t="s">
        <v>1900</v>
      </c>
      <c r="CP63" s="12" t="s">
        <v>1900</v>
      </c>
      <c r="CQ63" s="12" t="s">
        <v>1900</v>
      </c>
      <c r="CR63" s="12" t="s">
        <v>1900</v>
      </c>
      <c r="CS63" s="12" t="s">
        <v>1900</v>
      </c>
      <c r="CT63" s="12" t="s">
        <v>1900</v>
      </c>
    </row>
    <row r="64" spans="1:98" hidden="1" x14ac:dyDescent="0.3">
      <c r="A64" s="12" t="s">
        <v>1901</v>
      </c>
      <c r="B64" s="12" t="s">
        <v>1679</v>
      </c>
      <c r="C64" s="12" t="s">
        <v>1902</v>
      </c>
      <c r="D64" s="12" t="s">
        <v>1903</v>
      </c>
      <c r="E64" s="12" t="s">
        <v>596</v>
      </c>
      <c r="F64" s="12" t="s">
        <v>641</v>
      </c>
      <c r="G64" s="12" t="s">
        <v>641</v>
      </c>
      <c r="H64" s="12" t="s">
        <v>599</v>
      </c>
      <c r="I64" s="12" t="s">
        <v>773</v>
      </c>
      <c r="J64" s="12" t="s">
        <v>773</v>
      </c>
      <c r="K64" s="12" t="s">
        <v>773</v>
      </c>
      <c r="L64" s="12" t="s">
        <v>642</v>
      </c>
      <c r="M64" s="12" t="s">
        <v>642</v>
      </c>
      <c r="N64" s="12" t="s">
        <v>643</v>
      </c>
      <c r="O64" s="12" t="s">
        <v>886</v>
      </c>
      <c r="P64" s="12" t="s">
        <v>780</v>
      </c>
      <c r="Q64" s="12" t="s">
        <v>780</v>
      </c>
      <c r="R64" s="12" t="s">
        <v>691</v>
      </c>
      <c r="S64" s="12" t="s">
        <v>603</v>
      </c>
      <c r="T64" s="12" t="s">
        <v>605</v>
      </c>
      <c r="U64" s="12" t="s">
        <v>775</v>
      </c>
      <c r="V64" s="12" t="s">
        <v>694</v>
      </c>
      <c r="W64" s="12" t="s">
        <v>971</v>
      </c>
      <c r="X64" s="12" t="s">
        <v>646</v>
      </c>
      <c r="Y64" s="12" t="s">
        <v>1009</v>
      </c>
      <c r="Z64" s="12" t="s">
        <v>972</v>
      </c>
      <c r="AA64" s="12" t="s">
        <v>737</v>
      </c>
      <c r="AB64" s="12" t="s">
        <v>787</v>
      </c>
      <c r="AC64" s="12" t="s">
        <v>787</v>
      </c>
      <c r="AD64" s="12" t="s">
        <v>1010</v>
      </c>
      <c r="AE64" s="12" t="s">
        <v>698</v>
      </c>
      <c r="AF64" s="12" t="s">
        <v>871</v>
      </c>
      <c r="AG64" s="12" t="s">
        <v>1198</v>
      </c>
      <c r="AH64" s="12" t="s">
        <v>788</v>
      </c>
      <c r="AI64" s="12" t="s">
        <v>788</v>
      </c>
      <c r="AJ64" s="12" t="s">
        <v>992</v>
      </c>
      <c r="AK64" s="12" t="s">
        <v>607</v>
      </c>
      <c r="AL64" s="12" t="s">
        <v>789</v>
      </c>
      <c r="AM64" s="12" t="s">
        <v>608</v>
      </c>
      <c r="AN64" s="12" t="s">
        <v>875</v>
      </c>
      <c r="AO64" s="12" t="s">
        <v>889</v>
      </c>
      <c r="AP64" s="12" t="s">
        <v>609</v>
      </c>
      <c r="AQ64" s="12" t="s">
        <v>1143</v>
      </c>
      <c r="AR64" s="12" t="s">
        <v>877</v>
      </c>
      <c r="AS64" s="12" t="s">
        <v>879</v>
      </c>
      <c r="AT64" s="12" t="s">
        <v>879</v>
      </c>
      <c r="AU64" s="12" t="s">
        <v>882</v>
      </c>
      <c r="AV64" s="12" t="s">
        <v>882</v>
      </c>
      <c r="AW64" s="12" t="s">
        <v>1278</v>
      </c>
      <c r="AX64" s="12" t="s">
        <v>1517</v>
      </c>
      <c r="AY64" s="12" t="s">
        <v>1371</v>
      </c>
      <c r="AZ64" s="12" t="s">
        <v>829</v>
      </c>
      <c r="BA64" s="12" t="s">
        <v>611</v>
      </c>
      <c r="BB64" s="12" t="s">
        <v>1294</v>
      </c>
      <c r="BC64" s="12" t="s">
        <v>1373</v>
      </c>
      <c r="BD64" s="12" t="s">
        <v>891</v>
      </c>
      <c r="BE64" s="12" t="s">
        <v>1043</v>
      </c>
      <c r="BF64" s="12" t="s">
        <v>1904</v>
      </c>
      <c r="BG64" s="12" t="s">
        <v>1641</v>
      </c>
      <c r="BH64" s="12" t="s">
        <v>1328</v>
      </c>
      <c r="BI64" s="12" t="s">
        <v>1587</v>
      </c>
      <c r="BJ64" s="12" t="s">
        <v>1905</v>
      </c>
      <c r="BK64" s="12" t="s">
        <v>1146</v>
      </c>
      <c r="BL64" s="12" t="s">
        <v>615</v>
      </c>
      <c r="BM64" s="12" t="s">
        <v>1850</v>
      </c>
      <c r="BN64" s="12" t="s">
        <v>1906</v>
      </c>
      <c r="BO64" s="12" t="s">
        <v>1907</v>
      </c>
      <c r="BP64" s="12" t="s">
        <v>1713</v>
      </c>
      <c r="BQ64" s="12" t="s">
        <v>1050</v>
      </c>
      <c r="BR64" s="12" t="s">
        <v>1908</v>
      </c>
      <c r="BS64" s="12" t="s">
        <v>1724</v>
      </c>
      <c r="BT64" s="12" t="s">
        <v>1118</v>
      </c>
      <c r="BU64" s="12" t="s">
        <v>1909</v>
      </c>
      <c r="BV64" s="12" t="s">
        <v>627</v>
      </c>
      <c r="BW64" s="12" t="s">
        <v>1910</v>
      </c>
      <c r="BX64" s="12" t="s">
        <v>1911</v>
      </c>
      <c r="BY64" s="12" t="s">
        <v>1912</v>
      </c>
      <c r="BZ64" s="12" t="s">
        <v>1913</v>
      </c>
      <c r="CA64" s="12" t="s">
        <v>1914</v>
      </c>
      <c r="CB64" s="12" t="s">
        <v>1883</v>
      </c>
      <c r="CC64" s="12" t="s">
        <v>1915</v>
      </c>
      <c r="CD64" s="12" t="s">
        <v>1916</v>
      </c>
      <c r="CE64" s="12" t="s">
        <v>1696</v>
      </c>
      <c r="CF64" s="12" t="s">
        <v>1699</v>
      </c>
      <c r="CG64" s="12" t="s">
        <v>1917</v>
      </c>
      <c r="CH64" s="12" t="s">
        <v>1918</v>
      </c>
      <c r="CI64" s="12" t="s">
        <v>1312</v>
      </c>
      <c r="CJ64" s="12" t="s">
        <v>1185</v>
      </c>
      <c r="CK64" s="12" t="s">
        <v>1448</v>
      </c>
      <c r="CL64" s="12" t="s">
        <v>1448</v>
      </c>
      <c r="CM64" s="12" t="s">
        <v>1332</v>
      </c>
      <c r="CN64" s="12" t="s">
        <v>967</v>
      </c>
      <c r="CO64" s="12" t="s">
        <v>1919</v>
      </c>
      <c r="CP64" s="12" t="s">
        <v>1919</v>
      </c>
      <c r="CQ64" s="12" t="s">
        <v>899</v>
      </c>
      <c r="CR64" s="12" t="s">
        <v>1885</v>
      </c>
      <c r="CS64" s="12" t="s">
        <v>1920</v>
      </c>
      <c r="CT64" s="12" t="s">
        <v>1920</v>
      </c>
    </row>
    <row r="65" spans="1:98" hidden="1" x14ac:dyDescent="0.3">
      <c r="A65" s="12" t="s">
        <v>1921</v>
      </c>
      <c r="B65" s="12" t="s">
        <v>1679</v>
      </c>
      <c r="C65" s="12" t="s">
        <v>1922</v>
      </c>
      <c r="D65" s="12" t="s">
        <v>1923</v>
      </c>
      <c r="E65" s="12" t="s">
        <v>621</v>
      </c>
      <c r="F65" s="12" t="s">
        <v>621</v>
      </c>
      <c r="G65" s="12" t="s">
        <v>1391</v>
      </c>
      <c r="H65" s="12" t="s">
        <v>1924</v>
      </c>
      <c r="I65" s="12" t="s">
        <v>1121</v>
      </c>
      <c r="J65" s="12" t="s">
        <v>714</v>
      </c>
      <c r="K65" s="12" t="s">
        <v>1925</v>
      </c>
      <c r="L65" s="12" t="s">
        <v>1925</v>
      </c>
      <c r="M65" s="12" t="s">
        <v>1926</v>
      </c>
      <c r="N65" s="12" t="s">
        <v>1927</v>
      </c>
      <c r="O65" s="12" t="s">
        <v>1928</v>
      </c>
      <c r="P65" s="12" t="s">
        <v>1929</v>
      </c>
      <c r="Q65" s="12" t="s">
        <v>1930</v>
      </c>
      <c r="R65" s="12" t="s">
        <v>1931</v>
      </c>
      <c r="S65" s="12" t="s">
        <v>1932</v>
      </c>
      <c r="T65" s="12" t="s">
        <v>1933</v>
      </c>
      <c r="U65" s="12" t="s">
        <v>1934</v>
      </c>
      <c r="V65" s="12" t="s">
        <v>1935</v>
      </c>
      <c r="W65" s="12" t="s">
        <v>1936</v>
      </c>
      <c r="X65" s="12" t="s">
        <v>1937</v>
      </c>
      <c r="Y65" s="12" t="s">
        <v>1938</v>
      </c>
      <c r="Z65" s="12" t="s">
        <v>1938</v>
      </c>
      <c r="AA65" s="12" t="s">
        <v>1939</v>
      </c>
      <c r="AB65" s="12" t="s">
        <v>1940</v>
      </c>
      <c r="AC65" s="12" t="s">
        <v>1941</v>
      </c>
      <c r="AD65" s="12" t="s">
        <v>1942</v>
      </c>
      <c r="AE65" s="12" t="s">
        <v>1943</v>
      </c>
      <c r="AF65" s="12" t="s">
        <v>1944</v>
      </c>
      <c r="AG65" s="12" t="s">
        <v>1945</v>
      </c>
      <c r="AH65" s="12" t="s">
        <v>1946</v>
      </c>
      <c r="AI65" s="12" t="s">
        <v>1947</v>
      </c>
      <c r="AJ65" s="12" t="s">
        <v>1948</v>
      </c>
      <c r="AK65" s="12" t="s">
        <v>1948</v>
      </c>
      <c r="AL65" s="12" t="s">
        <v>1949</v>
      </c>
      <c r="AM65" s="12" t="s">
        <v>1950</v>
      </c>
      <c r="AN65" s="12" t="s">
        <v>1951</v>
      </c>
      <c r="AO65" s="12" t="s">
        <v>1952</v>
      </c>
      <c r="AP65" s="12" t="s">
        <v>1953</v>
      </c>
      <c r="AQ65" s="12" t="s">
        <v>1954</v>
      </c>
      <c r="AR65" s="12" t="s">
        <v>1955</v>
      </c>
      <c r="AS65" s="12" t="s">
        <v>1956</v>
      </c>
      <c r="AT65" s="12" t="s">
        <v>1957</v>
      </c>
      <c r="AU65" s="12" t="s">
        <v>1958</v>
      </c>
      <c r="AV65" s="12" t="s">
        <v>1959</v>
      </c>
      <c r="AW65" s="12" t="s">
        <v>1960</v>
      </c>
      <c r="AX65" s="12" t="s">
        <v>1961</v>
      </c>
      <c r="AY65" s="12" t="s">
        <v>1962</v>
      </c>
      <c r="AZ65" s="12" t="s">
        <v>1963</v>
      </c>
      <c r="BA65" s="12" t="s">
        <v>1964</v>
      </c>
      <c r="BB65" s="12" t="s">
        <v>1965</v>
      </c>
      <c r="BC65" s="12" t="s">
        <v>1966</v>
      </c>
      <c r="BD65" s="12" t="s">
        <v>1967</v>
      </c>
      <c r="BE65" s="12" t="s">
        <v>1968</v>
      </c>
      <c r="BF65" s="12" t="s">
        <v>1969</v>
      </c>
      <c r="BG65" s="12" t="s">
        <v>1970</v>
      </c>
      <c r="BH65" s="12" t="s">
        <v>1971</v>
      </c>
      <c r="BI65" s="12" t="s">
        <v>1972</v>
      </c>
      <c r="BJ65" s="12" t="s">
        <v>1972</v>
      </c>
      <c r="BK65" s="12" t="s">
        <v>1972</v>
      </c>
      <c r="BL65" s="12" t="s">
        <v>1972</v>
      </c>
      <c r="BM65" s="12" t="s">
        <v>1972</v>
      </c>
      <c r="BN65" s="12" t="s">
        <v>1972</v>
      </c>
      <c r="BO65" s="12" t="s">
        <v>1973</v>
      </c>
      <c r="BP65" s="12" t="s">
        <v>1973</v>
      </c>
      <c r="BQ65" s="12" t="s">
        <v>1973</v>
      </c>
      <c r="BR65" s="12" t="s">
        <v>1973</v>
      </c>
      <c r="BS65" s="12" t="s">
        <v>1973</v>
      </c>
      <c r="BT65" s="12" t="s">
        <v>1973</v>
      </c>
      <c r="BU65" s="12" t="s">
        <v>1973</v>
      </c>
      <c r="BV65" s="12" t="s">
        <v>1973</v>
      </c>
      <c r="BW65" s="12" t="s">
        <v>1974</v>
      </c>
      <c r="BX65" s="12" t="s">
        <v>1974</v>
      </c>
      <c r="BY65" s="12" t="s">
        <v>1974</v>
      </c>
      <c r="BZ65" s="12" t="s">
        <v>1975</v>
      </c>
      <c r="CA65" s="12" t="s">
        <v>1975</v>
      </c>
      <c r="CB65" s="12" t="s">
        <v>1975</v>
      </c>
      <c r="CC65" s="12" t="s">
        <v>1975</v>
      </c>
      <c r="CD65" s="12" t="s">
        <v>1975</v>
      </c>
      <c r="CE65" s="12" t="s">
        <v>1975</v>
      </c>
      <c r="CF65" s="12" t="s">
        <v>1975</v>
      </c>
      <c r="CG65" s="12" t="s">
        <v>1975</v>
      </c>
      <c r="CH65" s="12" t="s">
        <v>1975</v>
      </c>
      <c r="CI65" s="12" t="s">
        <v>1975</v>
      </c>
      <c r="CJ65" s="12" t="s">
        <v>1975</v>
      </c>
      <c r="CK65" s="12" t="s">
        <v>1975</v>
      </c>
      <c r="CL65" s="12" t="s">
        <v>1975</v>
      </c>
      <c r="CM65" s="12" t="s">
        <v>1976</v>
      </c>
      <c r="CN65" s="12" t="s">
        <v>1976</v>
      </c>
      <c r="CO65" s="12" t="s">
        <v>1976</v>
      </c>
      <c r="CP65" s="12" t="s">
        <v>1976</v>
      </c>
      <c r="CQ65" s="12" t="s">
        <v>1976</v>
      </c>
      <c r="CR65" s="12" t="s">
        <v>1976</v>
      </c>
      <c r="CS65" s="12" t="s">
        <v>1976</v>
      </c>
      <c r="CT65" s="12" t="s">
        <v>1976</v>
      </c>
    </row>
    <row r="66" spans="1:98" hidden="1" x14ac:dyDescent="0.3">
      <c r="A66" s="12" t="s">
        <v>1977</v>
      </c>
      <c r="B66" s="12" t="s">
        <v>1679</v>
      </c>
      <c r="C66" s="12" t="s">
        <v>1978</v>
      </c>
      <c r="D66" s="12" t="s">
        <v>1979</v>
      </c>
      <c r="E66" s="12" t="s">
        <v>598</v>
      </c>
      <c r="F66" s="12" t="s">
        <v>779</v>
      </c>
      <c r="G66" s="12" t="s">
        <v>605</v>
      </c>
      <c r="H66" s="12" t="s">
        <v>1277</v>
      </c>
      <c r="I66" s="12" t="s">
        <v>992</v>
      </c>
      <c r="J66" s="12" t="s">
        <v>879</v>
      </c>
      <c r="K66" s="12" t="s">
        <v>1839</v>
      </c>
      <c r="L66" s="12" t="s">
        <v>940</v>
      </c>
      <c r="M66" s="12" t="s">
        <v>664</v>
      </c>
      <c r="N66" s="12" t="s">
        <v>1980</v>
      </c>
      <c r="O66" s="12" t="s">
        <v>1737</v>
      </c>
      <c r="P66" s="12" t="s">
        <v>1981</v>
      </c>
      <c r="Q66" s="12" t="s">
        <v>623</v>
      </c>
      <c r="R66" s="12" t="s">
        <v>1393</v>
      </c>
      <c r="S66" s="12" t="s">
        <v>1396</v>
      </c>
      <c r="T66" s="12" t="s">
        <v>1982</v>
      </c>
      <c r="U66" s="12" t="s">
        <v>1544</v>
      </c>
      <c r="V66" s="12" t="s">
        <v>1184</v>
      </c>
      <c r="W66" s="12" t="s">
        <v>1983</v>
      </c>
      <c r="X66" s="12" t="s">
        <v>1984</v>
      </c>
      <c r="Y66" s="12" t="s">
        <v>1985</v>
      </c>
      <c r="Z66" s="12" t="s">
        <v>1311</v>
      </c>
      <c r="AA66" s="12" t="s">
        <v>1020</v>
      </c>
      <c r="AB66" s="12" t="s">
        <v>1698</v>
      </c>
      <c r="AC66" s="12" t="s">
        <v>963</v>
      </c>
      <c r="AD66" s="12" t="s">
        <v>1918</v>
      </c>
      <c r="AE66" s="12" t="s">
        <v>1986</v>
      </c>
      <c r="AF66" s="12" t="s">
        <v>964</v>
      </c>
      <c r="AG66" s="12" t="s">
        <v>1987</v>
      </c>
      <c r="AH66" s="12" t="s">
        <v>1988</v>
      </c>
      <c r="AI66" s="12" t="s">
        <v>1989</v>
      </c>
      <c r="AJ66" s="12" t="s">
        <v>852</v>
      </c>
      <c r="AK66" s="12" t="s">
        <v>1990</v>
      </c>
      <c r="AL66" s="12" t="s">
        <v>1990</v>
      </c>
      <c r="AM66" s="12" t="s">
        <v>1990</v>
      </c>
      <c r="AN66" s="12" t="s">
        <v>1990</v>
      </c>
      <c r="AO66" s="12" t="s">
        <v>1448</v>
      </c>
      <c r="AP66" s="12" t="s">
        <v>1448</v>
      </c>
      <c r="AQ66" s="12" t="s">
        <v>1071</v>
      </c>
      <c r="AR66" s="12" t="s">
        <v>1071</v>
      </c>
      <c r="AS66" s="12" t="s">
        <v>1071</v>
      </c>
      <c r="AT66" s="12" t="s">
        <v>1071</v>
      </c>
      <c r="AU66" s="12" t="s">
        <v>1071</v>
      </c>
      <c r="AV66" s="12" t="s">
        <v>1071</v>
      </c>
      <c r="AW66" s="12" t="s">
        <v>1071</v>
      </c>
      <c r="AX66" s="12" t="s">
        <v>1071</v>
      </c>
      <c r="AY66" s="12" t="s">
        <v>1071</v>
      </c>
      <c r="AZ66" s="12" t="s">
        <v>1071</v>
      </c>
      <c r="BA66" s="12" t="s">
        <v>1071</v>
      </c>
      <c r="BB66" s="12" t="s">
        <v>1071</v>
      </c>
      <c r="BC66" s="12" t="s">
        <v>1071</v>
      </c>
      <c r="BD66" s="12" t="s">
        <v>1071</v>
      </c>
      <c r="BE66" s="12" t="s">
        <v>1071</v>
      </c>
      <c r="BF66" s="12" t="s">
        <v>1071</v>
      </c>
      <c r="BG66" s="12" t="s">
        <v>1071</v>
      </c>
      <c r="BH66" s="12" t="s">
        <v>1071</v>
      </c>
      <c r="BI66" s="12" t="s">
        <v>1071</v>
      </c>
      <c r="BJ66" s="12" t="s">
        <v>1071</v>
      </c>
      <c r="BK66" s="12" t="s">
        <v>1071</v>
      </c>
      <c r="BL66" s="12" t="s">
        <v>1071</v>
      </c>
      <c r="BM66" s="12" t="s">
        <v>1071</v>
      </c>
      <c r="BN66" s="12" t="s">
        <v>1071</v>
      </c>
      <c r="BO66" s="12" t="s">
        <v>1071</v>
      </c>
      <c r="BP66" s="12" t="s">
        <v>1071</v>
      </c>
      <c r="BQ66" s="12" t="s">
        <v>1071</v>
      </c>
      <c r="BR66" s="12" t="s">
        <v>1071</v>
      </c>
      <c r="BS66" s="12" t="s">
        <v>1071</v>
      </c>
      <c r="BT66" s="12" t="s">
        <v>1071</v>
      </c>
      <c r="BU66" s="12" t="s">
        <v>1071</v>
      </c>
      <c r="BV66" s="12" t="s">
        <v>1071</v>
      </c>
      <c r="BW66" s="12" t="s">
        <v>1071</v>
      </c>
      <c r="BX66" s="12" t="s">
        <v>966</v>
      </c>
      <c r="BY66" s="12" t="s">
        <v>966</v>
      </c>
      <c r="BZ66" s="12" t="s">
        <v>966</v>
      </c>
      <c r="CA66" s="12" t="s">
        <v>966</v>
      </c>
      <c r="CB66" s="12" t="s">
        <v>966</v>
      </c>
      <c r="CC66" s="12" t="s">
        <v>966</v>
      </c>
      <c r="CD66" s="12" t="s">
        <v>966</v>
      </c>
      <c r="CE66" s="12" t="s">
        <v>966</v>
      </c>
      <c r="CF66" s="12" t="s">
        <v>966</v>
      </c>
      <c r="CG66" s="12" t="s">
        <v>966</v>
      </c>
      <c r="CH66" s="12" t="s">
        <v>966</v>
      </c>
      <c r="CI66" s="12" t="s">
        <v>966</v>
      </c>
      <c r="CJ66" s="12" t="s">
        <v>966</v>
      </c>
      <c r="CK66" s="12" t="s">
        <v>966</v>
      </c>
      <c r="CL66" s="12" t="s">
        <v>966</v>
      </c>
      <c r="CM66" s="12" t="s">
        <v>966</v>
      </c>
      <c r="CN66" s="12" t="s">
        <v>966</v>
      </c>
      <c r="CO66" s="12" t="s">
        <v>966</v>
      </c>
      <c r="CP66" s="12" t="s">
        <v>966</v>
      </c>
      <c r="CQ66" s="12" t="s">
        <v>966</v>
      </c>
      <c r="CR66" s="12" t="s">
        <v>966</v>
      </c>
      <c r="CS66" s="12" t="s">
        <v>966</v>
      </c>
      <c r="CT66" s="12" t="s">
        <v>966</v>
      </c>
    </row>
    <row r="67" spans="1:98" hidden="1" x14ac:dyDescent="0.3">
      <c r="A67" s="12" t="s">
        <v>1991</v>
      </c>
      <c r="B67" s="12" t="s">
        <v>1679</v>
      </c>
      <c r="C67" s="12" t="s">
        <v>1992</v>
      </c>
      <c r="D67" s="12" t="s">
        <v>1993</v>
      </c>
      <c r="E67" s="12" t="s">
        <v>596</v>
      </c>
      <c r="F67" s="12" t="s">
        <v>596</v>
      </c>
      <c r="G67" s="12" t="s">
        <v>597</v>
      </c>
      <c r="H67" s="12" t="s">
        <v>600</v>
      </c>
      <c r="I67" s="12" t="s">
        <v>600</v>
      </c>
      <c r="J67" s="12" t="s">
        <v>601</v>
      </c>
      <c r="K67" s="12" t="s">
        <v>780</v>
      </c>
      <c r="L67" s="12" t="s">
        <v>602</v>
      </c>
      <c r="M67" s="12" t="s">
        <v>692</v>
      </c>
      <c r="N67" s="12" t="s">
        <v>693</v>
      </c>
      <c r="O67" s="12" t="s">
        <v>644</v>
      </c>
      <c r="P67" s="12" t="s">
        <v>931</v>
      </c>
      <c r="Q67" s="12" t="s">
        <v>785</v>
      </c>
      <c r="R67" s="12" t="s">
        <v>935</v>
      </c>
      <c r="S67" s="12" t="s">
        <v>647</v>
      </c>
      <c r="T67" s="12" t="s">
        <v>936</v>
      </c>
      <c r="U67" s="12" t="s">
        <v>972</v>
      </c>
      <c r="V67" s="12" t="s">
        <v>827</v>
      </c>
      <c r="W67" s="12" t="s">
        <v>697</v>
      </c>
      <c r="X67" s="12" t="s">
        <v>1431</v>
      </c>
      <c r="Y67" s="12" t="s">
        <v>1431</v>
      </c>
      <c r="Z67" s="12" t="s">
        <v>698</v>
      </c>
      <c r="AA67" s="12" t="s">
        <v>937</v>
      </c>
      <c r="AB67" s="12" t="s">
        <v>888</v>
      </c>
      <c r="AC67" s="12" t="s">
        <v>788</v>
      </c>
      <c r="AD67" s="12" t="s">
        <v>652</v>
      </c>
      <c r="AE67" s="12" t="s">
        <v>993</v>
      </c>
      <c r="AF67" s="12" t="s">
        <v>1138</v>
      </c>
      <c r="AG67" s="12" t="s">
        <v>738</v>
      </c>
      <c r="AH67" s="12" t="s">
        <v>738</v>
      </c>
      <c r="AI67" s="12" t="s">
        <v>738</v>
      </c>
      <c r="AJ67" s="12" t="s">
        <v>738</v>
      </c>
      <c r="AK67" s="12" t="s">
        <v>738</v>
      </c>
      <c r="AL67" s="12" t="s">
        <v>738</v>
      </c>
      <c r="AM67" s="12" t="s">
        <v>738</v>
      </c>
      <c r="AN67" s="12" t="s">
        <v>738</v>
      </c>
      <c r="AO67" s="12" t="s">
        <v>738</v>
      </c>
      <c r="AP67" s="12" t="s">
        <v>738</v>
      </c>
      <c r="AQ67" s="12" t="s">
        <v>738</v>
      </c>
      <c r="AR67" s="12" t="s">
        <v>738</v>
      </c>
      <c r="AS67" s="12" t="s">
        <v>738</v>
      </c>
      <c r="AT67" s="12" t="s">
        <v>738</v>
      </c>
      <c r="AU67" s="12" t="s">
        <v>738</v>
      </c>
      <c r="AV67" s="12" t="s">
        <v>738</v>
      </c>
      <c r="AW67" s="12" t="s">
        <v>738</v>
      </c>
      <c r="AX67" s="12" t="s">
        <v>738</v>
      </c>
      <c r="AY67" s="12" t="s">
        <v>738</v>
      </c>
      <c r="AZ67" s="12" t="s">
        <v>738</v>
      </c>
      <c r="BA67" s="12" t="s">
        <v>738</v>
      </c>
      <c r="BB67" s="12" t="s">
        <v>738</v>
      </c>
      <c r="BC67" s="12" t="s">
        <v>738</v>
      </c>
      <c r="BD67" s="12" t="s">
        <v>738</v>
      </c>
      <c r="BE67" s="12" t="s">
        <v>738</v>
      </c>
      <c r="BF67" s="12" t="s">
        <v>738</v>
      </c>
      <c r="BG67" s="12" t="s">
        <v>738</v>
      </c>
      <c r="BH67" s="12" t="s">
        <v>738</v>
      </c>
      <c r="BI67" s="12" t="s">
        <v>738</v>
      </c>
      <c r="BJ67" s="12" t="s">
        <v>738</v>
      </c>
      <c r="BK67" s="12" t="s">
        <v>738</v>
      </c>
      <c r="BL67" s="12" t="s">
        <v>738</v>
      </c>
      <c r="BM67" s="12" t="s">
        <v>738</v>
      </c>
      <c r="BN67" s="12" t="s">
        <v>738</v>
      </c>
      <c r="BO67" s="12" t="s">
        <v>738</v>
      </c>
      <c r="BP67" s="12" t="s">
        <v>873</v>
      </c>
      <c r="BQ67" s="12" t="s">
        <v>654</v>
      </c>
      <c r="BR67" s="12" t="s">
        <v>889</v>
      </c>
      <c r="BS67" s="12" t="s">
        <v>609</v>
      </c>
      <c r="BT67" s="12" t="s">
        <v>1143</v>
      </c>
      <c r="BU67" s="12" t="s">
        <v>790</v>
      </c>
      <c r="BV67" s="12" t="s">
        <v>1278</v>
      </c>
      <c r="BW67" s="12" t="s">
        <v>997</v>
      </c>
      <c r="BX67" s="12" t="s">
        <v>1435</v>
      </c>
      <c r="BY67" s="12" t="s">
        <v>1435</v>
      </c>
      <c r="BZ67" s="12" t="s">
        <v>1435</v>
      </c>
      <c r="CA67" s="12" t="s">
        <v>1435</v>
      </c>
      <c r="CB67" s="12" t="s">
        <v>1519</v>
      </c>
      <c r="CC67" s="12" t="s">
        <v>1011</v>
      </c>
      <c r="CD67" s="12" t="s">
        <v>1768</v>
      </c>
      <c r="CE67" s="12" t="s">
        <v>1294</v>
      </c>
      <c r="CF67" s="12" t="s">
        <v>791</v>
      </c>
      <c r="CG67" s="12" t="s">
        <v>1641</v>
      </c>
      <c r="CH67" s="12" t="s">
        <v>1994</v>
      </c>
      <c r="CI67" s="12" t="s">
        <v>1856</v>
      </c>
      <c r="CJ67" s="12" t="s">
        <v>1856</v>
      </c>
      <c r="CK67" s="12" t="s">
        <v>1856</v>
      </c>
      <c r="CL67" s="12" t="s">
        <v>1440</v>
      </c>
      <c r="CM67" s="12" t="s">
        <v>1440</v>
      </c>
      <c r="CN67" s="12" t="s">
        <v>1440</v>
      </c>
      <c r="CO67" s="12" t="s">
        <v>1440</v>
      </c>
      <c r="CP67" s="12" t="s">
        <v>832</v>
      </c>
      <c r="CQ67" s="12" t="s">
        <v>832</v>
      </c>
      <c r="CR67" s="12" t="s">
        <v>832</v>
      </c>
      <c r="CS67" s="12" t="s">
        <v>832</v>
      </c>
      <c r="CT67" s="12" t="s">
        <v>659</v>
      </c>
    </row>
    <row r="68" spans="1:98" hidden="1" x14ac:dyDescent="0.3">
      <c r="A68" s="12" t="s">
        <v>1995</v>
      </c>
      <c r="B68" s="12" t="s">
        <v>1679</v>
      </c>
      <c r="C68" s="12" t="s">
        <v>1996</v>
      </c>
      <c r="D68" s="12" t="s">
        <v>1997</v>
      </c>
      <c r="E68" s="12" t="s">
        <v>597</v>
      </c>
      <c r="F68" s="12" t="s">
        <v>599</v>
      </c>
      <c r="G68" s="12" t="s">
        <v>779</v>
      </c>
      <c r="H68" s="12" t="s">
        <v>826</v>
      </c>
      <c r="I68" s="12" t="s">
        <v>645</v>
      </c>
      <c r="J68" s="12" t="s">
        <v>990</v>
      </c>
      <c r="K68" s="12" t="s">
        <v>652</v>
      </c>
      <c r="L68" s="12" t="s">
        <v>878</v>
      </c>
      <c r="M68" s="12" t="s">
        <v>1373</v>
      </c>
      <c r="N68" s="12" t="s">
        <v>1704</v>
      </c>
      <c r="O68" s="12" t="s">
        <v>1998</v>
      </c>
      <c r="P68" s="12" t="s">
        <v>1535</v>
      </c>
      <c r="Q68" s="12" t="s">
        <v>1477</v>
      </c>
      <c r="R68" s="12" t="s">
        <v>746</v>
      </c>
      <c r="S68" s="12" t="s">
        <v>1631</v>
      </c>
      <c r="T68" s="12" t="s">
        <v>1999</v>
      </c>
      <c r="U68" s="12" t="s">
        <v>1685</v>
      </c>
      <c r="V68" s="12" t="s">
        <v>752</v>
      </c>
      <c r="W68" s="12" t="s">
        <v>1738</v>
      </c>
      <c r="X68" s="12" t="s">
        <v>2000</v>
      </c>
      <c r="Y68" s="12" t="s">
        <v>1152</v>
      </c>
      <c r="Z68" s="12" t="s">
        <v>2001</v>
      </c>
      <c r="AA68" s="12" t="s">
        <v>2002</v>
      </c>
      <c r="AB68" s="12" t="s">
        <v>1393</v>
      </c>
      <c r="AC68" s="12" t="s">
        <v>2003</v>
      </c>
      <c r="AD68" s="12" t="s">
        <v>1479</v>
      </c>
      <c r="AE68" s="12" t="s">
        <v>2004</v>
      </c>
      <c r="AF68" s="12" t="s">
        <v>1427</v>
      </c>
      <c r="AG68" s="12" t="s">
        <v>2005</v>
      </c>
      <c r="AH68" s="12" t="s">
        <v>2005</v>
      </c>
      <c r="AI68" s="12" t="s">
        <v>2005</v>
      </c>
      <c r="AJ68" s="12" t="s">
        <v>2005</v>
      </c>
      <c r="AK68" s="12" t="s">
        <v>2005</v>
      </c>
      <c r="AL68" s="12" t="s">
        <v>2005</v>
      </c>
      <c r="AM68" s="12" t="s">
        <v>2005</v>
      </c>
      <c r="AN68" s="12" t="s">
        <v>2005</v>
      </c>
      <c r="AO68" s="12" t="s">
        <v>2005</v>
      </c>
      <c r="AP68" s="12" t="s">
        <v>2005</v>
      </c>
      <c r="AQ68" s="12" t="s">
        <v>2005</v>
      </c>
      <c r="AR68" s="12" t="s">
        <v>2005</v>
      </c>
      <c r="AS68" s="12" t="s">
        <v>2005</v>
      </c>
      <c r="AT68" s="12" t="s">
        <v>2005</v>
      </c>
      <c r="AU68" s="12" t="s">
        <v>2005</v>
      </c>
      <c r="AV68" s="12" t="s">
        <v>2005</v>
      </c>
      <c r="AW68" s="12" t="s">
        <v>2005</v>
      </c>
      <c r="AX68" s="12" t="s">
        <v>2005</v>
      </c>
      <c r="AY68" s="12" t="s">
        <v>2005</v>
      </c>
      <c r="AZ68" s="12" t="s">
        <v>2005</v>
      </c>
      <c r="BA68" s="12" t="s">
        <v>2005</v>
      </c>
      <c r="BB68" s="12" t="s">
        <v>2005</v>
      </c>
      <c r="BC68" s="12" t="s">
        <v>2005</v>
      </c>
      <c r="BD68" s="12" t="s">
        <v>2005</v>
      </c>
      <c r="BE68" s="12" t="s">
        <v>2005</v>
      </c>
      <c r="BF68" s="12" t="s">
        <v>2005</v>
      </c>
      <c r="BG68" s="12" t="s">
        <v>2005</v>
      </c>
      <c r="BH68" s="12" t="s">
        <v>2005</v>
      </c>
      <c r="BI68" s="12" t="s">
        <v>2005</v>
      </c>
      <c r="BJ68" s="12" t="s">
        <v>2005</v>
      </c>
      <c r="BK68" s="12" t="s">
        <v>2005</v>
      </c>
      <c r="BL68" s="12" t="s">
        <v>2005</v>
      </c>
      <c r="BM68" s="12" t="s">
        <v>2006</v>
      </c>
      <c r="BN68" s="12" t="s">
        <v>2006</v>
      </c>
      <c r="BO68" s="12" t="s">
        <v>2007</v>
      </c>
      <c r="BP68" s="12" t="s">
        <v>760</v>
      </c>
      <c r="BQ68" s="12" t="s">
        <v>2008</v>
      </c>
      <c r="BR68" s="12" t="s">
        <v>1118</v>
      </c>
      <c r="BS68" s="12" t="s">
        <v>1118</v>
      </c>
      <c r="BT68" s="12" t="s">
        <v>2009</v>
      </c>
      <c r="BU68" s="12" t="s">
        <v>2010</v>
      </c>
      <c r="BV68" s="12" t="s">
        <v>761</v>
      </c>
      <c r="BW68" s="12" t="s">
        <v>761</v>
      </c>
      <c r="BX68" s="12" t="s">
        <v>2011</v>
      </c>
      <c r="BY68" s="12" t="s">
        <v>2012</v>
      </c>
      <c r="BZ68" s="12" t="s">
        <v>2012</v>
      </c>
      <c r="CA68" s="12" t="s">
        <v>2012</v>
      </c>
      <c r="CB68" s="12" t="s">
        <v>2012</v>
      </c>
      <c r="CC68" s="12" t="s">
        <v>2012</v>
      </c>
      <c r="CD68" s="12" t="s">
        <v>2012</v>
      </c>
      <c r="CE68" s="12" t="s">
        <v>2012</v>
      </c>
      <c r="CF68" s="12" t="s">
        <v>2012</v>
      </c>
      <c r="CG68" s="12" t="s">
        <v>2013</v>
      </c>
      <c r="CH68" s="12" t="s">
        <v>2014</v>
      </c>
      <c r="CI68" s="12" t="s">
        <v>2014</v>
      </c>
      <c r="CJ68" s="12" t="s">
        <v>2014</v>
      </c>
      <c r="CK68" s="12" t="s">
        <v>2014</v>
      </c>
      <c r="CL68" s="12" t="s">
        <v>2014</v>
      </c>
      <c r="CM68" s="12" t="s">
        <v>2014</v>
      </c>
      <c r="CN68" s="12" t="s">
        <v>2014</v>
      </c>
      <c r="CO68" s="12" t="s">
        <v>2014</v>
      </c>
      <c r="CP68" s="12" t="s">
        <v>2014</v>
      </c>
      <c r="CQ68" s="12" t="s">
        <v>2014</v>
      </c>
      <c r="CR68" s="12" t="s">
        <v>2014</v>
      </c>
      <c r="CS68" s="12" t="s">
        <v>2014</v>
      </c>
      <c r="CT68" s="12" t="s">
        <v>2014</v>
      </c>
    </row>
    <row r="69" spans="1:98" hidden="1" x14ac:dyDescent="0.3">
      <c r="A69" s="12" t="s">
        <v>2015</v>
      </c>
      <c r="B69" s="12" t="s">
        <v>1679</v>
      </c>
      <c r="C69" s="12" t="s">
        <v>2016</v>
      </c>
      <c r="D69" s="12" t="s">
        <v>2017</v>
      </c>
      <c r="E69" s="12" t="s">
        <v>641</v>
      </c>
      <c r="F69" s="12" t="s">
        <v>600</v>
      </c>
      <c r="G69" s="12" t="s">
        <v>826</v>
      </c>
      <c r="H69" s="12" t="s">
        <v>826</v>
      </c>
      <c r="I69" s="12" t="s">
        <v>989</v>
      </c>
      <c r="J69" s="12" t="s">
        <v>993</v>
      </c>
      <c r="K69" s="12" t="s">
        <v>1226</v>
      </c>
      <c r="L69" s="12" t="s">
        <v>1226</v>
      </c>
      <c r="M69" s="12" t="s">
        <v>1328</v>
      </c>
      <c r="N69" s="12" t="s">
        <v>2018</v>
      </c>
      <c r="O69" s="12" t="s">
        <v>2019</v>
      </c>
      <c r="P69" s="12" t="s">
        <v>666</v>
      </c>
      <c r="Q69" s="12" t="s">
        <v>2020</v>
      </c>
      <c r="R69" s="12" t="s">
        <v>1150</v>
      </c>
      <c r="S69" s="12" t="s">
        <v>680</v>
      </c>
      <c r="T69" s="12" t="s">
        <v>1425</v>
      </c>
      <c r="U69" s="12" t="s">
        <v>1396</v>
      </c>
      <c r="V69" s="12" t="s">
        <v>2021</v>
      </c>
      <c r="W69" s="12" t="s">
        <v>1869</v>
      </c>
      <c r="X69" s="12" t="s">
        <v>2022</v>
      </c>
      <c r="Y69" s="12" t="s">
        <v>1308</v>
      </c>
      <c r="Z69" s="12" t="s">
        <v>2023</v>
      </c>
      <c r="AA69" s="12" t="s">
        <v>1872</v>
      </c>
      <c r="AB69" s="12" t="s">
        <v>952</v>
      </c>
      <c r="AC69" s="12" t="s">
        <v>1876</v>
      </c>
      <c r="AD69" s="12" t="s">
        <v>1163</v>
      </c>
      <c r="AE69" s="12" t="s">
        <v>1878</v>
      </c>
      <c r="AF69" s="12" t="s">
        <v>631</v>
      </c>
      <c r="AG69" s="12" t="s">
        <v>954</v>
      </c>
      <c r="AH69" s="12" t="s">
        <v>954</v>
      </c>
      <c r="AI69" s="12" t="s">
        <v>954</v>
      </c>
      <c r="AJ69" s="12" t="s">
        <v>954</v>
      </c>
      <c r="AK69" s="12" t="s">
        <v>954</v>
      </c>
      <c r="AL69" s="12" t="s">
        <v>954</v>
      </c>
      <c r="AM69" s="12" t="s">
        <v>954</v>
      </c>
      <c r="AN69" s="12" t="s">
        <v>954</v>
      </c>
      <c r="AO69" s="12" t="s">
        <v>954</v>
      </c>
      <c r="AP69" s="12" t="s">
        <v>1915</v>
      </c>
      <c r="AQ69" s="12" t="s">
        <v>1915</v>
      </c>
      <c r="AR69" s="12" t="s">
        <v>1915</v>
      </c>
      <c r="AS69" s="12" t="s">
        <v>1915</v>
      </c>
      <c r="AT69" s="12" t="s">
        <v>1915</v>
      </c>
      <c r="AU69" s="12" t="s">
        <v>1915</v>
      </c>
      <c r="AV69" s="12" t="s">
        <v>1915</v>
      </c>
      <c r="AW69" s="12" t="s">
        <v>1915</v>
      </c>
      <c r="AX69" s="12" t="s">
        <v>1915</v>
      </c>
      <c r="AY69" s="12" t="s">
        <v>1915</v>
      </c>
      <c r="AZ69" s="12" t="s">
        <v>1915</v>
      </c>
      <c r="BA69" s="12" t="s">
        <v>1915</v>
      </c>
      <c r="BB69" s="12" t="s">
        <v>1915</v>
      </c>
      <c r="BC69" s="12" t="s">
        <v>1915</v>
      </c>
      <c r="BD69" s="12" t="s">
        <v>1915</v>
      </c>
      <c r="BE69" s="12" t="s">
        <v>1915</v>
      </c>
      <c r="BF69" s="12" t="s">
        <v>1915</v>
      </c>
      <c r="BG69" s="12" t="s">
        <v>1915</v>
      </c>
      <c r="BH69" s="12" t="s">
        <v>1915</v>
      </c>
      <c r="BI69" s="12" t="s">
        <v>1915</v>
      </c>
      <c r="BJ69" s="12" t="s">
        <v>1915</v>
      </c>
      <c r="BK69" s="12" t="s">
        <v>1915</v>
      </c>
      <c r="BL69" s="12" t="s">
        <v>1915</v>
      </c>
      <c r="BM69" s="12" t="s">
        <v>2024</v>
      </c>
      <c r="BN69" s="12" t="s">
        <v>2024</v>
      </c>
      <c r="BO69" s="12" t="s">
        <v>2024</v>
      </c>
      <c r="BP69" s="12" t="s">
        <v>2024</v>
      </c>
      <c r="BQ69" s="12" t="s">
        <v>2024</v>
      </c>
      <c r="BR69" s="12" t="s">
        <v>2024</v>
      </c>
      <c r="BS69" s="12" t="s">
        <v>2024</v>
      </c>
      <c r="BT69" s="12" t="s">
        <v>850</v>
      </c>
      <c r="BU69" s="12" t="s">
        <v>850</v>
      </c>
      <c r="BV69" s="12" t="s">
        <v>850</v>
      </c>
      <c r="BW69" s="12" t="s">
        <v>850</v>
      </c>
      <c r="BX69" s="12" t="s">
        <v>850</v>
      </c>
      <c r="BY69" s="12" t="s">
        <v>850</v>
      </c>
      <c r="BZ69" s="12" t="s">
        <v>850</v>
      </c>
      <c r="CA69" s="12" t="s">
        <v>850</v>
      </c>
      <c r="CB69" s="12" t="s">
        <v>850</v>
      </c>
      <c r="CC69" s="12" t="s">
        <v>850</v>
      </c>
      <c r="CD69" s="12" t="s">
        <v>850</v>
      </c>
      <c r="CE69" s="12" t="s">
        <v>850</v>
      </c>
      <c r="CF69" s="12" t="s">
        <v>850</v>
      </c>
      <c r="CG69" s="12" t="s">
        <v>850</v>
      </c>
      <c r="CH69" s="12" t="s">
        <v>850</v>
      </c>
      <c r="CI69" s="12" t="s">
        <v>850</v>
      </c>
      <c r="CJ69" s="12" t="s">
        <v>850</v>
      </c>
      <c r="CK69" s="12" t="s">
        <v>850</v>
      </c>
      <c r="CL69" s="12" t="s">
        <v>850</v>
      </c>
      <c r="CM69" s="12" t="s">
        <v>850</v>
      </c>
      <c r="CN69" s="12" t="s">
        <v>850</v>
      </c>
      <c r="CO69" s="12" t="s">
        <v>850</v>
      </c>
      <c r="CP69" s="12" t="s">
        <v>850</v>
      </c>
      <c r="CQ69" s="12" t="s">
        <v>850</v>
      </c>
      <c r="CR69" s="12" t="s">
        <v>850</v>
      </c>
      <c r="CS69" s="12" t="s">
        <v>850</v>
      </c>
      <c r="CT69" s="12" t="s">
        <v>850</v>
      </c>
    </row>
    <row r="70" spans="1:98" hidden="1" x14ac:dyDescent="0.3">
      <c r="A70" s="12" t="s">
        <v>2025</v>
      </c>
      <c r="B70" s="12" t="s">
        <v>1679</v>
      </c>
      <c r="C70" s="12" t="s">
        <v>2026</v>
      </c>
      <c r="D70" s="12" t="s">
        <v>2027</v>
      </c>
      <c r="E70" s="12" t="s">
        <v>596</v>
      </c>
      <c r="F70" s="12" t="s">
        <v>597</v>
      </c>
      <c r="G70" s="12" t="s">
        <v>690</v>
      </c>
      <c r="H70" s="12" t="s">
        <v>598</v>
      </c>
      <c r="I70" s="12" t="s">
        <v>598</v>
      </c>
      <c r="J70" s="12" t="s">
        <v>869</v>
      </c>
      <c r="K70" s="12" t="s">
        <v>773</v>
      </c>
      <c r="L70" s="12" t="s">
        <v>779</v>
      </c>
      <c r="M70" s="12" t="s">
        <v>774</v>
      </c>
      <c r="N70" s="12" t="s">
        <v>774</v>
      </c>
      <c r="O70" s="12" t="s">
        <v>691</v>
      </c>
      <c r="P70" s="12" t="s">
        <v>644</v>
      </c>
      <c r="Q70" s="12" t="s">
        <v>784</v>
      </c>
      <c r="R70" s="12" t="s">
        <v>647</v>
      </c>
      <c r="S70" s="12" t="s">
        <v>697</v>
      </c>
      <c r="T70" s="12" t="s">
        <v>650</v>
      </c>
      <c r="U70" s="12" t="s">
        <v>888</v>
      </c>
      <c r="V70" s="12" t="s">
        <v>992</v>
      </c>
      <c r="W70" s="12" t="s">
        <v>828</v>
      </c>
      <c r="X70" s="12" t="s">
        <v>874</v>
      </c>
      <c r="Y70" s="12" t="s">
        <v>1202</v>
      </c>
      <c r="Z70" s="12" t="s">
        <v>1370</v>
      </c>
      <c r="AA70" s="12" t="s">
        <v>608</v>
      </c>
      <c r="AB70" s="12" t="s">
        <v>995</v>
      </c>
      <c r="AC70" s="12" t="s">
        <v>739</v>
      </c>
      <c r="AD70" s="12" t="s">
        <v>654</v>
      </c>
      <c r="AE70" s="12" t="s">
        <v>654</v>
      </c>
      <c r="AF70" s="12" t="s">
        <v>654</v>
      </c>
      <c r="AG70" s="12" t="s">
        <v>700</v>
      </c>
      <c r="AH70" s="12" t="s">
        <v>875</v>
      </c>
      <c r="AI70" s="12" t="s">
        <v>875</v>
      </c>
      <c r="AJ70" s="12" t="s">
        <v>875</v>
      </c>
      <c r="AK70" s="12" t="s">
        <v>875</v>
      </c>
      <c r="AL70" s="12" t="s">
        <v>876</v>
      </c>
      <c r="AM70" s="12" t="s">
        <v>876</v>
      </c>
      <c r="AN70" s="12" t="s">
        <v>876</v>
      </c>
      <c r="AO70" s="12" t="s">
        <v>876</v>
      </c>
      <c r="AP70" s="12" t="s">
        <v>876</v>
      </c>
      <c r="AQ70" s="12" t="s">
        <v>876</v>
      </c>
      <c r="AR70" s="12" t="s">
        <v>876</v>
      </c>
      <c r="AS70" s="12" t="s">
        <v>876</v>
      </c>
      <c r="AT70" s="12" t="s">
        <v>876</v>
      </c>
      <c r="AU70" s="12" t="s">
        <v>876</v>
      </c>
      <c r="AV70" s="12" t="s">
        <v>876</v>
      </c>
      <c r="AW70" s="12" t="s">
        <v>876</v>
      </c>
      <c r="AX70" s="12" t="s">
        <v>876</v>
      </c>
      <c r="AY70" s="12" t="s">
        <v>876</v>
      </c>
      <c r="AZ70" s="12" t="s">
        <v>876</v>
      </c>
      <c r="BA70" s="12" t="s">
        <v>876</v>
      </c>
      <c r="BB70" s="12" t="s">
        <v>876</v>
      </c>
      <c r="BC70" s="12" t="s">
        <v>876</v>
      </c>
      <c r="BD70" s="12" t="s">
        <v>876</v>
      </c>
      <c r="BE70" s="12" t="s">
        <v>876</v>
      </c>
      <c r="BF70" s="12" t="s">
        <v>876</v>
      </c>
      <c r="BG70" s="12" t="s">
        <v>876</v>
      </c>
      <c r="BH70" s="12" t="s">
        <v>876</v>
      </c>
      <c r="BI70" s="12" t="s">
        <v>876</v>
      </c>
      <c r="BJ70" s="12" t="s">
        <v>876</v>
      </c>
      <c r="BK70" s="12" t="s">
        <v>876</v>
      </c>
      <c r="BL70" s="12" t="s">
        <v>876</v>
      </c>
      <c r="BM70" s="12" t="s">
        <v>876</v>
      </c>
      <c r="BN70" s="12" t="s">
        <v>876</v>
      </c>
      <c r="BO70" s="12" t="s">
        <v>876</v>
      </c>
      <c r="BP70" s="12" t="s">
        <v>609</v>
      </c>
      <c r="BQ70" s="12" t="s">
        <v>1143</v>
      </c>
      <c r="BR70" s="12" t="s">
        <v>1143</v>
      </c>
      <c r="BS70" s="12" t="s">
        <v>790</v>
      </c>
      <c r="BT70" s="12" t="s">
        <v>996</v>
      </c>
      <c r="BU70" s="12" t="s">
        <v>996</v>
      </c>
      <c r="BV70" s="12" t="s">
        <v>996</v>
      </c>
      <c r="BW70" s="12" t="s">
        <v>996</v>
      </c>
      <c r="BX70" s="12" t="s">
        <v>996</v>
      </c>
      <c r="BY70" s="12" t="s">
        <v>996</v>
      </c>
      <c r="BZ70" s="12" t="s">
        <v>996</v>
      </c>
      <c r="CA70" s="12" t="s">
        <v>996</v>
      </c>
      <c r="CB70" s="12" t="s">
        <v>996</v>
      </c>
      <c r="CC70" s="12" t="s">
        <v>996</v>
      </c>
      <c r="CD70" s="12" t="s">
        <v>996</v>
      </c>
      <c r="CE70" s="12" t="s">
        <v>996</v>
      </c>
      <c r="CF70" s="12" t="s">
        <v>996</v>
      </c>
      <c r="CG70" s="12" t="s">
        <v>996</v>
      </c>
      <c r="CH70" s="12" t="s">
        <v>878</v>
      </c>
      <c r="CI70" s="12" t="s">
        <v>879</v>
      </c>
      <c r="CJ70" s="12" t="s">
        <v>879</v>
      </c>
      <c r="CK70" s="12" t="s">
        <v>881</v>
      </c>
      <c r="CL70" s="12" t="s">
        <v>881</v>
      </c>
      <c r="CM70" s="12" t="s">
        <v>881</v>
      </c>
      <c r="CN70" s="12" t="s">
        <v>881</v>
      </c>
      <c r="CO70" s="12" t="s">
        <v>655</v>
      </c>
      <c r="CP70" s="12" t="s">
        <v>655</v>
      </c>
      <c r="CQ70" s="12" t="s">
        <v>1682</v>
      </c>
      <c r="CR70" s="12" t="s">
        <v>1682</v>
      </c>
      <c r="CS70" s="12" t="s">
        <v>1517</v>
      </c>
      <c r="CT70" s="12" t="s">
        <v>1226</v>
      </c>
    </row>
    <row r="71" spans="1:98" hidden="1" x14ac:dyDescent="0.3">
      <c r="A71" s="12" t="s">
        <v>2028</v>
      </c>
      <c r="B71" s="12" t="s">
        <v>1679</v>
      </c>
      <c r="C71" s="12" t="s">
        <v>2029</v>
      </c>
      <c r="D71" s="12" t="s">
        <v>2030</v>
      </c>
      <c r="E71" s="12" t="s">
        <v>641</v>
      </c>
      <c r="F71" s="12" t="s">
        <v>690</v>
      </c>
      <c r="G71" s="12" t="s">
        <v>598</v>
      </c>
      <c r="H71" s="12" t="s">
        <v>691</v>
      </c>
      <c r="I71" s="12" t="s">
        <v>603</v>
      </c>
      <c r="J71" s="12" t="s">
        <v>931</v>
      </c>
      <c r="K71" s="12" t="s">
        <v>785</v>
      </c>
      <c r="L71" s="12" t="s">
        <v>736</v>
      </c>
      <c r="M71" s="12" t="s">
        <v>1064</v>
      </c>
      <c r="N71" s="12" t="s">
        <v>696</v>
      </c>
      <c r="O71" s="12" t="s">
        <v>651</v>
      </c>
      <c r="P71" s="12" t="s">
        <v>652</v>
      </c>
      <c r="Q71" s="12" t="s">
        <v>607</v>
      </c>
      <c r="R71" s="12" t="s">
        <v>1202</v>
      </c>
      <c r="S71" s="12" t="s">
        <v>654</v>
      </c>
      <c r="T71" s="12" t="s">
        <v>609</v>
      </c>
      <c r="U71" s="12" t="s">
        <v>878</v>
      </c>
      <c r="V71" s="12" t="s">
        <v>882</v>
      </c>
      <c r="W71" s="12" t="s">
        <v>1278</v>
      </c>
      <c r="X71" s="12" t="s">
        <v>1517</v>
      </c>
      <c r="Y71" s="12" t="s">
        <v>997</v>
      </c>
      <c r="Z71" s="12" t="s">
        <v>1518</v>
      </c>
      <c r="AA71" s="12" t="s">
        <v>1435</v>
      </c>
      <c r="AB71" s="12" t="s">
        <v>1436</v>
      </c>
      <c r="AC71" s="12" t="s">
        <v>1436</v>
      </c>
      <c r="AD71" s="12" t="s">
        <v>1011</v>
      </c>
      <c r="AE71" s="12" t="s">
        <v>1011</v>
      </c>
      <c r="AF71" s="12" t="s">
        <v>1011</v>
      </c>
      <c r="AG71" s="12" t="s">
        <v>1011</v>
      </c>
      <c r="AH71" s="12" t="s">
        <v>1011</v>
      </c>
      <c r="AI71" s="12" t="s">
        <v>1011</v>
      </c>
      <c r="AJ71" s="12" t="s">
        <v>1011</v>
      </c>
      <c r="AK71" s="12" t="s">
        <v>1011</v>
      </c>
      <c r="AL71" s="12" t="s">
        <v>1011</v>
      </c>
      <c r="AM71" s="12" t="s">
        <v>1011</v>
      </c>
      <c r="AN71" s="12" t="s">
        <v>1011</v>
      </c>
      <c r="AO71" s="12" t="s">
        <v>1011</v>
      </c>
      <c r="AP71" s="12" t="s">
        <v>1011</v>
      </c>
      <c r="AQ71" s="12" t="s">
        <v>1011</v>
      </c>
      <c r="AR71" s="12" t="s">
        <v>998</v>
      </c>
      <c r="AS71" s="12" t="s">
        <v>998</v>
      </c>
      <c r="AT71" s="12" t="s">
        <v>1769</v>
      </c>
      <c r="AU71" s="12" t="s">
        <v>1769</v>
      </c>
      <c r="AV71" s="12" t="s">
        <v>1769</v>
      </c>
      <c r="AW71" s="12" t="s">
        <v>1769</v>
      </c>
      <c r="AX71" s="12" t="s">
        <v>1769</v>
      </c>
      <c r="AY71" s="12" t="s">
        <v>1769</v>
      </c>
      <c r="AZ71" s="12" t="s">
        <v>1769</v>
      </c>
      <c r="BA71" s="12" t="s">
        <v>1769</v>
      </c>
      <c r="BB71" s="12" t="s">
        <v>1769</v>
      </c>
      <c r="BC71" s="12" t="s">
        <v>1769</v>
      </c>
      <c r="BD71" s="12" t="s">
        <v>1769</v>
      </c>
      <c r="BE71" s="12" t="s">
        <v>1769</v>
      </c>
      <c r="BF71" s="12" t="s">
        <v>1769</v>
      </c>
      <c r="BG71" s="12" t="s">
        <v>1769</v>
      </c>
      <c r="BH71" s="12" t="s">
        <v>1769</v>
      </c>
      <c r="BI71" s="12" t="s">
        <v>1769</v>
      </c>
      <c r="BJ71" s="12" t="s">
        <v>1769</v>
      </c>
      <c r="BK71" s="12" t="s">
        <v>1294</v>
      </c>
      <c r="BL71" s="12" t="s">
        <v>1294</v>
      </c>
      <c r="BM71" s="12" t="s">
        <v>1372</v>
      </c>
      <c r="BN71" s="12" t="s">
        <v>1372</v>
      </c>
      <c r="BO71" s="12" t="s">
        <v>1372</v>
      </c>
      <c r="BP71" s="12" t="s">
        <v>1372</v>
      </c>
      <c r="BQ71" s="12" t="s">
        <v>791</v>
      </c>
      <c r="BR71" s="12" t="s">
        <v>791</v>
      </c>
      <c r="BS71" s="12" t="s">
        <v>1279</v>
      </c>
      <c r="BT71" s="12" t="s">
        <v>891</v>
      </c>
      <c r="BU71" s="12" t="s">
        <v>830</v>
      </c>
      <c r="BV71" s="12" t="s">
        <v>701</v>
      </c>
      <c r="BW71" s="12" t="s">
        <v>1043</v>
      </c>
      <c r="BX71" s="12" t="s">
        <v>2031</v>
      </c>
      <c r="BY71" s="12" t="s">
        <v>2031</v>
      </c>
      <c r="BZ71" s="12" t="s">
        <v>2031</v>
      </c>
      <c r="CA71" s="12" t="s">
        <v>2032</v>
      </c>
      <c r="CB71" s="12" t="s">
        <v>2032</v>
      </c>
      <c r="CC71" s="12" t="s">
        <v>938</v>
      </c>
      <c r="CD71" s="12" t="s">
        <v>938</v>
      </c>
      <c r="CE71" s="12" t="s">
        <v>938</v>
      </c>
      <c r="CF71" s="12" t="s">
        <v>938</v>
      </c>
      <c r="CG71" s="12" t="s">
        <v>1904</v>
      </c>
      <c r="CH71" s="12" t="s">
        <v>1904</v>
      </c>
      <c r="CI71" s="12" t="s">
        <v>1904</v>
      </c>
      <c r="CJ71" s="12" t="s">
        <v>1904</v>
      </c>
      <c r="CK71" s="12" t="s">
        <v>1904</v>
      </c>
      <c r="CL71" s="12" t="s">
        <v>1904</v>
      </c>
      <c r="CM71" s="12" t="s">
        <v>657</v>
      </c>
      <c r="CN71" s="12" t="s">
        <v>657</v>
      </c>
      <c r="CO71" s="12" t="s">
        <v>657</v>
      </c>
      <c r="CP71" s="12" t="s">
        <v>657</v>
      </c>
      <c r="CQ71" s="12" t="s">
        <v>657</v>
      </c>
      <c r="CR71" s="12" t="s">
        <v>657</v>
      </c>
      <c r="CS71" s="12" t="s">
        <v>657</v>
      </c>
      <c r="CT71" s="12" t="s">
        <v>657</v>
      </c>
    </row>
    <row r="72" spans="1:98" hidden="1" x14ac:dyDescent="0.3">
      <c r="A72" s="12" t="s">
        <v>2033</v>
      </c>
      <c r="B72" s="12" t="s">
        <v>1679</v>
      </c>
      <c r="C72" s="12" t="s">
        <v>2034</v>
      </c>
      <c r="D72" s="12" t="s">
        <v>2035</v>
      </c>
      <c r="E72" s="12" t="s">
        <v>597</v>
      </c>
      <c r="F72" s="12" t="s">
        <v>641</v>
      </c>
      <c r="G72" s="12" t="s">
        <v>641</v>
      </c>
      <c r="H72" s="12" t="s">
        <v>641</v>
      </c>
      <c r="I72" s="12" t="s">
        <v>599</v>
      </c>
      <c r="J72" s="12" t="s">
        <v>869</v>
      </c>
      <c r="K72" s="12" t="s">
        <v>600</v>
      </c>
      <c r="L72" s="12" t="s">
        <v>600</v>
      </c>
      <c r="M72" s="12" t="s">
        <v>600</v>
      </c>
      <c r="N72" s="12" t="s">
        <v>600</v>
      </c>
      <c r="O72" s="12" t="s">
        <v>600</v>
      </c>
      <c r="P72" s="12" t="s">
        <v>773</v>
      </c>
      <c r="Q72" s="12" t="s">
        <v>773</v>
      </c>
      <c r="R72" s="12" t="s">
        <v>642</v>
      </c>
      <c r="S72" s="12" t="s">
        <v>642</v>
      </c>
      <c r="T72" s="12" t="s">
        <v>642</v>
      </c>
      <c r="U72" s="12" t="s">
        <v>642</v>
      </c>
      <c r="V72" s="12" t="s">
        <v>642</v>
      </c>
      <c r="W72" s="12" t="s">
        <v>642</v>
      </c>
      <c r="X72" s="12" t="s">
        <v>642</v>
      </c>
      <c r="Y72" s="12" t="s">
        <v>642</v>
      </c>
      <c r="Z72" s="12" t="s">
        <v>642</v>
      </c>
      <c r="AA72" s="12" t="s">
        <v>642</v>
      </c>
      <c r="AB72" s="12" t="s">
        <v>642</v>
      </c>
      <c r="AC72" s="12" t="s">
        <v>642</v>
      </c>
      <c r="AD72" s="12" t="s">
        <v>642</v>
      </c>
      <c r="AE72" s="12" t="s">
        <v>642</v>
      </c>
      <c r="AF72" s="12" t="s">
        <v>642</v>
      </c>
      <c r="AG72" s="12" t="s">
        <v>642</v>
      </c>
      <c r="AH72" s="12" t="s">
        <v>642</v>
      </c>
      <c r="AI72" s="12" t="s">
        <v>642</v>
      </c>
      <c r="AJ72" s="12" t="s">
        <v>642</v>
      </c>
      <c r="AK72" s="12" t="s">
        <v>642</v>
      </c>
      <c r="AL72" s="12" t="s">
        <v>642</v>
      </c>
      <c r="AM72" s="12" t="s">
        <v>642</v>
      </c>
      <c r="AN72" s="12" t="s">
        <v>642</v>
      </c>
      <c r="AO72" s="12" t="s">
        <v>642</v>
      </c>
      <c r="AP72" s="12" t="s">
        <v>642</v>
      </c>
      <c r="AQ72" s="12" t="s">
        <v>642</v>
      </c>
      <c r="AR72" s="12" t="s">
        <v>642</v>
      </c>
      <c r="AS72" s="12" t="s">
        <v>642</v>
      </c>
      <c r="AT72" s="12" t="s">
        <v>642</v>
      </c>
      <c r="AU72" s="12" t="s">
        <v>642</v>
      </c>
      <c r="AV72" s="12" t="s">
        <v>642</v>
      </c>
      <c r="AW72" s="12" t="s">
        <v>642</v>
      </c>
      <c r="AX72" s="12" t="s">
        <v>642</v>
      </c>
      <c r="AY72" s="12" t="s">
        <v>642</v>
      </c>
      <c r="AZ72" s="12" t="s">
        <v>642</v>
      </c>
      <c r="BA72" s="12" t="s">
        <v>642</v>
      </c>
      <c r="BB72" s="12" t="s">
        <v>642</v>
      </c>
      <c r="BC72" s="12" t="s">
        <v>642</v>
      </c>
      <c r="BD72" s="12" t="s">
        <v>642</v>
      </c>
      <c r="BE72" s="12" t="s">
        <v>642</v>
      </c>
      <c r="BF72" s="12" t="s">
        <v>642</v>
      </c>
      <c r="BG72" s="12" t="s">
        <v>601</v>
      </c>
      <c r="BH72" s="12" t="s">
        <v>643</v>
      </c>
      <c r="BI72" s="12" t="s">
        <v>780</v>
      </c>
      <c r="BJ72" s="12" t="s">
        <v>691</v>
      </c>
      <c r="BK72" s="12" t="s">
        <v>691</v>
      </c>
      <c r="BL72" s="12" t="s">
        <v>826</v>
      </c>
      <c r="BM72" s="12" t="s">
        <v>605</v>
      </c>
      <c r="BN72" s="12" t="s">
        <v>605</v>
      </c>
      <c r="BO72" s="12" t="s">
        <v>775</v>
      </c>
      <c r="BP72" s="12" t="s">
        <v>2036</v>
      </c>
      <c r="BQ72" s="12" t="s">
        <v>784</v>
      </c>
      <c r="BR72" s="12" t="s">
        <v>645</v>
      </c>
      <c r="BS72" s="12" t="s">
        <v>695</v>
      </c>
      <c r="BT72" s="12" t="s">
        <v>695</v>
      </c>
      <c r="BU72" s="12" t="s">
        <v>646</v>
      </c>
      <c r="BV72" s="12" t="s">
        <v>1064</v>
      </c>
      <c r="BW72" s="12" t="s">
        <v>1064</v>
      </c>
      <c r="BX72" s="12" t="s">
        <v>1064</v>
      </c>
      <c r="BY72" s="12" t="s">
        <v>1277</v>
      </c>
      <c r="BZ72" s="12" t="s">
        <v>1277</v>
      </c>
      <c r="CA72" s="12" t="s">
        <v>1114</v>
      </c>
      <c r="CB72" s="12" t="s">
        <v>1114</v>
      </c>
      <c r="CC72" s="12" t="s">
        <v>1114</v>
      </c>
      <c r="CD72" s="12" t="s">
        <v>786</v>
      </c>
      <c r="CE72" s="12" t="s">
        <v>786</v>
      </c>
      <c r="CF72" s="12" t="s">
        <v>786</v>
      </c>
      <c r="CG72" s="12" t="s">
        <v>786</v>
      </c>
      <c r="CH72" s="12" t="s">
        <v>786</v>
      </c>
      <c r="CI72" s="12" t="s">
        <v>786</v>
      </c>
      <c r="CJ72" s="12" t="s">
        <v>786</v>
      </c>
      <c r="CK72" s="12" t="s">
        <v>786</v>
      </c>
      <c r="CL72" s="12" t="s">
        <v>786</v>
      </c>
      <c r="CM72" s="12" t="s">
        <v>786</v>
      </c>
      <c r="CN72" s="12" t="s">
        <v>786</v>
      </c>
      <c r="CO72" s="12" t="s">
        <v>786</v>
      </c>
      <c r="CP72" s="12" t="s">
        <v>786</v>
      </c>
      <c r="CQ72" s="12" t="s">
        <v>786</v>
      </c>
      <c r="CR72" s="12" t="s">
        <v>786</v>
      </c>
      <c r="CS72" s="12" t="s">
        <v>786</v>
      </c>
      <c r="CT72" s="12" t="s">
        <v>786</v>
      </c>
    </row>
    <row r="73" spans="1:98" hidden="1" x14ac:dyDescent="0.3">
      <c r="A73" s="12" t="s">
        <v>2037</v>
      </c>
      <c r="B73" s="12" t="s">
        <v>1679</v>
      </c>
      <c r="C73" s="12" t="s">
        <v>2038</v>
      </c>
      <c r="D73" s="12" t="s">
        <v>2039</v>
      </c>
      <c r="E73" s="12" t="s">
        <v>597</v>
      </c>
      <c r="F73" s="12" t="s">
        <v>597</v>
      </c>
      <c r="G73" s="12" t="s">
        <v>641</v>
      </c>
      <c r="H73" s="12" t="s">
        <v>690</v>
      </c>
      <c r="I73" s="12" t="s">
        <v>598</v>
      </c>
      <c r="J73" s="12" t="s">
        <v>600</v>
      </c>
      <c r="K73" s="12" t="s">
        <v>601</v>
      </c>
      <c r="L73" s="12" t="s">
        <v>643</v>
      </c>
      <c r="M73" s="12" t="s">
        <v>691</v>
      </c>
      <c r="N73" s="12" t="s">
        <v>603</v>
      </c>
      <c r="O73" s="12" t="s">
        <v>694</v>
      </c>
      <c r="P73" s="12" t="s">
        <v>887</v>
      </c>
      <c r="Q73" s="12" t="s">
        <v>784</v>
      </c>
      <c r="R73" s="12" t="s">
        <v>785</v>
      </c>
      <c r="S73" s="12" t="s">
        <v>785</v>
      </c>
      <c r="T73" s="12" t="s">
        <v>606</v>
      </c>
      <c r="U73" s="12" t="s">
        <v>1277</v>
      </c>
      <c r="V73" s="12" t="s">
        <v>786</v>
      </c>
      <c r="W73" s="12" t="s">
        <v>786</v>
      </c>
      <c r="X73" s="12" t="s">
        <v>1009</v>
      </c>
      <c r="Y73" s="12" t="s">
        <v>737</v>
      </c>
      <c r="Z73" s="12" t="s">
        <v>1431</v>
      </c>
      <c r="AA73" s="12" t="s">
        <v>651</v>
      </c>
      <c r="AB73" s="12" t="s">
        <v>973</v>
      </c>
      <c r="AC73" s="12" t="s">
        <v>652</v>
      </c>
      <c r="AD73" s="12" t="s">
        <v>652</v>
      </c>
      <c r="AE73" s="12" t="s">
        <v>652</v>
      </c>
      <c r="AF73" s="12" t="s">
        <v>652</v>
      </c>
      <c r="AG73" s="12" t="s">
        <v>872</v>
      </c>
      <c r="AH73" s="12" t="s">
        <v>872</v>
      </c>
      <c r="AI73" s="12" t="s">
        <v>872</v>
      </c>
      <c r="AJ73" s="12" t="s">
        <v>872</v>
      </c>
      <c r="AK73" s="12" t="s">
        <v>872</v>
      </c>
      <c r="AL73" s="12" t="s">
        <v>872</v>
      </c>
      <c r="AM73" s="12" t="s">
        <v>872</v>
      </c>
      <c r="AN73" s="12" t="s">
        <v>872</v>
      </c>
      <c r="AO73" s="12" t="s">
        <v>993</v>
      </c>
      <c r="AP73" s="12" t="s">
        <v>993</v>
      </c>
      <c r="AQ73" s="12" t="s">
        <v>1138</v>
      </c>
      <c r="AR73" s="12" t="s">
        <v>1138</v>
      </c>
      <c r="AS73" s="12" t="s">
        <v>607</v>
      </c>
      <c r="AT73" s="12" t="s">
        <v>607</v>
      </c>
      <c r="AU73" s="12" t="s">
        <v>738</v>
      </c>
      <c r="AV73" s="12" t="s">
        <v>738</v>
      </c>
      <c r="AW73" s="12" t="s">
        <v>738</v>
      </c>
      <c r="AX73" s="12" t="s">
        <v>738</v>
      </c>
      <c r="AY73" s="12" t="s">
        <v>738</v>
      </c>
      <c r="AZ73" s="12" t="s">
        <v>738</v>
      </c>
      <c r="BA73" s="12" t="s">
        <v>738</v>
      </c>
      <c r="BB73" s="12" t="s">
        <v>738</v>
      </c>
      <c r="BC73" s="12" t="s">
        <v>738</v>
      </c>
      <c r="BD73" s="12" t="s">
        <v>738</v>
      </c>
      <c r="BE73" s="12" t="s">
        <v>738</v>
      </c>
      <c r="BF73" s="12" t="s">
        <v>738</v>
      </c>
      <c r="BG73" s="12" t="s">
        <v>738</v>
      </c>
      <c r="BH73" s="12" t="s">
        <v>738</v>
      </c>
      <c r="BI73" s="12" t="s">
        <v>738</v>
      </c>
      <c r="BJ73" s="12" t="s">
        <v>738</v>
      </c>
      <c r="BK73" s="12" t="s">
        <v>738</v>
      </c>
      <c r="BL73" s="12" t="s">
        <v>738</v>
      </c>
      <c r="BM73" s="12" t="s">
        <v>738</v>
      </c>
      <c r="BN73" s="12" t="s">
        <v>738</v>
      </c>
      <c r="BO73" s="12" t="s">
        <v>738</v>
      </c>
      <c r="BP73" s="12" t="s">
        <v>738</v>
      </c>
      <c r="BQ73" s="12" t="s">
        <v>738</v>
      </c>
      <c r="BR73" s="12" t="s">
        <v>738</v>
      </c>
      <c r="BS73" s="12" t="s">
        <v>738</v>
      </c>
      <c r="BT73" s="12" t="s">
        <v>738</v>
      </c>
      <c r="BU73" s="12" t="s">
        <v>738</v>
      </c>
      <c r="BV73" s="12" t="s">
        <v>738</v>
      </c>
      <c r="BW73" s="12" t="s">
        <v>738</v>
      </c>
      <c r="BX73" s="12" t="s">
        <v>738</v>
      </c>
      <c r="BY73" s="12" t="s">
        <v>738</v>
      </c>
      <c r="BZ73" s="12" t="s">
        <v>738</v>
      </c>
      <c r="CA73" s="12" t="s">
        <v>738</v>
      </c>
      <c r="CB73" s="12" t="s">
        <v>738</v>
      </c>
      <c r="CC73" s="12" t="s">
        <v>738</v>
      </c>
      <c r="CD73" s="12" t="s">
        <v>738</v>
      </c>
      <c r="CE73" s="12" t="s">
        <v>738</v>
      </c>
      <c r="CF73" s="12" t="s">
        <v>738</v>
      </c>
      <c r="CG73" s="12" t="s">
        <v>738</v>
      </c>
      <c r="CH73" s="12" t="s">
        <v>738</v>
      </c>
      <c r="CI73" s="12" t="s">
        <v>738</v>
      </c>
      <c r="CJ73" s="12" t="s">
        <v>738</v>
      </c>
      <c r="CK73" s="12" t="s">
        <v>738</v>
      </c>
      <c r="CL73" s="12" t="s">
        <v>738</v>
      </c>
      <c r="CM73" s="12" t="s">
        <v>738</v>
      </c>
      <c r="CN73" s="12" t="s">
        <v>738</v>
      </c>
      <c r="CO73" s="12" t="s">
        <v>738</v>
      </c>
      <c r="CP73" s="12" t="s">
        <v>738</v>
      </c>
      <c r="CQ73" s="12" t="s">
        <v>738</v>
      </c>
      <c r="CR73" s="12" t="s">
        <v>738</v>
      </c>
      <c r="CS73" s="12" t="s">
        <v>738</v>
      </c>
      <c r="CT73" s="12" t="s">
        <v>738</v>
      </c>
    </row>
    <row r="74" spans="1:98" hidden="1" x14ac:dyDescent="0.3">
      <c r="A74" s="12" t="s">
        <v>2040</v>
      </c>
      <c r="B74" s="12" t="s">
        <v>1679</v>
      </c>
      <c r="C74" s="12" t="s">
        <v>2041</v>
      </c>
      <c r="D74" s="12" t="s">
        <v>2042</v>
      </c>
      <c r="E74" s="12" t="s">
        <v>596</v>
      </c>
      <c r="F74" s="12" t="s">
        <v>596</v>
      </c>
      <c r="G74" s="12" t="s">
        <v>596</v>
      </c>
      <c r="H74" s="12" t="s">
        <v>597</v>
      </c>
      <c r="I74" s="12" t="s">
        <v>597</v>
      </c>
      <c r="J74" s="12" t="s">
        <v>869</v>
      </c>
      <c r="K74" s="12" t="s">
        <v>869</v>
      </c>
      <c r="L74" s="12" t="s">
        <v>869</v>
      </c>
      <c r="M74" s="12" t="s">
        <v>773</v>
      </c>
      <c r="N74" s="12" t="s">
        <v>773</v>
      </c>
      <c r="O74" s="12" t="s">
        <v>779</v>
      </c>
      <c r="P74" s="12" t="s">
        <v>601</v>
      </c>
      <c r="Q74" s="12" t="s">
        <v>886</v>
      </c>
      <c r="R74" s="12" t="s">
        <v>780</v>
      </c>
      <c r="S74" s="12" t="s">
        <v>691</v>
      </c>
      <c r="T74" s="12" t="s">
        <v>826</v>
      </c>
      <c r="U74" s="12" t="s">
        <v>826</v>
      </c>
      <c r="V74" s="12" t="s">
        <v>826</v>
      </c>
      <c r="W74" s="12" t="s">
        <v>826</v>
      </c>
      <c r="X74" s="12" t="s">
        <v>826</v>
      </c>
      <c r="Y74" s="12" t="s">
        <v>826</v>
      </c>
      <c r="Z74" s="12" t="s">
        <v>826</v>
      </c>
      <c r="AA74" s="12" t="s">
        <v>826</v>
      </c>
      <c r="AB74" s="12" t="s">
        <v>826</v>
      </c>
      <c r="AC74" s="12" t="s">
        <v>826</v>
      </c>
      <c r="AD74" s="12" t="s">
        <v>826</v>
      </c>
      <c r="AE74" s="12" t="s">
        <v>826</v>
      </c>
      <c r="AF74" s="12" t="s">
        <v>826</v>
      </c>
      <c r="AG74" s="12" t="s">
        <v>826</v>
      </c>
      <c r="AH74" s="12" t="s">
        <v>826</v>
      </c>
      <c r="AI74" s="12" t="s">
        <v>826</v>
      </c>
      <c r="AJ74" s="12" t="s">
        <v>826</v>
      </c>
      <c r="AK74" s="12" t="s">
        <v>826</v>
      </c>
      <c r="AL74" s="12" t="s">
        <v>826</v>
      </c>
      <c r="AM74" s="12" t="s">
        <v>826</v>
      </c>
      <c r="AN74" s="12" t="s">
        <v>826</v>
      </c>
      <c r="AO74" s="12" t="s">
        <v>826</v>
      </c>
      <c r="AP74" s="12" t="s">
        <v>826</v>
      </c>
      <c r="AQ74" s="12" t="s">
        <v>826</v>
      </c>
      <c r="AR74" s="12" t="s">
        <v>826</v>
      </c>
      <c r="AS74" s="12" t="s">
        <v>826</v>
      </c>
      <c r="AT74" s="12" t="s">
        <v>826</v>
      </c>
      <c r="AU74" s="12" t="s">
        <v>826</v>
      </c>
      <c r="AV74" s="12" t="s">
        <v>826</v>
      </c>
      <c r="AW74" s="12" t="s">
        <v>826</v>
      </c>
      <c r="AX74" s="12" t="s">
        <v>826</v>
      </c>
      <c r="AY74" s="12" t="s">
        <v>826</v>
      </c>
      <c r="AZ74" s="12" t="s">
        <v>826</v>
      </c>
      <c r="BA74" s="12" t="s">
        <v>826</v>
      </c>
      <c r="BB74" s="12" t="s">
        <v>826</v>
      </c>
      <c r="BC74" s="12" t="s">
        <v>826</v>
      </c>
      <c r="BD74" s="12" t="s">
        <v>826</v>
      </c>
      <c r="BE74" s="12" t="s">
        <v>826</v>
      </c>
      <c r="BF74" s="12" t="s">
        <v>826</v>
      </c>
      <c r="BG74" s="12" t="s">
        <v>826</v>
      </c>
      <c r="BH74" s="12" t="s">
        <v>826</v>
      </c>
      <c r="BI74" s="12" t="s">
        <v>826</v>
      </c>
      <c r="BJ74" s="12" t="s">
        <v>826</v>
      </c>
      <c r="BK74" s="12" t="s">
        <v>826</v>
      </c>
      <c r="BL74" s="12" t="s">
        <v>826</v>
      </c>
      <c r="BM74" s="12" t="s">
        <v>826</v>
      </c>
      <c r="BN74" s="12" t="s">
        <v>826</v>
      </c>
      <c r="BO74" s="12" t="s">
        <v>826</v>
      </c>
      <c r="BP74" s="12" t="s">
        <v>826</v>
      </c>
      <c r="BQ74" s="12" t="s">
        <v>826</v>
      </c>
      <c r="BR74" s="12" t="s">
        <v>826</v>
      </c>
      <c r="BS74" s="12" t="s">
        <v>826</v>
      </c>
      <c r="BT74" s="12" t="s">
        <v>826</v>
      </c>
      <c r="BU74" s="12" t="s">
        <v>826</v>
      </c>
      <c r="BV74" s="12" t="s">
        <v>826</v>
      </c>
      <c r="BW74" s="12" t="s">
        <v>826</v>
      </c>
      <c r="BX74" s="12" t="s">
        <v>826</v>
      </c>
      <c r="BY74" s="12" t="s">
        <v>826</v>
      </c>
      <c r="BZ74" s="12" t="s">
        <v>826</v>
      </c>
      <c r="CA74" s="12" t="s">
        <v>826</v>
      </c>
      <c r="CB74" s="12" t="s">
        <v>826</v>
      </c>
      <c r="CC74" s="12" t="s">
        <v>826</v>
      </c>
      <c r="CD74" s="12" t="s">
        <v>826</v>
      </c>
      <c r="CE74" s="12" t="s">
        <v>826</v>
      </c>
      <c r="CF74" s="12" t="s">
        <v>826</v>
      </c>
      <c r="CG74" s="12" t="s">
        <v>826</v>
      </c>
      <c r="CH74" s="12" t="s">
        <v>826</v>
      </c>
      <c r="CI74" s="12" t="s">
        <v>826</v>
      </c>
      <c r="CJ74" s="12" t="s">
        <v>826</v>
      </c>
      <c r="CK74" s="12" t="s">
        <v>826</v>
      </c>
      <c r="CL74" s="12" t="s">
        <v>826</v>
      </c>
      <c r="CM74" s="12" t="s">
        <v>826</v>
      </c>
      <c r="CN74" s="12" t="s">
        <v>826</v>
      </c>
      <c r="CO74" s="12" t="s">
        <v>826</v>
      </c>
      <c r="CP74" s="12" t="s">
        <v>826</v>
      </c>
      <c r="CQ74" s="12" t="s">
        <v>826</v>
      </c>
      <c r="CR74" s="12" t="s">
        <v>826</v>
      </c>
      <c r="CS74" s="12" t="s">
        <v>826</v>
      </c>
      <c r="CT74" s="12" t="s">
        <v>826</v>
      </c>
    </row>
    <row r="75" spans="1:98" hidden="1" x14ac:dyDescent="0.3">
      <c r="A75" s="12" t="s">
        <v>2043</v>
      </c>
      <c r="B75" s="12" t="s">
        <v>1679</v>
      </c>
      <c r="C75" s="12" t="s">
        <v>2044</v>
      </c>
      <c r="D75" s="12" t="s">
        <v>2045</v>
      </c>
      <c r="E75" s="12" t="s">
        <v>596</v>
      </c>
      <c r="F75" s="12" t="s">
        <v>690</v>
      </c>
      <c r="G75" s="12" t="s">
        <v>599</v>
      </c>
      <c r="H75" s="12" t="s">
        <v>780</v>
      </c>
      <c r="I75" s="12" t="s">
        <v>604</v>
      </c>
      <c r="J75" s="12" t="s">
        <v>935</v>
      </c>
      <c r="K75" s="12" t="s">
        <v>936</v>
      </c>
      <c r="L75" s="12" t="s">
        <v>787</v>
      </c>
      <c r="M75" s="12" t="s">
        <v>1198</v>
      </c>
      <c r="N75" s="12" t="s">
        <v>699</v>
      </c>
      <c r="O75" s="12" t="s">
        <v>1750</v>
      </c>
      <c r="P75" s="12" t="s">
        <v>1518</v>
      </c>
      <c r="Q75" s="12" t="s">
        <v>791</v>
      </c>
      <c r="R75" s="12" t="s">
        <v>2032</v>
      </c>
      <c r="S75" s="12" t="s">
        <v>999</v>
      </c>
      <c r="T75" s="12" t="s">
        <v>1534</v>
      </c>
      <c r="U75" s="12" t="s">
        <v>939</v>
      </c>
      <c r="V75" s="12" t="s">
        <v>1002</v>
      </c>
      <c r="W75" s="12" t="s">
        <v>1905</v>
      </c>
      <c r="X75" s="12" t="s">
        <v>2046</v>
      </c>
      <c r="Y75" s="12" t="s">
        <v>1588</v>
      </c>
      <c r="Z75" s="12" t="s">
        <v>2047</v>
      </c>
      <c r="AA75" s="12" t="s">
        <v>1012</v>
      </c>
      <c r="AB75" s="12" t="s">
        <v>703</v>
      </c>
      <c r="AC75" s="12" t="s">
        <v>1525</v>
      </c>
      <c r="AD75" s="12" t="s">
        <v>1535</v>
      </c>
      <c r="AE75" s="12" t="s">
        <v>2018</v>
      </c>
      <c r="AF75" s="12" t="s">
        <v>2018</v>
      </c>
      <c r="AG75" s="12" t="s">
        <v>1381</v>
      </c>
      <c r="AH75" s="12" t="s">
        <v>1834</v>
      </c>
      <c r="AI75" s="12" t="s">
        <v>1834</v>
      </c>
      <c r="AJ75" s="12" t="s">
        <v>1834</v>
      </c>
      <c r="AK75" s="12" t="s">
        <v>1834</v>
      </c>
      <c r="AL75" s="12" t="s">
        <v>1834</v>
      </c>
      <c r="AM75" s="12" t="s">
        <v>1834</v>
      </c>
      <c r="AN75" s="12" t="s">
        <v>1834</v>
      </c>
      <c r="AO75" s="12" t="s">
        <v>1834</v>
      </c>
      <c r="AP75" s="12" t="s">
        <v>1834</v>
      </c>
      <c r="AQ75" s="12" t="s">
        <v>1834</v>
      </c>
      <c r="AR75" s="12" t="s">
        <v>1834</v>
      </c>
      <c r="AS75" s="12" t="s">
        <v>1834</v>
      </c>
      <c r="AT75" s="12" t="s">
        <v>1834</v>
      </c>
      <c r="AU75" s="12" t="s">
        <v>1834</v>
      </c>
      <c r="AV75" s="12" t="s">
        <v>1834</v>
      </c>
      <c r="AW75" s="12" t="s">
        <v>1834</v>
      </c>
      <c r="AX75" s="12" t="s">
        <v>1834</v>
      </c>
      <c r="AY75" s="12" t="s">
        <v>1834</v>
      </c>
      <c r="AZ75" s="12" t="s">
        <v>1834</v>
      </c>
      <c r="BA75" s="12" t="s">
        <v>1834</v>
      </c>
      <c r="BB75" s="12" t="s">
        <v>1834</v>
      </c>
      <c r="BC75" s="12" t="s">
        <v>1834</v>
      </c>
      <c r="BD75" s="12" t="s">
        <v>1834</v>
      </c>
      <c r="BE75" s="12" t="s">
        <v>1834</v>
      </c>
      <c r="BF75" s="12" t="s">
        <v>1834</v>
      </c>
      <c r="BG75" s="12" t="s">
        <v>1834</v>
      </c>
      <c r="BH75" s="12" t="s">
        <v>1067</v>
      </c>
      <c r="BI75" s="12" t="s">
        <v>1067</v>
      </c>
      <c r="BJ75" s="12" t="s">
        <v>1067</v>
      </c>
      <c r="BK75" s="12" t="s">
        <v>1528</v>
      </c>
      <c r="BL75" s="12" t="s">
        <v>2048</v>
      </c>
      <c r="BM75" s="12" t="s">
        <v>2048</v>
      </c>
      <c r="BN75" s="12" t="s">
        <v>2048</v>
      </c>
      <c r="BO75" s="12" t="s">
        <v>834</v>
      </c>
      <c r="BP75" s="12" t="s">
        <v>1508</v>
      </c>
      <c r="BQ75" s="12" t="s">
        <v>1509</v>
      </c>
      <c r="BR75" s="12" t="s">
        <v>1509</v>
      </c>
      <c r="BS75" s="12" t="s">
        <v>1509</v>
      </c>
      <c r="BT75" s="12" t="s">
        <v>1509</v>
      </c>
      <c r="BU75" s="12" t="s">
        <v>1509</v>
      </c>
      <c r="BV75" s="12" t="s">
        <v>1509</v>
      </c>
      <c r="BW75" s="12" t="s">
        <v>1511</v>
      </c>
      <c r="BX75" s="12" t="s">
        <v>1511</v>
      </c>
      <c r="BY75" s="12" t="s">
        <v>1511</v>
      </c>
      <c r="BZ75" s="12" t="s">
        <v>1146</v>
      </c>
      <c r="CA75" s="12" t="s">
        <v>1146</v>
      </c>
      <c r="CB75" s="12" t="s">
        <v>1146</v>
      </c>
      <c r="CC75" s="12" t="s">
        <v>1146</v>
      </c>
      <c r="CD75" s="12" t="s">
        <v>1146</v>
      </c>
      <c r="CE75" s="12" t="s">
        <v>1146</v>
      </c>
      <c r="CF75" s="12" t="s">
        <v>1146</v>
      </c>
      <c r="CG75" s="12" t="s">
        <v>1146</v>
      </c>
      <c r="CH75" s="12" t="s">
        <v>1146</v>
      </c>
      <c r="CI75" s="12" t="s">
        <v>1146</v>
      </c>
      <c r="CJ75" s="12" t="s">
        <v>1146</v>
      </c>
      <c r="CK75" s="12" t="s">
        <v>1146</v>
      </c>
      <c r="CL75" s="12" t="s">
        <v>1146</v>
      </c>
      <c r="CM75" s="12" t="s">
        <v>1146</v>
      </c>
      <c r="CN75" s="12" t="s">
        <v>1146</v>
      </c>
      <c r="CO75" s="12" t="s">
        <v>1146</v>
      </c>
      <c r="CP75" s="12" t="s">
        <v>1146</v>
      </c>
      <c r="CQ75" s="12" t="s">
        <v>664</v>
      </c>
      <c r="CR75" s="12" t="s">
        <v>1755</v>
      </c>
      <c r="CS75" s="12" t="s">
        <v>1755</v>
      </c>
      <c r="CT75" s="12" t="s">
        <v>2019</v>
      </c>
    </row>
    <row r="76" spans="1:98" hidden="1" x14ac:dyDescent="0.3">
      <c r="A76" s="12" t="s">
        <v>2049</v>
      </c>
      <c r="B76" s="12" t="s">
        <v>1679</v>
      </c>
      <c r="C76" s="12" t="s">
        <v>2050</v>
      </c>
      <c r="D76" s="12" t="s">
        <v>2051</v>
      </c>
      <c r="E76" s="12" t="s">
        <v>641</v>
      </c>
      <c r="F76" s="12" t="s">
        <v>869</v>
      </c>
      <c r="G76" s="12" t="s">
        <v>780</v>
      </c>
      <c r="H76" s="12" t="s">
        <v>931</v>
      </c>
      <c r="I76" s="12" t="s">
        <v>936</v>
      </c>
      <c r="J76" s="12" t="s">
        <v>738</v>
      </c>
      <c r="K76" s="12" t="s">
        <v>1143</v>
      </c>
      <c r="L76" s="12" t="s">
        <v>2052</v>
      </c>
      <c r="M76" s="12" t="s">
        <v>792</v>
      </c>
      <c r="N76" s="12" t="s">
        <v>939</v>
      </c>
      <c r="O76" s="12" t="s">
        <v>1622</v>
      </c>
      <c r="P76" s="12" t="s">
        <v>703</v>
      </c>
      <c r="Q76" s="12" t="s">
        <v>663</v>
      </c>
      <c r="R76" s="12" t="s">
        <v>1283</v>
      </c>
      <c r="S76" s="12" t="s">
        <v>894</v>
      </c>
      <c r="T76" s="12" t="s">
        <v>2053</v>
      </c>
      <c r="U76" s="12" t="s">
        <v>1907</v>
      </c>
      <c r="V76" s="12" t="s">
        <v>672</v>
      </c>
      <c r="W76" s="12" t="s">
        <v>621</v>
      </c>
      <c r="X76" s="12" t="s">
        <v>753</v>
      </c>
      <c r="Y76" s="12" t="s">
        <v>2054</v>
      </c>
      <c r="Z76" s="12" t="s">
        <v>1418</v>
      </c>
      <c r="AA76" s="12" t="s">
        <v>1443</v>
      </c>
      <c r="AB76" s="12" t="s">
        <v>2055</v>
      </c>
      <c r="AC76" s="12" t="s">
        <v>841</v>
      </c>
      <c r="AD76" s="12" t="s">
        <v>1644</v>
      </c>
      <c r="AE76" s="12" t="s">
        <v>1058</v>
      </c>
      <c r="AF76" s="12" t="s">
        <v>2001</v>
      </c>
      <c r="AG76" s="12" t="s">
        <v>1059</v>
      </c>
      <c r="AH76" s="12" t="s">
        <v>1060</v>
      </c>
      <c r="AI76" s="12" t="s">
        <v>2056</v>
      </c>
      <c r="AJ76" s="12" t="s">
        <v>2057</v>
      </c>
      <c r="AK76" s="12" t="s">
        <v>1458</v>
      </c>
      <c r="AL76" s="12" t="s">
        <v>2058</v>
      </c>
      <c r="AM76" s="12" t="s">
        <v>1159</v>
      </c>
      <c r="AN76" s="12" t="s">
        <v>1159</v>
      </c>
      <c r="AO76" s="12" t="s">
        <v>1159</v>
      </c>
      <c r="AP76" s="12" t="s">
        <v>1159</v>
      </c>
      <c r="AQ76" s="12" t="s">
        <v>1159</v>
      </c>
      <c r="AR76" s="12" t="s">
        <v>2059</v>
      </c>
      <c r="AS76" s="12" t="s">
        <v>2059</v>
      </c>
      <c r="AT76" s="12" t="s">
        <v>2059</v>
      </c>
      <c r="AU76" s="12" t="s">
        <v>2059</v>
      </c>
      <c r="AV76" s="12" t="s">
        <v>2059</v>
      </c>
      <c r="AW76" s="12" t="s">
        <v>2059</v>
      </c>
      <c r="AX76" s="12" t="s">
        <v>2059</v>
      </c>
      <c r="AY76" s="12" t="s">
        <v>2059</v>
      </c>
      <c r="AZ76" s="12" t="s">
        <v>2059</v>
      </c>
      <c r="BA76" s="12" t="s">
        <v>2059</v>
      </c>
      <c r="BB76" s="12" t="s">
        <v>2060</v>
      </c>
      <c r="BC76" s="12" t="s">
        <v>2060</v>
      </c>
      <c r="BD76" s="12" t="s">
        <v>2060</v>
      </c>
      <c r="BE76" s="12" t="s">
        <v>2060</v>
      </c>
      <c r="BF76" s="12" t="s">
        <v>2060</v>
      </c>
      <c r="BG76" s="12" t="s">
        <v>2060</v>
      </c>
      <c r="BH76" s="12" t="s">
        <v>1924</v>
      </c>
      <c r="BI76" s="12" t="s">
        <v>1924</v>
      </c>
      <c r="BJ76" s="12" t="s">
        <v>1924</v>
      </c>
      <c r="BK76" s="12" t="s">
        <v>2061</v>
      </c>
      <c r="BL76" s="12" t="s">
        <v>1307</v>
      </c>
      <c r="BM76" s="12" t="s">
        <v>2062</v>
      </c>
      <c r="BN76" s="12" t="s">
        <v>2063</v>
      </c>
      <c r="BO76" s="12" t="s">
        <v>2063</v>
      </c>
      <c r="BP76" s="12" t="s">
        <v>1017</v>
      </c>
      <c r="BQ76" s="12" t="s">
        <v>2022</v>
      </c>
      <c r="BR76" s="12" t="s">
        <v>1544</v>
      </c>
      <c r="BS76" s="12" t="s">
        <v>1544</v>
      </c>
      <c r="BT76" s="12" t="s">
        <v>1544</v>
      </c>
      <c r="BU76" s="12" t="s">
        <v>2064</v>
      </c>
      <c r="BV76" s="12" t="s">
        <v>2065</v>
      </c>
      <c r="BW76" s="12" t="s">
        <v>2065</v>
      </c>
      <c r="BX76" s="12" t="s">
        <v>2066</v>
      </c>
      <c r="BY76" s="12" t="s">
        <v>2067</v>
      </c>
      <c r="BZ76" s="12" t="s">
        <v>2067</v>
      </c>
      <c r="CA76" s="12" t="s">
        <v>1690</v>
      </c>
      <c r="CB76" s="12" t="s">
        <v>2068</v>
      </c>
      <c r="CC76" s="12" t="s">
        <v>949</v>
      </c>
      <c r="CD76" s="12" t="s">
        <v>2069</v>
      </c>
      <c r="CE76" s="12" t="s">
        <v>2069</v>
      </c>
      <c r="CF76" s="12" t="s">
        <v>2069</v>
      </c>
      <c r="CG76" s="12" t="s">
        <v>628</v>
      </c>
      <c r="CH76" s="12" t="s">
        <v>628</v>
      </c>
      <c r="CI76" s="12" t="s">
        <v>628</v>
      </c>
      <c r="CJ76" s="12" t="s">
        <v>628</v>
      </c>
      <c r="CK76" s="12" t="s">
        <v>628</v>
      </c>
      <c r="CL76" s="12" t="s">
        <v>628</v>
      </c>
      <c r="CM76" s="12" t="s">
        <v>2070</v>
      </c>
      <c r="CN76" s="12" t="s">
        <v>2070</v>
      </c>
      <c r="CO76" s="12" t="s">
        <v>2070</v>
      </c>
      <c r="CP76" s="12" t="s">
        <v>2070</v>
      </c>
      <c r="CQ76" s="12" t="s">
        <v>2070</v>
      </c>
      <c r="CR76" s="12" t="s">
        <v>2070</v>
      </c>
      <c r="CS76" s="12" t="s">
        <v>2070</v>
      </c>
      <c r="CT76" s="12" t="s">
        <v>2070</v>
      </c>
    </row>
    <row r="77" spans="1:98" hidden="1" x14ac:dyDescent="0.3">
      <c r="A77" s="12" t="s">
        <v>2071</v>
      </c>
      <c r="B77" s="12" t="s">
        <v>1679</v>
      </c>
      <c r="C77" s="12" t="s">
        <v>2072</v>
      </c>
      <c r="D77" s="12" t="s">
        <v>2073</v>
      </c>
      <c r="E77" s="12" t="s">
        <v>779</v>
      </c>
      <c r="F77" s="12" t="s">
        <v>602</v>
      </c>
      <c r="G77" s="12" t="s">
        <v>693</v>
      </c>
      <c r="H77" s="12" t="s">
        <v>645</v>
      </c>
      <c r="I77" s="12" t="s">
        <v>606</v>
      </c>
      <c r="J77" s="12" t="s">
        <v>737</v>
      </c>
      <c r="K77" s="12" t="s">
        <v>991</v>
      </c>
      <c r="L77" s="12" t="s">
        <v>877</v>
      </c>
      <c r="M77" s="12" t="s">
        <v>890</v>
      </c>
      <c r="N77" s="12" t="s">
        <v>1374</v>
      </c>
      <c r="O77" s="12" t="s">
        <v>1000</v>
      </c>
      <c r="P77" s="12" t="s">
        <v>1066</v>
      </c>
      <c r="Q77" s="12" t="s">
        <v>1506</v>
      </c>
      <c r="R77" s="12" t="s">
        <v>1588</v>
      </c>
      <c r="S77" s="12" t="s">
        <v>662</v>
      </c>
      <c r="T77" s="12" t="s">
        <v>974</v>
      </c>
      <c r="U77" s="12" t="s">
        <v>664</v>
      </c>
      <c r="V77" s="12" t="s">
        <v>2019</v>
      </c>
      <c r="W77" s="12" t="s">
        <v>1382</v>
      </c>
      <c r="X77" s="12" t="s">
        <v>617</v>
      </c>
      <c r="Y77" s="12" t="s">
        <v>1759</v>
      </c>
      <c r="Z77" s="12" t="s">
        <v>1047</v>
      </c>
      <c r="AA77" s="12" t="s">
        <v>1627</v>
      </c>
      <c r="AB77" s="12" t="s">
        <v>1414</v>
      </c>
      <c r="AC77" s="12" t="s">
        <v>1630</v>
      </c>
      <c r="AD77" s="12" t="s">
        <v>1761</v>
      </c>
      <c r="AE77" s="12" t="s">
        <v>666</v>
      </c>
      <c r="AF77" s="12" t="s">
        <v>666</v>
      </c>
      <c r="AG77" s="12" t="s">
        <v>666</v>
      </c>
      <c r="AH77" s="12" t="s">
        <v>747</v>
      </c>
      <c r="AI77" s="12" t="s">
        <v>747</v>
      </c>
      <c r="AJ77" s="12" t="s">
        <v>2074</v>
      </c>
      <c r="AK77" s="12" t="s">
        <v>2074</v>
      </c>
      <c r="AL77" s="12" t="s">
        <v>2074</v>
      </c>
      <c r="AM77" s="12" t="s">
        <v>2075</v>
      </c>
      <c r="AN77" s="12" t="s">
        <v>977</v>
      </c>
      <c r="AO77" s="12" t="s">
        <v>977</v>
      </c>
      <c r="AP77" s="12" t="s">
        <v>977</v>
      </c>
      <c r="AQ77" s="12" t="s">
        <v>977</v>
      </c>
      <c r="AR77" s="12" t="s">
        <v>977</v>
      </c>
      <c r="AS77" s="12" t="s">
        <v>977</v>
      </c>
      <c r="AT77" s="12" t="s">
        <v>1762</v>
      </c>
      <c r="AU77" s="12" t="s">
        <v>1762</v>
      </c>
      <c r="AV77" s="12" t="s">
        <v>2076</v>
      </c>
      <c r="AW77" s="12" t="s">
        <v>1537</v>
      </c>
      <c r="AX77" s="12" t="s">
        <v>1537</v>
      </c>
      <c r="AY77" s="12" t="s">
        <v>1537</v>
      </c>
      <c r="AZ77" s="12" t="s">
        <v>1537</v>
      </c>
      <c r="BA77" s="12" t="s">
        <v>2077</v>
      </c>
      <c r="BB77" s="12" t="s">
        <v>2077</v>
      </c>
      <c r="BC77" s="12" t="s">
        <v>2077</v>
      </c>
      <c r="BD77" s="12" t="s">
        <v>1384</v>
      </c>
      <c r="BE77" s="12" t="s">
        <v>895</v>
      </c>
      <c r="BF77" s="12" t="s">
        <v>895</v>
      </c>
      <c r="BG77" s="12" t="s">
        <v>1013</v>
      </c>
      <c r="BH77" s="12" t="s">
        <v>1456</v>
      </c>
      <c r="BI77" s="12" t="s">
        <v>667</v>
      </c>
      <c r="BJ77" s="12" t="s">
        <v>2078</v>
      </c>
      <c r="BK77" s="12" t="s">
        <v>2079</v>
      </c>
      <c r="BL77" s="12" t="s">
        <v>1709</v>
      </c>
      <c r="BM77" s="12" t="s">
        <v>2080</v>
      </c>
      <c r="BN77" s="12" t="s">
        <v>2080</v>
      </c>
      <c r="BO77" s="12" t="s">
        <v>1417</v>
      </c>
      <c r="BP77" s="12" t="s">
        <v>673</v>
      </c>
      <c r="BQ77" s="12" t="s">
        <v>2081</v>
      </c>
      <c r="BR77" s="12" t="s">
        <v>1738</v>
      </c>
      <c r="BS77" s="12" t="s">
        <v>1388</v>
      </c>
      <c r="BT77" s="12" t="s">
        <v>2000</v>
      </c>
      <c r="BU77" s="12" t="s">
        <v>2082</v>
      </c>
      <c r="BV77" s="12" t="s">
        <v>1443</v>
      </c>
      <c r="BW77" s="12" t="s">
        <v>2083</v>
      </c>
      <c r="BX77" s="12" t="s">
        <v>1722</v>
      </c>
      <c r="BY77" s="12" t="s">
        <v>2084</v>
      </c>
      <c r="BZ77" s="12" t="s">
        <v>1740</v>
      </c>
      <c r="CA77" s="12" t="s">
        <v>1390</v>
      </c>
      <c r="CB77" s="12" t="s">
        <v>2085</v>
      </c>
      <c r="CC77" s="12" t="s">
        <v>2086</v>
      </c>
      <c r="CD77" s="12" t="s">
        <v>2001</v>
      </c>
      <c r="CE77" s="12" t="s">
        <v>2087</v>
      </c>
      <c r="CF77" s="12" t="s">
        <v>624</v>
      </c>
      <c r="CG77" s="12" t="s">
        <v>624</v>
      </c>
      <c r="CH77" s="12" t="s">
        <v>625</v>
      </c>
      <c r="CI77" s="12" t="s">
        <v>1394</v>
      </c>
      <c r="CJ77" s="12" t="s">
        <v>1394</v>
      </c>
      <c r="CK77" s="12" t="s">
        <v>2088</v>
      </c>
      <c r="CL77" s="12" t="s">
        <v>1589</v>
      </c>
      <c r="CM77" s="12" t="s">
        <v>1589</v>
      </c>
      <c r="CN77" s="12" t="s">
        <v>1589</v>
      </c>
      <c r="CO77" s="12" t="s">
        <v>1395</v>
      </c>
      <c r="CP77" s="12" t="s">
        <v>760</v>
      </c>
      <c r="CQ77" s="12" t="s">
        <v>760</v>
      </c>
      <c r="CR77" s="12" t="s">
        <v>2089</v>
      </c>
      <c r="CS77" s="12" t="s">
        <v>1118</v>
      </c>
      <c r="CT77" s="12" t="s">
        <v>1118</v>
      </c>
    </row>
    <row r="78" spans="1:98" hidden="1" x14ac:dyDescent="0.3">
      <c r="A78" s="12" t="s">
        <v>2090</v>
      </c>
      <c r="B78" s="12" t="s">
        <v>1679</v>
      </c>
      <c r="C78" s="12" t="s">
        <v>2091</v>
      </c>
      <c r="D78" s="12" t="s">
        <v>2092</v>
      </c>
      <c r="E78" s="12" t="s">
        <v>597</v>
      </c>
      <c r="F78" s="12" t="s">
        <v>597</v>
      </c>
      <c r="G78" s="12" t="s">
        <v>597</v>
      </c>
      <c r="H78" s="12" t="s">
        <v>869</v>
      </c>
      <c r="I78" s="12" t="s">
        <v>779</v>
      </c>
      <c r="J78" s="12" t="s">
        <v>886</v>
      </c>
      <c r="K78" s="12" t="s">
        <v>931</v>
      </c>
      <c r="L78" s="12" t="s">
        <v>931</v>
      </c>
      <c r="M78" s="12" t="s">
        <v>935</v>
      </c>
      <c r="N78" s="12" t="s">
        <v>736</v>
      </c>
      <c r="O78" s="12" t="s">
        <v>990</v>
      </c>
      <c r="P78" s="12" t="s">
        <v>991</v>
      </c>
      <c r="Q78" s="12" t="s">
        <v>607</v>
      </c>
      <c r="R78" s="12" t="s">
        <v>1202</v>
      </c>
      <c r="S78" s="12" t="s">
        <v>1202</v>
      </c>
      <c r="T78" s="12" t="s">
        <v>877</v>
      </c>
      <c r="U78" s="12" t="s">
        <v>655</v>
      </c>
      <c r="V78" s="12" t="s">
        <v>829</v>
      </c>
      <c r="W78" s="12" t="s">
        <v>1436</v>
      </c>
      <c r="X78" s="12" t="s">
        <v>1436</v>
      </c>
      <c r="Y78" s="12" t="s">
        <v>1768</v>
      </c>
      <c r="Z78" s="12" t="s">
        <v>1294</v>
      </c>
      <c r="AA78" s="12" t="s">
        <v>1294</v>
      </c>
      <c r="AB78" s="12" t="s">
        <v>1372</v>
      </c>
      <c r="AC78" s="12" t="s">
        <v>791</v>
      </c>
      <c r="AD78" s="12" t="s">
        <v>1373</v>
      </c>
      <c r="AE78" s="12" t="s">
        <v>2052</v>
      </c>
      <c r="AF78" s="12" t="s">
        <v>1065</v>
      </c>
      <c r="AG78" s="12" t="s">
        <v>1065</v>
      </c>
      <c r="AH78" s="12" t="s">
        <v>1279</v>
      </c>
      <c r="AI78" s="12" t="s">
        <v>1279</v>
      </c>
      <c r="AJ78" s="12" t="s">
        <v>1279</v>
      </c>
      <c r="AK78" s="12" t="s">
        <v>1279</v>
      </c>
      <c r="AL78" s="12" t="s">
        <v>741</v>
      </c>
      <c r="AM78" s="12" t="s">
        <v>741</v>
      </c>
      <c r="AN78" s="12" t="s">
        <v>741</v>
      </c>
      <c r="AO78" s="12" t="s">
        <v>741</v>
      </c>
      <c r="AP78" s="12" t="s">
        <v>741</v>
      </c>
      <c r="AQ78" s="12" t="s">
        <v>741</v>
      </c>
      <c r="AR78" s="12" t="s">
        <v>741</v>
      </c>
      <c r="AS78" s="12" t="s">
        <v>741</v>
      </c>
      <c r="AT78" s="12" t="s">
        <v>741</v>
      </c>
      <c r="AU78" s="12" t="s">
        <v>741</v>
      </c>
      <c r="AV78" s="12" t="s">
        <v>741</v>
      </c>
      <c r="AW78" s="12" t="s">
        <v>741</v>
      </c>
      <c r="AX78" s="12" t="s">
        <v>741</v>
      </c>
      <c r="AY78" s="12" t="s">
        <v>741</v>
      </c>
      <c r="AZ78" s="12" t="s">
        <v>741</v>
      </c>
      <c r="BA78" s="12" t="s">
        <v>741</v>
      </c>
      <c r="BB78" s="12" t="s">
        <v>741</v>
      </c>
      <c r="BC78" s="12" t="s">
        <v>741</v>
      </c>
      <c r="BD78" s="12" t="s">
        <v>741</v>
      </c>
      <c r="BE78" s="12" t="s">
        <v>741</v>
      </c>
      <c r="BF78" s="12" t="s">
        <v>741</v>
      </c>
      <c r="BG78" s="12" t="s">
        <v>741</v>
      </c>
      <c r="BH78" s="12" t="s">
        <v>741</v>
      </c>
      <c r="BI78" s="12" t="s">
        <v>741</v>
      </c>
      <c r="BJ78" s="12" t="s">
        <v>741</v>
      </c>
      <c r="BK78" s="12" t="s">
        <v>741</v>
      </c>
      <c r="BL78" s="12" t="s">
        <v>741</v>
      </c>
      <c r="BM78" s="12" t="s">
        <v>741</v>
      </c>
      <c r="BN78" s="12" t="s">
        <v>891</v>
      </c>
      <c r="BO78" s="12" t="s">
        <v>891</v>
      </c>
      <c r="BP78" s="12" t="s">
        <v>891</v>
      </c>
      <c r="BQ78" s="12" t="s">
        <v>1374</v>
      </c>
      <c r="BR78" s="12" t="s">
        <v>1374</v>
      </c>
      <c r="BS78" s="12" t="s">
        <v>1374</v>
      </c>
      <c r="BT78" s="12" t="s">
        <v>830</v>
      </c>
      <c r="BU78" s="12" t="s">
        <v>830</v>
      </c>
      <c r="BV78" s="12" t="s">
        <v>830</v>
      </c>
      <c r="BW78" s="12" t="s">
        <v>1375</v>
      </c>
      <c r="BX78" s="12" t="s">
        <v>1375</v>
      </c>
      <c r="BY78" s="12" t="s">
        <v>1375</v>
      </c>
      <c r="BZ78" s="12" t="s">
        <v>1375</v>
      </c>
      <c r="CA78" s="12" t="s">
        <v>1376</v>
      </c>
      <c r="CB78" s="12" t="s">
        <v>1376</v>
      </c>
      <c r="CC78" s="12" t="s">
        <v>1376</v>
      </c>
      <c r="CD78" s="12" t="s">
        <v>1204</v>
      </c>
      <c r="CE78" s="12" t="s">
        <v>1295</v>
      </c>
      <c r="CF78" s="12" t="s">
        <v>1704</v>
      </c>
      <c r="CG78" s="12" t="s">
        <v>1833</v>
      </c>
      <c r="CH78" s="12" t="s">
        <v>1833</v>
      </c>
      <c r="CI78" s="12" t="s">
        <v>1534</v>
      </c>
      <c r="CJ78" s="12" t="s">
        <v>1534</v>
      </c>
      <c r="CK78" s="12" t="s">
        <v>658</v>
      </c>
      <c r="CL78" s="12" t="s">
        <v>832</v>
      </c>
      <c r="CM78" s="12" t="s">
        <v>659</v>
      </c>
      <c r="CN78" s="12" t="s">
        <v>659</v>
      </c>
      <c r="CO78" s="12" t="s">
        <v>659</v>
      </c>
      <c r="CP78" s="12" t="s">
        <v>659</v>
      </c>
      <c r="CQ78" s="12" t="s">
        <v>659</v>
      </c>
      <c r="CR78" s="12" t="s">
        <v>659</v>
      </c>
      <c r="CS78" s="12" t="s">
        <v>659</v>
      </c>
      <c r="CT78" s="12" t="s">
        <v>659</v>
      </c>
    </row>
    <row r="79" spans="1:98" hidden="1" x14ac:dyDescent="0.3">
      <c r="A79" s="12" t="s">
        <v>2093</v>
      </c>
      <c r="B79" s="12" t="s">
        <v>1679</v>
      </c>
      <c r="C79" s="12" t="s">
        <v>2094</v>
      </c>
      <c r="D79" s="12" t="s">
        <v>2095</v>
      </c>
      <c r="E79" s="12" t="s">
        <v>599</v>
      </c>
      <c r="F79" s="12" t="s">
        <v>773</v>
      </c>
      <c r="G79" s="12" t="s">
        <v>780</v>
      </c>
      <c r="H79" s="12" t="s">
        <v>887</v>
      </c>
      <c r="I79" s="12" t="s">
        <v>1114</v>
      </c>
      <c r="J79" s="12" t="s">
        <v>992</v>
      </c>
      <c r="K79" s="12" t="s">
        <v>700</v>
      </c>
      <c r="L79" s="12" t="s">
        <v>1517</v>
      </c>
      <c r="M79" s="12" t="s">
        <v>2032</v>
      </c>
      <c r="N79" s="12" t="s">
        <v>1549</v>
      </c>
      <c r="O79" s="12" t="s">
        <v>1005</v>
      </c>
      <c r="P79" s="12" t="s">
        <v>1045</v>
      </c>
      <c r="Q79" s="12" t="s">
        <v>1510</v>
      </c>
      <c r="R79" s="12" t="s">
        <v>1412</v>
      </c>
      <c r="S79" s="12" t="s">
        <v>794</v>
      </c>
      <c r="T79" s="12" t="s">
        <v>1329</v>
      </c>
      <c r="U79" s="12" t="s">
        <v>2077</v>
      </c>
      <c r="V79" s="12" t="s">
        <v>1048</v>
      </c>
      <c r="W79" s="12" t="s">
        <v>1907</v>
      </c>
      <c r="X79" s="12" t="s">
        <v>2096</v>
      </c>
      <c r="Y79" s="12" t="s">
        <v>2097</v>
      </c>
      <c r="Z79" s="12" t="s">
        <v>896</v>
      </c>
      <c r="AA79" s="12" t="s">
        <v>2081</v>
      </c>
      <c r="AB79" s="12" t="s">
        <v>1981</v>
      </c>
      <c r="AC79" s="12" t="s">
        <v>1862</v>
      </c>
      <c r="AD79" s="12" t="s">
        <v>1052</v>
      </c>
      <c r="AE79" s="12" t="s">
        <v>1053</v>
      </c>
      <c r="AF79" s="12" t="s">
        <v>2098</v>
      </c>
      <c r="AG79" s="12" t="s">
        <v>1055</v>
      </c>
      <c r="AH79" s="12" t="s">
        <v>1014</v>
      </c>
      <c r="AI79" s="12" t="s">
        <v>755</v>
      </c>
      <c r="AJ79" s="12" t="s">
        <v>2084</v>
      </c>
      <c r="AK79" s="12" t="s">
        <v>2084</v>
      </c>
      <c r="AL79" s="12" t="s">
        <v>1057</v>
      </c>
      <c r="AM79" s="12" t="s">
        <v>1740</v>
      </c>
      <c r="AN79" s="12" t="s">
        <v>1390</v>
      </c>
      <c r="AO79" s="12" t="s">
        <v>2099</v>
      </c>
      <c r="AP79" s="12" t="s">
        <v>2086</v>
      </c>
      <c r="AQ79" s="12" t="s">
        <v>2086</v>
      </c>
      <c r="AR79" s="12" t="s">
        <v>2086</v>
      </c>
      <c r="AS79" s="12" t="s">
        <v>2086</v>
      </c>
      <c r="AT79" s="12" t="s">
        <v>2086</v>
      </c>
      <c r="AU79" s="12" t="s">
        <v>2086</v>
      </c>
      <c r="AV79" s="12" t="s">
        <v>679</v>
      </c>
      <c r="AW79" s="12" t="s">
        <v>679</v>
      </c>
      <c r="AX79" s="12" t="s">
        <v>679</v>
      </c>
      <c r="AY79" s="12" t="s">
        <v>679</v>
      </c>
      <c r="AZ79" s="12" t="s">
        <v>679</v>
      </c>
      <c r="BA79" s="12" t="s">
        <v>679</v>
      </c>
      <c r="BB79" s="12" t="s">
        <v>679</v>
      </c>
      <c r="BC79" s="12" t="s">
        <v>679</v>
      </c>
      <c r="BD79" s="12" t="s">
        <v>679</v>
      </c>
      <c r="BE79" s="12" t="s">
        <v>679</v>
      </c>
      <c r="BF79" s="12" t="s">
        <v>679</v>
      </c>
      <c r="BG79" s="12" t="s">
        <v>679</v>
      </c>
      <c r="BH79" s="12" t="s">
        <v>2100</v>
      </c>
      <c r="BI79" s="12" t="s">
        <v>2100</v>
      </c>
      <c r="BJ79" s="12" t="s">
        <v>2100</v>
      </c>
      <c r="BK79" s="12" t="s">
        <v>1058</v>
      </c>
      <c r="BL79" s="12" t="s">
        <v>1420</v>
      </c>
      <c r="BM79" s="12" t="s">
        <v>2001</v>
      </c>
      <c r="BN79" s="12" t="s">
        <v>2001</v>
      </c>
      <c r="BO79" s="12" t="s">
        <v>756</v>
      </c>
      <c r="BP79" s="12" t="s">
        <v>2101</v>
      </c>
      <c r="BQ79" s="12" t="s">
        <v>2101</v>
      </c>
      <c r="BR79" s="12" t="s">
        <v>680</v>
      </c>
      <c r="BS79" s="12" t="s">
        <v>680</v>
      </c>
      <c r="BT79" s="12" t="s">
        <v>2102</v>
      </c>
      <c r="BU79" s="12" t="s">
        <v>2102</v>
      </c>
      <c r="BV79" s="12" t="s">
        <v>2102</v>
      </c>
      <c r="BW79" s="12" t="s">
        <v>2087</v>
      </c>
      <c r="BX79" s="12" t="s">
        <v>2103</v>
      </c>
      <c r="BY79" s="12" t="s">
        <v>624</v>
      </c>
      <c r="BZ79" s="12" t="s">
        <v>1421</v>
      </c>
      <c r="CA79" s="12" t="s">
        <v>1723</v>
      </c>
      <c r="CB79" s="12" t="s">
        <v>1229</v>
      </c>
      <c r="CC79" s="12" t="s">
        <v>1743</v>
      </c>
      <c r="CD79" s="12" t="s">
        <v>1743</v>
      </c>
      <c r="CE79" s="12" t="s">
        <v>1743</v>
      </c>
      <c r="CF79" s="12" t="s">
        <v>1743</v>
      </c>
      <c r="CG79" s="12" t="s">
        <v>1743</v>
      </c>
      <c r="CH79" s="12" t="s">
        <v>1743</v>
      </c>
      <c r="CI79" s="12" t="s">
        <v>1743</v>
      </c>
      <c r="CJ79" s="12" t="s">
        <v>1743</v>
      </c>
      <c r="CK79" s="12" t="s">
        <v>1743</v>
      </c>
      <c r="CL79" s="12" t="s">
        <v>1743</v>
      </c>
      <c r="CM79" s="12" t="s">
        <v>1743</v>
      </c>
      <c r="CN79" s="12" t="s">
        <v>1724</v>
      </c>
      <c r="CO79" s="12" t="s">
        <v>1724</v>
      </c>
      <c r="CP79" s="12" t="s">
        <v>1724</v>
      </c>
      <c r="CQ79" s="12" t="s">
        <v>1724</v>
      </c>
      <c r="CR79" s="12" t="s">
        <v>1724</v>
      </c>
      <c r="CS79" s="12" t="s">
        <v>1724</v>
      </c>
      <c r="CT79" s="12" t="s">
        <v>1724</v>
      </c>
    </row>
    <row r="80" spans="1:98" hidden="1" x14ac:dyDescent="0.3">
      <c r="A80" s="12" t="s">
        <v>2104</v>
      </c>
      <c r="B80" s="12" t="s">
        <v>1679</v>
      </c>
      <c r="C80" s="12" t="s">
        <v>2105</v>
      </c>
      <c r="D80" s="12" t="s">
        <v>2106</v>
      </c>
      <c r="E80" s="12" t="s">
        <v>598</v>
      </c>
      <c r="F80" s="12" t="s">
        <v>598</v>
      </c>
      <c r="G80" s="12" t="s">
        <v>773</v>
      </c>
      <c r="H80" s="12" t="s">
        <v>642</v>
      </c>
      <c r="I80" s="12" t="s">
        <v>774</v>
      </c>
      <c r="J80" s="12" t="s">
        <v>644</v>
      </c>
      <c r="K80" s="12" t="s">
        <v>605</v>
      </c>
      <c r="L80" s="12" t="s">
        <v>931</v>
      </c>
      <c r="M80" s="12" t="s">
        <v>784</v>
      </c>
      <c r="N80" s="12" t="s">
        <v>870</v>
      </c>
      <c r="O80" s="12" t="s">
        <v>1064</v>
      </c>
      <c r="P80" s="12" t="s">
        <v>696</v>
      </c>
      <c r="Q80" s="12" t="s">
        <v>698</v>
      </c>
      <c r="R80" s="12" t="s">
        <v>973</v>
      </c>
      <c r="S80" s="12" t="s">
        <v>992</v>
      </c>
      <c r="T80" s="12" t="s">
        <v>789</v>
      </c>
      <c r="U80" s="12" t="s">
        <v>1202</v>
      </c>
      <c r="V80" s="12" t="s">
        <v>739</v>
      </c>
      <c r="W80" s="12" t="s">
        <v>875</v>
      </c>
      <c r="X80" s="12" t="s">
        <v>1143</v>
      </c>
      <c r="Y80" s="12" t="s">
        <v>1682</v>
      </c>
      <c r="Z80" s="12" t="s">
        <v>890</v>
      </c>
      <c r="AA80" s="12" t="s">
        <v>1436</v>
      </c>
      <c r="AB80" s="12" t="s">
        <v>611</v>
      </c>
      <c r="AC80" s="12" t="s">
        <v>998</v>
      </c>
      <c r="AD80" s="12" t="s">
        <v>1768</v>
      </c>
      <c r="AE80" s="12" t="s">
        <v>1769</v>
      </c>
      <c r="AF80" s="12" t="s">
        <v>791</v>
      </c>
      <c r="AG80" s="12" t="s">
        <v>2052</v>
      </c>
      <c r="AH80" s="12" t="s">
        <v>1065</v>
      </c>
      <c r="AI80" s="12" t="s">
        <v>1279</v>
      </c>
      <c r="AJ80" s="12" t="s">
        <v>1374</v>
      </c>
      <c r="AK80" s="12" t="s">
        <v>1374</v>
      </c>
      <c r="AL80" s="12" t="s">
        <v>1374</v>
      </c>
      <c r="AM80" s="12" t="s">
        <v>1374</v>
      </c>
      <c r="AN80" s="12" t="s">
        <v>1374</v>
      </c>
      <c r="AO80" s="12" t="s">
        <v>830</v>
      </c>
      <c r="AP80" s="12" t="s">
        <v>830</v>
      </c>
      <c r="AQ80" s="12" t="s">
        <v>830</v>
      </c>
      <c r="AR80" s="12" t="s">
        <v>830</v>
      </c>
      <c r="AS80" s="12" t="s">
        <v>830</v>
      </c>
      <c r="AT80" s="12" t="s">
        <v>830</v>
      </c>
      <c r="AU80" s="12" t="s">
        <v>830</v>
      </c>
      <c r="AV80" s="12" t="s">
        <v>830</v>
      </c>
      <c r="AW80" s="12" t="s">
        <v>830</v>
      </c>
      <c r="AX80" s="12" t="s">
        <v>830</v>
      </c>
      <c r="AY80" s="12" t="s">
        <v>830</v>
      </c>
      <c r="AZ80" s="12" t="s">
        <v>830</v>
      </c>
      <c r="BA80" s="12" t="s">
        <v>830</v>
      </c>
      <c r="BB80" s="12" t="s">
        <v>830</v>
      </c>
      <c r="BC80" s="12" t="s">
        <v>830</v>
      </c>
      <c r="BD80" s="12" t="s">
        <v>830</v>
      </c>
      <c r="BE80" s="12" t="s">
        <v>830</v>
      </c>
      <c r="BF80" s="12" t="s">
        <v>830</v>
      </c>
      <c r="BG80" s="12" t="s">
        <v>830</v>
      </c>
      <c r="BH80" s="12" t="s">
        <v>830</v>
      </c>
      <c r="BI80" s="12" t="s">
        <v>830</v>
      </c>
      <c r="BJ80" s="12" t="s">
        <v>1375</v>
      </c>
      <c r="BK80" s="12" t="s">
        <v>1375</v>
      </c>
      <c r="BL80" s="12" t="s">
        <v>1375</v>
      </c>
      <c r="BM80" s="12" t="s">
        <v>1375</v>
      </c>
      <c r="BN80" s="12" t="s">
        <v>2031</v>
      </c>
      <c r="BO80" s="12" t="s">
        <v>1904</v>
      </c>
      <c r="BP80" s="12" t="s">
        <v>1904</v>
      </c>
      <c r="BQ80" s="12" t="s">
        <v>1327</v>
      </c>
      <c r="BR80" s="12" t="s">
        <v>1641</v>
      </c>
      <c r="BS80" s="12" t="s">
        <v>2107</v>
      </c>
      <c r="BT80" s="12" t="s">
        <v>1295</v>
      </c>
      <c r="BU80" s="12" t="s">
        <v>613</v>
      </c>
      <c r="BV80" s="12" t="s">
        <v>613</v>
      </c>
      <c r="BW80" s="12" t="s">
        <v>1296</v>
      </c>
      <c r="BX80" s="12" t="s">
        <v>1296</v>
      </c>
      <c r="BY80" s="12" t="s">
        <v>1001</v>
      </c>
      <c r="BZ80" s="12" t="s">
        <v>1001</v>
      </c>
      <c r="CA80" s="12" t="s">
        <v>1001</v>
      </c>
      <c r="CB80" s="12" t="s">
        <v>1001</v>
      </c>
      <c r="CC80" s="12" t="s">
        <v>1001</v>
      </c>
      <c r="CD80" s="12" t="s">
        <v>1001</v>
      </c>
      <c r="CE80" s="12" t="s">
        <v>1066</v>
      </c>
      <c r="CF80" s="12" t="s">
        <v>1281</v>
      </c>
      <c r="CG80" s="12" t="s">
        <v>1281</v>
      </c>
      <c r="CH80" s="12" t="s">
        <v>1281</v>
      </c>
      <c r="CI80" s="12" t="s">
        <v>939</v>
      </c>
      <c r="CJ80" s="12" t="s">
        <v>1550</v>
      </c>
      <c r="CK80" s="12" t="s">
        <v>1550</v>
      </c>
      <c r="CL80" s="12" t="s">
        <v>658</v>
      </c>
      <c r="CM80" s="12" t="s">
        <v>1994</v>
      </c>
      <c r="CN80" s="12" t="s">
        <v>1994</v>
      </c>
      <c r="CO80" s="12" t="s">
        <v>1994</v>
      </c>
      <c r="CP80" s="12" t="s">
        <v>1994</v>
      </c>
      <c r="CQ80" s="12" t="s">
        <v>1994</v>
      </c>
      <c r="CR80" s="12" t="s">
        <v>1994</v>
      </c>
      <c r="CS80" s="12" t="s">
        <v>1994</v>
      </c>
      <c r="CT80" s="12" t="s">
        <v>1856</v>
      </c>
    </row>
    <row r="81" spans="1:98" hidden="1" x14ac:dyDescent="0.3">
      <c r="A81" s="12" t="s">
        <v>2108</v>
      </c>
      <c r="B81" s="12" t="s">
        <v>1679</v>
      </c>
      <c r="C81" s="12" t="s">
        <v>2109</v>
      </c>
      <c r="D81" s="12" t="s">
        <v>2110</v>
      </c>
      <c r="E81" s="12" t="s">
        <v>596</v>
      </c>
      <c r="F81" s="12" t="s">
        <v>596</v>
      </c>
      <c r="G81" s="12" t="s">
        <v>596</v>
      </c>
      <c r="H81" s="12" t="s">
        <v>596</v>
      </c>
      <c r="I81" s="12" t="s">
        <v>596</v>
      </c>
      <c r="J81" s="12" t="s">
        <v>596</v>
      </c>
      <c r="K81" s="12" t="s">
        <v>596</v>
      </c>
      <c r="L81" s="12" t="s">
        <v>596</v>
      </c>
      <c r="M81" s="12" t="s">
        <v>597</v>
      </c>
      <c r="N81" s="12" t="s">
        <v>597</v>
      </c>
      <c r="O81" s="12" t="s">
        <v>597</v>
      </c>
      <c r="P81" s="12" t="s">
        <v>597</v>
      </c>
      <c r="Q81" s="12" t="s">
        <v>597</v>
      </c>
      <c r="R81" s="12" t="s">
        <v>597</v>
      </c>
      <c r="S81" s="12" t="s">
        <v>597</v>
      </c>
      <c r="T81" s="12" t="s">
        <v>597</v>
      </c>
      <c r="U81" s="12" t="s">
        <v>597</v>
      </c>
      <c r="V81" s="12" t="s">
        <v>597</v>
      </c>
      <c r="W81" s="12" t="s">
        <v>597</v>
      </c>
      <c r="X81" s="12" t="s">
        <v>597</v>
      </c>
      <c r="Y81" s="12" t="s">
        <v>597</v>
      </c>
      <c r="Z81" s="12" t="s">
        <v>597</v>
      </c>
      <c r="AA81" s="12" t="s">
        <v>597</v>
      </c>
      <c r="AB81" s="12" t="s">
        <v>597</v>
      </c>
      <c r="AC81" s="12" t="s">
        <v>597</v>
      </c>
      <c r="AD81" s="12" t="s">
        <v>597</v>
      </c>
      <c r="AE81" s="12" t="s">
        <v>597</v>
      </c>
      <c r="AF81" s="12" t="s">
        <v>597</v>
      </c>
      <c r="AG81" s="12" t="s">
        <v>597</v>
      </c>
      <c r="AH81" s="12" t="s">
        <v>597</v>
      </c>
      <c r="AI81" s="12" t="s">
        <v>597</v>
      </c>
      <c r="AJ81" s="12" t="s">
        <v>597</v>
      </c>
      <c r="AK81" s="12" t="s">
        <v>597</v>
      </c>
      <c r="AL81" s="12" t="s">
        <v>597</v>
      </c>
      <c r="AM81" s="12" t="s">
        <v>597</v>
      </c>
      <c r="AN81" s="12" t="s">
        <v>597</v>
      </c>
      <c r="AO81" s="12" t="s">
        <v>597</v>
      </c>
      <c r="AP81" s="12" t="s">
        <v>597</v>
      </c>
      <c r="AQ81" s="12" t="s">
        <v>597</v>
      </c>
      <c r="AR81" s="12" t="s">
        <v>597</v>
      </c>
      <c r="AS81" s="12" t="s">
        <v>597</v>
      </c>
      <c r="AT81" s="12" t="s">
        <v>597</v>
      </c>
      <c r="AU81" s="12" t="s">
        <v>597</v>
      </c>
      <c r="AV81" s="12" t="s">
        <v>597</v>
      </c>
      <c r="AW81" s="12" t="s">
        <v>597</v>
      </c>
      <c r="AX81" s="12" t="s">
        <v>597</v>
      </c>
      <c r="AY81" s="12" t="s">
        <v>597</v>
      </c>
      <c r="AZ81" s="12" t="s">
        <v>597</v>
      </c>
      <c r="BA81" s="12" t="s">
        <v>597</v>
      </c>
      <c r="BB81" s="12" t="s">
        <v>597</v>
      </c>
      <c r="BC81" s="12" t="s">
        <v>597</v>
      </c>
      <c r="BD81" s="12" t="s">
        <v>597</v>
      </c>
      <c r="BE81" s="12" t="s">
        <v>597</v>
      </c>
      <c r="BF81" s="12" t="s">
        <v>597</v>
      </c>
      <c r="BG81" s="12" t="s">
        <v>597</v>
      </c>
      <c r="BH81" s="12" t="s">
        <v>597</v>
      </c>
      <c r="BI81" s="12" t="s">
        <v>597</v>
      </c>
      <c r="BJ81" s="12" t="s">
        <v>597</v>
      </c>
      <c r="BK81" s="12" t="s">
        <v>597</v>
      </c>
      <c r="BL81" s="12" t="s">
        <v>597</v>
      </c>
      <c r="BM81" s="12" t="s">
        <v>597</v>
      </c>
      <c r="BN81" s="12" t="s">
        <v>597</v>
      </c>
      <c r="BO81" s="12" t="s">
        <v>597</v>
      </c>
      <c r="BP81" s="12" t="s">
        <v>597</v>
      </c>
      <c r="BQ81" s="12" t="s">
        <v>597</v>
      </c>
      <c r="BR81" s="12" t="s">
        <v>597</v>
      </c>
      <c r="BS81" s="12" t="s">
        <v>597</v>
      </c>
      <c r="BT81" s="12" t="s">
        <v>597</v>
      </c>
      <c r="BU81" s="12" t="s">
        <v>597</v>
      </c>
      <c r="BV81" s="12" t="s">
        <v>597</v>
      </c>
      <c r="BW81" s="12" t="s">
        <v>597</v>
      </c>
      <c r="BX81" s="12" t="s">
        <v>597</v>
      </c>
      <c r="BY81" s="12" t="s">
        <v>597</v>
      </c>
      <c r="BZ81" s="12" t="s">
        <v>597</v>
      </c>
      <c r="CA81" s="12" t="s">
        <v>597</v>
      </c>
      <c r="CB81" s="12" t="s">
        <v>597</v>
      </c>
      <c r="CC81" s="12" t="s">
        <v>597</v>
      </c>
      <c r="CD81" s="12" t="s">
        <v>597</v>
      </c>
      <c r="CE81" s="12" t="s">
        <v>597</v>
      </c>
      <c r="CF81" s="12" t="s">
        <v>597</v>
      </c>
      <c r="CG81" s="12" t="s">
        <v>597</v>
      </c>
      <c r="CH81" s="12" t="s">
        <v>597</v>
      </c>
      <c r="CI81" s="12" t="s">
        <v>597</v>
      </c>
      <c r="CJ81" s="12" t="s">
        <v>597</v>
      </c>
      <c r="CK81" s="12" t="s">
        <v>597</v>
      </c>
      <c r="CL81" s="12" t="s">
        <v>597</v>
      </c>
      <c r="CM81" s="12" t="s">
        <v>597</v>
      </c>
      <c r="CN81" s="12" t="s">
        <v>597</v>
      </c>
      <c r="CO81" s="12" t="s">
        <v>597</v>
      </c>
      <c r="CP81" s="12" t="s">
        <v>597</v>
      </c>
      <c r="CQ81" s="12" t="s">
        <v>597</v>
      </c>
      <c r="CR81" s="12" t="s">
        <v>597</v>
      </c>
      <c r="CS81" s="12" t="s">
        <v>597</v>
      </c>
      <c r="CT81" s="12" t="s">
        <v>597</v>
      </c>
    </row>
    <row r="82" spans="1:98" hidden="1" x14ac:dyDescent="0.3">
      <c r="A82" s="12" t="s">
        <v>2111</v>
      </c>
      <c r="B82" s="12" t="s">
        <v>1679</v>
      </c>
      <c r="C82" s="12" t="s">
        <v>2112</v>
      </c>
      <c r="D82" s="12" t="s">
        <v>2113</v>
      </c>
      <c r="E82" s="12" t="s">
        <v>596</v>
      </c>
      <c r="F82" s="12" t="s">
        <v>641</v>
      </c>
      <c r="G82" s="12" t="s">
        <v>641</v>
      </c>
      <c r="H82" s="12" t="s">
        <v>690</v>
      </c>
      <c r="I82" s="12" t="s">
        <v>598</v>
      </c>
      <c r="J82" s="12" t="s">
        <v>599</v>
      </c>
      <c r="K82" s="12" t="s">
        <v>642</v>
      </c>
      <c r="L82" s="12" t="s">
        <v>886</v>
      </c>
      <c r="M82" s="12" t="s">
        <v>774</v>
      </c>
      <c r="N82" s="12" t="s">
        <v>691</v>
      </c>
      <c r="O82" s="12" t="s">
        <v>826</v>
      </c>
      <c r="P82" s="12" t="s">
        <v>603</v>
      </c>
      <c r="Q82" s="12" t="s">
        <v>605</v>
      </c>
      <c r="R82" s="12" t="s">
        <v>971</v>
      </c>
      <c r="S82" s="12" t="s">
        <v>870</v>
      </c>
      <c r="T82" s="12" t="s">
        <v>989</v>
      </c>
      <c r="U82" s="12" t="s">
        <v>736</v>
      </c>
      <c r="V82" s="12" t="s">
        <v>647</v>
      </c>
      <c r="W82" s="12" t="s">
        <v>786</v>
      </c>
      <c r="X82" s="12" t="s">
        <v>1009</v>
      </c>
      <c r="Y82" s="12" t="s">
        <v>649</v>
      </c>
      <c r="Z82" s="12" t="s">
        <v>650</v>
      </c>
      <c r="AA82" s="12" t="s">
        <v>1198</v>
      </c>
      <c r="AB82" s="12" t="s">
        <v>888</v>
      </c>
      <c r="AC82" s="12" t="s">
        <v>652</v>
      </c>
      <c r="AD82" s="12" t="s">
        <v>872</v>
      </c>
      <c r="AE82" s="12" t="s">
        <v>738</v>
      </c>
      <c r="AF82" s="12" t="s">
        <v>653</v>
      </c>
      <c r="AG82" s="12" t="s">
        <v>653</v>
      </c>
      <c r="AH82" s="12" t="s">
        <v>653</v>
      </c>
      <c r="AI82" s="12" t="s">
        <v>653</v>
      </c>
      <c r="AJ82" s="12" t="s">
        <v>653</v>
      </c>
      <c r="AK82" s="12" t="s">
        <v>653</v>
      </c>
      <c r="AL82" s="12" t="s">
        <v>653</v>
      </c>
      <c r="AM82" s="12" t="s">
        <v>653</v>
      </c>
      <c r="AN82" s="12" t="s">
        <v>653</v>
      </c>
      <c r="AO82" s="12" t="s">
        <v>653</v>
      </c>
      <c r="AP82" s="12" t="s">
        <v>653</v>
      </c>
      <c r="AQ82" s="12" t="s">
        <v>653</v>
      </c>
      <c r="AR82" s="12" t="s">
        <v>653</v>
      </c>
      <c r="AS82" s="12" t="s">
        <v>653</v>
      </c>
      <c r="AT82" s="12" t="s">
        <v>653</v>
      </c>
      <c r="AU82" s="12" t="s">
        <v>653</v>
      </c>
      <c r="AV82" s="12" t="s">
        <v>653</v>
      </c>
      <c r="AW82" s="12" t="s">
        <v>653</v>
      </c>
      <c r="AX82" s="12" t="s">
        <v>653</v>
      </c>
      <c r="AY82" s="12" t="s">
        <v>653</v>
      </c>
      <c r="AZ82" s="12" t="s">
        <v>653</v>
      </c>
      <c r="BA82" s="12" t="s">
        <v>653</v>
      </c>
      <c r="BB82" s="12" t="s">
        <v>653</v>
      </c>
      <c r="BC82" s="12" t="s">
        <v>653</v>
      </c>
      <c r="BD82" s="12" t="s">
        <v>653</v>
      </c>
      <c r="BE82" s="12" t="s">
        <v>653</v>
      </c>
      <c r="BF82" s="12" t="s">
        <v>653</v>
      </c>
      <c r="BG82" s="12" t="s">
        <v>653</v>
      </c>
      <c r="BH82" s="12" t="s">
        <v>653</v>
      </c>
      <c r="BI82" s="12" t="s">
        <v>653</v>
      </c>
      <c r="BJ82" s="12" t="s">
        <v>653</v>
      </c>
      <c r="BK82" s="12" t="s">
        <v>653</v>
      </c>
      <c r="BL82" s="12" t="s">
        <v>653</v>
      </c>
      <c r="BM82" s="12" t="s">
        <v>653</v>
      </c>
      <c r="BN82" s="12" t="s">
        <v>653</v>
      </c>
      <c r="BO82" s="12" t="s">
        <v>653</v>
      </c>
      <c r="BP82" s="12" t="s">
        <v>653</v>
      </c>
      <c r="BQ82" s="12" t="s">
        <v>653</v>
      </c>
      <c r="BR82" s="12" t="s">
        <v>653</v>
      </c>
      <c r="BS82" s="12" t="s">
        <v>653</v>
      </c>
      <c r="BT82" s="12" t="s">
        <v>653</v>
      </c>
      <c r="BU82" s="12" t="s">
        <v>653</v>
      </c>
      <c r="BV82" s="12" t="s">
        <v>653</v>
      </c>
      <c r="BW82" s="12" t="s">
        <v>653</v>
      </c>
      <c r="BX82" s="12" t="s">
        <v>653</v>
      </c>
      <c r="BY82" s="12" t="s">
        <v>653</v>
      </c>
      <c r="BZ82" s="12" t="s">
        <v>653</v>
      </c>
      <c r="CA82" s="12" t="s">
        <v>653</v>
      </c>
      <c r="CB82" s="12" t="s">
        <v>653</v>
      </c>
      <c r="CC82" s="12" t="s">
        <v>653</v>
      </c>
      <c r="CD82" s="12" t="s">
        <v>653</v>
      </c>
      <c r="CE82" s="12" t="s">
        <v>653</v>
      </c>
      <c r="CF82" s="12" t="s">
        <v>653</v>
      </c>
      <c r="CG82" s="12" t="s">
        <v>653</v>
      </c>
      <c r="CH82" s="12" t="s">
        <v>653</v>
      </c>
      <c r="CI82" s="12" t="s">
        <v>653</v>
      </c>
      <c r="CJ82" s="12" t="s">
        <v>653</v>
      </c>
      <c r="CK82" s="12" t="s">
        <v>653</v>
      </c>
      <c r="CL82" s="12" t="s">
        <v>653</v>
      </c>
      <c r="CM82" s="12" t="s">
        <v>653</v>
      </c>
      <c r="CN82" s="12" t="s">
        <v>653</v>
      </c>
      <c r="CO82" s="12" t="s">
        <v>653</v>
      </c>
      <c r="CP82" s="12" t="s">
        <v>653</v>
      </c>
      <c r="CQ82" s="12" t="s">
        <v>653</v>
      </c>
      <c r="CR82" s="12" t="s">
        <v>653</v>
      </c>
      <c r="CS82" s="12" t="s">
        <v>653</v>
      </c>
      <c r="CT82" s="12" t="s">
        <v>653</v>
      </c>
    </row>
    <row r="83" spans="1:98" hidden="1" x14ac:dyDescent="0.3">
      <c r="A83" s="12" t="s">
        <v>2114</v>
      </c>
      <c r="B83" s="12" t="s">
        <v>1679</v>
      </c>
      <c r="C83" s="12" t="s">
        <v>2115</v>
      </c>
      <c r="D83" s="12" t="s">
        <v>2116</v>
      </c>
      <c r="E83" s="12" t="s">
        <v>597</v>
      </c>
      <c r="F83" s="12" t="s">
        <v>641</v>
      </c>
      <c r="G83" s="12" t="s">
        <v>599</v>
      </c>
      <c r="H83" s="12" t="s">
        <v>601</v>
      </c>
      <c r="I83" s="12" t="s">
        <v>602</v>
      </c>
      <c r="J83" s="12" t="s">
        <v>694</v>
      </c>
      <c r="K83" s="12" t="s">
        <v>1114</v>
      </c>
      <c r="L83" s="12" t="s">
        <v>649</v>
      </c>
      <c r="M83" s="12" t="s">
        <v>652</v>
      </c>
      <c r="N83" s="12" t="s">
        <v>1370</v>
      </c>
      <c r="O83" s="12" t="s">
        <v>876</v>
      </c>
      <c r="P83" s="12" t="s">
        <v>882</v>
      </c>
      <c r="Q83" s="12" t="s">
        <v>1435</v>
      </c>
      <c r="R83" s="12" t="s">
        <v>998</v>
      </c>
      <c r="S83" s="12" t="s">
        <v>791</v>
      </c>
      <c r="T83" s="12" t="s">
        <v>741</v>
      </c>
      <c r="U83" s="12" t="s">
        <v>1376</v>
      </c>
      <c r="V83" s="12" t="s">
        <v>1376</v>
      </c>
      <c r="W83" s="12" t="s">
        <v>2031</v>
      </c>
      <c r="X83" s="12" t="s">
        <v>2117</v>
      </c>
      <c r="Y83" s="12" t="s">
        <v>2118</v>
      </c>
      <c r="Z83" s="12" t="s">
        <v>2119</v>
      </c>
      <c r="AA83" s="12" t="s">
        <v>1621</v>
      </c>
      <c r="AB83" s="12" t="s">
        <v>1328</v>
      </c>
      <c r="AC83" s="12" t="s">
        <v>1704</v>
      </c>
      <c r="AD83" s="12" t="s">
        <v>892</v>
      </c>
      <c r="AE83" s="12" t="s">
        <v>892</v>
      </c>
      <c r="AF83" s="12" t="s">
        <v>1833</v>
      </c>
      <c r="AG83" s="12" t="s">
        <v>1833</v>
      </c>
      <c r="AH83" s="12" t="s">
        <v>613</v>
      </c>
      <c r="AI83" s="12" t="s">
        <v>613</v>
      </c>
      <c r="AJ83" s="12" t="s">
        <v>613</v>
      </c>
      <c r="AK83" s="12" t="s">
        <v>613</v>
      </c>
      <c r="AL83" s="12" t="s">
        <v>613</v>
      </c>
      <c r="AM83" s="12" t="s">
        <v>613</v>
      </c>
      <c r="AN83" s="12" t="s">
        <v>613</v>
      </c>
      <c r="AO83" s="12" t="s">
        <v>613</v>
      </c>
      <c r="AP83" s="12" t="s">
        <v>613</v>
      </c>
      <c r="AQ83" s="12" t="s">
        <v>613</v>
      </c>
      <c r="AR83" s="12" t="s">
        <v>613</v>
      </c>
      <c r="AS83" s="12" t="s">
        <v>613</v>
      </c>
      <c r="AT83" s="12" t="s">
        <v>613</v>
      </c>
      <c r="AU83" s="12" t="s">
        <v>613</v>
      </c>
      <c r="AV83" s="12" t="s">
        <v>613</v>
      </c>
      <c r="AW83" s="12" t="s">
        <v>613</v>
      </c>
      <c r="AX83" s="12" t="s">
        <v>613</v>
      </c>
      <c r="AY83" s="12" t="s">
        <v>613</v>
      </c>
      <c r="AZ83" s="12" t="s">
        <v>613</v>
      </c>
      <c r="BA83" s="12" t="s">
        <v>613</v>
      </c>
      <c r="BB83" s="12" t="s">
        <v>613</v>
      </c>
      <c r="BC83" s="12" t="s">
        <v>613</v>
      </c>
      <c r="BD83" s="12" t="s">
        <v>613</v>
      </c>
      <c r="BE83" s="12" t="s">
        <v>613</v>
      </c>
      <c r="BF83" s="12" t="s">
        <v>613</v>
      </c>
      <c r="BG83" s="12" t="s">
        <v>1296</v>
      </c>
      <c r="BH83" s="12" t="s">
        <v>1296</v>
      </c>
      <c r="BI83" s="12" t="s">
        <v>1296</v>
      </c>
      <c r="BJ83" s="12" t="s">
        <v>1296</v>
      </c>
      <c r="BK83" s="12" t="s">
        <v>1296</v>
      </c>
      <c r="BL83" s="12" t="s">
        <v>1296</v>
      </c>
      <c r="BM83" s="12" t="s">
        <v>1296</v>
      </c>
      <c r="BN83" s="12" t="s">
        <v>1296</v>
      </c>
      <c r="BO83" s="12" t="s">
        <v>1296</v>
      </c>
      <c r="BP83" s="12" t="s">
        <v>1296</v>
      </c>
      <c r="BQ83" s="12" t="s">
        <v>2120</v>
      </c>
      <c r="BR83" s="12" t="s">
        <v>1001</v>
      </c>
      <c r="BS83" s="12" t="s">
        <v>1001</v>
      </c>
      <c r="BT83" s="12" t="s">
        <v>1001</v>
      </c>
      <c r="BU83" s="12" t="s">
        <v>1001</v>
      </c>
      <c r="BV83" s="12" t="s">
        <v>1066</v>
      </c>
      <c r="BW83" s="12" t="s">
        <v>1066</v>
      </c>
      <c r="BX83" s="12" t="s">
        <v>1281</v>
      </c>
      <c r="BY83" s="12" t="s">
        <v>939</v>
      </c>
      <c r="BZ83" s="12" t="s">
        <v>939</v>
      </c>
      <c r="CA83" s="12" t="s">
        <v>939</v>
      </c>
      <c r="CB83" s="12" t="s">
        <v>939</v>
      </c>
      <c r="CC83" s="12" t="s">
        <v>939</v>
      </c>
      <c r="CD83" s="12" t="s">
        <v>939</v>
      </c>
      <c r="CE83" s="12" t="s">
        <v>939</v>
      </c>
      <c r="CF83" s="12" t="s">
        <v>939</v>
      </c>
      <c r="CG83" s="12" t="s">
        <v>939</v>
      </c>
      <c r="CH83" s="12" t="s">
        <v>939</v>
      </c>
      <c r="CI83" s="12" t="s">
        <v>939</v>
      </c>
      <c r="CJ83" s="12" t="s">
        <v>939</v>
      </c>
      <c r="CK83" s="12" t="s">
        <v>939</v>
      </c>
      <c r="CL83" s="12" t="s">
        <v>939</v>
      </c>
      <c r="CM83" s="12" t="s">
        <v>939</v>
      </c>
      <c r="CN83" s="12" t="s">
        <v>939</v>
      </c>
      <c r="CO83" s="12" t="s">
        <v>939</v>
      </c>
      <c r="CP83" s="12" t="s">
        <v>939</v>
      </c>
      <c r="CQ83" s="12" t="s">
        <v>939</v>
      </c>
      <c r="CR83" s="12" t="s">
        <v>939</v>
      </c>
      <c r="CS83" s="12" t="s">
        <v>939</v>
      </c>
      <c r="CT83" s="12" t="s">
        <v>1550</v>
      </c>
    </row>
    <row r="84" spans="1:98" hidden="1" x14ac:dyDescent="0.3">
      <c r="A84" s="12" t="s">
        <v>2121</v>
      </c>
      <c r="B84" s="12" t="s">
        <v>1679</v>
      </c>
      <c r="C84" s="12" t="s">
        <v>2122</v>
      </c>
      <c r="D84" s="12" t="s">
        <v>2123</v>
      </c>
      <c r="E84" s="12" t="s">
        <v>642</v>
      </c>
      <c r="F84" s="12" t="s">
        <v>931</v>
      </c>
      <c r="G84" s="12" t="s">
        <v>1277</v>
      </c>
      <c r="H84" s="12" t="s">
        <v>871</v>
      </c>
      <c r="I84" s="12" t="s">
        <v>655</v>
      </c>
      <c r="J84" s="12" t="s">
        <v>791</v>
      </c>
      <c r="K84" s="12" t="s">
        <v>1534</v>
      </c>
      <c r="L84" s="12" t="s">
        <v>1758</v>
      </c>
      <c r="M84" s="12" t="s">
        <v>751</v>
      </c>
      <c r="N84" s="12" t="s">
        <v>2086</v>
      </c>
      <c r="O84" s="12" t="s">
        <v>2124</v>
      </c>
      <c r="P84" s="12" t="s">
        <v>1396</v>
      </c>
      <c r="Q84" s="12" t="s">
        <v>2125</v>
      </c>
      <c r="R84" s="12" t="s">
        <v>2126</v>
      </c>
      <c r="S84" s="12" t="s">
        <v>1775</v>
      </c>
      <c r="T84" s="12" t="s">
        <v>2127</v>
      </c>
      <c r="U84" s="12" t="s">
        <v>1986</v>
      </c>
      <c r="V84" s="12" t="s">
        <v>2128</v>
      </c>
      <c r="W84" s="12" t="s">
        <v>1460</v>
      </c>
      <c r="X84" s="12" t="s">
        <v>634</v>
      </c>
      <c r="Y84" s="12" t="s">
        <v>2129</v>
      </c>
      <c r="Z84" s="12" t="s">
        <v>1778</v>
      </c>
      <c r="AA84" s="12" t="s">
        <v>2130</v>
      </c>
      <c r="AB84" s="12" t="s">
        <v>2131</v>
      </c>
      <c r="AC84" s="12" t="s">
        <v>2132</v>
      </c>
      <c r="AD84" s="12" t="s">
        <v>1316</v>
      </c>
      <c r="AE84" s="12" t="s">
        <v>711</v>
      </c>
      <c r="AF84" s="12" t="s">
        <v>2133</v>
      </c>
      <c r="AG84" s="12" t="s">
        <v>1484</v>
      </c>
      <c r="AH84" s="12" t="s">
        <v>2134</v>
      </c>
      <c r="AI84" s="12" t="s">
        <v>1485</v>
      </c>
      <c r="AJ84" s="12" t="s">
        <v>2135</v>
      </c>
      <c r="AK84" s="12" t="s">
        <v>2135</v>
      </c>
      <c r="AL84" s="12" t="s">
        <v>2135</v>
      </c>
      <c r="AM84" s="12" t="s">
        <v>2135</v>
      </c>
      <c r="AN84" s="12" t="s">
        <v>2135</v>
      </c>
      <c r="AO84" s="12" t="s">
        <v>2135</v>
      </c>
      <c r="AP84" s="12" t="s">
        <v>2135</v>
      </c>
      <c r="AQ84" s="12" t="s">
        <v>2135</v>
      </c>
      <c r="AR84" s="12" t="s">
        <v>2135</v>
      </c>
      <c r="AS84" s="12" t="s">
        <v>2136</v>
      </c>
      <c r="AT84" s="12" t="s">
        <v>2137</v>
      </c>
      <c r="AU84" s="12" t="s">
        <v>2137</v>
      </c>
      <c r="AV84" s="12" t="s">
        <v>2138</v>
      </c>
      <c r="AW84" s="12" t="s">
        <v>2138</v>
      </c>
      <c r="AX84" s="12" t="s">
        <v>2138</v>
      </c>
      <c r="AY84" s="12" t="s">
        <v>2138</v>
      </c>
      <c r="AZ84" s="12" t="s">
        <v>2138</v>
      </c>
      <c r="BA84" s="12" t="s">
        <v>2138</v>
      </c>
      <c r="BB84" s="12" t="s">
        <v>2138</v>
      </c>
      <c r="BC84" s="12" t="s">
        <v>2138</v>
      </c>
      <c r="BD84" s="12" t="s">
        <v>2138</v>
      </c>
      <c r="BE84" s="12" t="s">
        <v>2139</v>
      </c>
      <c r="BF84" s="12" t="s">
        <v>1186</v>
      </c>
      <c r="BG84" s="12" t="s">
        <v>1186</v>
      </c>
      <c r="BH84" s="12" t="s">
        <v>2140</v>
      </c>
      <c r="BI84" s="12" t="s">
        <v>2140</v>
      </c>
      <c r="BJ84" s="12" t="s">
        <v>2141</v>
      </c>
      <c r="BK84" s="12" t="s">
        <v>1406</v>
      </c>
      <c r="BL84" s="12" t="s">
        <v>2142</v>
      </c>
      <c r="BM84" s="12" t="s">
        <v>2143</v>
      </c>
      <c r="BN84" s="12" t="s">
        <v>2143</v>
      </c>
      <c r="BO84" s="12" t="s">
        <v>2144</v>
      </c>
      <c r="BP84" s="12" t="s">
        <v>1029</v>
      </c>
      <c r="BQ84" s="12" t="s">
        <v>1231</v>
      </c>
      <c r="BR84" s="12" t="s">
        <v>2145</v>
      </c>
      <c r="BS84" s="12" t="s">
        <v>712</v>
      </c>
      <c r="BT84" s="12" t="s">
        <v>2146</v>
      </c>
      <c r="BU84" s="12" t="s">
        <v>2147</v>
      </c>
      <c r="BV84" s="12" t="s">
        <v>1891</v>
      </c>
      <c r="BW84" s="12" t="s">
        <v>1891</v>
      </c>
      <c r="BX84" s="12" t="s">
        <v>2148</v>
      </c>
      <c r="BY84" s="12" t="s">
        <v>2149</v>
      </c>
      <c r="BZ84" s="12" t="s">
        <v>1892</v>
      </c>
      <c r="CA84" s="12" t="s">
        <v>2150</v>
      </c>
      <c r="CB84" s="12" t="s">
        <v>2151</v>
      </c>
      <c r="CC84" s="12" t="s">
        <v>803</v>
      </c>
      <c r="CD84" s="12" t="s">
        <v>1486</v>
      </c>
      <c r="CE84" s="12" t="s">
        <v>1893</v>
      </c>
      <c r="CF84" s="12" t="s">
        <v>1893</v>
      </c>
      <c r="CG84" s="12" t="s">
        <v>1893</v>
      </c>
      <c r="CH84" s="12" t="s">
        <v>1893</v>
      </c>
      <c r="CI84" s="12" t="s">
        <v>1893</v>
      </c>
      <c r="CJ84" s="12" t="s">
        <v>1893</v>
      </c>
      <c r="CK84" s="12" t="s">
        <v>1030</v>
      </c>
      <c r="CL84" s="12" t="s">
        <v>1030</v>
      </c>
      <c r="CM84" s="12" t="s">
        <v>1030</v>
      </c>
      <c r="CN84" s="12" t="s">
        <v>1030</v>
      </c>
      <c r="CO84" s="12" t="s">
        <v>1030</v>
      </c>
      <c r="CP84" s="12" t="s">
        <v>1030</v>
      </c>
      <c r="CQ84" s="12" t="s">
        <v>1030</v>
      </c>
      <c r="CR84" s="12" t="s">
        <v>1030</v>
      </c>
      <c r="CS84" s="12" t="s">
        <v>1030</v>
      </c>
      <c r="CT84" s="12" t="s">
        <v>1030</v>
      </c>
    </row>
    <row r="85" spans="1:98" hidden="1" x14ac:dyDescent="0.3">
      <c r="A85" s="12" t="s">
        <v>25</v>
      </c>
      <c r="B85" s="12" t="s">
        <v>2152</v>
      </c>
      <c r="C85" s="12" t="s">
        <v>2153</v>
      </c>
      <c r="D85" s="12" t="s">
        <v>2154</v>
      </c>
      <c r="E85" s="12" t="s">
        <v>596</v>
      </c>
      <c r="F85" s="12" t="s">
        <v>596</v>
      </c>
      <c r="G85" s="12" t="s">
        <v>596</v>
      </c>
      <c r="H85" s="12" t="s">
        <v>596</v>
      </c>
      <c r="I85" s="12" t="s">
        <v>596</v>
      </c>
      <c r="J85" s="12" t="s">
        <v>596</v>
      </c>
      <c r="K85" s="12" t="s">
        <v>596</v>
      </c>
      <c r="L85" s="12" t="s">
        <v>596</v>
      </c>
      <c r="M85" s="12" t="s">
        <v>596</v>
      </c>
      <c r="N85" s="12" t="s">
        <v>596</v>
      </c>
      <c r="O85" s="12" t="s">
        <v>596</v>
      </c>
      <c r="P85" s="12" t="s">
        <v>596</v>
      </c>
      <c r="Q85" s="12" t="s">
        <v>596</v>
      </c>
      <c r="R85" s="12" t="s">
        <v>596</v>
      </c>
      <c r="S85" s="12" t="s">
        <v>596</v>
      </c>
      <c r="T85" s="12" t="s">
        <v>596</v>
      </c>
      <c r="U85" s="12" t="s">
        <v>596</v>
      </c>
      <c r="V85" s="12" t="s">
        <v>596</v>
      </c>
      <c r="W85" s="12" t="s">
        <v>596</v>
      </c>
      <c r="X85" s="12" t="s">
        <v>596</v>
      </c>
      <c r="Y85" s="12" t="s">
        <v>596</v>
      </c>
      <c r="Z85" s="12" t="s">
        <v>596</v>
      </c>
      <c r="AA85" s="12" t="s">
        <v>596</v>
      </c>
      <c r="AB85" s="12" t="s">
        <v>596</v>
      </c>
      <c r="AC85" s="12" t="s">
        <v>596</v>
      </c>
      <c r="AD85" s="12" t="s">
        <v>596</v>
      </c>
      <c r="AE85" s="12" t="s">
        <v>596</v>
      </c>
      <c r="AF85" s="12" t="s">
        <v>596</v>
      </c>
      <c r="AG85" s="12" t="s">
        <v>596</v>
      </c>
      <c r="AH85" s="12" t="s">
        <v>596</v>
      </c>
      <c r="AI85" s="12" t="s">
        <v>596</v>
      </c>
      <c r="AJ85" s="12" t="s">
        <v>596</v>
      </c>
      <c r="AK85" s="12" t="s">
        <v>596</v>
      </c>
      <c r="AL85" s="12" t="s">
        <v>596</v>
      </c>
      <c r="AM85" s="12" t="s">
        <v>596</v>
      </c>
      <c r="AN85" s="12" t="s">
        <v>596</v>
      </c>
      <c r="AO85" s="12" t="s">
        <v>596</v>
      </c>
      <c r="AP85" s="12" t="s">
        <v>596</v>
      </c>
      <c r="AQ85" s="12" t="s">
        <v>596</v>
      </c>
      <c r="AR85" s="12" t="s">
        <v>596</v>
      </c>
      <c r="AS85" s="12" t="s">
        <v>596</v>
      </c>
      <c r="AT85" s="12" t="s">
        <v>596</v>
      </c>
      <c r="AU85" s="12" t="s">
        <v>596</v>
      </c>
      <c r="AV85" s="12" t="s">
        <v>596</v>
      </c>
      <c r="AW85" s="12" t="s">
        <v>597</v>
      </c>
      <c r="AX85" s="12" t="s">
        <v>597</v>
      </c>
      <c r="AY85" s="12" t="s">
        <v>597</v>
      </c>
      <c r="AZ85" s="12" t="s">
        <v>597</v>
      </c>
      <c r="BA85" s="12" t="s">
        <v>690</v>
      </c>
      <c r="BB85" s="12" t="s">
        <v>779</v>
      </c>
      <c r="BC85" s="12" t="s">
        <v>779</v>
      </c>
      <c r="BD85" s="12" t="s">
        <v>886</v>
      </c>
      <c r="BE85" s="12" t="s">
        <v>604</v>
      </c>
      <c r="BF85" s="12" t="s">
        <v>785</v>
      </c>
      <c r="BG85" s="12" t="s">
        <v>697</v>
      </c>
      <c r="BH85" s="12" t="s">
        <v>888</v>
      </c>
      <c r="BI85" s="12" t="s">
        <v>876</v>
      </c>
      <c r="BJ85" s="12" t="s">
        <v>881</v>
      </c>
      <c r="BK85" s="12" t="s">
        <v>791</v>
      </c>
      <c r="BL85" s="12" t="s">
        <v>2155</v>
      </c>
      <c r="BM85" s="12" t="s">
        <v>1045</v>
      </c>
      <c r="BN85" s="12" t="s">
        <v>664</v>
      </c>
      <c r="BO85" s="12" t="s">
        <v>1860</v>
      </c>
      <c r="BP85" s="12" t="s">
        <v>1862</v>
      </c>
      <c r="BQ85" s="12" t="s">
        <v>1721</v>
      </c>
      <c r="BR85" s="12" t="s">
        <v>679</v>
      </c>
      <c r="BS85" s="12" t="s">
        <v>2156</v>
      </c>
      <c r="BT85" s="12" t="s">
        <v>2157</v>
      </c>
      <c r="BU85" s="12" t="s">
        <v>2158</v>
      </c>
      <c r="BV85" s="12" t="s">
        <v>630</v>
      </c>
      <c r="BW85" s="12" t="s">
        <v>2159</v>
      </c>
      <c r="BX85" s="12" t="s">
        <v>2160</v>
      </c>
      <c r="BY85" s="12" t="s">
        <v>1893</v>
      </c>
      <c r="BZ85" s="12" t="s">
        <v>2161</v>
      </c>
      <c r="CA85" s="12" t="s">
        <v>2162</v>
      </c>
      <c r="CB85" s="12" t="s">
        <v>1824</v>
      </c>
      <c r="CC85" s="12" t="s">
        <v>2163</v>
      </c>
      <c r="CD85" s="12" t="s">
        <v>2164</v>
      </c>
      <c r="CE85" s="12" t="s">
        <v>2165</v>
      </c>
      <c r="CF85" s="12" t="s">
        <v>2166</v>
      </c>
      <c r="CG85" s="12" t="s">
        <v>2167</v>
      </c>
      <c r="CH85" s="12" t="s">
        <v>2168</v>
      </c>
      <c r="CI85" s="12" t="s">
        <v>2169</v>
      </c>
      <c r="CJ85" s="12" t="s">
        <v>2170</v>
      </c>
      <c r="CK85" s="12" t="s">
        <v>2171</v>
      </c>
      <c r="CL85" s="12" t="s">
        <v>2172</v>
      </c>
      <c r="CM85" s="12" t="s">
        <v>2173</v>
      </c>
      <c r="CN85" s="12" t="s">
        <v>2173</v>
      </c>
      <c r="CO85" s="12" t="s">
        <v>2174</v>
      </c>
      <c r="CP85" s="12" t="s">
        <v>2175</v>
      </c>
      <c r="CQ85" s="12" t="s">
        <v>2176</v>
      </c>
      <c r="CR85" s="12" t="s">
        <v>2177</v>
      </c>
      <c r="CS85" s="12" t="s">
        <v>2178</v>
      </c>
      <c r="CT85" s="12" t="s">
        <v>2179</v>
      </c>
    </row>
    <row r="86" spans="1:98" hidden="1" x14ac:dyDescent="0.3">
      <c r="A86" s="12" t="s">
        <v>25</v>
      </c>
      <c r="B86" s="12" t="s">
        <v>2180</v>
      </c>
      <c r="C86" s="12" t="s">
        <v>2181</v>
      </c>
      <c r="D86" s="12" t="s">
        <v>2182</v>
      </c>
      <c r="E86" s="12" t="s">
        <v>596</v>
      </c>
      <c r="F86" s="12" t="s">
        <v>596</v>
      </c>
      <c r="G86" s="12" t="s">
        <v>596</v>
      </c>
      <c r="H86" s="12" t="s">
        <v>596</v>
      </c>
      <c r="I86" s="12" t="s">
        <v>596</v>
      </c>
      <c r="J86" s="12" t="s">
        <v>596</v>
      </c>
      <c r="K86" s="12" t="s">
        <v>596</v>
      </c>
      <c r="L86" s="12" t="s">
        <v>596</v>
      </c>
      <c r="M86" s="12" t="s">
        <v>596</v>
      </c>
      <c r="N86" s="12" t="s">
        <v>596</v>
      </c>
      <c r="O86" s="12" t="s">
        <v>596</v>
      </c>
      <c r="P86" s="12" t="s">
        <v>596</v>
      </c>
      <c r="Q86" s="12" t="s">
        <v>596</v>
      </c>
      <c r="R86" s="12" t="s">
        <v>596</v>
      </c>
      <c r="S86" s="12" t="s">
        <v>596</v>
      </c>
      <c r="T86" s="12" t="s">
        <v>596</v>
      </c>
      <c r="U86" s="12" t="s">
        <v>596</v>
      </c>
      <c r="V86" s="12" t="s">
        <v>596</v>
      </c>
      <c r="W86" s="12" t="s">
        <v>596</v>
      </c>
      <c r="X86" s="12" t="s">
        <v>596</v>
      </c>
      <c r="Y86" s="12" t="s">
        <v>596</v>
      </c>
      <c r="Z86" s="12" t="s">
        <v>596</v>
      </c>
      <c r="AA86" s="12" t="s">
        <v>596</v>
      </c>
      <c r="AB86" s="12" t="s">
        <v>596</v>
      </c>
      <c r="AC86" s="12" t="s">
        <v>596</v>
      </c>
      <c r="AD86" s="12" t="s">
        <v>596</v>
      </c>
      <c r="AE86" s="12" t="s">
        <v>596</v>
      </c>
      <c r="AF86" s="12" t="s">
        <v>596</v>
      </c>
      <c r="AG86" s="12" t="s">
        <v>596</v>
      </c>
      <c r="AH86" s="12" t="s">
        <v>596</v>
      </c>
      <c r="AI86" s="12" t="s">
        <v>596</v>
      </c>
      <c r="AJ86" s="12" t="s">
        <v>596</v>
      </c>
      <c r="AK86" s="12" t="s">
        <v>596</v>
      </c>
      <c r="AL86" s="12" t="s">
        <v>596</v>
      </c>
      <c r="AM86" s="12" t="s">
        <v>596</v>
      </c>
      <c r="AN86" s="12" t="s">
        <v>596</v>
      </c>
      <c r="AO86" s="12" t="s">
        <v>596</v>
      </c>
      <c r="AP86" s="12" t="s">
        <v>596</v>
      </c>
      <c r="AQ86" s="12" t="s">
        <v>596</v>
      </c>
      <c r="AR86" s="12" t="s">
        <v>596</v>
      </c>
      <c r="AS86" s="12" t="s">
        <v>596</v>
      </c>
      <c r="AT86" s="12" t="s">
        <v>596</v>
      </c>
      <c r="AU86" s="12" t="s">
        <v>596</v>
      </c>
      <c r="AV86" s="12" t="s">
        <v>596</v>
      </c>
      <c r="AW86" s="12" t="s">
        <v>596</v>
      </c>
      <c r="AX86" s="12" t="s">
        <v>596</v>
      </c>
      <c r="AY86" s="12" t="s">
        <v>596</v>
      </c>
      <c r="AZ86" s="12" t="s">
        <v>596</v>
      </c>
      <c r="BA86" s="12" t="s">
        <v>596</v>
      </c>
      <c r="BB86" s="12" t="s">
        <v>596</v>
      </c>
      <c r="BC86" s="12" t="s">
        <v>596</v>
      </c>
      <c r="BD86" s="12" t="s">
        <v>596</v>
      </c>
      <c r="BE86" s="12" t="s">
        <v>596</v>
      </c>
      <c r="BF86" s="12" t="s">
        <v>597</v>
      </c>
      <c r="BG86" s="12" t="s">
        <v>597</v>
      </c>
      <c r="BH86" s="12" t="s">
        <v>597</v>
      </c>
      <c r="BI86" s="12" t="s">
        <v>597</v>
      </c>
      <c r="BJ86" s="12" t="s">
        <v>690</v>
      </c>
      <c r="BK86" s="12" t="s">
        <v>690</v>
      </c>
      <c r="BL86" s="12" t="s">
        <v>690</v>
      </c>
      <c r="BM86" s="12" t="s">
        <v>690</v>
      </c>
      <c r="BN86" s="12" t="s">
        <v>598</v>
      </c>
      <c r="BO86" s="12" t="s">
        <v>598</v>
      </c>
      <c r="BP86" s="12" t="s">
        <v>598</v>
      </c>
      <c r="BQ86" s="12" t="s">
        <v>598</v>
      </c>
      <c r="BR86" s="12" t="s">
        <v>598</v>
      </c>
      <c r="BS86" s="12" t="s">
        <v>598</v>
      </c>
      <c r="BT86" s="12" t="s">
        <v>692</v>
      </c>
      <c r="BU86" s="12" t="s">
        <v>692</v>
      </c>
      <c r="BV86" s="12" t="s">
        <v>692</v>
      </c>
      <c r="BW86" s="12" t="s">
        <v>692</v>
      </c>
      <c r="BX86" s="12" t="s">
        <v>604</v>
      </c>
      <c r="BY86" s="12" t="s">
        <v>604</v>
      </c>
      <c r="BZ86" s="12" t="s">
        <v>604</v>
      </c>
      <c r="CA86" s="12" t="s">
        <v>786</v>
      </c>
      <c r="CB86" s="12" t="s">
        <v>786</v>
      </c>
      <c r="CC86" s="12" t="s">
        <v>786</v>
      </c>
      <c r="CD86" s="12" t="s">
        <v>786</v>
      </c>
      <c r="CE86" s="12" t="s">
        <v>698</v>
      </c>
      <c r="CF86" s="12" t="s">
        <v>698</v>
      </c>
      <c r="CG86" s="12" t="s">
        <v>698</v>
      </c>
      <c r="CH86" s="12" t="s">
        <v>698</v>
      </c>
      <c r="CI86" s="12" t="s">
        <v>698</v>
      </c>
      <c r="CJ86" s="12" t="s">
        <v>698</v>
      </c>
      <c r="CK86" s="12" t="s">
        <v>1435</v>
      </c>
      <c r="CL86" s="12" t="s">
        <v>1435</v>
      </c>
      <c r="CM86" s="12" t="s">
        <v>1839</v>
      </c>
      <c r="CN86" s="12" t="s">
        <v>1839</v>
      </c>
      <c r="CO86" s="12" t="s">
        <v>1839</v>
      </c>
      <c r="CP86" s="12" t="s">
        <v>831</v>
      </c>
      <c r="CQ86" s="12" t="s">
        <v>999</v>
      </c>
      <c r="CR86" s="12" t="s">
        <v>658</v>
      </c>
      <c r="CS86" s="12" t="s">
        <v>658</v>
      </c>
      <c r="CT86" s="12" t="s">
        <v>1003</v>
      </c>
    </row>
    <row r="87" spans="1:98" hidden="1" x14ac:dyDescent="0.3">
      <c r="A87" s="12" t="s">
        <v>25</v>
      </c>
      <c r="B87" s="12" t="s">
        <v>2183</v>
      </c>
      <c r="C87" s="12" t="s">
        <v>2181</v>
      </c>
      <c r="D87" s="12" t="s">
        <v>2182</v>
      </c>
      <c r="E87" s="12" t="s">
        <v>596</v>
      </c>
      <c r="F87" s="12" t="s">
        <v>596</v>
      </c>
      <c r="G87" s="12" t="s">
        <v>596</v>
      </c>
      <c r="H87" s="12" t="s">
        <v>596</v>
      </c>
      <c r="I87" s="12" t="s">
        <v>596</v>
      </c>
      <c r="J87" s="12" t="s">
        <v>596</v>
      </c>
      <c r="K87" s="12" t="s">
        <v>596</v>
      </c>
      <c r="L87" s="12" t="s">
        <v>596</v>
      </c>
      <c r="M87" s="12" t="s">
        <v>596</v>
      </c>
      <c r="N87" s="12" t="s">
        <v>596</v>
      </c>
      <c r="O87" s="12" t="s">
        <v>596</v>
      </c>
      <c r="P87" s="12" t="s">
        <v>596</v>
      </c>
      <c r="Q87" s="12" t="s">
        <v>596</v>
      </c>
      <c r="R87" s="12" t="s">
        <v>596</v>
      </c>
      <c r="S87" s="12" t="s">
        <v>596</v>
      </c>
      <c r="T87" s="12" t="s">
        <v>596</v>
      </c>
      <c r="U87" s="12" t="s">
        <v>596</v>
      </c>
      <c r="V87" s="12" t="s">
        <v>596</v>
      </c>
      <c r="W87" s="12" t="s">
        <v>596</v>
      </c>
      <c r="X87" s="12" t="s">
        <v>596</v>
      </c>
      <c r="Y87" s="12" t="s">
        <v>596</v>
      </c>
      <c r="Z87" s="12" t="s">
        <v>596</v>
      </c>
      <c r="AA87" s="12" t="s">
        <v>596</v>
      </c>
      <c r="AB87" s="12" t="s">
        <v>596</v>
      </c>
      <c r="AC87" s="12" t="s">
        <v>596</v>
      </c>
      <c r="AD87" s="12" t="s">
        <v>596</v>
      </c>
      <c r="AE87" s="12" t="s">
        <v>596</v>
      </c>
      <c r="AF87" s="12" t="s">
        <v>596</v>
      </c>
      <c r="AG87" s="12" t="s">
        <v>596</v>
      </c>
      <c r="AH87" s="12" t="s">
        <v>596</v>
      </c>
      <c r="AI87" s="12" t="s">
        <v>596</v>
      </c>
      <c r="AJ87" s="12" t="s">
        <v>596</v>
      </c>
      <c r="AK87" s="12" t="s">
        <v>596</v>
      </c>
      <c r="AL87" s="12" t="s">
        <v>596</v>
      </c>
      <c r="AM87" s="12" t="s">
        <v>596</v>
      </c>
      <c r="AN87" s="12" t="s">
        <v>596</v>
      </c>
      <c r="AO87" s="12" t="s">
        <v>596</v>
      </c>
      <c r="AP87" s="12" t="s">
        <v>596</v>
      </c>
      <c r="AQ87" s="12" t="s">
        <v>596</v>
      </c>
      <c r="AR87" s="12" t="s">
        <v>596</v>
      </c>
      <c r="AS87" s="12" t="s">
        <v>596</v>
      </c>
      <c r="AT87" s="12" t="s">
        <v>596</v>
      </c>
      <c r="AU87" s="12" t="s">
        <v>596</v>
      </c>
      <c r="AV87" s="12" t="s">
        <v>596</v>
      </c>
      <c r="AW87" s="12" t="s">
        <v>596</v>
      </c>
      <c r="AX87" s="12" t="s">
        <v>596</v>
      </c>
      <c r="AY87" s="12" t="s">
        <v>596</v>
      </c>
      <c r="AZ87" s="12" t="s">
        <v>596</v>
      </c>
      <c r="BA87" s="12" t="s">
        <v>596</v>
      </c>
      <c r="BB87" s="12" t="s">
        <v>597</v>
      </c>
      <c r="BC87" s="12" t="s">
        <v>597</v>
      </c>
      <c r="BD87" s="12" t="s">
        <v>641</v>
      </c>
      <c r="BE87" s="12" t="s">
        <v>641</v>
      </c>
      <c r="BF87" s="12" t="s">
        <v>641</v>
      </c>
      <c r="BG87" s="12" t="s">
        <v>641</v>
      </c>
      <c r="BH87" s="12" t="s">
        <v>690</v>
      </c>
      <c r="BI87" s="12" t="s">
        <v>598</v>
      </c>
      <c r="BJ87" s="12" t="s">
        <v>774</v>
      </c>
      <c r="BK87" s="12" t="s">
        <v>826</v>
      </c>
      <c r="BL87" s="12" t="s">
        <v>644</v>
      </c>
      <c r="BM87" s="12" t="s">
        <v>2036</v>
      </c>
      <c r="BN87" s="12" t="s">
        <v>989</v>
      </c>
      <c r="BO87" s="12" t="s">
        <v>786</v>
      </c>
      <c r="BP87" s="12" t="s">
        <v>696</v>
      </c>
      <c r="BQ87" s="12" t="s">
        <v>648</v>
      </c>
      <c r="BR87" s="12" t="s">
        <v>648</v>
      </c>
      <c r="BS87" s="12" t="s">
        <v>888</v>
      </c>
      <c r="BT87" s="12" t="s">
        <v>888</v>
      </c>
      <c r="BU87" s="12" t="s">
        <v>1202</v>
      </c>
      <c r="BV87" s="12" t="s">
        <v>996</v>
      </c>
      <c r="BW87" s="12" t="s">
        <v>1226</v>
      </c>
      <c r="BX87" s="12" t="s">
        <v>891</v>
      </c>
      <c r="BY87" s="12" t="s">
        <v>891</v>
      </c>
      <c r="BZ87" s="12" t="s">
        <v>2119</v>
      </c>
      <c r="CA87" s="12" t="s">
        <v>2119</v>
      </c>
      <c r="CB87" s="12" t="s">
        <v>2107</v>
      </c>
      <c r="CC87" s="12" t="s">
        <v>1001</v>
      </c>
      <c r="CD87" s="12" t="s">
        <v>1001</v>
      </c>
      <c r="CE87" s="12" t="s">
        <v>1001</v>
      </c>
      <c r="CF87" s="12" t="s">
        <v>1753</v>
      </c>
      <c r="CG87" s="12" t="s">
        <v>661</v>
      </c>
      <c r="CH87" s="12" t="s">
        <v>2184</v>
      </c>
      <c r="CI87" s="12" t="s">
        <v>833</v>
      </c>
      <c r="CJ87" s="12" t="s">
        <v>1526</v>
      </c>
      <c r="CK87" s="12" t="s">
        <v>1510</v>
      </c>
      <c r="CL87" s="12" t="s">
        <v>745</v>
      </c>
      <c r="CM87" s="12" t="s">
        <v>975</v>
      </c>
      <c r="CN87" s="12" t="s">
        <v>894</v>
      </c>
      <c r="CO87" s="12" t="s">
        <v>1852</v>
      </c>
      <c r="CP87" s="12" t="s">
        <v>1980</v>
      </c>
      <c r="CQ87" s="12" t="s">
        <v>1764</v>
      </c>
      <c r="CR87" s="12" t="s">
        <v>1117</v>
      </c>
      <c r="CS87" s="12" t="s">
        <v>668</v>
      </c>
      <c r="CT87" s="12" t="s">
        <v>2185</v>
      </c>
    </row>
    <row r="88" spans="1:98" hidden="1" x14ac:dyDescent="0.3">
      <c r="A88" s="12" t="s">
        <v>25</v>
      </c>
      <c r="B88" s="12" t="s">
        <v>2186</v>
      </c>
      <c r="C88" s="12" t="s">
        <v>2187</v>
      </c>
      <c r="D88" s="12" t="s">
        <v>2188</v>
      </c>
      <c r="E88" s="12" t="s">
        <v>596</v>
      </c>
      <c r="F88" s="12" t="s">
        <v>596</v>
      </c>
      <c r="G88" s="12" t="s">
        <v>596</v>
      </c>
      <c r="H88" s="12" t="s">
        <v>596</v>
      </c>
      <c r="I88" s="12" t="s">
        <v>596</v>
      </c>
      <c r="J88" s="12" t="s">
        <v>596</v>
      </c>
      <c r="K88" s="12" t="s">
        <v>596</v>
      </c>
      <c r="L88" s="12" t="s">
        <v>596</v>
      </c>
      <c r="M88" s="12" t="s">
        <v>596</v>
      </c>
      <c r="N88" s="12" t="s">
        <v>596</v>
      </c>
      <c r="O88" s="12" t="s">
        <v>596</v>
      </c>
      <c r="P88" s="12" t="s">
        <v>596</v>
      </c>
      <c r="Q88" s="12" t="s">
        <v>596</v>
      </c>
      <c r="R88" s="12" t="s">
        <v>596</v>
      </c>
      <c r="S88" s="12" t="s">
        <v>596</v>
      </c>
      <c r="T88" s="12" t="s">
        <v>596</v>
      </c>
      <c r="U88" s="12" t="s">
        <v>596</v>
      </c>
      <c r="V88" s="12" t="s">
        <v>596</v>
      </c>
      <c r="W88" s="12" t="s">
        <v>596</v>
      </c>
      <c r="X88" s="12" t="s">
        <v>596</v>
      </c>
      <c r="Y88" s="12" t="s">
        <v>596</v>
      </c>
      <c r="Z88" s="12" t="s">
        <v>596</v>
      </c>
      <c r="AA88" s="12" t="s">
        <v>596</v>
      </c>
      <c r="AB88" s="12" t="s">
        <v>596</v>
      </c>
      <c r="AC88" s="12" t="s">
        <v>596</v>
      </c>
      <c r="AD88" s="12" t="s">
        <v>596</v>
      </c>
      <c r="AE88" s="12" t="s">
        <v>596</v>
      </c>
      <c r="AF88" s="12" t="s">
        <v>596</v>
      </c>
      <c r="AG88" s="12" t="s">
        <v>596</v>
      </c>
      <c r="AH88" s="12" t="s">
        <v>596</v>
      </c>
      <c r="AI88" s="12" t="s">
        <v>596</v>
      </c>
      <c r="AJ88" s="12" t="s">
        <v>596</v>
      </c>
      <c r="AK88" s="12" t="s">
        <v>596</v>
      </c>
      <c r="AL88" s="12" t="s">
        <v>596</v>
      </c>
      <c r="AM88" s="12" t="s">
        <v>596</v>
      </c>
      <c r="AN88" s="12" t="s">
        <v>596</v>
      </c>
      <c r="AO88" s="12" t="s">
        <v>596</v>
      </c>
      <c r="AP88" s="12" t="s">
        <v>596</v>
      </c>
      <c r="AQ88" s="12" t="s">
        <v>596</v>
      </c>
      <c r="AR88" s="12" t="s">
        <v>596</v>
      </c>
      <c r="AS88" s="12" t="s">
        <v>596</v>
      </c>
      <c r="AT88" s="12" t="s">
        <v>596</v>
      </c>
      <c r="AU88" s="12" t="s">
        <v>596</v>
      </c>
      <c r="AV88" s="12" t="s">
        <v>596</v>
      </c>
      <c r="AW88" s="12" t="s">
        <v>597</v>
      </c>
      <c r="AX88" s="12" t="s">
        <v>597</v>
      </c>
      <c r="AY88" s="12" t="s">
        <v>599</v>
      </c>
      <c r="AZ88" s="12" t="s">
        <v>779</v>
      </c>
      <c r="BA88" s="12" t="s">
        <v>779</v>
      </c>
      <c r="BB88" s="12" t="s">
        <v>886</v>
      </c>
      <c r="BC88" s="12" t="s">
        <v>604</v>
      </c>
      <c r="BD88" s="12" t="s">
        <v>644</v>
      </c>
      <c r="BE88" s="12" t="s">
        <v>694</v>
      </c>
      <c r="BF88" s="12" t="s">
        <v>931</v>
      </c>
      <c r="BG88" s="12" t="s">
        <v>935</v>
      </c>
      <c r="BH88" s="12" t="s">
        <v>1064</v>
      </c>
      <c r="BI88" s="12" t="s">
        <v>972</v>
      </c>
      <c r="BJ88" s="12" t="s">
        <v>992</v>
      </c>
      <c r="BK88" s="12" t="s">
        <v>654</v>
      </c>
      <c r="BL88" s="12" t="s">
        <v>1435</v>
      </c>
      <c r="BM88" s="12" t="s">
        <v>891</v>
      </c>
      <c r="BN88" s="12" t="s">
        <v>792</v>
      </c>
      <c r="BO88" s="12" t="s">
        <v>1549</v>
      </c>
      <c r="BP88" s="12" t="s">
        <v>702</v>
      </c>
      <c r="BQ88" s="12" t="s">
        <v>1045</v>
      </c>
      <c r="BR88" s="12" t="s">
        <v>1513</v>
      </c>
      <c r="BS88" s="12" t="s">
        <v>1858</v>
      </c>
      <c r="BT88" s="12" t="s">
        <v>1228</v>
      </c>
      <c r="BU88" s="12" t="s">
        <v>1182</v>
      </c>
      <c r="BV88" s="12" t="s">
        <v>2053</v>
      </c>
      <c r="BW88" s="12" t="s">
        <v>1708</v>
      </c>
      <c r="BX88" s="12" t="s">
        <v>978</v>
      </c>
      <c r="BY88" s="12" t="s">
        <v>672</v>
      </c>
      <c r="BZ88" s="12" t="s">
        <v>983</v>
      </c>
      <c r="CA88" s="12" t="s">
        <v>706</v>
      </c>
      <c r="CB88" s="12" t="s">
        <v>675</v>
      </c>
      <c r="CC88" s="12" t="s">
        <v>1864</v>
      </c>
      <c r="CD88" s="12" t="s">
        <v>796</v>
      </c>
      <c r="CE88" s="12" t="s">
        <v>679</v>
      </c>
      <c r="CF88" s="12" t="s">
        <v>1723</v>
      </c>
      <c r="CG88" s="12" t="s">
        <v>1392</v>
      </c>
      <c r="CH88" s="12" t="s">
        <v>2189</v>
      </c>
      <c r="CI88" s="12" t="s">
        <v>2190</v>
      </c>
      <c r="CJ88" s="12" t="s">
        <v>1394</v>
      </c>
      <c r="CK88" s="12" t="s">
        <v>2004</v>
      </c>
      <c r="CL88" s="12" t="s">
        <v>2191</v>
      </c>
      <c r="CM88" s="12" t="s">
        <v>1541</v>
      </c>
      <c r="CN88" s="12" t="s">
        <v>1069</v>
      </c>
      <c r="CO88" s="12" t="s">
        <v>2192</v>
      </c>
      <c r="CP88" s="12" t="s">
        <v>2193</v>
      </c>
      <c r="CQ88" s="12" t="s">
        <v>897</v>
      </c>
      <c r="CR88" s="12" t="s">
        <v>2194</v>
      </c>
      <c r="CS88" s="12" t="s">
        <v>2195</v>
      </c>
      <c r="CT88" s="12" t="s">
        <v>2196</v>
      </c>
    </row>
    <row r="89" spans="1:98" hidden="1" x14ac:dyDescent="0.3">
      <c r="A89" s="12" t="s">
        <v>25</v>
      </c>
      <c r="B89" s="12" t="s">
        <v>2197</v>
      </c>
      <c r="C89" s="12" t="s">
        <v>2198</v>
      </c>
      <c r="D89" s="12" t="s">
        <v>2199</v>
      </c>
      <c r="E89" s="12" t="s">
        <v>596</v>
      </c>
      <c r="F89" s="12" t="s">
        <v>596</v>
      </c>
      <c r="G89" s="12" t="s">
        <v>596</v>
      </c>
      <c r="H89" s="12" t="s">
        <v>596</v>
      </c>
      <c r="I89" s="12" t="s">
        <v>596</v>
      </c>
      <c r="J89" s="12" t="s">
        <v>596</v>
      </c>
      <c r="K89" s="12" t="s">
        <v>596</v>
      </c>
      <c r="L89" s="12" t="s">
        <v>596</v>
      </c>
      <c r="M89" s="12" t="s">
        <v>596</v>
      </c>
      <c r="N89" s="12" t="s">
        <v>596</v>
      </c>
      <c r="O89" s="12" t="s">
        <v>596</v>
      </c>
      <c r="P89" s="12" t="s">
        <v>596</v>
      </c>
      <c r="Q89" s="12" t="s">
        <v>596</v>
      </c>
      <c r="R89" s="12" t="s">
        <v>596</v>
      </c>
      <c r="S89" s="12" t="s">
        <v>596</v>
      </c>
      <c r="T89" s="12" t="s">
        <v>596</v>
      </c>
      <c r="U89" s="12" t="s">
        <v>596</v>
      </c>
      <c r="V89" s="12" t="s">
        <v>596</v>
      </c>
      <c r="W89" s="12" t="s">
        <v>596</v>
      </c>
      <c r="X89" s="12" t="s">
        <v>596</v>
      </c>
      <c r="Y89" s="12" t="s">
        <v>596</v>
      </c>
      <c r="Z89" s="12" t="s">
        <v>596</v>
      </c>
      <c r="AA89" s="12" t="s">
        <v>596</v>
      </c>
      <c r="AB89" s="12" t="s">
        <v>596</v>
      </c>
      <c r="AC89" s="12" t="s">
        <v>596</v>
      </c>
      <c r="AD89" s="12" t="s">
        <v>596</v>
      </c>
      <c r="AE89" s="12" t="s">
        <v>596</v>
      </c>
      <c r="AF89" s="12" t="s">
        <v>596</v>
      </c>
      <c r="AG89" s="12" t="s">
        <v>596</v>
      </c>
      <c r="AH89" s="12" t="s">
        <v>596</v>
      </c>
      <c r="AI89" s="12" t="s">
        <v>596</v>
      </c>
      <c r="AJ89" s="12" t="s">
        <v>596</v>
      </c>
      <c r="AK89" s="12" t="s">
        <v>596</v>
      </c>
      <c r="AL89" s="12" t="s">
        <v>596</v>
      </c>
      <c r="AM89" s="12" t="s">
        <v>596</v>
      </c>
      <c r="AN89" s="12" t="s">
        <v>596</v>
      </c>
      <c r="AO89" s="12" t="s">
        <v>596</v>
      </c>
      <c r="AP89" s="12" t="s">
        <v>596</v>
      </c>
      <c r="AQ89" s="12" t="s">
        <v>596</v>
      </c>
      <c r="AR89" s="12" t="s">
        <v>596</v>
      </c>
      <c r="AS89" s="12" t="s">
        <v>596</v>
      </c>
      <c r="AT89" s="12" t="s">
        <v>596</v>
      </c>
      <c r="AU89" s="12" t="s">
        <v>596</v>
      </c>
      <c r="AV89" s="12" t="s">
        <v>596</v>
      </c>
      <c r="AW89" s="12" t="s">
        <v>596</v>
      </c>
      <c r="AX89" s="12" t="s">
        <v>596</v>
      </c>
      <c r="AY89" s="12" t="s">
        <v>596</v>
      </c>
      <c r="AZ89" s="12" t="s">
        <v>596</v>
      </c>
      <c r="BA89" s="12" t="s">
        <v>596</v>
      </c>
      <c r="BB89" s="12" t="s">
        <v>597</v>
      </c>
      <c r="BC89" s="12" t="s">
        <v>597</v>
      </c>
      <c r="BD89" s="12" t="s">
        <v>597</v>
      </c>
      <c r="BE89" s="12" t="s">
        <v>597</v>
      </c>
      <c r="BF89" s="12" t="s">
        <v>597</v>
      </c>
      <c r="BG89" s="12" t="s">
        <v>597</v>
      </c>
      <c r="BH89" s="12" t="s">
        <v>599</v>
      </c>
      <c r="BI89" s="12" t="s">
        <v>869</v>
      </c>
      <c r="BJ89" s="12" t="s">
        <v>779</v>
      </c>
      <c r="BK89" s="12" t="s">
        <v>779</v>
      </c>
      <c r="BL89" s="12" t="s">
        <v>774</v>
      </c>
      <c r="BM89" s="12" t="s">
        <v>774</v>
      </c>
      <c r="BN89" s="12" t="s">
        <v>775</v>
      </c>
      <c r="BO89" s="12" t="s">
        <v>1138</v>
      </c>
      <c r="BP89" s="12" t="s">
        <v>874</v>
      </c>
      <c r="BQ89" s="12" t="s">
        <v>877</v>
      </c>
      <c r="BR89" s="12" t="s">
        <v>1750</v>
      </c>
      <c r="BS89" s="12" t="s">
        <v>1750</v>
      </c>
      <c r="BT89" s="12" t="s">
        <v>999</v>
      </c>
      <c r="BU89" s="12" t="s">
        <v>1704</v>
      </c>
      <c r="BV89" s="12" t="s">
        <v>1752</v>
      </c>
      <c r="BW89" s="12" t="s">
        <v>1856</v>
      </c>
      <c r="BX89" s="12" t="s">
        <v>832</v>
      </c>
      <c r="BY89" s="12" t="s">
        <v>1181</v>
      </c>
      <c r="BZ89" s="12" t="s">
        <v>1834</v>
      </c>
      <c r="CA89" s="12" t="s">
        <v>1411</v>
      </c>
      <c r="CB89" s="12" t="s">
        <v>1299</v>
      </c>
      <c r="CC89" s="12" t="s">
        <v>618</v>
      </c>
      <c r="CD89" s="12" t="s">
        <v>1416</v>
      </c>
      <c r="CE89" s="12" t="s">
        <v>621</v>
      </c>
      <c r="CF89" s="12" t="s">
        <v>621</v>
      </c>
      <c r="CG89" s="12" t="s">
        <v>1302</v>
      </c>
      <c r="CH89" s="12" t="s">
        <v>1015</v>
      </c>
      <c r="CI89" s="12" t="s">
        <v>2004</v>
      </c>
      <c r="CJ89" s="12" t="s">
        <v>760</v>
      </c>
      <c r="CK89" s="12" t="s">
        <v>760</v>
      </c>
      <c r="CL89" s="12" t="s">
        <v>1305</v>
      </c>
      <c r="CM89" s="12" t="s">
        <v>1157</v>
      </c>
      <c r="CN89" s="12" t="s">
        <v>2200</v>
      </c>
      <c r="CO89" s="12" t="s">
        <v>709</v>
      </c>
      <c r="CP89" s="12" t="s">
        <v>709</v>
      </c>
      <c r="CQ89" s="12" t="s">
        <v>2201</v>
      </c>
      <c r="CR89" s="12" t="s">
        <v>2202</v>
      </c>
      <c r="CS89" s="12" t="s">
        <v>1918</v>
      </c>
      <c r="CT89" s="12" t="s">
        <v>2203</v>
      </c>
    </row>
    <row r="90" spans="1:98" hidden="1" x14ac:dyDescent="0.3">
      <c r="A90" s="12" t="s">
        <v>25</v>
      </c>
      <c r="B90" s="12" t="s">
        <v>2204</v>
      </c>
      <c r="C90" s="12" t="s">
        <v>2205</v>
      </c>
      <c r="D90" s="12" t="s">
        <v>2206</v>
      </c>
      <c r="E90" s="12" t="s">
        <v>596</v>
      </c>
      <c r="F90" s="12" t="s">
        <v>596</v>
      </c>
      <c r="G90" s="12" t="s">
        <v>596</v>
      </c>
      <c r="H90" s="12" t="s">
        <v>596</v>
      </c>
      <c r="I90" s="12" t="s">
        <v>596</v>
      </c>
      <c r="J90" s="12" t="s">
        <v>596</v>
      </c>
      <c r="K90" s="12" t="s">
        <v>596</v>
      </c>
      <c r="L90" s="12" t="s">
        <v>596</v>
      </c>
      <c r="M90" s="12" t="s">
        <v>596</v>
      </c>
      <c r="N90" s="12" t="s">
        <v>596</v>
      </c>
      <c r="O90" s="12" t="s">
        <v>596</v>
      </c>
      <c r="P90" s="12" t="s">
        <v>596</v>
      </c>
      <c r="Q90" s="12" t="s">
        <v>596</v>
      </c>
      <c r="R90" s="12" t="s">
        <v>596</v>
      </c>
      <c r="S90" s="12" t="s">
        <v>596</v>
      </c>
      <c r="T90" s="12" t="s">
        <v>596</v>
      </c>
      <c r="U90" s="12" t="s">
        <v>596</v>
      </c>
      <c r="V90" s="12" t="s">
        <v>596</v>
      </c>
      <c r="W90" s="12" t="s">
        <v>596</v>
      </c>
      <c r="X90" s="12" t="s">
        <v>596</v>
      </c>
      <c r="Y90" s="12" t="s">
        <v>596</v>
      </c>
      <c r="Z90" s="12" t="s">
        <v>596</v>
      </c>
      <c r="AA90" s="12" t="s">
        <v>596</v>
      </c>
      <c r="AB90" s="12" t="s">
        <v>596</v>
      </c>
      <c r="AC90" s="12" t="s">
        <v>596</v>
      </c>
      <c r="AD90" s="12" t="s">
        <v>596</v>
      </c>
      <c r="AE90" s="12" t="s">
        <v>596</v>
      </c>
      <c r="AF90" s="12" t="s">
        <v>596</v>
      </c>
      <c r="AG90" s="12" t="s">
        <v>596</v>
      </c>
      <c r="AH90" s="12" t="s">
        <v>596</v>
      </c>
      <c r="AI90" s="12" t="s">
        <v>596</v>
      </c>
      <c r="AJ90" s="12" t="s">
        <v>596</v>
      </c>
      <c r="AK90" s="12" t="s">
        <v>596</v>
      </c>
      <c r="AL90" s="12" t="s">
        <v>596</v>
      </c>
      <c r="AM90" s="12" t="s">
        <v>597</v>
      </c>
      <c r="AN90" s="12" t="s">
        <v>690</v>
      </c>
      <c r="AO90" s="12" t="s">
        <v>690</v>
      </c>
      <c r="AP90" s="12" t="s">
        <v>599</v>
      </c>
      <c r="AQ90" s="12" t="s">
        <v>869</v>
      </c>
      <c r="AR90" s="12" t="s">
        <v>600</v>
      </c>
      <c r="AS90" s="12" t="s">
        <v>600</v>
      </c>
      <c r="AT90" s="12" t="s">
        <v>779</v>
      </c>
      <c r="AU90" s="12" t="s">
        <v>642</v>
      </c>
      <c r="AV90" s="12" t="s">
        <v>642</v>
      </c>
      <c r="AW90" s="12" t="s">
        <v>601</v>
      </c>
      <c r="AX90" s="12" t="s">
        <v>643</v>
      </c>
      <c r="AY90" s="12" t="s">
        <v>643</v>
      </c>
      <c r="AZ90" s="12" t="s">
        <v>643</v>
      </c>
      <c r="BA90" s="12" t="s">
        <v>774</v>
      </c>
      <c r="BB90" s="12" t="s">
        <v>692</v>
      </c>
      <c r="BC90" s="12" t="s">
        <v>692</v>
      </c>
      <c r="BD90" s="12" t="s">
        <v>870</v>
      </c>
      <c r="BE90" s="12" t="s">
        <v>646</v>
      </c>
      <c r="BF90" s="12" t="s">
        <v>1009</v>
      </c>
      <c r="BG90" s="12" t="s">
        <v>1010</v>
      </c>
      <c r="BH90" s="12" t="s">
        <v>888</v>
      </c>
      <c r="BI90" s="12" t="s">
        <v>1202</v>
      </c>
      <c r="BJ90" s="12" t="s">
        <v>882</v>
      </c>
      <c r="BK90" s="12" t="s">
        <v>791</v>
      </c>
      <c r="BL90" s="12" t="s">
        <v>1622</v>
      </c>
      <c r="BM90" s="12" t="s">
        <v>1510</v>
      </c>
      <c r="BN90" s="12" t="s">
        <v>1627</v>
      </c>
      <c r="BO90" s="12" t="s">
        <v>2207</v>
      </c>
      <c r="BP90" s="12" t="s">
        <v>1717</v>
      </c>
      <c r="BQ90" s="12" t="s">
        <v>1053</v>
      </c>
      <c r="BR90" s="12" t="s">
        <v>1730</v>
      </c>
      <c r="BS90" s="12" t="s">
        <v>2208</v>
      </c>
      <c r="BT90" s="12" t="s">
        <v>766</v>
      </c>
      <c r="BU90" s="12" t="s">
        <v>2209</v>
      </c>
      <c r="BV90" s="12" t="s">
        <v>2210</v>
      </c>
      <c r="BW90" s="12" t="s">
        <v>2211</v>
      </c>
      <c r="BX90" s="12" t="s">
        <v>1989</v>
      </c>
      <c r="BY90" s="12" t="s">
        <v>2212</v>
      </c>
      <c r="BZ90" s="12" t="s">
        <v>2213</v>
      </c>
      <c r="CA90" s="12" t="s">
        <v>2214</v>
      </c>
      <c r="CB90" s="12" t="s">
        <v>2215</v>
      </c>
      <c r="CC90" s="12" t="s">
        <v>2216</v>
      </c>
      <c r="CD90" s="12" t="s">
        <v>1039</v>
      </c>
      <c r="CE90" s="12" t="s">
        <v>2217</v>
      </c>
      <c r="CF90" s="12" t="s">
        <v>2218</v>
      </c>
      <c r="CG90" s="12" t="s">
        <v>2219</v>
      </c>
      <c r="CH90" s="12" t="s">
        <v>2220</v>
      </c>
      <c r="CI90" s="12" t="s">
        <v>2221</v>
      </c>
      <c r="CJ90" s="12" t="s">
        <v>2222</v>
      </c>
      <c r="CK90" s="12" t="s">
        <v>2223</v>
      </c>
      <c r="CL90" s="12" t="s">
        <v>903</v>
      </c>
      <c r="CM90" s="12" t="s">
        <v>2224</v>
      </c>
      <c r="CN90" s="12" t="s">
        <v>2225</v>
      </c>
      <c r="CO90" s="12" t="s">
        <v>2226</v>
      </c>
      <c r="CP90" s="12" t="s">
        <v>1172</v>
      </c>
      <c r="CQ90" s="12" t="s">
        <v>2227</v>
      </c>
      <c r="CR90" s="12" t="s">
        <v>2228</v>
      </c>
      <c r="CS90" s="12" t="s">
        <v>1210</v>
      </c>
      <c r="CT90" s="12" t="s">
        <v>2229</v>
      </c>
    </row>
    <row r="91" spans="1:98" hidden="1" x14ac:dyDescent="0.3">
      <c r="A91" s="12" t="s">
        <v>25</v>
      </c>
      <c r="B91" s="12" t="s">
        <v>2230</v>
      </c>
      <c r="C91" s="12" t="s">
        <v>2231</v>
      </c>
      <c r="D91" s="12" t="s">
        <v>2231</v>
      </c>
      <c r="E91" s="12" t="s">
        <v>596</v>
      </c>
      <c r="F91" s="12" t="s">
        <v>596</v>
      </c>
      <c r="G91" s="12" t="s">
        <v>596</v>
      </c>
      <c r="H91" s="12" t="s">
        <v>596</v>
      </c>
      <c r="I91" s="12" t="s">
        <v>596</v>
      </c>
      <c r="J91" s="12" t="s">
        <v>596</v>
      </c>
      <c r="K91" s="12" t="s">
        <v>596</v>
      </c>
      <c r="L91" s="12" t="s">
        <v>596</v>
      </c>
      <c r="M91" s="12" t="s">
        <v>596</v>
      </c>
      <c r="N91" s="12" t="s">
        <v>596</v>
      </c>
      <c r="O91" s="12" t="s">
        <v>596</v>
      </c>
      <c r="P91" s="12" t="s">
        <v>596</v>
      </c>
      <c r="Q91" s="12" t="s">
        <v>596</v>
      </c>
      <c r="R91" s="12" t="s">
        <v>596</v>
      </c>
      <c r="S91" s="12" t="s">
        <v>596</v>
      </c>
      <c r="T91" s="12" t="s">
        <v>596</v>
      </c>
      <c r="U91" s="12" t="s">
        <v>937</v>
      </c>
      <c r="V91" s="12" t="s">
        <v>937</v>
      </c>
      <c r="W91" s="12" t="s">
        <v>651</v>
      </c>
      <c r="X91" s="12" t="s">
        <v>1374</v>
      </c>
      <c r="Y91" s="12" t="s">
        <v>1374</v>
      </c>
      <c r="Z91" s="12" t="s">
        <v>1044</v>
      </c>
      <c r="AA91" s="12" t="s">
        <v>1044</v>
      </c>
      <c r="AB91" s="12" t="s">
        <v>1181</v>
      </c>
      <c r="AC91" s="12" t="s">
        <v>1147</v>
      </c>
      <c r="AD91" s="12" t="s">
        <v>1013</v>
      </c>
      <c r="AE91" s="12" t="s">
        <v>706</v>
      </c>
      <c r="AF91" s="12" t="s">
        <v>1420</v>
      </c>
      <c r="AG91" s="12" t="s">
        <v>1183</v>
      </c>
      <c r="AH91" s="12" t="s">
        <v>684</v>
      </c>
      <c r="AI91" s="12" t="s">
        <v>684</v>
      </c>
      <c r="AJ91" s="12" t="s">
        <v>684</v>
      </c>
      <c r="AK91" s="12" t="s">
        <v>2232</v>
      </c>
      <c r="AL91" s="12" t="s">
        <v>2232</v>
      </c>
      <c r="AM91" s="12" t="s">
        <v>2232</v>
      </c>
      <c r="AN91" s="12" t="s">
        <v>2233</v>
      </c>
      <c r="AO91" s="12" t="s">
        <v>2233</v>
      </c>
      <c r="AP91" s="12" t="s">
        <v>2233</v>
      </c>
      <c r="AQ91" s="12" t="s">
        <v>2233</v>
      </c>
      <c r="AR91" s="12" t="s">
        <v>2233</v>
      </c>
      <c r="AS91" s="12" t="s">
        <v>2233</v>
      </c>
      <c r="AT91" s="12" t="s">
        <v>2234</v>
      </c>
      <c r="AU91" s="12" t="s">
        <v>2234</v>
      </c>
      <c r="AV91" s="12" t="s">
        <v>2234</v>
      </c>
      <c r="AW91" s="12" t="s">
        <v>2234</v>
      </c>
      <c r="AX91" s="12" t="s">
        <v>2234</v>
      </c>
      <c r="AY91" s="12" t="s">
        <v>2234</v>
      </c>
      <c r="AZ91" s="12" t="s">
        <v>2234</v>
      </c>
      <c r="BA91" s="12" t="s">
        <v>2234</v>
      </c>
      <c r="BB91" s="12" t="s">
        <v>2234</v>
      </c>
      <c r="BC91" s="12" t="s">
        <v>2234</v>
      </c>
      <c r="BD91" s="12" t="s">
        <v>2234</v>
      </c>
      <c r="BE91" s="12" t="s">
        <v>2234</v>
      </c>
      <c r="BF91" s="12" t="s">
        <v>2234</v>
      </c>
      <c r="BG91" s="12" t="s">
        <v>2234</v>
      </c>
      <c r="BH91" s="12" t="s">
        <v>2234</v>
      </c>
      <c r="BI91" s="12" t="s">
        <v>2235</v>
      </c>
      <c r="BJ91" s="12" t="s">
        <v>2235</v>
      </c>
      <c r="BK91" s="12" t="s">
        <v>2235</v>
      </c>
      <c r="BL91" s="12" t="s">
        <v>2235</v>
      </c>
      <c r="BM91" s="12" t="s">
        <v>2235</v>
      </c>
      <c r="BN91" s="12" t="s">
        <v>2235</v>
      </c>
      <c r="BO91" s="12" t="s">
        <v>2235</v>
      </c>
      <c r="BP91" s="12" t="s">
        <v>2235</v>
      </c>
      <c r="BQ91" s="12" t="s">
        <v>2235</v>
      </c>
      <c r="BR91" s="12" t="s">
        <v>2235</v>
      </c>
      <c r="BS91" s="12" t="s">
        <v>2235</v>
      </c>
      <c r="BT91" s="12" t="s">
        <v>2235</v>
      </c>
      <c r="BU91" s="12" t="s">
        <v>2235</v>
      </c>
      <c r="BV91" s="12" t="s">
        <v>2235</v>
      </c>
      <c r="BW91" s="12" t="s">
        <v>2235</v>
      </c>
      <c r="BX91" s="12" t="s">
        <v>2235</v>
      </c>
      <c r="BY91" s="12" t="s">
        <v>2235</v>
      </c>
      <c r="BZ91" s="12" t="s">
        <v>2235</v>
      </c>
      <c r="CA91" s="12" t="s">
        <v>2235</v>
      </c>
      <c r="CB91" s="12" t="s">
        <v>2235</v>
      </c>
      <c r="CC91" s="12" t="s">
        <v>2235</v>
      </c>
      <c r="CD91" s="12" t="s">
        <v>2235</v>
      </c>
      <c r="CE91" s="12" t="s">
        <v>2235</v>
      </c>
      <c r="CF91" s="12" t="s">
        <v>2235</v>
      </c>
      <c r="CG91" s="12" t="s">
        <v>2235</v>
      </c>
      <c r="CH91" s="12" t="s">
        <v>2235</v>
      </c>
      <c r="CI91" s="12" t="s">
        <v>2235</v>
      </c>
      <c r="CJ91" s="12" t="s">
        <v>2235</v>
      </c>
      <c r="CK91" s="12" t="s">
        <v>2235</v>
      </c>
      <c r="CL91" s="12" t="s">
        <v>2235</v>
      </c>
      <c r="CM91" s="12" t="s">
        <v>2235</v>
      </c>
      <c r="CN91" s="12" t="s">
        <v>2235</v>
      </c>
      <c r="CO91" s="12" t="s">
        <v>2235</v>
      </c>
      <c r="CP91" s="12" t="s">
        <v>2235</v>
      </c>
      <c r="CQ91" s="12" t="s">
        <v>2235</v>
      </c>
      <c r="CR91" s="12" t="s">
        <v>2235</v>
      </c>
      <c r="CS91" s="12" t="s">
        <v>2235</v>
      </c>
      <c r="CT91" s="12" t="s">
        <v>2235</v>
      </c>
    </row>
    <row r="92" spans="1:98" hidden="1" x14ac:dyDescent="0.3">
      <c r="A92" s="12" t="s">
        <v>25</v>
      </c>
      <c r="B92" s="12" t="s">
        <v>2236</v>
      </c>
      <c r="C92" s="12" t="s">
        <v>2237</v>
      </c>
      <c r="D92" s="12" t="s">
        <v>2238</v>
      </c>
      <c r="E92" s="12" t="s">
        <v>596</v>
      </c>
      <c r="F92" s="12" t="s">
        <v>596</v>
      </c>
      <c r="G92" s="12" t="s">
        <v>596</v>
      </c>
      <c r="H92" s="12" t="s">
        <v>596</v>
      </c>
      <c r="I92" s="12" t="s">
        <v>596</v>
      </c>
      <c r="J92" s="12" t="s">
        <v>596</v>
      </c>
      <c r="K92" s="12" t="s">
        <v>596</v>
      </c>
      <c r="L92" s="12" t="s">
        <v>596</v>
      </c>
      <c r="M92" s="12" t="s">
        <v>596</v>
      </c>
      <c r="N92" s="12" t="s">
        <v>596</v>
      </c>
      <c r="O92" s="12" t="s">
        <v>596</v>
      </c>
      <c r="P92" s="12" t="s">
        <v>596</v>
      </c>
      <c r="Q92" s="12" t="s">
        <v>596</v>
      </c>
      <c r="R92" s="12" t="s">
        <v>596</v>
      </c>
      <c r="S92" s="12" t="s">
        <v>596</v>
      </c>
      <c r="T92" s="12" t="s">
        <v>596</v>
      </c>
      <c r="U92" s="12" t="s">
        <v>596</v>
      </c>
      <c r="V92" s="12" t="s">
        <v>596</v>
      </c>
      <c r="W92" s="12" t="s">
        <v>596</v>
      </c>
      <c r="X92" s="12" t="s">
        <v>596</v>
      </c>
      <c r="Y92" s="12" t="s">
        <v>596</v>
      </c>
      <c r="Z92" s="12" t="s">
        <v>596</v>
      </c>
      <c r="AA92" s="12" t="s">
        <v>596</v>
      </c>
      <c r="AB92" s="12" t="s">
        <v>596</v>
      </c>
      <c r="AC92" s="12" t="s">
        <v>596</v>
      </c>
      <c r="AD92" s="12" t="s">
        <v>596</v>
      </c>
      <c r="AE92" s="12" t="s">
        <v>596</v>
      </c>
      <c r="AF92" s="12" t="s">
        <v>596</v>
      </c>
      <c r="AG92" s="12" t="s">
        <v>596</v>
      </c>
      <c r="AH92" s="12" t="s">
        <v>596</v>
      </c>
      <c r="AI92" s="12" t="s">
        <v>596</v>
      </c>
      <c r="AJ92" s="12" t="s">
        <v>596</v>
      </c>
      <c r="AK92" s="12" t="s">
        <v>596</v>
      </c>
      <c r="AL92" s="12" t="s">
        <v>596</v>
      </c>
      <c r="AM92" s="12" t="s">
        <v>596</v>
      </c>
      <c r="AN92" s="12" t="s">
        <v>596</v>
      </c>
      <c r="AO92" s="12" t="s">
        <v>596</v>
      </c>
      <c r="AP92" s="12" t="s">
        <v>596</v>
      </c>
      <c r="AQ92" s="12" t="s">
        <v>596</v>
      </c>
      <c r="AR92" s="12" t="s">
        <v>596</v>
      </c>
      <c r="AS92" s="12" t="s">
        <v>596</v>
      </c>
      <c r="AT92" s="12" t="s">
        <v>596</v>
      </c>
      <c r="AU92" s="12" t="s">
        <v>596</v>
      </c>
      <c r="AV92" s="12" t="s">
        <v>596</v>
      </c>
      <c r="AW92" s="12" t="s">
        <v>596</v>
      </c>
      <c r="AX92" s="12" t="s">
        <v>596</v>
      </c>
      <c r="AY92" s="12" t="s">
        <v>596</v>
      </c>
      <c r="AZ92" s="12" t="s">
        <v>596</v>
      </c>
      <c r="BA92" s="12" t="s">
        <v>596</v>
      </c>
      <c r="BB92" s="12" t="s">
        <v>596</v>
      </c>
      <c r="BC92" s="12" t="s">
        <v>690</v>
      </c>
      <c r="BD92" s="12" t="s">
        <v>598</v>
      </c>
      <c r="BE92" s="12" t="s">
        <v>598</v>
      </c>
      <c r="BF92" s="12" t="s">
        <v>598</v>
      </c>
      <c r="BG92" s="12" t="s">
        <v>598</v>
      </c>
      <c r="BH92" s="12" t="s">
        <v>599</v>
      </c>
      <c r="BI92" s="12" t="s">
        <v>600</v>
      </c>
      <c r="BJ92" s="12" t="s">
        <v>601</v>
      </c>
      <c r="BK92" s="12" t="s">
        <v>602</v>
      </c>
      <c r="BL92" s="12" t="s">
        <v>603</v>
      </c>
      <c r="BM92" s="12" t="s">
        <v>935</v>
      </c>
      <c r="BN92" s="12" t="s">
        <v>606</v>
      </c>
      <c r="BO92" s="12" t="s">
        <v>696</v>
      </c>
      <c r="BP92" s="12" t="s">
        <v>1010</v>
      </c>
      <c r="BQ92" s="12" t="s">
        <v>973</v>
      </c>
      <c r="BR92" s="12" t="s">
        <v>874</v>
      </c>
      <c r="BS92" s="12" t="s">
        <v>1436</v>
      </c>
      <c r="BT92" s="12" t="s">
        <v>701</v>
      </c>
      <c r="BU92" s="12" t="s">
        <v>612</v>
      </c>
      <c r="BV92" s="12" t="s">
        <v>658</v>
      </c>
      <c r="BW92" s="12" t="s">
        <v>660</v>
      </c>
      <c r="BX92" s="12" t="s">
        <v>1441</v>
      </c>
      <c r="BY92" s="12" t="s">
        <v>2239</v>
      </c>
      <c r="BZ92" s="12" t="s">
        <v>1413</v>
      </c>
      <c r="CA92" s="12" t="s">
        <v>1629</v>
      </c>
      <c r="CB92" s="12" t="s">
        <v>1764</v>
      </c>
      <c r="CC92" s="12" t="s">
        <v>978</v>
      </c>
      <c r="CD92" s="12" t="s">
        <v>1387</v>
      </c>
      <c r="CE92" s="12" t="s">
        <v>1152</v>
      </c>
      <c r="CF92" s="12" t="s">
        <v>757</v>
      </c>
      <c r="CG92" s="12" t="s">
        <v>2240</v>
      </c>
      <c r="CH92" s="12" t="s">
        <v>897</v>
      </c>
      <c r="CI92" s="12" t="s">
        <v>2241</v>
      </c>
      <c r="CJ92" s="12" t="s">
        <v>2242</v>
      </c>
      <c r="CK92" s="12" t="s">
        <v>2243</v>
      </c>
      <c r="CL92" s="12" t="s">
        <v>1913</v>
      </c>
      <c r="CM92" s="12" t="s">
        <v>2244</v>
      </c>
      <c r="CN92" s="12" t="s">
        <v>710</v>
      </c>
      <c r="CO92" s="12" t="s">
        <v>1920</v>
      </c>
      <c r="CP92" s="12" t="s">
        <v>2245</v>
      </c>
      <c r="CQ92" s="12" t="s">
        <v>2246</v>
      </c>
      <c r="CR92" s="12" t="s">
        <v>2247</v>
      </c>
      <c r="CS92" s="12" t="s">
        <v>2248</v>
      </c>
      <c r="CT92" s="12" t="s">
        <v>1318</v>
      </c>
    </row>
    <row r="93" spans="1:98" hidden="1" x14ac:dyDescent="0.3">
      <c r="A93" s="12" t="s">
        <v>25</v>
      </c>
      <c r="B93" s="12" t="s">
        <v>2249</v>
      </c>
      <c r="C93" s="12" t="s">
        <v>2250</v>
      </c>
      <c r="D93" s="12" t="s">
        <v>2251</v>
      </c>
      <c r="E93" s="12" t="s">
        <v>596</v>
      </c>
      <c r="F93" s="12" t="s">
        <v>596</v>
      </c>
      <c r="G93" s="12" t="s">
        <v>596</v>
      </c>
      <c r="H93" s="12" t="s">
        <v>596</v>
      </c>
      <c r="I93" s="12" t="s">
        <v>596</v>
      </c>
      <c r="J93" s="12" t="s">
        <v>596</v>
      </c>
      <c r="K93" s="12" t="s">
        <v>596</v>
      </c>
      <c r="L93" s="12" t="s">
        <v>596</v>
      </c>
      <c r="M93" s="12" t="s">
        <v>596</v>
      </c>
      <c r="N93" s="12" t="s">
        <v>596</v>
      </c>
      <c r="O93" s="12" t="s">
        <v>596</v>
      </c>
      <c r="P93" s="12" t="s">
        <v>596</v>
      </c>
      <c r="Q93" s="12" t="s">
        <v>596</v>
      </c>
      <c r="R93" s="12" t="s">
        <v>596</v>
      </c>
      <c r="S93" s="12" t="s">
        <v>596</v>
      </c>
      <c r="T93" s="12" t="s">
        <v>596</v>
      </c>
      <c r="U93" s="12" t="s">
        <v>596</v>
      </c>
      <c r="V93" s="12" t="s">
        <v>596</v>
      </c>
      <c r="W93" s="12" t="s">
        <v>596</v>
      </c>
      <c r="X93" s="12" t="s">
        <v>596</v>
      </c>
      <c r="Y93" s="12" t="s">
        <v>596</v>
      </c>
      <c r="Z93" s="12" t="s">
        <v>596</v>
      </c>
      <c r="AA93" s="12" t="s">
        <v>596</v>
      </c>
      <c r="AB93" s="12" t="s">
        <v>596</v>
      </c>
      <c r="AC93" s="12" t="s">
        <v>596</v>
      </c>
      <c r="AD93" s="12" t="s">
        <v>596</v>
      </c>
      <c r="AE93" s="12" t="s">
        <v>596</v>
      </c>
      <c r="AF93" s="12" t="s">
        <v>596</v>
      </c>
      <c r="AG93" s="12" t="s">
        <v>596</v>
      </c>
      <c r="AH93" s="12" t="s">
        <v>596</v>
      </c>
      <c r="AI93" s="12" t="s">
        <v>596</v>
      </c>
      <c r="AJ93" s="12" t="s">
        <v>596</v>
      </c>
      <c r="AK93" s="12" t="s">
        <v>596</v>
      </c>
      <c r="AL93" s="12" t="s">
        <v>596</v>
      </c>
      <c r="AM93" s="12" t="s">
        <v>596</v>
      </c>
      <c r="AN93" s="12" t="s">
        <v>596</v>
      </c>
      <c r="AO93" s="12" t="s">
        <v>596</v>
      </c>
      <c r="AP93" s="12" t="s">
        <v>596</v>
      </c>
      <c r="AQ93" s="12" t="s">
        <v>596</v>
      </c>
      <c r="AR93" s="12" t="s">
        <v>596</v>
      </c>
      <c r="AS93" s="12" t="s">
        <v>596</v>
      </c>
      <c r="AT93" s="12" t="s">
        <v>596</v>
      </c>
      <c r="AU93" s="12" t="s">
        <v>596</v>
      </c>
      <c r="AV93" s="12" t="s">
        <v>596</v>
      </c>
      <c r="AW93" s="12" t="s">
        <v>596</v>
      </c>
      <c r="AX93" s="12" t="s">
        <v>596</v>
      </c>
      <c r="AY93" s="12" t="s">
        <v>596</v>
      </c>
      <c r="AZ93" s="12" t="s">
        <v>641</v>
      </c>
      <c r="BA93" s="12" t="s">
        <v>690</v>
      </c>
      <c r="BB93" s="12" t="s">
        <v>869</v>
      </c>
      <c r="BC93" s="12" t="s">
        <v>869</v>
      </c>
      <c r="BD93" s="12" t="s">
        <v>774</v>
      </c>
      <c r="BE93" s="12" t="s">
        <v>694</v>
      </c>
      <c r="BF93" s="12" t="s">
        <v>694</v>
      </c>
      <c r="BG93" s="12" t="s">
        <v>645</v>
      </c>
      <c r="BH93" s="12" t="s">
        <v>936</v>
      </c>
      <c r="BI93" s="12" t="s">
        <v>1009</v>
      </c>
      <c r="BJ93" s="12" t="s">
        <v>973</v>
      </c>
      <c r="BK93" s="12" t="s">
        <v>973</v>
      </c>
      <c r="BL93" s="12" t="s">
        <v>608</v>
      </c>
      <c r="BM93" s="12" t="s">
        <v>1143</v>
      </c>
      <c r="BN93" s="12" t="s">
        <v>1518</v>
      </c>
      <c r="BO93" s="12" t="s">
        <v>1768</v>
      </c>
      <c r="BP93" s="12" t="s">
        <v>1279</v>
      </c>
      <c r="BQ93" s="12" t="s">
        <v>657</v>
      </c>
      <c r="BR93" s="12" t="s">
        <v>1328</v>
      </c>
      <c r="BS93" s="12" t="s">
        <v>1752</v>
      </c>
      <c r="BT93" s="12" t="s">
        <v>1144</v>
      </c>
      <c r="BU93" s="12" t="s">
        <v>703</v>
      </c>
      <c r="BV93" s="12" t="s">
        <v>1512</v>
      </c>
      <c r="BW93" s="12" t="s">
        <v>1629</v>
      </c>
      <c r="BX93" s="12" t="s">
        <v>1906</v>
      </c>
      <c r="BY93" s="12" t="s">
        <v>978</v>
      </c>
      <c r="BZ93" s="12" t="s">
        <v>1716</v>
      </c>
      <c r="CA93" s="12" t="s">
        <v>674</v>
      </c>
      <c r="CB93" s="12" t="s">
        <v>1287</v>
      </c>
      <c r="CC93" s="12" t="s">
        <v>677</v>
      </c>
      <c r="CD93" s="12" t="s">
        <v>2084</v>
      </c>
      <c r="CE93" s="12" t="s">
        <v>757</v>
      </c>
      <c r="CF93" s="12" t="s">
        <v>2189</v>
      </c>
      <c r="CG93" s="12" t="s">
        <v>1426</v>
      </c>
      <c r="CH93" s="12" t="s">
        <v>2006</v>
      </c>
      <c r="CI93" s="12" t="s">
        <v>2193</v>
      </c>
      <c r="CJ93" s="12" t="s">
        <v>2252</v>
      </c>
      <c r="CK93" s="12" t="s">
        <v>2253</v>
      </c>
      <c r="CL93" s="12" t="s">
        <v>2254</v>
      </c>
      <c r="CM93" s="12" t="s">
        <v>2057</v>
      </c>
      <c r="CN93" s="12" t="s">
        <v>1924</v>
      </c>
      <c r="CO93" s="12" t="s">
        <v>2062</v>
      </c>
      <c r="CP93" s="12" t="s">
        <v>1544</v>
      </c>
      <c r="CQ93" s="12" t="s">
        <v>628</v>
      </c>
      <c r="CR93" s="12" t="s">
        <v>2209</v>
      </c>
      <c r="CS93" s="12" t="s">
        <v>2255</v>
      </c>
      <c r="CT93" s="12" t="s">
        <v>1308</v>
      </c>
    </row>
    <row r="94" spans="1:98" hidden="1" x14ac:dyDescent="0.3">
      <c r="A94" s="12" t="s">
        <v>25</v>
      </c>
      <c r="B94" s="12" t="s">
        <v>2256</v>
      </c>
      <c r="C94" s="12" t="s">
        <v>2257</v>
      </c>
      <c r="D94" s="12" t="s">
        <v>2258</v>
      </c>
      <c r="E94" s="12" t="s">
        <v>596</v>
      </c>
      <c r="F94" s="12" t="s">
        <v>596</v>
      </c>
      <c r="G94" s="12" t="s">
        <v>596</v>
      </c>
      <c r="H94" s="12" t="s">
        <v>596</v>
      </c>
      <c r="I94" s="12" t="s">
        <v>596</v>
      </c>
      <c r="J94" s="12" t="s">
        <v>596</v>
      </c>
      <c r="K94" s="12" t="s">
        <v>596</v>
      </c>
      <c r="L94" s="12" t="s">
        <v>596</v>
      </c>
      <c r="M94" s="12" t="s">
        <v>596</v>
      </c>
      <c r="N94" s="12" t="s">
        <v>596</v>
      </c>
      <c r="O94" s="12" t="s">
        <v>596</v>
      </c>
      <c r="P94" s="12" t="s">
        <v>596</v>
      </c>
      <c r="Q94" s="12" t="s">
        <v>596</v>
      </c>
      <c r="R94" s="12" t="s">
        <v>596</v>
      </c>
      <c r="S94" s="12" t="s">
        <v>596</v>
      </c>
      <c r="T94" s="12" t="s">
        <v>596</v>
      </c>
      <c r="U94" s="12" t="s">
        <v>596</v>
      </c>
      <c r="V94" s="12" t="s">
        <v>596</v>
      </c>
      <c r="W94" s="12" t="s">
        <v>596</v>
      </c>
      <c r="X94" s="12" t="s">
        <v>596</v>
      </c>
      <c r="Y94" s="12" t="s">
        <v>596</v>
      </c>
      <c r="Z94" s="12" t="s">
        <v>596</v>
      </c>
      <c r="AA94" s="12" t="s">
        <v>596</v>
      </c>
      <c r="AB94" s="12" t="s">
        <v>596</v>
      </c>
      <c r="AC94" s="12" t="s">
        <v>596</v>
      </c>
      <c r="AD94" s="12" t="s">
        <v>596</v>
      </c>
      <c r="AE94" s="12" t="s">
        <v>596</v>
      </c>
      <c r="AF94" s="12" t="s">
        <v>596</v>
      </c>
      <c r="AG94" s="12" t="s">
        <v>596</v>
      </c>
      <c r="AH94" s="12" t="s">
        <v>596</v>
      </c>
      <c r="AI94" s="12" t="s">
        <v>596</v>
      </c>
      <c r="AJ94" s="12" t="s">
        <v>596</v>
      </c>
      <c r="AK94" s="12" t="s">
        <v>596</v>
      </c>
      <c r="AL94" s="12" t="s">
        <v>596</v>
      </c>
      <c r="AM94" s="12" t="s">
        <v>596</v>
      </c>
      <c r="AN94" s="12" t="s">
        <v>596</v>
      </c>
      <c r="AO94" s="12" t="s">
        <v>596</v>
      </c>
      <c r="AP94" s="12" t="s">
        <v>596</v>
      </c>
      <c r="AQ94" s="12" t="s">
        <v>596</v>
      </c>
      <c r="AR94" s="12" t="s">
        <v>690</v>
      </c>
      <c r="AS94" s="12" t="s">
        <v>690</v>
      </c>
      <c r="AT94" s="12" t="s">
        <v>599</v>
      </c>
      <c r="AU94" s="12" t="s">
        <v>773</v>
      </c>
      <c r="AV94" s="12" t="s">
        <v>643</v>
      </c>
      <c r="AW94" s="12" t="s">
        <v>826</v>
      </c>
      <c r="AX94" s="12" t="s">
        <v>692</v>
      </c>
      <c r="AY94" s="12" t="s">
        <v>784</v>
      </c>
      <c r="AZ94" s="12" t="s">
        <v>784</v>
      </c>
      <c r="BA94" s="12" t="s">
        <v>1064</v>
      </c>
      <c r="BB94" s="12" t="s">
        <v>875</v>
      </c>
      <c r="BC94" s="12" t="s">
        <v>609</v>
      </c>
      <c r="BD94" s="12" t="s">
        <v>2031</v>
      </c>
      <c r="BE94" s="12" t="s">
        <v>1994</v>
      </c>
      <c r="BF94" s="12" t="s">
        <v>1509</v>
      </c>
      <c r="BG94" s="12" t="s">
        <v>1116</v>
      </c>
      <c r="BH94" s="12" t="s">
        <v>978</v>
      </c>
      <c r="BI94" s="12" t="s">
        <v>1861</v>
      </c>
      <c r="BJ94" s="12" t="s">
        <v>2259</v>
      </c>
      <c r="BK94" s="12" t="s">
        <v>846</v>
      </c>
      <c r="BL94" s="12" t="s">
        <v>2260</v>
      </c>
      <c r="BM94" s="12" t="s">
        <v>2261</v>
      </c>
      <c r="BN94" s="12" t="s">
        <v>2142</v>
      </c>
      <c r="BO94" s="12" t="s">
        <v>2262</v>
      </c>
      <c r="BP94" s="12" t="s">
        <v>2263</v>
      </c>
      <c r="BQ94" s="12" t="s">
        <v>2264</v>
      </c>
      <c r="BR94" s="12" t="s">
        <v>2265</v>
      </c>
      <c r="BS94" s="12" t="s">
        <v>2266</v>
      </c>
      <c r="BT94" s="12" t="s">
        <v>2267</v>
      </c>
      <c r="BU94" s="12" t="s">
        <v>2268</v>
      </c>
      <c r="BV94" s="12" t="s">
        <v>2269</v>
      </c>
      <c r="BW94" s="12" t="s">
        <v>2270</v>
      </c>
      <c r="BX94" s="12" t="s">
        <v>2271</v>
      </c>
      <c r="BY94" s="12" t="s">
        <v>2272</v>
      </c>
      <c r="BZ94" s="12" t="s">
        <v>2273</v>
      </c>
      <c r="CA94" s="12" t="s">
        <v>2274</v>
      </c>
      <c r="CB94" s="12" t="s">
        <v>2275</v>
      </c>
      <c r="CC94" s="12" t="s">
        <v>2276</v>
      </c>
      <c r="CD94" s="12" t="s">
        <v>2277</v>
      </c>
      <c r="CE94" s="12" t="s">
        <v>2278</v>
      </c>
      <c r="CF94" s="12" t="s">
        <v>2279</v>
      </c>
      <c r="CG94" s="12" t="s">
        <v>2280</v>
      </c>
      <c r="CH94" s="12" t="s">
        <v>2281</v>
      </c>
      <c r="CI94" s="12" t="s">
        <v>2282</v>
      </c>
      <c r="CJ94" s="12" t="s">
        <v>2283</v>
      </c>
      <c r="CK94" s="12" t="s">
        <v>2284</v>
      </c>
      <c r="CL94" s="12" t="s">
        <v>2285</v>
      </c>
      <c r="CM94" s="12" t="s">
        <v>2286</v>
      </c>
      <c r="CN94" s="12" t="s">
        <v>2287</v>
      </c>
      <c r="CO94" s="12" t="s">
        <v>2288</v>
      </c>
      <c r="CP94" s="12" t="s">
        <v>2289</v>
      </c>
      <c r="CQ94" s="12" t="s">
        <v>2290</v>
      </c>
      <c r="CR94" s="12" t="s">
        <v>2291</v>
      </c>
      <c r="CS94" s="12" t="s">
        <v>2292</v>
      </c>
      <c r="CT94" s="12" t="s">
        <v>2293</v>
      </c>
    </row>
    <row r="95" spans="1:98" hidden="1" x14ac:dyDescent="0.3">
      <c r="A95" s="12" t="s">
        <v>2294</v>
      </c>
      <c r="B95" s="12" t="s">
        <v>2295</v>
      </c>
      <c r="C95" s="12" t="s">
        <v>2296</v>
      </c>
      <c r="D95" s="12" t="s">
        <v>2297</v>
      </c>
      <c r="E95" s="12" t="s">
        <v>596</v>
      </c>
      <c r="F95" s="12" t="s">
        <v>596</v>
      </c>
      <c r="G95" s="12" t="s">
        <v>596</v>
      </c>
      <c r="H95" s="12" t="s">
        <v>596</v>
      </c>
      <c r="I95" s="12" t="s">
        <v>596</v>
      </c>
      <c r="J95" s="12" t="s">
        <v>596</v>
      </c>
      <c r="K95" s="12" t="s">
        <v>596</v>
      </c>
      <c r="L95" s="12" t="s">
        <v>596</v>
      </c>
      <c r="M95" s="12" t="s">
        <v>596</v>
      </c>
      <c r="N95" s="12" t="s">
        <v>596</v>
      </c>
      <c r="O95" s="12" t="s">
        <v>596</v>
      </c>
      <c r="P95" s="12" t="s">
        <v>596</v>
      </c>
      <c r="Q95" s="12" t="s">
        <v>596</v>
      </c>
      <c r="R95" s="12" t="s">
        <v>596</v>
      </c>
      <c r="S95" s="12" t="s">
        <v>596</v>
      </c>
      <c r="T95" s="12" t="s">
        <v>596</v>
      </c>
      <c r="U95" s="12" t="s">
        <v>596</v>
      </c>
      <c r="V95" s="12" t="s">
        <v>596</v>
      </c>
      <c r="W95" s="12" t="s">
        <v>596</v>
      </c>
      <c r="X95" s="12" t="s">
        <v>596</v>
      </c>
      <c r="Y95" s="12" t="s">
        <v>596</v>
      </c>
      <c r="Z95" s="12" t="s">
        <v>596</v>
      </c>
      <c r="AA95" s="12" t="s">
        <v>596</v>
      </c>
      <c r="AB95" s="12" t="s">
        <v>596</v>
      </c>
      <c r="AC95" s="12" t="s">
        <v>596</v>
      </c>
      <c r="AD95" s="12" t="s">
        <v>596</v>
      </c>
      <c r="AE95" s="12" t="s">
        <v>596</v>
      </c>
      <c r="AF95" s="12" t="s">
        <v>596</v>
      </c>
      <c r="AG95" s="12" t="s">
        <v>596</v>
      </c>
      <c r="AH95" s="12" t="s">
        <v>596</v>
      </c>
      <c r="AI95" s="12" t="s">
        <v>596</v>
      </c>
      <c r="AJ95" s="12" t="s">
        <v>596</v>
      </c>
      <c r="AK95" s="12" t="s">
        <v>596</v>
      </c>
      <c r="AL95" s="12" t="s">
        <v>596</v>
      </c>
      <c r="AM95" s="12" t="s">
        <v>596</v>
      </c>
      <c r="AN95" s="12" t="s">
        <v>596</v>
      </c>
      <c r="AO95" s="12" t="s">
        <v>596</v>
      </c>
      <c r="AP95" s="12" t="s">
        <v>596</v>
      </c>
      <c r="AQ95" s="12" t="s">
        <v>596</v>
      </c>
      <c r="AR95" s="12" t="s">
        <v>596</v>
      </c>
      <c r="AS95" s="12" t="s">
        <v>596</v>
      </c>
      <c r="AT95" s="12" t="s">
        <v>596</v>
      </c>
      <c r="AU95" s="12" t="s">
        <v>597</v>
      </c>
      <c r="AV95" s="12" t="s">
        <v>597</v>
      </c>
      <c r="AW95" s="12" t="s">
        <v>597</v>
      </c>
      <c r="AX95" s="12" t="s">
        <v>597</v>
      </c>
      <c r="AY95" s="12" t="s">
        <v>641</v>
      </c>
      <c r="AZ95" s="12" t="s">
        <v>641</v>
      </c>
      <c r="BA95" s="12" t="s">
        <v>641</v>
      </c>
      <c r="BB95" s="12" t="s">
        <v>641</v>
      </c>
      <c r="BC95" s="12" t="s">
        <v>641</v>
      </c>
      <c r="BD95" s="12" t="s">
        <v>690</v>
      </c>
      <c r="BE95" s="12" t="s">
        <v>779</v>
      </c>
      <c r="BF95" s="12" t="s">
        <v>601</v>
      </c>
      <c r="BG95" s="12" t="s">
        <v>826</v>
      </c>
      <c r="BH95" s="12" t="s">
        <v>990</v>
      </c>
      <c r="BI95" s="12" t="s">
        <v>1431</v>
      </c>
      <c r="BJ95" s="12" t="s">
        <v>993</v>
      </c>
      <c r="BK95" s="12" t="s">
        <v>874</v>
      </c>
      <c r="BL95" s="12" t="s">
        <v>889</v>
      </c>
      <c r="BM95" s="12" t="s">
        <v>829</v>
      </c>
      <c r="BN95" s="12" t="s">
        <v>1519</v>
      </c>
      <c r="BO95" s="12" t="s">
        <v>998</v>
      </c>
      <c r="BP95" s="12" t="s">
        <v>1279</v>
      </c>
      <c r="BQ95" s="12" t="s">
        <v>1043</v>
      </c>
      <c r="BR95" s="12" t="s">
        <v>938</v>
      </c>
      <c r="BS95" s="12" t="s">
        <v>1641</v>
      </c>
      <c r="BT95" s="12" t="s">
        <v>1751</v>
      </c>
      <c r="BU95" s="12" t="s">
        <v>1704</v>
      </c>
      <c r="BV95" s="12" t="s">
        <v>1000</v>
      </c>
      <c r="BW95" s="12" t="s">
        <v>1534</v>
      </c>
      <c r="BX95" s="12" t="s">
        <v>1549</v>
      </c>
      <c r="BY95" s="12" t="s">
        <v>1752</v>
      </c>
      <c r="BZ95" s="12" t="s">
        <v>1587</v>
      </c>
      <c r="CA95" s="12" t="s">
        <v>1587</v>
      </c>
      <c r="CB95" s="12" t="s">
        <v>1281</v>
      </c>
      <c r="CC95" s="12" t="s">
        <v>939</v>
      </c>
      <c r="CD95" s="12" t="s">
        <v>939</v>
      </c>
      <c r="CE95" s="12" t="s">
        <v>939</v>
      </c>
      <c r="CF95" s="12" t="s">
        <v>939</v>
      </c>
      <c r="CG95" s="12" t="s">
        <v>939</v>
      </c>
      <c r="CH95" s="12" t="s">
        <v>939</v>
      </c>
      <c r="CI95" s="12" t="s">
        <v>939</v>
      </c>
      <c r="CJ95" s="12" t="s">
        <v>939</v>
      </c>
      <c r="CK95" s="12" t="s">
        <v>939</v>
      </c>
      <c r="CL95" s="12" t="s">
        <v>939</v>
      </c>
      <c r="CM95" s="12" t="s">
        <v>939</v>
      </c>
      <c r="CN95" s="12" t="s">
        <v>939</v>
      </c>
      <c r="CO95" s="12" t="s">
        <v>1550</v>
      </c>
      <c r="CP95" s="12" t="s">
        <v>1550</v>
      </c>
      <c r="CQ95" s="12" t="s">
        <v>1550</v>
      </c>
      <c r="CR95" s="12" t="s">
        <v>1550</v>
      </c>
      <c r="CS95" s="12" t="s">
        <v>1380</v>
      </c>
      <c r="CT95" s="12" t="s">
        <v>1380</v>
      </c>
    </row>
    <row r="96" spans="1:98" hidden="1" x14ac:dyDescent="0.3">
      <c r="A96" s="12" t="s">
        <v>2298</v>
      </c>
      <c r="B96" s="12" t="s">
        <v>2295</v>
      </c>
      <c r="C96" s="12" t="s">
        <v>2299</v>
      </c>
      <c r="D96" s="12" t="s">
        <v>2300</v>
      </c>
      <c r="E96" s="12" t="s">
        <v>596</v>
      </c>
      <c r="F96" s="12" t="s">
        <v>596</v>
      </c>
      <c r="G96" s="12" t="s">
        <v>596</v>
      </c>
      <c r="H96" s="12" t="s">
        <v>596</v>
      </c>
      <c r="I96" s="12" t="s">
        <v>596</v>
      </c>
      <c r="J96" s="12" t="s">
        <v>596</v>
      </c>
      <c r="K96" s="12" t="s">
        <v>596</v>
      </c>
      <c r="L96" s="12" t="s">
        <v>596</v>
      </c>
      <c r="M96" s="12" t="s">
        <v>596</v>
      </c>
      <c r="N96" s="12" t="s">
        <v>596</v>
      </c>
      <c r="O96" s="12" t="s">
        <v>596</v>
      </c>
      <c r="P96" s="12" t="s">
        <v>596</v>
      </c>
      <c r="Q96" s="12" t="s">
        <v>596</v>
      </c>
      <c r="R96" s="12" t="s">
        <v>596</v>
      </c>
      <c r="S96" s="12" t="s">
        <v>596</v>
      </c>
      <c r="T96" s="12" t="s">
        <v>596</v>
      </c>
      <c r="U96" s="12" t="s">
        <v>596</v>
      </c>
      <c r="V96" s="12" t="s">
        <v>596</v>
      </c>
      <c r="W96" s="12" t="s">
        <v>596</v>
      </c>
      <c r="X96" s="12" t="s">
        <v>596</v>
      </c>
      <c r="Y96" s="12" t="s">
        <v>596</v>
      </c>
      <c r="Z96" s="12" t="s">
        <v>596</v>
      </c>
      <c r="AA96" s="12" t="s">
        <v>596</v>
      </c>
      <c r="AB96" s="12" t="s">
        <v>596</v>
      </c>
      <c r="AC96" s="12" t="s">
        <v>596</v>
      </c>
      <c r="AD96" s="12" t="s">
        <v>596</v>
      </c>
      <c r="AE96" s="12" t="s">
        <v>596</v>
      </c>
      <c r="AF96" s="12" t="s">
        <v>596</v>
      </c>
      <c r="AG96" s="12" t="s">
        <v>596</v>
      </c>
      <c r="AH96" s="12" t="s">
        <v>596</v>
      </c>
      <c r="AI96" s="12" t="s">
        <v>596</v>
      </c>
      <c r="AJ96" s="12" t="s">
        <v>596</v>
      </c>
      <c r="AK96" s="12" t="s">
        <v>596</v>
      </c>
      <c r="AL96" s="12" t="s">
        <v>596</v>
      </c>
      <c r="AM96" s="12" t="s">
        <v>596</v>
      </c>
      <c r="AN96" s="12" t="s">
        <v>596</v>
      </c>
      <c r="AO96" s="12" t="s">
        <v>596</v>
      </c>
      <c r="AP96" s="12" t="s">
        <v>596</v>
      </c>
      <c r="AQ96" s="12" t="s">
        <v>596</v>
      </c>
      <c r="AR96" s="12" t="s">
        <v>596</v>
      </c>
      <c r="AS96" s="12" t="s">
        <v>596</v>
      </c>
      <c r="AT96" s="12" t="s">
        <v>596</v>
      </c>
      <c r="AU96" s="12" t="s">
        <v>596</v>
      </c>
      <c r="AV96" s="12" t="s">
        <v>596</v>
      </c>
      <c r="AW96" s="12" t="s">
        <v>596</v>
      </c>
      <c r="AX96" s="12" t="s">
        <v>596</v>
      </c>
      <c r="AY96" s="12" t="s">
        <v>596</v>
      </c>
      <c r="AZ96" s="12" t="s">
        <v>596</v>
      </c>
      <c r="BA96" s="12" t="s">
        <v>596</v>
      </c>
      <c r="BB96" s="12" t="s">
        <v>596</v>
      </c>
      <c r="BC96" s="12" t="s">
        <v>596</v>
      </c>
      <c r="BD96" s="12" t="s">
        <v>596</v>
      </c>
      <c r="BE96" s="12" t="s">
        <v>596</v>
      </c>
      <c r="BF96" s="12" t="s">
        <v>596</v>
      </c>
      <c r="BG96" s="12" t="s">
        <v>597</v>
      </c>
      <c r="BH96" s="12" t="s">
        <v>597</v>
      </c>
      <c r="BI96" s="12" t="s">
        <v>597</v>
      </c>
      <c r="BJ96" s="12" t="s">
        <v>641</v>
      </c>
      <c r="BK96" s="12" t="s">
        <v>641</v>
      </c>
      <c r="BL96" s="12" t="s">
        <v>641</v>
      </c>
      <c r="BM96" s="12" t="s">
        <v>598</v>
      </c>
      <c r="BN96" s="12" t="s">
        <v>598</v>
      </c>
      <c r="BO96" s="12" t="s">
        <v>599</v>
      </c>
      <c r="BP96" s="12" t="s">
        <v>869</v>
      </c>
      <c r="BQ96" s="12" t="s">
        <v>869</v>
      </c>
      <c r="BR96" s="12" t="s">
        <v>642</v>
      </c>
      <c r="BS96" s="12" t="s">
        <v>642</v>
      </c>
      <c r="BT96" s="12" t="s">
        <v>642</v>
      </c>
      <c r="BU96" s="12" t="s">
        <v>642</v>
      </c>
      <c r="BV96" s="12" t="s">
        <v>642</v>
      </c>
      <c r="BW96" s="12" t="s">
        <v>642</v>
      </c>
      <c r="BX96" s="12" t="s">
        <v>642</v>
      </c>
      <c r="BY96" s="12" t="s">
        <v>642</v>
      </c>
      <c r="BZ96" s="12" t="s">
        <v>601</v>
      </c>
      <c r="CA96" s="12" t="s">
        <v>601</v>
      </c>
      <c r="CB96" s="12" t="s">
        <v>601</v>
      </c>
      <c r="CC96" s="12" t="s">
        <v>601</v>
      </c>
      <c r="CD96" s="12" t="s">
        <v>601</v>
      </c>
      <c r="CE96" s="12" t="s">
        <v>601</v>
      </c>
      <c r="CF96" s="12" t="s">
        <v>601</v>
      </c>
      <c r="CG96" s="12" t="s">
        <v>601</v>
      </c>
      <c r="CH96" s="12" t="s">
        <v>601</v>
      </c>
      <c r="CI96" s="12" t="s">
        <v>601</v>
      </c>
      <c r="CJ96" s="12" t="s">
        <v>601</v>
      </c>
      <c r="CK96" s="12" t="s">
        <v>601</v>
      </c>
      <c r="CL96" s="12" t="s">
        <v>601</v>
      </c>
      <c r="CM96" s="12" t="s">
        <v>601</v>
      </c>
      <c r="CN96" s="12" t="s">
        <v>601</v>
      </c>
      <c r="CO96" s="12" t="s">
        <v>601</v>
      </c>
      <c r="CP96" s="12" t="s">
        <v>601</v>
      </c>
      <c r="CQ96" s="12" t="s">
        <v>601</v>
      </c>
      <c r="CR96" s="12" t="s">
        <v>601</v>
      </c>
      <c r="CS96" s="12" t="s">
        <v>601</v>
      </c>
      <c r="CT96" s="12" t="s">
        <v>601</v>
      </c>
    </row>
    <row r="97" spans="1:98" hidden="1" x14ac:dyDescent="0.3">
      <c r="A97" s="12" t="s">
        <v>25</v>
      </c>
      <c r="B97" s="12" t="s">
        <v>2295</v>
      </c>
      <c r="C97" s="12" t="s">
        <v>2301</v>
      </c>
      <c r="D97" s="12" t="s">
        <v>2302</v>
      </c>
      <c r="E97" s="12" t="s">
        <v>596</v>
      </c>
      <c r="F97" s="12" t="s">
        <v>596</v>
      </c>
      <c r="G97" s="12" t="s">
        <v>596</v>
      </c>
      <c r="H97" s="12" t="s">
        <v>596</v>
      </c>
      <c r="I97" s="12" t="s">
        <v>596</v>
      </c>
      <c r="J97" s="12" t="s">
        <v>596</v>
      </c>
      <c r="K97" s="12" t="s">
        <v>596</v>
      </c>
      <c r="L97" s="12" t="s">
        <v>596</v>
      </c>
      <c r="M97" s="12" t="s">
        <v>596</v>
      </c>
      <c r="N97" s="12" t="s">
        <v>596</v>
      </c>
      <c r="O97" s="12" t="s">
        <v>596</v>
      </c>
      <c r="P97" s="12" t="s">
        <v>596</v>
      </c>
      <c r="Q97" s="12" t="s">
        <v>596</v>
      </c>
      <c r="R97" s="12" t="s">
        <v>596</v>
      </c>
      <c r="S97" s="12" t="s">
        <v>596</v>
      </c>
      <c r="T97" s="12" t="s">
        <v>596</v>
      </c>
      <c r="U97" s="12" t="s">
        <v>596</v>
      </c>
      <c r="V97" s="12" t="s">
        <v>596</v>
      </c>
      <c r="W97" s="12" t="s">
        <v>596</v>
      </c>
      <c r="X97" s="12" t="s">
        <v>596</v>
      </c>
      <c r="Y97" s="12" t="s">
        <v>596</v>
      </c>
      <c r="Z97" s="12" t="s">
        <v>596</v>
      </c>
      <c r="AA97" s="12" t="s">
        <v>596</v>
      </c>
      <c r="AB97" s="12" t="s">
        <v>596</v>
      </c>
      <c r="AC97" s="12" t="s">
        <v>596</v>
      </c>
      <c r="AD97" s="12" t="s">
        <v>596</v>
      </c>
      <c r="AE97" s="12" t="s">
        <v>596</v>
      </c>
      <c r="AF97" s="12" t="s">
        <v>596</v>
      </c>
      <c r="AG97" s="12" t="s">
        <v>596</v>
      </c>
      <c r="AH97" s="12" t="s">
        <v>596</v>
      </c>
      <c r="AI97" s="12" t="s">
        <v>596</v>
      </c>
      <c r="AJ97" s="12" t="s">
        <v>596</v>
      </c>
      <c r="AK97" s="12" t="s">
        <v>596</v>
      </c>
      <c r="AL97" s="12" t="s">
        <v>596</v>
      </c>
      <c r="AM97" s="12" t="s">
        <v>596</v>
      </c>
      <c r="AN97" s="12" t="s">
        <v>596</v>
      </c>
      <c r="AO97" s="12" t="s">
        <v>597</v>
      </c>
      <c r="AP97" s="12" t="s">
        <v>597</v>
      </c>
      <c r="AQ97" s="12" t="s">
        <v>690</v>
      </c>
      <c r="AR97" s="12" t="s">
        <v>598</v>
      </c>
      <c r="AS97" s="12" t="s">
        <v>598</v>
      </c>
      <c r="AT97" s="12" t="s">
        <v>869</v>
      </c>
      <c r="AU97" s="12" t="s">
        <v>642</v>
      </c>
      <c r="AV97" s="12" t="s">
        <v>642</v>
      </c>
      <c r="AW97" s="12" t="s">
        <v>644</v>
      </c>
      <c r="AX97" s="12" t="s">
        <v>644</v>
      </c>
      <c r="AY97" s="12" t="s">
        <v>935</v>
      </c>
      <c r="AZ97" s="12" t="s">
        <v>700</v>
      </c>
      <c r="BA97" s="12" t="s">
        <v>1512</v>
      </c>
      <c r="BB97" s="12" t="s">
        <v>1717</v>
      </c>
      <c r="BC97" s="12" t="s">
        <v>2303</v>
      </c>
      <c r="BD97" s="12" t="s">
        <v>2200</v>
      </c>
      <c r="BE97" s="12" t="s">
        <v>1545</v>
      </c>
      <c r="BF97" s="12" t="s">
        <v>2304</v>
      </c>
      <c r="BG97" s="12" t="s">
        <v>1883</v>
      </c>
      <c r="BH97" s="12" t="s">
        <v>2305</v>
      </c>
      <c r="BI97" s="12" t="s">
        <v>2306</v>
      </c>
      <c r="BJ97" s="12" t="s">
        <v>2307</v>
      </c>
      <c r="BK97" s="12" t="s">
        <v>2147</v>
      </c>
      <c r="BL97" s="12" t="s">
        <v>2308</v>
      </c>
      <c r="BM97" s="12" t="s">
        <v>1797</v>
      </c>
      <c r="BN97" s="12" t="s">
        <v>2309</v>
      </c>
      <c r="BO97" s="12" t="s">
        <v>2310</v>
      </c>
      <c r="BP97" s="12" t="s">
        <v>1495</v>
      </c>
      <c r="BQ97" s="12" t="s">
        <v>2311</v>
      </c>
      <c r="BR97" s="12" t="s">
        <v>2312</v>
      </c>
      <c r="BS97" s="12" t="s">
        <v>2313</v>
      </c>
      <c r="BT97" s="12" t="s">
        <v>2314</v>
      </c>
      <c r="BU97" s="12" t="s">
        <v>2315</v>
      </c>
      <c r="BV97" s="12" t="s">
        <v>2316</v>
      </c>
      <c r="BW97" s="12" t="s">
        <v>2317</v>
      </c>
      <c r="BX97" s="12" t="s">
        <v>2318</v>
      </c>
      <c r="BY97" s="12" t="s">
        <v>2319</v>
      </c>
      <c r="BZ97" s="12" t="s">
        <v>2320</v>
      </c>
      <c r="CA97" s="12" t="s">
        <v>2321</v>
      </c>
      <c r="CB97" s="12" t="s">
        <v>2322</v>
      </c>
      <c r="CC97" s="12" t="s">
        <v>2323</v>
      </c>
      <c r="CD97" s="12" t="s">
        <v>2324</v>
      </c>
      <c r="CE97" s="12" t="s">
        <v>2325</v>
      </c>
      <c r="CF97" s="12" t="s">
        <v>2326</v>
      </c>
      <c r="CG97" s="12" t="s">
        <v>2327</v>
      </c>
      <c r="CH97" s="12" t="s">
        <v>2328</v>
      </c>
      <c r="CI97" s="12" t="s">
        <v>2329</v>
      </c>
      <c r="CJ97" s="12" t="s">
        <v>2330</v>
      </c>
      <c r="CK97" s="12" t="s">
        <v>2331</v>
      </c>
      <c r="CL97" s="12" t="s">
        <v>2332</v>
      </c>
      <c r="CM97" s="12" t="s">
        <v>2333</v>
      </c>
      <c r="CN97" s="12" t="s">
        <v>2334</v>
      </c>
      <c r="CO97" s="12" t="s">
        <v>2335</v>
      </c>
      <c r="CP97" s="12" t="s">
        <v>2336</v>
      </c>
      <c r="CQ97" s="12" t="s">
        <v>2337</v>
      </c>
      <c r="CR97" s="12" t="s">
        <v>2338</v>
      </c>
      <c r="CS97" s="12" t="s">
        <v>2339</v>
      </c>
      <c r="CT97" s="12" t="s">
        <v>2340</v>
      </c>
    </row>
    <row r="98" spans="1:98" hidden="1" x14ac:dyDescent="0.3">
      <c r="A98" s="12" t="s">
        <v>25</v>
      </c>
      <c r="B98" s="12" t="s">
        <v>2341</v>
      </c>
      <c r="C98" s="12" t="s">
        <v>2342</v>
      </c>
      <c r="D98" s="12" t="s">
        <v>2343</v>
      </c>
      <c r="E98" s="12" t="s">
        <v>596</v>
      </c>
      <c r="F98" s="12" t="s">
        <v>596</v>
      </c>
      <c r="G98" s="12" t="s">
        <v>596</v>
      </c>
      <c r="H98" s="12" t="s">
        <v>596</v>
      </c>
      <c r="I98" s="12" t="s">
        <v>596</v>
      </c>
      <c r="J98" s="12" t="s">
        <v>596</v>
      </c>
      <c r="K98" s="12" t="s">
        <v>596</v>
      </c>
      <c r="L98" s="12" t="s">
        <v>596</v>
      </c>
      <c r="M98" s="12" t="s">
        <v>596</v>
      </c>
      <c r="N98" s="12" t="s">
        <v>596</v>
      </c>
      <c r="O98" s="12" t="s">
        <v>596</v>
      </c>
      <c r="P98" s="12" t="s">
        <v>596</v>
      </c>
      <c r="Q98" s="12" t="s">
        <v>596</v>
      </c>
      <c r="R98" s="12" t="s">
        <v>596</v>
      </c>
      <c r="S98" s="12" t="s">
        <v>596</v>
      </c>
      <c r="T98" s="12" t="s">
        <v>596</v>
      </c>
      <c r="U98" s="12" t="s">
        <v>596</v>
      </c>
      <c r="V98" s="12" t="s">
        <v>596</v>
      </c>
      <c r="W98" s="12" t="s">
        <v>596</v>
      </c>
      <c r="X98" s="12" t="s">
        <v>596</v>
      </c>
      <c r="Y98" s="12" t="s">
        <v>596</v>
      </c>
      <c r="Z98" s="12" t="s">
        <v>596</v>
      </c>
      <c r="AA98" s="12" t="s">
        <v>596</v>
      </c>
      <c r="AB98" s="12" t="s">
        <v>596</v>
      </c>
      <c r="AC98" s="12" t="s">
        <v>596</v>
      </c>
      <c r="AD98" s="12" t="s">
        <v>596</v>
      </c>
      <c r="AE98" s="12" t="s">
        <v>596</v>
      </c>
      <c r="AF98" s="12" t="s">
        <v>596</v>
      </c>
      <c r="AG98" s="12" t="s">
        <v>596</v>
      </c>
      <c r="AH98" s="12" t="s">
        <v>596</v>
      </c>
      <c r="AI98" s="12" t="s">
        <v>596</v>
      </c>
      <c r="AJ98" s="12" t="s">
        <v>596</v>
      </c>
      <c r="AK98" s="12" t="s">
        <v>596</v>
      </c>
      <c r="AL98" s="12" t="s">
        <v>596</v>
      </c>
      <c r="AM98" s="12" t="s">
        <v>596</v>
      </c>
      <c r="AN98" s="12" t="s">
        <v>596</v>
      </c>
      <c r="AO98" s="12" t="s">
        <v>596</v>
      </c>
      <c r="AP98" s="12" t="s">
        <v>596</v>
      </c>
      <c r="AQ98" s="12" t="s">
        <v>596</v>
      </c>
      <c r="AR98" s="12" t="s">
        <v>596</v>
      </c>
      <c r="AS98" s="12" t="s">
        <v>596</v>
      </c>
      <c r="AT98" s="12" t="s">
        <v>596</v>
      </c>
      <c r="AU98" s="12" t="s">
        <v>596</v>
      </c>
      <c r="AV98" s="12" t="s">
        <v>596</v>
      </c>
      <c r="AW98" s="12" t="s">
        <v>596</v>
      </c>
      <c r="AX98" s="12" t="s">
        <v>596</v>
      </c>
      <c r="AY98" s="12" t="s">
        <v>596</v>
      </c>
      <c r="AZ98" s="12" t="s">
        <v>596</v>
      </c>
      <c r="BA98" s="12" t="s">
        <v>596</v>
      </c>
      <c r="BB98" s="12" t="s">
        <v>596</v>
      </c>
      <c r="BC98" s="12" t="s">
        <v>596</v>
      </c>
      <c r="BD98" s="12" t="s">
        <v>596</v>
      </c>
      <c r="BE98" s="12" t="s">
        <v>596</v>
      </c>
      <c r="BF98" s="12" t="s">
        <v>596</v>
      </c>
      <c r="BG98" s="12" t="s">
        <v>596</v>
      </c>
      <c r="BH98" s="12" t="s">
        <v>596</v>
      </c>
      <c r="BI98" s="12" t="s">
        <v>597</v>
      </c>
      <c r="BJ98" s="12" t="s">
        <v>597</v>
      </c>
      <c r="BK98" s="12" t="s">
        <v>597</v>
      </c>
      <c r="BL98" s="12" t="s">
        <v>597</v>
      </c>
      <c r="BM98" s="12" t="s">
        <v>597</v>
      </c>
      <c r="BN98" s="12" t="s">
        <v>690</v>
      </c>
      <c r="BO98" s="12" t="s">
        <v>690</v>
      </c>
      <c r="BP98" s="12" t="s">
        <v>601</v>
      </c>
      <c r="BQ98" s="12" t="s">
        <v>601</v>
      </c>
      <c r="BR98" s="12" t="s">
        <v>643</v>
      </c>
      <c r="BS98" s="12" t="s">
        <v>774</v>
      </c>
      <c r="BT98" s="12" t="s">
        <v>826</v>
      </c>
      <c r="BU98" s="12" t="s">
        <v>826</v>
      </c>
      <c r="BV98" s="12" t="s">
        <v>2036</v>
      </c>
      <c r="BW98" s="12" t="s">
        <v>645</v>
      </c>
      <c r="BX98" s="12" t="s">
        <v>606</v>
      </c>
      <c r="BY98" s="12" t="s">
        <v>1009</v>
      </c>
      <c r="BZ98" s="12" t="s">
        <v>972</v>
      </c>
      <c r="CA98" s="12" t="s">
        <v>650</v>
      </c>
      <c r="CB98" s="12" t="s">
        <v>700</v>
      </c>
      <c r="CC98" s="12" t="s">
        <v>700</v>
      </c>
      <c r="CD98" s="12" t="s">
        <v>1374</v>
      </c>
      <c r="CE98" s="12" t="s">
        <v>1374</v>
      </c>
      <c r="CF98" s="12" t="s">
        <v>1832</v>
      </c>
      <c r="CG98" s="12" t="s">
        <v>1380</v>
      </c>
      <c r="CH98" s="12" t="s">
        <v>1144</v>
      </c>
      <c r="CI98" s="12" t="s">
        <v>1116</v>
      </c>
      <c r="CJ98" s="12" t="s">
        <v>2078</v>
      </c>
      <c r="CK98" s="12" t="s">
        <v>983</v>
      </c>
      <c r="CL98" s="12" t="s">
        <v>1688</v>
      </c>
      <c r="CM98" s="12" t="s">
        <v>2344</v>
      </c>
      <c r="CN98" s="12" t="s">
        <v>2344</v>
      </c>
      <c r="CO98" s="12" t="s">
        <v>1400</v>
      </c>
      <c r="CP98" s="12" t="s">
        <v>1400</v>
      </c>
      <c r="CQ98" s="12" t="s">
        <v>2345</v>
      </c>
      <c r="CR98" s="12" t="s">
        <v>958</v>
      </c>
      <c r="CS98" s="12" t="s">
        <v>710</v>
      </c>
      <c r="CT98" s="12" t="s">
        <v>962</v>
      </c>
    </row>
    <row r="99" spans="1:98" hidden="1" x14ac:dyDescent="0.3">
      <c r="A99" s="12" t="s">
        <v>25</v>
      </c>
      <c r="B99" s="12" t="s">
        <v>2346</v>
      </c>
      <c r="C99" s="12" t="s">
        <v>2347</v>
      </c>
      <c r="D99" s="12" t="s">
        <v>2348</v>
      </c>
      <c r="E99" s="12" t="s">
        <v>596</v>
      </c>
      <c r="F99" s="12" t="s">
        <v>596</v>
      </c>
      <c r="G99" s="12" t="s">
        <v>596</v>
      </c>
      <c r="H99" s="12" t="s">
        <v>596</v>
      </c>
      <c r="I99" s="12" t="s">
        <v>596</v>
      </c>
      <c r="J99" s="12" t="s">
        <v>596</v>
      </c>
      <c r="K99" s="12" t="s">
        <v>596</v>
      </c>
      <c r="L99" s="12" t="s">
        <v>596</v>
      </c>
      <c r="M99" s="12" t="s">
        <v>596</v>
      </c>
      <c r="N99" s="12" t="s">
        <v>596</v>
      </c>
      <c r="O99" s="12" t="s">
        <v>596</v>
      </c>
      <c r="P99" s="12" t="s">
        <v>596</v>
      </c>
      <c r="Q99" s="12" t="s">
        <v>596</v>
      </c>
      <c r="R99" s="12" t="s">
        <v>596</v>
      </c>
      <c r="S99" s="12" t="s">
        <v>596</v>
      </c>
      <c r="T99" s="12" t="s">
        <v>596</v>
      </c>
      <c r="U99" s="12" t="s">
        <v>596</v>
      </c>
      <c r="V99" s="12" t="s">
        <v>596</v>
      </c>
      <c r="W99" s="12" t="s">
        <v>596</v>
      </c>
      <c r="X99" s="12" t="s">
        <v>596</v>
      </c>
      <c r="Y99" s="12" t="s">
        <v>596</v>
      </c>
      <c r="Z99" s="12" t="s">
        <v>596</v>
      </c>
      <c r="AA99" s="12" t="s">
        <v>596</v>
      </c>
      <c r="AB99" s="12" t="s">
        <v>596</v>
      </c>
      <c r="AC99" s="12" t="s">
        <v>596</v>
      </c>
      <c r="AD99" s="12" t="s">
        <v>596</v>
      </c>
      <c r="AE99" s="12" t="s">
        <v>596</v>
      </c>
      <c r="AF99" s="12" t="s">
        <v>596</v>
      </c>
      <c r="AG99" s="12" t="s">
        <v>596</v>
      </c>
      <c r="AH99" s="12" t="s">
        <v>596</v>
      </c>
      <c r="AI99" s="12" t="s">
        <v>596</v>
      </c>
      <c r="AJ99" s="12" t="s">
        <v>596</v>
      </c>
      <c r="AK99" s="12" t="s">
        <v>596</v>
      </c>
      <c r="AL99" s="12" t="s">
        <v>596</v>
      </c>
      <c r="AM99" s="12" t="s">
        <v>596</v>
      </c>
      <c r="AN99" s="12" t="s">
        <v>596</v>
      </c>
      <c r="AO99" s="12" t="s">
        <v>596</v>
      </c>
      <c r="AP99" s="12" t="s">
        <v>596</v>
      </c>
      <c r="AQ99" s="12" t="s">
        <v>596</v>
      </c>
      <c r="AR99" s="12" t="s">
        <v>597</v>
      </c>
      <c r="AS99" s="12" t="s">
        <v>597</v>
      </c>
      <c r="AT99" s="12" t="s">
        <v>597</v>
      </c>
      <c r="AU99" s="12" t="s">
        <v>597</v>
      </c>
      <c r="AV99" s="12" t="s">
        <v>597</v>
      </c>
      <c r="AW99" s="12" t="s">
        <v>641</v>
      </c>
      <c r="AX99" s="12" t="s">
        <v>641</v>
      </c>
      <c r="AY99" s="12" t="s">
        <v>599</v>
      </c>
      <c r="AZ99" s="12" t="s">
        <v>599</v>
      </c>
      <c r="BA99" s="12" t="s">
        <v>599</v>
      </c>
      <c r="BB99" s="12" t="s">
        <v>599</v>
      </c>
      <c r="BC99" s="12" t="s">
        <v>599</v>
      </c>
      <c r="BD99" s="12" t="s">
        <v>599</v>
      </c>
      <c r="BE99" s="12" t="s">
        <v>601</v>
      </c>
      <c r="BF99" s="12" t="s">
        <v>601</v>
      </c>
      <c r="BG99" s="12" t="s">
        <v>601</v>
      </c>
      <c r="BH99" s="12" t="s">
        <v>603</v>
      </c>
      <c r="BI99" s="12" t="s">
        <v>603</v>
      </c>
      <c r="BJ99" s="12" t="s">
        <v>785</v>
      </c>
      <c r="BK99" s="12" t="s">
        <v>993</v>
      </c>
      <c r="BL99" s="12" t="s">
        <v>890</v>
      </c>
      <c r="BM99" s="12" t="s">
        <v>1998</v>
      </c>
      <c r="BN99" s="12" t="s">
        <v>1834</v>
      </c>
      <c r="BO99" s="12" t="s">
        <v>1849</v>
      </c>
      <c r="BP99" s="12" t="s">
        <v>1049</v>
      </c>
      <c r="BQ99" s="12" t="s">
        <v>1865</v>
      </c>
      <c r="BR99" s="12" t="s">
        <v>1424</v>
      </c>
      <c r="BS99" s="12" t="s">
        <v>2349</v>
      </c>
      <c r="BT99" s="12" t="s">
        <v>2350</v>
      </c>
      <c r="BU99" s="12" t="s">
        <v>1310</v>
      </c>
      <c r="BV99" s="12" t="s">
        <v>2351</v>
      </c>
      <c r="BW99" s="12" t="s">
        <v>2352</v>
      </c>
      <c r="BX99" s="12" t="s">
        <v>2353</v>
      </c>
      <c r="BY99" s="12" t="s">
        <v>2354</v>
      </c>
      <c r="BZ99" s="12" t="s">
        <v>2354</v>
      </c>
      <c r="CA99" s="12" t="s">
        <v>2355</v>
      </c>
      <c r="CB99" s="12" t="s">
        <v>2356</v>
      </c>
      <c r="CC99" s="12" t="s">
        <v>2357</v>
      </c>
      <c r="CD99" s="12" t="s">
        <v>2358</v>
      </c>
      <c r="CE99" s="12" t="s">
        <v>2359</v>
      </c>
      <c r="CF99" s="12" t="s">
        <v>2360</v>
      </c>
      <c r="CG99" s="12" t="s">
        <v>2361</v>
      </c>
      <c r="CH99" s="12" t="s">
        <v>2362</v>
      </c>
      <c r="CI99" s="12" t="s">
        <v>2363</v>
      </c>
      <c r="CJ99" s="12" t="s">
        <v>2364</v>
      </c>
      <c r="CK99" s="12" t="s">
        <v>2365</v>
      </c>
      <c r="CL99" s="12" t="s">
        <v>2366</v>
      </c>
      <c r="CM99" s="12" t="s">
        <v>2367</v>
      </c>
      <c r="CN99" s="12" t="s">
        <v>2368</v>
      </c>
      <c r="CO99" s="12" t="s">
        <v>2369</v>
      </c>
      <c r="CP99" s="12" t="s">
        <v>2370</v>
      </c>
      <c r="CQ99" s="12" t="s">
        <v>2371</v>
      </c>
      <c r="CR99" s="12" t="s">
        <v>2372</v>
      </c>
      <c r="CS99" s="12" t="s">
        <v>2373</v>
      </c>
      <c r="CT99" s="12" t="s">
        <v>2374</v>
      </c>
    </row>
    <row r="100" spans="1:98" hidden="1" x14ac:dyDescent="0.3">
      <c r="A100" s="12" t="s">
        <v>25</v>
      </c>
      <c r="B100" s="12" t="s">
        <v>2375</v>
      </c>
      <c r="C100" s="12" t="s">
        <v>2376</v>
      </c>
      <c r="D100" s="12" t="s">
        <v>2377</v>
      </c>
      <c r="E100" s="12" t="s">
        <v>596</v>
      </c>
      <c r="F100" s="12" t="s">
        <v>596</v>
      </c>
      <c r="G100" s="12" t="s">
        <v>596</v>
      </c>
      <c r="H100" s="12" t="s">
        <v>596</v>
      </c>
      <c r="I100" s="12" t="s">
        <v>596</v>
      </c>
      <c r="J100" s="12" t="s">
        <v>596</v>
      </c>
      <c r="K100" s="12" t="s">
        <v>596</v>
      </c>
      <c r="L100" s="12" t="s">
        <v>596</v>
      </c>
      <c r="M100" s="12" t="s">
        <v>596</v>
      </c>
      <c r="N100" s="12" t="s">
        <v>596</v>
      </c>
      <c r="O100" s="12" t="s">
        <v>596</v>
      </c>
      <c r="P100" s="12" t="s">
        <v>596</v>
      </c>
      <c r="Q100" s="12" t="s">
        <v>596</v>
      </c>
      <c r="R100" s="12" t="s">
        <v>596</v>
      </c>
      <c r="S100" s="12" t="s">
        <v>596</v>
      </c>
      <c r="T100" s="12" t="s">
        <v>596</v>
      </c>
      <c r="U100" s="12" t="s">
        <v>596</v>
      </c>
      <c r="V100" s="12" t="s">
        <v>596</v>
      </c>
      <c r="W100" s="12" t="s">
        <v>596</v>
      </c>
      <c r="X100" s="12" t="s">
        <v>596</v>
      </c>
      <c r="Y100" s="12" t="s">
        <v>596</v>
      </c>
      <c r="Z100" s="12" t="s">
        <v>596</v>
      </c>
      <c r="AA100" s="12" t="s">
        <v>596</v>
      </c>
      <c r="AB100" s="12" t="s">
        <v>596</v>
      </c>
      <c r="AC100" s="12" t="s">
        <v>596</v>
      </c>
      <c r="AD100" s="12" t="s">
        <v>596</v>
      </c>
      <c r="AE100" s="12" t="s">
        <v>596</v>
      </c>
      <c r="AF100" s="12" t="s">
        <v>596</v>
      </c>
      <c r="AG100" s="12" t="s">
        <v>596</v>
      </c>
      <c r="AH100" s="12" t="s">
        <v>596</v>
      </c>
      <c r="AI100" s="12" t="s">
        <v>596</v>
      </c>
      <c r="AJ100" s="12" t="s">
        <v>596</v>
      </c>
      <c r="AK100" s="12" t="s">
        <v>596</v>
      </c>
      <c r="AL100" s="12" t="s">
        <v>596</v>
      </c>
      <c r="AM100" s="12" t="s">
        <v>596</v>
      </c>
      <c r="AN100" s="12" t="s">
        <v>596</v>
      </c>
      <c r="AO100" s="12" t="s">
        <v>596</v>
      </c>
      <c r="AP100" s="12" t="s">
        <v>596</v>
      </c>
      <c r="AQ100" s="12" t="s">
        <v>596</v>
      </c>
      <c r="AR100" s="12" t="s">
        <v>869</v>
      </c>
      <c r="AS100" s="12" t="s">
        <v>869</v>
      </c>
      <c r="AT100" s="12" t="s">
        <v>600</v>
      </c>
      <c r="AU100" s="12" t="s">
        <v>642</v>
      </c>
      <c r="AV100" s="12" t="s">
        <v>886</v>
      </c>
      <c r="AW100" s="12" t="s">
        <v>886</v>
      </c>
      <c r="AX100" s="12" t="s">
        <v>886</v>
      </c>
      <c r="AY100" s="12" t="s">
        <v>774</v>
      </c>
      <c r="AZ100" s="12" t="s">
        <v>780</v>
      </c>
      <c r="BA100" s="12" t="s">
        <v>780</v>
      </c>
      <c r="BB100" s="12" t="s">
        <v>691</v>
      </c>
      <c r="BC100" s="12" t="s">
        <v>691</v>
      </c>
      <c r="BD100" s="12" t="s">
        <v>691</v>
      </c>
      <c r="BE100" s="12" t="s">
        <v>887</v>
      </c>
      <c r="BF100" s="12" t="s">
        <v>887</v>
      </c>
      <c r="BG100" s="12" t="s">
        <v>695</v>
      </c>
      <c r="BH100" s="12" t="s">
        <v>1431</v>
      </c>
      <c r="BI100" s="12" t="s">
        <v>997</v>
      </c>
      <c r="BJ100" s="12" t="s">
        <v>2378</v>
      </c>
      <c r="BK100" s="12" t="s">
        <v>619</v>
      </c>
      <c r="BL100" s="12" t="s">
        <v>1054</v>
      </c>
      <c r="BM100" s="12" t="s">
        <v>2379</v>
      </c>
      <c r="BN100" s="12" t="s">
        <v>1884</v>
      </c>
      <c r="BO100" s="12" t="s">
        <v>2380</v>
      </c>
      <c r="BP100" s="12" t="s">
        <v>2381</v>
      </c>
      <c r="BQ100" s="12" t="s">
        <v>2382</v>
      </c>
      <c r="BR100" s="12" t="s">
        <v>2383</v>
      </c>
      <c r="BS100" s="12" t="s">
        <v>2384</v>
      </c>
      <c r="BT100" s="12" t="s">
        <v>1334</v>
      </c>
      <c r="BU100" s="12" t="s">
        <v>2385</v>
      </c>
      <c r="BV100" s="12" t="s">
        <v>2386</v>
      </c>
      <c r="BW100" s="12" t="s">
        <v>2387</v>
      </c>
      <c r="BX100" s="12" t="s">
        <v>2388</v>
      </c>
      <c r="BY100" s="12" t="s">
        <v>2389</v>
      </c>
      <c r="BZ100" s="12" t="s">
        <v>2390</v>
      </c>
      <c r="CA100" s="12" t="s">
        <v>2391</v>
      </c>
      <c r="CB100" s="12" t="s">
        <v>2392</v>
      </c>
      <c r="CC100" s="12" t="s">
        <v>2392</v>
      </c>
      <c r="CD100" s="12" t="s">
        <v>2393</v>
      </c>
      <c r="CE100" s="12" t="s">
        <v>2394</v>
      </c>
      <c r="CF100" s="12" t="s">
        <v>2395</v>
      </c>
      <c r="CG100" s="12" t="s">
        <v>2396</v>
      </c>
      <c r="CH100" s="12" t="s">
        <v>2397</v>
      </c>
      <c r="CI100" s="12" t="s">
        <v>2398</v>
      </c>
      <c r="CJ100" s="12" t="s">
        <v>2399</v>
      </c>
      <c r="CK100" s="12" t="s">
        <v>2400</v>
      </c>
      <c r="CL100" s="12" t="s">
        <v>2401</v>
      </c>
      <c r="CM100" s="12" t="s">
        <v>2402</v>
      </c>
      <c r="CN100" s="12" t="s">
        <v>2403</v>
      </c>
      <c r="CO100" s="12" t="s">
        <v>2404</v>
      </c>
      <c r="CP100" s="12" t="s">
        <v>2405</v>
      </c>
      <c r="CQ100" s="12" t="s">
        <v>2406</v>
      </c>
      <c r="CR100" s="12" t="s">
        <v>2407</v>
      </c>
      <c r="CS100" s="12" t="s">
        <v>2408</v>
      </c>
      <c r="CT100" s="12" t="s">
        <v>2409</v>
      </c>
    </row>
    <row r="101" spans="1:98" hidden="1" x14ac:dyDescent="0.3">
      <c r="A101" s="12" t="s">
        <v>25</v>
      </c>
      <c r="B101" s="12" t="s">
        <v>2410</v>
      </c>
      <c r="C101" s="12" t="s">
        <v>2411</v>
      </c>
      <c r="D101" s="12" t="s">
        <v>2412</v>
      </c>
      <c r="E101" s="12" t="s">
        <v>596</v>
      </c>
      <c r="F101" s="12" t="s">
        <v>596</v>
      </c>
      <c r="G101" s="12" t="s">
        <v>596</v>
      </c>
      <c r="H101" s="12" t="s">
        <v>596</v>
      </c>
      <c r="I101" s="12" t="s">
        <v>596</v>
      </c>
      <c r="J101" s="12" t="s">
        <v>596</v>
      </c>
      <c r="K101" s="12" t="s">
        <v>596</v>
      </c>
      <c r="L101" s="12" t="s">
        <v>596</v>
      </c>
      <c r="M101" s="12" t="s">
        <v>596</v>
      </c>
      <c r="N101" s="12" t="s">
        <v>596</v>
      </c>
      <c r="O101" s="12" t="s">
        <v>596</v>
      </c>
      <c r="P101" s="12" t="s">
        <v>596</v>
      </c>
      <c r="Q101" s="12" t="s">
        <v>596</v>
      </c>
      <c r="R101" s="12" t="s">
        <v>596</v>
      </c>
      <c r="S101" s="12" t="s">
        <v>596</v>
      </c>
      <c r="T101" s="12" t="s">
        <v>596</v>
      </c>
      <c r="U101" s="12" t="s">
        <v>596</v>
      </c>
      <c r="V101" s="12" t="s">
        <v>596</v>
      </c>
      <c r="W101" s="12" t="s">
        <v>596</v>
      </c>
      <c r="X101" s="12" t="s">
        <v>596</v>
      </c>
      <c r="Y101" s="12" t="s">
        <v>596</v>
      </c>
      <c r="Z101" s="12" t="s">
        <v>596</v>
      </c>
      <c r="AA101" s="12" t="s">
        <v>596</v>
      </c>
      <c r="AB101" s="12" t="s">
        <v>597</v>
      </c>
      <c r="AC101" s="12" t="s">
        <v>597</v>
      </c>
      <c r="AD101" s="12" t="s">
        <v>597</v>
      </c>
      <c r="AE101" s="12" t="s">
        <v>597</v>
      </c>
      <c r="AF101" s="12" t="s">
        <v>597</v>
      </c>
      <c r="AG101" s="12" t="s">
        <v>597</v>
      </c>
      <c r="AH101" s="12" t="s">
        <v>597</v>
      </c>
      <c r="AI101" s="12" t="s">
        <v>597</v>
      </c>
      <c r="AJ101" s="12" t="s">
        <v>597</v>
      </c>
      <c r="AK101" s="12" t="s">
        <v>597</v>
      </c>
      <c r="AL101" s="12" t="s">
        <v>597</v>
      </c>
      <c r="AM101" s="12" t="s">
        <v>597</v>
      </c>
      <c r="AN101" s="12" t="s">
        <v>597</v>
      </c>
      <c r="AO101" s="12" t="s">
        <v>597</v>
      </c>
      <c r="AP101" s="12" t="s">
        <v>597</v>
      </c>
      <c r="AQ101" s="12" t="s">
        <v>597</v>
      </c>
      <c r="AR101" s="12" t="s">
        <v>641</v>
      </c>
      <c r="AS101" s="12" t="s">
        <v>641</v>
      </c>
      <c r="AT101" s="12" t="s">
        <v>641</v>
      </c>
      <c r="AU101" s="12" t="s">
        <v>641</v>
      </c>
      <c r="AV101" s="12" t="s">
        <v>690</v>
      </c>
      <c r="AW101" s="12" t="s">
        <v>780</v>
      </c>
      <c r="AX101" s="12" t="s">
        <v>780</v>
      </c>
      <c r="AY101" s="12" t="s">
        <v>1009</v>
      </c>
      <c r="AZ101" s="12" t="s">
        <v>649</v>
      </c>
      <c r="BA101" s="12" t="s">
        <v>650</v>
      </c>
      <c r="BB101" s="12" t="s">
        <v>698</v>
      </c>
      <c r="BC101" s="12" t="s">
        <v>973</v>
      </c>
      <c r="BD101" s="12" t="s">
        <v>874</v>
      </c>
      <c r="BE101" s="12" t="s">
        <v>1226</v>
      </c>
      <c r="BF101" s="12" t="s">
        <v>610</v>
      </c>
      <c r="BG101" s="12" t="s">
        <v>1832</v>
      </c>
      <c r="BH101" s="12" t="s">
        <v>2155</v>
      </c>
      <c r="BI101" s="12" t="s">
        <v>2155</v>
      </c>
      <c r="BJ101" s="12" t="s">
        <v>1146</v>
      </c>
      <c r="BK101" s="12" t="s">
        <v>1147</v>
      </c>
      <c r="BL101" s="12" t="s">
        <v>1757</v>
      </c>
      <c r="BM101" s="12" t="s">
        <v>1852</v>
      </c>
      <c r="BN101" s="12" t="s">
        <v>1707</v>
      </c>
      <c r="BO101" s="12" t="s">
        <v>2413</v>
      </c>
      <c r="BP101" s="12" t="s">
        <v>1719</v>
      </c>
      <c r="BQ101" s="12" t="s">
        <v>1053</v>
      </c>
      <c r="BR101" s="12" t="s">
        <v>2085</v>
      </c>
      <c r="BS101" s="12" t="s">
        <v>1423</v>
      </c>
      <c r="BT101" s="12" t="s">
        <v>683</v>
      </c>
      <c r="BU101" s="12" t="s">
        <v>946</v>
      </c>
      <c r="BV101" s="12" t="s">
        <v>2414</v>
      </c>
      <c r="BW101" s="12" t="s">
        <v>1690</v>
      </c>
      <c r="BX101" s="12" t="s">
        <v>2415</v>
      </c>
      <c r="BY101" s="12" t="s">
        <v>2416</v>
      </c>
      <c r="BZ101" s="12" t="s">
        <v>2417</v>
      </c>
      <c r="CA101" s="12" t="s">
        <v>2381</v>
      </c>
      <c r="CB101" s="12" t="s">
        <v>1783</v>
      </c>
      <c r="CC101" s="12" t="s">
        <v>2309</v>
      </c>
      <c r="CD101" s="12" t="s">
        <v>2418</v>
      </c>
      <c r="CE101" s="12" t="s">
        <v>2419</v>
      </c>
      <c r="CF101" s="12" t="s">
        <v>2420</v>
      </c>
      <c r="CG101" s="12" t="s">
        <v>2421</v>
      </c>
      <c r="CH101" s="12" t="s">
        <v>2422</v>
      </c>
      <c r="CI101" s="12" t="s">
        <v>2423</v>
      </c>
      <c r="CJ101" s="12" t="s">
        <v>2424</v>
      </c>
      <c r="CK101" s="12" t="s">
        <v>2425</v>
      </c>
      <c r="CL101" s="12" t="s">
        <v>2426</v>
      </c>
      <c r="CM101" s="12" t="s">
        <v>2427</v>
      </c>
      <c r="CN101" s="12" t="s">
        <v>2428</v>
      </c>
      <c r="CO101" s="12" t="s">
        <v>820</v>
      </c>
      <c r="CP101" s="12" t="s">
        <v>2429</v>
      </c>
      <c r="CQ101" s="12" t="s">
        <v>2430</v>
      </c>
      <c r="CR101" s="12" t="s">
        <v>2431</v>
      </c>
      <c r="CS101" s="12" t="s">
        <v>2432</v>
      </c>
      <c r="CT101" s="12" t="s">
        <v>2433</v>
      </c>
    </row>
    <row r="102" spans="1:98" hidden="1" x14ac:dyDescent="0.3">
      <c r="A102" s="12" t="s">
        <v>25</v>
      </c>
      <c r="B102" s="12" t="s">
        <v>2434</v>
      </c>
      <c r="C102" s="12" t="s">
        <v>2435</v>
      </c>
      <c r="D102" s="12" t="s">
        <v>2436</v>
      </c>
      <c r="E102" s="12" t="s">
        <v>596</v>
      </c>
      <c r="F102" s="12" t="s">
        <v>596</v>
      </c>
      <c r="G102" s="12" t="s">
        <v>596</v>
      </c>
      <c r="H102" s="12" t="s">
        <v>596</v>
      </c>
      <c r="I102" s="12" t="s">
        <v>596</v>
      </c>
      <c r="J102" s="12" t="s">
        <v>596</v>
      </c>
      <c r="K102" s="12" t="s">
        <v>596</v>
      </c>
      <c r="L102" s="12" t="s">
        <v>596</v>
      </c>
      <c r="M102" s="12" t="s">
        <v>596</v>
      </c>
      <c r="N102" s="12" t="s">
        <v>596</v>
      </c>
      <c r="O102" s="12" t="s">
        <v>596</v>
      </c>
      <c r="P102" s="12" t="s">
        <v>596</v>
      </c>
      <c r="Q102" s="12" t="s">
        <v>596</v>
      </c>
      <c r="R102" s="12" t="s">
        <v>596</v>
      </c>
      <c r="S102" s="12" t="s">
        <v>596</v>
      </c>
      <c r="T102" s="12" t="s">
        <v>596</v>
      </c>
      <c r="U102" s="12" t="s">
        <v>596</v>
      </c>
      <c r="V102" s="12" t="s">
        <v>596</v>
      </c>
      <c r="W102" s="12" t="s">
        <v>596</v>
      </c>
      <c r="X102" s="12" t="s">
        <v>596</v>
      </c>
      <c r="Y102" s="12" t="s">
        <v>596</v>
      </c>
      <c r="Z102" s="12" t="s">
        <v>596</v>
      </c>
      <c r="AA102" s="12" t="s">
        <v>596</v>
      </c>
      <c r="AB102" s="12" t="s">
        <v>596</v>
      </c>
      <c r="AC102" s="12" t="s">
        <v>596</v>
      </c>
      <c r="AD102" s="12" t="s">
        <v>596</v>
      </c>
      <c r="AE102" s="12" t="s">
        <v>596</v>
      </c>
      <c r="AF102" s="12" t="s">
        <v>596</v>
      </c>
      <c r="AG102" s="12" t="s">
        <v>596</v>
      </c>
      <c r="AH102" s="12" t="s">
        <v>596</v>
      </c>
      <c r="AI102" s="12" t="s">
        <v>596</v>
      </c>
      <c r="AJ102" s="12" t="s">
        <v>596</v>
      </c>
      <c r="AK102" s="12" t="s">
        <v>596</v>
      </c>
      <c r="AL102" s="12" t="s">
        <v>596</v>
      </c>
      <c r="AM102" s="12" t="s">
        <v>596</v>
      </c>
      <c r="AN102" s="12" t="s">
        <v>596</v>
      </c>
      <c r="AO102" s="12" t="s">
        <v>596</v>
      </c>
      <c r="AP102" s="12" t="s">
        <v>596</v>
      </c>
      <c r="AQ102" s="12" t="s">
        <v>596</v>
      </c>
      <c r="AR102" s="12" t="s">
        <v>596</v>
      </c>
      <c r="AS102" s="12" t="s">
        <v>596</v>
      </c>
      <c r="AT102" s="12" t="s">
        <v>596</v>
      </c>
      <c r="AU102" s="12" t="s">
        <v>596</v>
      </c>
      <c r="AV102" s="12" t="s">
        <v>596</v>
      </c>
      <c r="AW102" s="12" t="s">
        <v>596</v>
      </c>
      <c r="AX102" s="12" t="s">
        <v>596</v>
      </c>
      <c r="AY102" s="12" t="s">
        <v>596</v>
      </c>
      <c r="AZ102" s="12" t="s">
        <v>596</v>
      </c>
      <c r="BA102" s="12" t="s">
        <v>596</v>
      </c>
      <c r="BB102" s="12" t="s">
        <v>596</v>
      </c>
      <c r="BC102" s="12" t="s">
        <v>596</v>
      </c>
      <c r="BD102" s="12" t="s">
        <v>596</v>
      </c>
      <c r="BE102" s="12" t="s">
        <v>596</v>
      </c>
      <c r="BF102" s="12" t="s">
        <v>596</v>
      </c>
      <c r="BG102" s="12" t="s">
        <v>596</v>
      </c>
      <c r="BH102" s="12" t="s">
        <v>596</v>
      </c>
      <c r="BI102" s="12" t="s">
        <v>596</v>
      </c>
      <c r="BJ102" s="12" t="s">
        <v>597</v>
      </c>
      <c r="BK102" s="12" t="s">
        <v>597</v>
      </c>
      <c r="BL102" s="12" t="s">
        <v>690</v>
      </c>
      <c r="BM102" s="12" t="s">
        <v>690</v>
      </c>
      <c r="BN102" s="12" t="s">
        <v>690</v>
      </c>
      <c r="BO102" s="12" t="s">
        <v>599</v>
      </c>
      <c r="BP102" s="12" t="s">
        <v>779</v>
      </c>
      <c r="BQ102" s="12" t="s">
        <v>886</v>
      </c>
      <c r="BR102" s="12" t="s">
        <v>886</v>
      </c>
      <c r="BS102" s="12" t="s">
        <v>692</v>
      </c>
      <c r="BT102" s="12" t="s">
        <v>605</v>
      </c>
      <c r="BU102" s="12" t="s">
        <v>2036</v>
      </c>
      <c r="BV102" s="12" t="s">
        <v>870</v>
      </c>
      <c r="BW102" s="12" t="s">
        <v>870</v>
      </c>
      <c r="BX102" s="12" t="s">
        <v>1064</v>
      </c>
      <c r="BY102" s="12" t="s">
        <v>936</v>
      </c>
      <c r="BZ102" s="12" t="s">
        <v>787</v>
      </c>
      <c r="CA102" s="12" t="s">
        <v>871</v>
      </c>
      <c r="CB102" s="12" t="s">
        <v>992</v>
      </c>
      <c r="CC102" s="12" t="s">
        <v>828</v>
      </c>
      <c r="CD102" s="12" t="s">
        <v>876</v>
      </c>
      <c r="CE102" s="12" t="s">
        <v>880</v>
      </c>
      <c r="CF102" s="12" t="s">
        <v>1435</v>
      </c>
      <c r="CG102" s="12" t="s">
        <v>1519</v>
      </c>
      <c r="CH102" s="12" t="s">
        <v>1769</v>
      </c>
      <c r="CI102" s="12" t="s">
        <v>1375</v>
      </c>
      <c r="CJ102" s="12" t="s">
        <v>2117</v>
      </c>
      <c r="CK102" s="12" t="s">
        <v>1751</v>
      </c>
      <c r="CL102" s="12" t="s">
        <v>742</v>
      </c>
      <c r="CM102" s="12" t="s">
        <v>1549</v>
      </c>
      <c r="CN102" s="12" t="s">
        <v>1856</v>
      </c>
      <c r="CO102" s="12" t="s">
        <v>702</v>
      </c>
      <c r="CP102" s="12" t="s">
        <v>1181</v>
      </c>
      <c r="CQ102" s="12" t="s">
        <v>2047</v>
      </c>
      <c r="CR102" s="12" t="s">
        <v>614</v>
      </c>
      <c r="CS102" s="12" t="s">
        <v>1508</v>
      </c>
      <c r="CT102" s="12" t="s">
        <v>1705</v>
      </c>
    </row>
    <row r="103" spans="1:98" hidden="1" x14ac:dyDescent="0.3">
      <c r="A103" s="12" t="s">
        <v>25</v>
      </c>
      <c r="B103" s="12" t="s">
        <v>2437</v>
      </c>
      <c r="C103" s="12" t="s">
        <v>2438</v>
      </c>
      <c r="D103" s="12" t="s">
        <v>2439</v>
      </c>
      <c r="E103" s="12" t="s">
        <v>596</v>
      </c>
      <c r="F103" s="12" t="s">
        <v>596</v>
      </c>
      <c r="G103" s="12" t="s">
        <v>596</v>
      </c>
      <c r="H103" s="12" t="s">
        <v>596</v>
      </c>
      <c r="I103" s="12" t="s">
        <v>596</v>
      </c>
      <c r="J103" s="12" t="s">
        <v>596</v>
      </c>
      <c r="K103" s="12" t="s">
        <v>596</v>
      </c>
      <c r="L103" s="12" t="s">
        <v>596</v>
      </c>
      <c r="M103" s="12" t="s">
        <v>596</v>
      </c>
      <c r="N103" s="12" t="s">
        <v>596</v>
      </c>
      <c r="O103" s="12" t="s">
        <v>596</v>
      </c>
      <c r="P103" s="12" t="s">
        <v>596</v>
      </c>
      <c r="Q103" s="12" t="s">
        <v>596</v>
      </c>
      <c r="R103" s="12" t="s">
        <v>596</v>
      </c>
      <c r="S103" s="12" t="s">
        <v>596</v>
      </c>
      <c r="T103" s="12" t="s">
        <v>596</v>
      </c>
      <c r="U103" s="12" t="s">
        <v>596</v>
      </c>
      <c r="V103" s="12" t="s">
        <v>596</v>
      </c>
      <c r="W103" s="12" t="s">
        <v>596</v>
      </c>
      <c r="X103" s="12" t="s">
        <v>596</v>
      </c>
      <c r="Y103" s="12" t="s">
        <v>596</v>
      </c>
      <c r="Z103" s="12" t="s">
        <v>596</v>
      </c>
      <c r="AA103" s="12" t="s">
        <v>596</v>
      </c>
      <c r="AB103" s="12" t="s">
        <v>596</v>
      </c>
      <c r="AC103" s="12" t="s">
        <v>596</v>
      </c>
      <c r="AD103" s="12" t="s">
        <v>596</v>
      </c>
      <c r="AE103" s="12" t="s">
        <v>596</v>
      </c>
      <c r="AF103" s="12" t="s">
        <v>596</v>
      </c>
      <c r="AG103" s="12" t="s">
        <v>596</v>
      </c>
      <c r="AH103" s="12" t="s">
        <v>596</v>
      </c>
      <c r="AI103" s="12" t="s">
        <v>596</v>
      </c>
      <c r="AJ103" s="12" t="s">
        <v>596</v>
      </c>
      <c r="AK103" s="12" t="s">
        <v>596</v>
      </c>
      <c r="AL103" s="12" t="s">
        <v>596</v>
      </c>
      <c r="AM103" s="12" t="s">
        <v>596</v>
      </c>
      <c r="AN103" s="12" t="s">
        <v>596</v>
      </c>
      <c r="AO103" s="12" t="s">
        <v>596</v>
      </c>
      <c r="AP103" s="12" t="s">
        <v>596</v>
      </c>
      <c r="AQ103" s="12" t="s">
        <v>596</v>
      </c>
      <c r="AR103" s="12" t="s">
        <v>596</v>
      </c>
      <c r="AS103" s="12" t="s">
        <v>596</v>
      </c>
      <c r="AT103" s="12" t="s">
        <v>596</v>
      </c>
      <c r="AU103" s="12" t="s">
        <v>596</v>
      </c>
      <c r="AV103" s="12" t="s">
        <v>596</v>
      </c>
      <c r="AW103" s="12" t="s">
        <v>596</v>
      </c>
      <c r="AX103" s="12" t="s">
        <v>596</v>
      </c>
      <c r="AY103" s="12" t="s">
        <v>596</v>
      </c>
      <c r="AZ103" s="12" t="s">
        <v>596</v>
      </c>
      <c r="BA103" s="12" t="s">
        <v>596</v>
      </c>
      <c r="BB103" s="12" t="s">
        <v>596</v>
      </c>
      <c r="BC103" s="12" t="s">
        <v>596</v>
      </c>
      <c r="BD103" s="12" t="s">
        <v>596</v>
      </c>
      <c r="BE103" s="12" t="s">
        <v>596</v>
      </c>
      <c r="BF103" s="12" t="s">
        <v>597</v>
      </c>
      <c r="BG103" s="12" t="s">
        <v>597</v>
      </c>
      <c r="BH103" s="12" t="s">
        <v>597</v>
      </c>
      <c r="BI103" s="12" t="s">
        <v>598</v>
      </c>
      <c r="BJ103" s="12" t="s">
        <v>869</v>
      </c>
      <c r="BK103" s="12" t="s">
        <v>869</v>
      </c>
      <c r="BL103" s="12" t="s">
        <v>869</v>
      </c>
      <c r="BM103" s="12" t="s">
        <v>869</v>
      </c>
      <c r="BN103" s="12" t="s">
        <v>779</v>
      </c>
      <c r="BO103" s="12" t="s">
        <v>779</v>
      </c>
      <c r="BP103" s="12" t="s">
        <v>779</v>
      </c>
      <c r="BQ103" s="12" t="s">
        <v>643</v>
      </c>
      <c r="BR103" s="12" t="s">
        <v>643</v>
      </c>
      <c r="BS103" s="12" t="s">
        <v>643</v>
      </c>
      <c r="BT103" s="12" t="s">
        <v>643</v>
      </c>
      <c r="BU103" s="12" t="s">
        <v>643</v>
      </c>
      <c r="BV103" s="12" t="s">
        <v>643</v>
      </c>
      <c r="BW103" s="12" t="s">
        <v>780</v>
      </c>
      <c r="BX103" s="12" t="s">
        <v>780</v>
      </c>
      <c r="BY103" s="12" t="s">
        <v>602</v>
      </c>
      <c r="BZ103" s="12" t="s">
        <v>602</v>
      </c>
      <c r="CA103" s="12" t="s">
        <v>602</v>
      </c>
      <c r="CB103" s="12" t="s">
        <v>602</v>
      </c>
      <c r="CC103" s="12" t="s">
        <v>602</v>
      </c>
      <c r="CD103" s="12" t="s">
        <v>826</v>
      </c>
      <c r="CE103" s="12" t="s">
        <v>826</v>
      </c>
      <c r="CF103" s="12" t="s">
        <v>826</v>
      </c>
      <c r="CG103" s="12" t="s">
        <v>826</v>
      </c>
      <c r="CH103" s="12" t="s">
        <v>603</v>
      </c>
      <c r="CI103" s="12" t="s">
        <v>603</v>
      </c>
      <c r="CJ103" s="12" t="s">
        <v>1064</v>
      </c>
      <c r="CK103" s="12" t="s">
        <v>648</v>
      </c>
      <c r="CL103" s="12" t="s">
        <v>648</v>
      </c>
      <c r="CM103" s="12" t="s">
        <v>789</v>
      </c>
      <c r="CN103" s="12" t="s">
        <v>789</v>
      </c>
      <c r="CO103" s="12" t="s">
        <v>789</v>
      </c>
      <c r="CP103" s="12" t="s">
        <v>789</v>
      </c>
      <c r="CQ103" s="12" t="s">
        <v>1370</v>
      </c>
      <c r="CR103" s="12" t="s">
        <v>608</v>
      </c>
      <c r="CS103" s="12" t="s">
        <v>608</v>
      </c>
      <c r="CT103" s="12" t="s">
        <v>1144</v>
      </c>
    </row>
    <row r="104" spans="1:98" hidden="1" x14ac:dyDescent="0.3">
      <c r="A104" s="12" t="s">
        <v>25</v>
      </c>
      <c r="B104" s="12" t="s">
        <v>2440</v>
      </c>
      <c r="C104" s="12" t="s">
        <v>2441</v>
      </c>
      <c r="D104" s="12" t="s">
        <v>2442</v>
      </c>
      <c r="E104" s="12" t="s">
        <v>596</v>
      </c>
      <c r="F104" s="12" t="s">
        <v>596</v>
      </c>
      <c r="G104" s="12" t="s">
        <v>596</v>
      </c>
      <c r="H104" s="12" t="s">
        <v>596</v>
      </c>
      <c r="I104" s="12" t="s">
        <v>596</v>
      </c>
      <c r="J104" s="12" t="s">
        <v>596</v>
      </c>
      <c r="K104" s="12" t="s">
        <v>596</v>
      </c>
      <c r="L104" s="12" t="s">
        <v>596</v>
      </c>
      <c r="M104" s="12" t="s">
        <v>596</v>
      </c>
      <c r="N104" s="12" t="s">
        <v>596</v>
      </c>
      <c r="O104" s="12" t="s">
        <v>596</v>
      </c>
      <c r="P104" s="12" t="s">
        <v>596</v>
      </c>
      <c r="Q104" s="12" t="s">
        <v>596</v>
      </c>
      <c r="R104" s="12" t="s">
        <v>596</v>
      </c>
      <c r="S104" s="12" t="s">
        <v>596</v>
      </c>
      <c r="T104" s="12" t="s">
        <v>596</v>
      </c>
      <c r="U104" s="12" t="s">
        <v>596</v>
      </c>
      <c r="V104" s="12" t="s">
        <v>596</v>
      </c>
      <c r="W104" s="12" t="s">
        <v>596</v>
      </c>
      <c r="X104" s="12" t="s">
        <v>596</v>
      </c>
      <c r="Y104" s="12" t="s">
        <v>596</v>
      </c>
      <c r="Z104" s="12" t="s">
        <v>596</v>
      </c>
      <c r="AA104" s="12" t="s">
        <v>596</v>
      </c>
      <c r="AB104" s="12" t="s">
        <v>596</v>
      </c>
      <c r="AC104" s="12" t="s">
        <v>596</v>
      </c>
      <c r="AD104" s="12" t="s">
        <v>596</v>
      </c>
      <c r="AE104" s="12" t="s">
        <v>596</v>
      </c>
      <c r="AF104" s="12" t="s">
        <v>596</v>
      </c>
      <c r="AG104" s="12" t="s">
        <v>596</v>
      </c>
      <c r="AH104" s="12" t="s">
        <v>596</v>
      </c>
      <c r="AI104" s="12" t="s">
        <v>596</v>
      </c>
      <c r="AJ104" s="12" t="s">
        <v>596</v>
      </c>
      <c r="AK104" s="12" t="s">
        <v>596</v>
      </c>
      <c r="AL104" s="12" t="s">
        <v>596</v>
      </c>
      <c r="AM104" s="12" t="s">
        <v>596</v>
      </c>
      <c r="AN104" s="12" t="s">
        <v>596</v>
      </c>
      <c r="AO104" s="12" t="s">
        <v>596</v>
      </c>
      <c r="AP104" s="12" t="s">
        <v>596</v>
      </c>
      <c r="AQ104" s="12" t="s">
        <v>596</v>
      </c>
      <c r="AR104" s="12" t="s">
        <v>596</v>
      </c>
      <c r="AS104" s="12" t="s">
        <v>596</v>
      </c>
      <c r="AT104" s="12" t="s">
        <v>596</v>
      </c>
      <c r="AU104" s="12" t="s">
        <v>596</v>
      </c>
      <c r="AV104" s="12" t="s">
        <v>596</v>
      </c>
      <c r="AW104" s="12" t="s">
        <v>596</v>
      </c>
      <c r="AX104" s="12" t="s">
        <v>596</v>
      </c>
      <c r="AY104" s="12" t="s">
        <v>596</v>
      </c>
      <c r="AZ104" s="12" t="s">
        <v>596</v>
      </c>
      <c r="BA104" s="12" t="s">
        <v>596</v>
      </c>
      <c r="BB104" s="12" t="s">
        <v>596</v>
      </c>
      <c r="BC104" s="12" t="s">
        <v>596</v>
      </c>
      <c r="BD104" s="12" t="s">
        <v>596</v>
      </c>
      <c r="BE104" s="12" t="s">
        <v>596</v>
      </c>
      <c r="BF104" s="12" t="s">
        <v>596</v>
      </c>
      <c r="BG104" s="12" t="s">
        <v>596</v>
      </c>
      <c r="BH104" s="12" t="s">
        <v>596</v>
      </c>
      <c r="BI104" s="12" t="s">
        <v>596</v>
      </c>
      <c r="BJ104" s="12" t="s">
        <v>596</v>
      </c>
      <c r="BK104" s="12" t="s">
        <v>596</v>
      </c>
      <c r="BL104" s="12" t="s">
        <v>597</v>
      </c>
      <c r="BM104" s="12" t="s">
        <v>597</v>
      </c>
      <c r="BN104" s="12" t="s">
        <v>597</v>
      </c>
      <c r="BO104" s="12" t="s">
        <v>597</v>
      </c>
      <c r="BP104" s="12" t="s">
        <v>598</v>
      </c>
      <c r="BQ104" s="12" t="s">
        <v>869</v>
      </c>
      <c r="BR104" s="12" t="s">
        <v>869</v>
      </c>
      <c r="BS104" s="12" t="s">
        <v>869</v>
      </c>
      <c r="BT104" s="12" t="s">
        <v>643</v>
      </c>
      <c r="BU104" s="12" t="s">
        <v>643</v>
      </c>
      <c r="BV104" s="12" t="s">
        <v>780</v>
      </c>
      <c r="BW104" s="12" t="s">
        <v>780</v>
      </c>
      <c r="BX104" s="12" t="s">
        <v>604</v>
      </c>
      <c r="BY104" s="12" t="s">
        <v>604</v>
      </c>
      <c r="BZ104" s="12" t="s">
        <v>971</v>
      </c>
      <c r="CA104" s="12" t="s">
        <v>971</v>
      </c>
      <c r="CB104" s="12" t="s">
        <v>784</v>
      </c>
      <c r="CC104" s="12" t="s">
        <v>784</v>
      </c>
      <c r="CD104" s="12" t="s">
        <v>645</v>
      </c>
      <c r="CE104" s="12" t="s">
        <v>645</v>
      </c>
      <c r="CF104" s="12" t="s">
        <v>785</v>
      </c>
      <c r="CG104" s="12" t="s">
        <v>785</v>
      </c>
      <c r="CH104" s="12" t="s">
        <v>785</v>
      </c>
      <c r="CI104" s="12" t="s">
        <v>785</v>
      </c>
      <c r="CJ104" s="12" t="s">
        <v>785</v>
      </c>
      <c r="CK104" s="12" t="s">
        <v>935</v>
      </c>
      <c r="CL104" s="12" t="s">
        <v>935</v>
      </c>
      <c r="CM104" s="12" t="s">
        <v>935</v>
      </c>
      <c r="CN104" s="12" t="s">
        <v>736</v>
      </c>
      <c r="CO104" s="12" t="s">
        <v>736</v>
      </c>
      <c r="CP104" s="12" t="s">
        <v>736</v>
      </c>
      <c r="CQ104" s="12" t="s">
        <v>736</v>
      </c>
      <c r="CR104" s="12" t="s">
        <v>736</v>
      </c>
      <c r="CS104" s="12" t="s">
        <v>736</v>
      </c>
      <c r="CT104" s="12" t="s">
        <v>736</v>
      </c>
    </row>
    <row r="105" spans="1:98" hidden="1" x14ac:dyDescent="0.3">
      <c r="A105" s="12" t="s">
        <v>25</v>
      </c>
      <c r="B105" s="12" t="s">
        <v>2443</v>
      </c>
      <c r="C105" s="12" t="s">
        <v>2444</v>
      </c>
      <c r="D105" s="12" t="s">
        <v>2445</v>
      </c>
      <c r="E105" s="12" t="s">
        <v>596</v>
      </c>
      <c r="F105" s="12" t="s">
        <v>596</v>
      </c>
      <c r="G105" s="12" t="s">
        <v>596</v>
      </c>
      <c r="H105" s="12" t="s">
        <v>596</v>
      </c>
      <c r="I105" s="12" t="s">
        <v>596</v>
      </c>
      <c r="J105" s="12" t="s">
        <v>596</v>
      </c>
      <c r="K105" s="12" t="s">
        <v>596</v>
      </c>
      <c r="L105" s="12" t="s">
        <v>596</v>
      </c>
      <c r="M105" s="12" t="s">
        <v>596</v>
      </c>
      <c r="N105" s="12" t="s">
        <v>596</v>
      </c>
      <c r="O105" s="12" t="s">
        <v>596</v>
      </c>
      <c r="P105" s="12" t="s">
        <v>596</v>
      </c>
      <c r="Q105" s="12" t="s">
        <v>596</v>
      </c>
      <c r="R105" s="12" t="s">
        <v>596</v>
      </c>
      <c r="S105" s="12" t="s">
        <v>596</v>
      </c>
      <c r="T105" s="12" t="s">
        <v>596</v>
      </c>
      <c r="U105" s="12" t="s">
        <v>596</v>
      </c>
      <c r="V105" s="12" t="s">
        <v>596</v>
      </c>
      <c r="W105" s="12" t="s">
        <v>596</v>
      </c>
      <c r="X105" s="12" t="s">
        <v>596</v>
      </c>
      <c r="Y105" s="12" t="s">
        <v>596</v>
      </c>
      <c r="Z105" s="12" t="s">
        <v>596</v>
      </c>
      <c r="AA105" s="12" t="s">
        <v>596</v>
      </c>
      <c r="AB105" s="12" t="s">
        <v>596</v>
      </c>
      <c r="AC105" s="12" t="s">
        <v>596</v>
      </c>
      <c r="AD105" s="12" t="s">
        <v>596</v>
      </c>
      <c r="AE105" s="12" t="s">
        <v>596</v>
      </c>
      <c r="AF105" s="12" t="s">
        <v>596</v>
      </c>
      <c r="AG105" s="12" t="s">
        <v>596</v>
      </c>
      <c r="AH105" s="12" t="s">
        <v>596</v>
      </c>
      <c r="AI105" s="12" t="s">
        <v>596</v>
      </c>
      <c r="AJ105" s="12" t="s">
        <v>596</v>
      </c>
      <c r="AK105" s="12" t="s">
        <v>596</v>
      </c>
      <c r="AL105" s="12" t="s">
        <v>596</v>
      </c>
      <c r="AM105" s="12" t="s">
        <v>596</v>
      </c>
      <c r="AN105" s="12" t="s">
        <v>596</v>
      </c>
      <c r="AO105" s="12" t="s">
        <v>597</v>
      </c>
      <c r="AP105" s="12" t="s">
        <v>597</v>
      </c>
      <c r="AQ105" s="12" t="s">
        <v>597</v>
      </c>
      <c r="AR105" s="12" t="s">
        <v>597</v>
      </c>
      <c r="AS105" s="12" t="s">
        <v>597</v>
      </c>
      <c r="AT105" s="12" t="s">
        <v>641</v>
      </c>
      <c r="AU105" s="12" t="s">
        <v>641</v>
      </c>
      <c r="AV105" s="12" t="s">
        <v>690</v>
      </c>
      <c r="AW105" s="12" t="s">
        <v>642</v>
      </c>
      <c r="AX105" s="12" t="s">
        <v>642</v>
      </c>
      <c r="AY105" s="12" t="s">
        <v>642</v>
      </c>
      <c r="AZ105" s="12" t="s">
        <v>642</v>
      </c>
      <c r="BA105" s="12" t="s">
        <v>643</v>
      </c>
      <c r="BB105" s="12" t="s">
        <v>602</v>
      </c>
      <c r="BC105" s="12" t="s">
        <v>602</v>
      </c>
      <c r="BD105" s="12" t="s">
        <v>789</v>
      </c>
      <c r="BE105" s="12" t="s">
        <v>829</v>
      </c>
      <c r="BF105" s="12" t="s">
        <v>892</v>
      </c>
      <c r="BG105" s="12" t="s">
        <v>1004</v>
      </c>
      <c r="BH105" s="12" t="s">
        <v>2047</v>
      </c>
      <c r="BI105" s="12" t="s">
        <v>1298</v>
      </c>
      <c r="BJ105" s="12" t="s">
        <v>745</v>
      </c>
      <c r="BK105" s="12" t="s">
        <v>1846</v>
      </c>
      <c r="BL105" s="12" t="s">
        <v>1442</v>
      </c>
      <c r="BM105" s="12" t="s">
        <v>1630</v>
      </c>
      <c r="BN105" s="12" t="s">
        <v>1706</v>
      </c>
      <c r="BO105" s="12" t="s">
        <v>2446</v>
      </c>
      <c r="BP105" s="12" t="s">
        <v>2080</v>
      </c>
      <c r="BQ105" s="12" t="s">
        <v>2086</v>
      </c>
      <c r="BR105" s="12" t="s">
        <v>1745</v>
      </c>
      <c r="BS105" s="12" t="s">
        <v>2010</v>
      </c>
      <c r="BT105" s="12" t="s">
        <v>2447</v>
      </c>
      <c r="BU105" s="12" t="s">
        <v>2253</v>
      </c>
      <c r="BV105" s="12" t="s">
        <v>799</v>
      </c>
      <c r="BW105" s="12" t="s">
        <v>1690</v>
      </c>
      <c r="BX105" s="12" t="s">
        <v>1309</v>
      </c>
      <c r="BY105" s="12" t="s">
        <v>2448</v>
      </c>
      <c r="BZ105" s="12" t="s">
        <v>853</v>
      </c>
      <c r="CA105" s="12" t="s">
        <v>1405</v>
      </c>
      <c r="CB105" s="12" t="s">
        <v>2449</v>
      </c>
      <c r="CC105" s="12" t="s">
        <v>2450</v>
      </c>
      <c r="CD105" s="12" t="s">
        <v>2451</v>
      </c>
      <c r="CE105" s="12" t="s">
        <v>2452</v>
      </c>
      <c r="CF105" s="12" t="s">
        <v>2148</v>
      </c>
      <c r="CG105" s="12" t="s">
        <v>2453</v>
      </c>
      <c r="CH105" s="12" t="s">
        <v>1319</v>
      </c>
      <c r="CI105" s="12" t="s">
        <v>1072</v>
      </c>
      <c r="CJ105" s="12" t="s">
        <v>1128</v>
      </c>
      <c r="CK105" s="12" t="s">
        <v>1798</v>
      </c>
      <c r="CL105" s="12" t="s">
        <v>2454</v>
      </c>
      <c r="CM105" s="12" t="s">
        <v>2455</v>
      </c>
      <c r="CN105" s="12" t="s">
        <v>2456</v>
      </c>
      <c r="CO105" s="12" t="s">
        <v>1167</v>
      </c>
      <c r="CP105" s="12" t="s">
        <v>2457</v>
      </c>
      <c r="CQ105" s="12" t="s">
        <v>1818</v>
      </c>
      <c r="CR105" s="12" t="s">
        <v>2458</v>
      </c>
      <c r="CS105" s="12" t="s">
        <v>1134</v>
      </c>
      <c r="CT105" s="12" t="s">
        <v>2459</v>
      </c>
    </row>
    <row r="106" spans="1:98" hidden="1" x14ac:dyDescent="0.3">
      <c r="A106" s="12" t="s">
        <v>25</v>
      </c>
      <c r="B106" s="12" t="s">
        <v>2460</v>
      </c>
      <c r="C106" s="12" t="s">
        <v>2461</v>
      </c>
      <c r="D106" s="12" t="s">
        <v>2462</v>
      </c>
      <c r="E106" s="12" t="s">
        <v>596</v>
      </c>
      <c r="F106" s="12" t="s">
        <v>596</v>
      </c>
      <c r="G106" s="12" t="s">
        <v>596</v>
      </c>
      <c r="H106" s="12" t="s">
        <v>596</v>
      </c>
      <c r="I106" s="12" t="s">
        <v>596</v>
      </c>
      <c r="J106" s="12" t="s">
        <v>596</v>
      </c>
      <c r="K106" s="12" t="s">
        <v>596</v>
      </c>
      <c r="L106" s="12" t="s">
        <v>596</v>
      </c>
      <c r="M106" s="12" t="s">
        <v>596</v>
      </c>
      <c r="N106" s="12" t="s">
        <v>596</v>
      </c>
      <c r="O106" s="12" t="s">
        <v>596</v>
      </c>
      <c r="P106" s="12" t="s">
        <v>596</v>
      </c>
      <c r="Q106" s="12" t="s">
        <v>596</v>
      </c>
      <c r="R106" s="12" t="s">
        <v>596</v>
      </c>
      <c r="S106" s="12" t="s">
        <v>596</v>
      </c>
      <c r="T106" s="12" t="s">
        <v>596</v>
      </c>
      <c r="U106" s="12" t="s">
        <v>596</v>
      </c>
      <c r="V106" s="12" t="s">
        <v>596</v>
      </c>
      <c r="W106" s="12" t="s">
        <v>596</v>
      </c>
      <c r="X106" s="12" t="s">
        <v>596</v>
      </c>
      <c r="Y106" s="12" t="s">
        <v>596</v>
      </c>
      <c r="Z106" s="12" t="s">
        <v>596</v>
      </c>
      <c r="AA106" s="12" t="s">
        <v>596</v>
      </c>
      <c r="AB106" s="12" t="s">
        <v>596</v>
      </c>
      <c r="AC106" s="12" t="s">
        <v>596</v>
      </c>
      <c r="AD106" s="12" t="s">
        <v>596</v>
      </c>
      <c r="AE106" s="12" t="s">
        <v>596</v>
      </c>
      <c r="AF106" s="12" t="s">
        <v>596</v>
      </c>
      <c r="AG106" s="12" t="s">
        <v>596</v>
      </c>
      <c r="AH106" s="12" t="s">
        <v>596</v>
      </c>
      <c r="AI106" s="12" t="s">
        <v>596</v>
      </c>
      <c r="AJ106" s="12" t="s">
        <v>596</v>
      </c>
      <c r="AK106" s="12" t="s">
        <v>596</v>
      </c>
      <c r="AL106" s="12" t="s">
        <v>596</v>
      </c>
      <c r="AM106" s="12" t="s">
        <v>596</v>
      </c>
      <c r="AN106" s="12" t="s">
        <v>596</v>
      </c>
      <c r="AO106" s="12" t="s">
        <v>596</v>
      </c>
      <c r="AP106" s="12" t="s">
        <v>596</v>
      </c>
      <c r="AQ106" s="12" t="s">
        <v>596</v>
      </c>
      <c r="AR106" s="12" t="s">
        <v>596</v>
      </c>
      <c r="AS106" s="12" t="s">
        <v>596</v>
      </c>
      <c r="AT106" s="12" t="s">
        <v>596</v>
      </c>
      <c r="AU106" s="12" t="s">
        <v>596</v>
      </c>
      <c r="AV106" s="12" t="s">
        <v>596</v>
      </c>
      <c r="AW106" s="12" t="s">
        <v>596</v>
      </c>
      <c r="AX106" s="12" t="s">
        <v>596</v>
      </c>
      <c r="AY106" s="12" t="s">
        <v>596</v>
      </c>
      <c r="AZ106" s="12" t="s">
        <v>596</v>
      </c>
      <c r="BA106" s="12" t="s">
        <v>596</v>
      </c>
      <c r="BB106" s="12" t="s">
        <v>596</v>
      </c>
      <c r="BC106" s="12" t="s">
        <v>596</v>
      </c>
      <c r="BD106" s="12" t="s">
        <v>596</v>
      </c>
      <c r="BE106" s="12" t="s">
        <v>597</v>
      </c>
      <c r="BF106" s="12" t="s">
        <v>597</v>
      </c>
      <c r="BG106" s="12" t="s">
        <v>597</v>
      </c>
      <c r="BH106" s="12" t="s">
        <v>597</v>
      </c>
      <c r="BI106" s="12" t="s">
        <v>597</v>
      </c>
      <c r="BJ106" s="12" t="s">
        <v>597</v>
      </c>
      <c r="BK106" s="12" t="s">
        <v>597</v>
      </c>
      <c r="BL106" s="12" t="s">
        <v>597</v>
      </c>
      <c r="BM106" s="12" t="s">
        <v>598</v>
      </c>
      <c r="BN106" s="12" t="s">
        <v>598</v>
      </c>
      <c r="BO106" s="12" t="s">
        <v>598</v>
      </c>
      <c r="BP106" s="12" t="s">
        <v>598</v>
      </c>
      <c r="BQ106" s="12" t="s">
        <v>869</v>
      </c>
      <c r="BR106" s="12" t="s">
        <v>779</v>
      </c>
      <c r="BS106" s="12" t="s">
        <v>779</v>
      </c>
      <c r="BT106" s="12" t="s">
        <v>779</v>
      </c>
      <c r="BU106" s="12" t="s">
        <v>779</v>
      </c>
      <c r="BV106" s="12" t="s">
        <v>779</v>
      </c>
      <c r="BW106" s="12" t="s">
        <v>779</v>
      </c>
      <c r="BX106" s="12" t="s">
        <v>779</v>
      </c>
      <c r="BY106" s="12" t="s">
        <v>779</v>
      </c>
      <c r="BZ106" s="12" t="s">
        <v>779</v>
      </c>
      <c r="CA106" s="12" t="s">
        <v>779</v>
      </c>
      <c r="CB106" s="12" t="s">
        <v>642</v>
      </c>
      <c r="CC106" s="12" t="s">
        <v>642</v>
      </c>
      <c r="CD106" s="12" t="s">
        <v>643</v>
      </c>
      <c r="CE106" s="12" t="s">
        <v>643</v>
      </c>
      <c r="CF106" s="12" t="s">
        <v>643</v>
      </c>
      <c r="CG106" s="12" t="s">
        <v>643</v>
      </c>
      <c r="CH106" s="12" t="s">
        <v>774</v>
      </c>
      <c r="CI106" s="12" t="s">
        <v>780</v>
      </c>
      <c r="CJ106" s="12" t="s">
        <v>780</v>
      </c>
      <c r="CK106" s="12" t="s">
        <v>780</v>
      </c>
      <c r="CL106" s="12" t="s">
        <v>602</v>
      </c>
      <c r="CM106" s="12" t="s">
        <v>602</v>
      </c>
      <c r="CN106" s="12" t="s">
        <v>604</v>
      </c>
      <c r="CO106" s="12" t="s">
        <v>604</v>
      </c>
      <c r="CP106" s="12" t="s">
        <v>605</v>
      </c>
      <c r="CQ106" s="12" t="s">
        <v>784</v>
      </c>
      <c r="CR106" s="12" t="s">
        <v>784</v>
      </c>
      <c r="CS106" s="12" t="s">
        <v>784</v>
      </c>
      <c r="CT106" s="12" t="s">
        <v>989</v>
      </c>
    </row>
    <row r="107" spans="1:98" hidden="1" x14ac:dyDescent="0.3">
      <c r="A107" s="12" t="s">
        <v>25</v>
      </c>
      <c r="B107" s="12" t="s">
        <v>2463</v>
      </c>
      <c r="C107" s="12" t="s">
        <v>2464</v>
      </c>
      <c r="D107" s="12" t="s">
        <v>2465</v>
      </c>
      <c r="E107" s="12" t="s">
        <v>596</v>
      </c>
      <c r="F107" s="12" t="s">
        <v>596</v>
      </c>
      <c r="G107" s="12" t="s">
        <v>596</v>
      </c>
      <c r="H107" s="12" t="s">
        <v>596</v>
      </c>
      <c r="I107" s="12" t="s">
        <v>596</v>
      </c>
      <c r="J107" s="12" t="s">
        <v>596</v>
      </c>
      <c r="K107" s="12" t="s">
        <v>596</v>
      </c>
      <c r="L107" s="12" t="s">
        <v>596</v>
      </c>
      <c r="M107" s="12" t="s">
        <v>596</v>
      </c>
      <c r="N107" s="12" t="s">
        <v>596</v>
      </c>
      <c r="O107" s="12" t="s">
        <v>596</v>
      </c>
      <c r="P107" s="12" t="s">
        <v>596</v>
      </c>
      <c r="Q107" s="12" t="s">
        <v>596</v>
      </c>
      <c r="R107" s="12" t="s">
        <v>596</v>
      </c>
      <c r="S107" s="12" t="s">
        <v>596</v>
      </c>
      <c r="T107" s="12" t="s">
        <v>596</v>
      </c>
      <c r="U107" s="12" t="s">
        <v>596</v>
      </c>
      <c r="V107" s="12" t="s">
        <v>596</v>
      </c>
      <c r="W107" s="12" t="s">
        <v>596</v>
      </c>
      <c r="X107" s="12" t="s">
        <v>596</v>
      </c>
      <c r="Y107" s="12" t="s">
        <v>596</v>
      </c>
      <c r="Z107" s="12" t="s">
        <v>596</v>
      </c>
      <c r="AA107" s="12" t="s">
        <v>596</v>
      </c>
      <c r="AB107" s="12" t="s">
        <v>596</v>
      </c>
      <c r="AC107" s="12" t="s">
        <v>596</v>
      </c>
      <c r="AD107" s="12" t="s">
        <v>596</v>
      </c>
      <c r="AE107" s="12" t="s">
        <v>596</v>
      </c>
      <c r="AF107" s="12" t="s">
        <v>596</v>
      </c>
      <c r="AG107" s="12" t="s">
        <v>596</v>
      </c>
      <c r="AH107" s="12" t="s">
        <v>596</v>
      </c>
      <c r="AI107" s="12" t="s">
        <v>596</v>
      </c>
      <c r="AJ107" s="12" t="s">
        <v>596</v>
      </c>
      <c r="AK107" s="12" t="s">
        <v>596</v>
      </c>
      <c r="AL107" s="12" t="s">
        <v>596</v>
      </c>
      <c r="AM107" s="12" t="s">
        <v>596</v>
      </c>
      <c r="AN107" s="12" t="s">
        <v>596</v>
      </c>
      <c r="AO107" s="12" t="s">
        <v>596</v>
      </c>
      <c r="AP107" s="12" t="s">
        <v>596</v>
      </c>
      <c r="AQ107" s="12" t="s">
        <v>596</v>
      </c>
      <c r="AR107" s="12" t="s">
        <v>596</v>
      </c>
      <c r="AS107" s="12" t="s">
        <v>596</v>
      </c>
      <c r="AT107" s="12" t="s">
        <v>596</v>
      </c>
      <c r="AU107" s="12" t="s">
        <v>596</v>
      </c>
      <c r="AV107" s="12" t="s">
        <v>596</v>
      </c>
      <c r="AW107" s="12" t="s">
        <v>596</v>
      </c>
      <c r="AX107" s="12" t="s">
        <v>596</v>
      </c>
      <c r="AY107" s="12" t="s">
        <v>596</v>
      </c>
      <c r="AZ107" s="12" t="s">
        <v>596</v>
      </c>
      <c r="BA107" s="12" t="s">
        <v>596</v>
      </c>
      <c r="BB107" s="12" t="s">
        <v>596</v>
      </c>
      <c r="BC107" s="12" t="s">
        <v>596</v>
      </c>
      <c r="BD107" s="12" t="s">
        <v>597</v>
      </c>
      <c r="BE107" s="12" t="s">
        <v>597</v>
      </c>
      <c r="BF107" s="12" t="s">
        <v>597</v>
      </c>
      <c r="BG107" s="12" t="s">
        <v>599</v>
      </c>
      <c r="BH107" s="12" t="s">
        <v>599</v>
      </c>
      <c r="BI107" s="12" t="s">
        <v>869</v>
      </c>
      <c r="BJ107" s="12" t="s">
        <v>869</v>
      </c>
      <c r="BK107" s="12" t="s">
        <v>779</v>
      </c>
      <c r="BL107" s="12" t="s">
        <v>779</v>
      </c>
      <c r="BM107" s="12" t="s">
        <v>601</v>
      </c>
      <c r="BN107" s="12" t="s">
        <v>601</v>
      </c>
      <c r="BO107" s="12" t="s">
        <v>643</v>
      </c>
      <c r="BP107" s="12" t="s">
        <v>643</v>
      </c>
      <c r="BQ107" s="12" t="s">
        <v>643</v>
      </c>
      <c r="BR107" s="12" t="s">
        <v>602</v>
      </c>
      <c r="BS107" s="12" t="s">
        <v>602</v>
      </c>
      <c r="BT107" s="12" t="s">
        <v>603</v>
      </c>
      <c r="BU107" s="12" t="s">
        <v>644</v>
      </c>
      <c r="BV107" s="12" t="s">
        <v>694</v>
      </c>
      <c r="BW107" s="12" t="s">
        <v>971</v>
      </c>
      <c r="BX107" s="12" t="s">
        <v>971</v>
      </c>
      <c r="BY107" s="12" t="s">
        <v>935</v>
      </c>
      <c r="BZ107" s="12" t="s">
        <v>646</v>
      </c>
      <c r="CA107" s="12" t="s">
        <v>1277</v>
      </c>
      <c r="CB107" s="12" t="s">
        <v>1114</v>
      </c>
      <c r="CC107" s="12" t="s">
        <v>827</v>
      </c>
      <c r="CD107" s="12" t="s">
        <v>649</v>
      </c>
      <c r="CE107" s="12" t="s">
        <v>787</v>
      </c>
      <c r="CF107" s="12" t="s">
        <v>888</v>
      </c>
      <c r="CG107" s="12" t="s">
        <v>992</v>
      </c>
      <c r="CH107" s="12" t="s">
        <v>872</v>
      </c>
      <c r="CI107" s="12" t="s">
        <v>607</v>
      </c>
      <c r="CJ107" s="12" t="s">
        <v>994</v>
      </c>
      <c r="CK107" s="12" t="s">
        <v>1142</v>
      </c>
      <c r="CL107" s="12" t="s">
        <v>889</v>
      </c>
      <c r="CM107" s="12" t="s">
        <v>877</v>
      </c>
      <c r="CN107" s="12" t="s">
        <v>882</v>
      </c>
      <c r="CO107" s="12" t="s">
        <v>1517</v>
      </c>
      <c r="CP107" s="12" t="s">
        <v>997</v>
      </c>
      <c r="CQ107" s="12" t="s">
        <v>1371</v>
      </c>
      <c r="CR107" s="12" t="s">
        <v>1518</v>
      </c>
      <c r="CS107" s="12" t="s">
        <v>1518</v>
      </c>
      <c r="CT107" s="12" t="s">
        <v>1435</v>
      </c>
    </row>
    <row r="108" spans="1:98" hidden="1" x14ac:dyDescent="0.3">
      <c r="A108" s="12" t="s">
        <v>25</v>
      </c>
      <c r="B108" s="12" t="s">
        <v>2466</v>
      </c>
      <c r="C108" s="12" t="s">
        <v>2467</v>
      </c>
      <c r="D108" s="12" t="s">
        <v>2468</v>
      </c>
      <c r="E108" s="12" t="s">
        <v>596</v>
      </c>
      <c r="F108" s="12" t="s">
        <v>596</v>
      </c>
      <c r="G108" s="12" t="s">
        <v>596</v>
      </c>
      <c r="H108" s="12" t="s">
        <v>596</v>
      </c>
      <c r="I108" s="12" t="s">
        <v>596</v>
      </c>
      <c r="J108" s="12" t="s">
        <v>596</v>
      </c>
      <c r="K108" s="12" t="s">
        <v>596</v>
      </c>
      <c r="L108" s="12" t="s">
        <v>596</v>
      </c>
      <c r="M108" s="12" t="s">
        <v>596</v>
      </c>
      <c r="N108" s="12" t="s">
        <v>596</v>
      </c>
      <c r="O108" s="12" t="s">
        <v>596</v>
      </c>
      <c r="P108" s="12" t="s">
        <v>596</v>
      </c>
      <c r="Q108" s="12" t="s">
        <v>596</v>
      </c>
      <c r="R108" s="12" t="s">
        <v>596</v>
      </c>
      <c r="S108" s="12" t="s">
        <v>596</v>
      </c>
      <c r="T108" s="12" t="s">
        <v>596</v>
      </c>
      <c r="U108" s="12" t="s">
        <v>596</v>
      </c>
      <c r="V108" s="12" t="s">
        <v>596</v>
      </c>
      <c r="W108" s="12" t="s">
        <v>596</v>
      </c>
      <c r="X108" s="12" t="s">
        <v>596</v>
      </c>
      <c r="Y108" s="12" t="s">
        <v>596</v>
      </c>
      <c r="Z108" s="12" t="s">
        <v>596</v>
      </c>
      <c r="AA108" s="12" t="s">
        <v>596</v>
      </c>
      <c r="AB108" s="12" t="s">
        <v>596</v>
      </c>
      <c r="AC108" s="12" t="s">
        <v>596</v>
      </c>
      <c r="AD108" s="12" t="s">
        <v>596</v>
      </c>
      <c r="AE108" s="12" t="s">
        <v>596</v>
      </c>
      <c r="AF108" s="12" t="s">
        <v>596</v>
      </c>
      <c r="AG108" s="12" t="s">
        <v>596</v>
      </c>
      <c r="AH108" s="12" t="s">
        <v>596</v>
      </c>
      <c r="AI108" s="12" t="s">
        <v>596</v>
      </c>
      <c r="AJ108" s="12" t="s">
        <v>596</v>
      </c>
      <c r="AK108" s="12" t="s">
        <v>596</v>
      </c>
      <c r="AL108" s="12" t="s">
        <v>596</v>
      </c>
      <c r="AM108" s="12" t="s">
        <v>596</v>
      </c>
      <c r="AN108" s="12" t="s">
        <v>596</v>
      </c>
      <c r="AO108" s="12" t="s">
        <v>596</v>
      </c>
      <c r="AP108" s="12" t="s">
        <v>596</v>
      </c>
      <c r="AQ108" s="12" t="s">
        <v>596</v>
      </c>
      <c r="AR108" s="12" t="s">
        <v>596</v>
      </c>
      <c r="AS108" s="12" t="s">
        <v>596</v>
      </c>
      <c r="AT108" s="12" t="s">
        <v>596</v>
      </c>
      <c r="AU108" s="12" t="s">
        <v>596</v>
      </c>
      <c r="AV108" s="12" t="s">
        <v>596</v>
      </c>
      <c r="AW108" s="12" t="s">
        <v>596</v>
      </c>
      <c r="AX108" s="12" t="s">
        <v>596</v>
      </c>
      <c r="AY108" s="12" t="s">
        <v>596</v>
      </c>
      <c r="AZ108" s="12" t="s">
        <v>596</v>
      </c>
      <c r="BA108" s="12" t="s">
        <v>596</v>
      </c>
      <c r="BB108" s="12" t="s">
        <v>596</v>
      </c>
      <c r="BC108" s="12" t="s">
        <v>596</v>
      </c>
      <c r="BD108" s="12" t="s">
        <v>596</v>
      </c>
      <c r="BE108" s="12" t="s">
        <v>596</v>
      </c>
      <c r="BF108" s="12" t="s">
        <v>596</v>
      </c>
      <c r="BG108" s="12" t="s">
        <v>596</v>
      </c>
      <c r="BH108" s="12" t="s">
        <v>596</v>
      </c>
      <c r="BI108" s="12" t="s">
        <v>596</v>
      </c>
      <c r="BJ108" s="12" t="s">
        <v>597</v>
      </c>
      <c r="BK108" s="12" t="s">
        <v>597</v>
      </c>
      <c r="BL108" s="12" t="s">
        <v>597</v>
      </c>
      <c r="BM108" s="12" t="s">
        <v>641</v>
      </c>
      <c r="BN108" s="12" t="s">
        <v>690</v>
      </c>
      <c r="BO108" s="12" t="s">
        <v>598</v>
      </c>
      <c r="BP108" s="12" t="s">
        <v>599</v>
      </c>
      <c r="BQ108" s="12" t="s">
        <v>599</v>
      </c>
      <c r="BR108" s="12" t="s">
        <v>599</v>
      </c>
      <c r="BS108" s="12" t="s">
        <v>599</v>
      </c>
      <c r="BT108" s="12" t="s">
        <v>599</v>
      </c>
      <c r="BU108" s="12" t="s">
        <v>599</v>
      </c>
      <c r="BV108" s="12" t="s">
        <v>599</v>
      </c>
      <c r="BW108" s="12" t="s">
        <v>599</v>
      </c>
      <c r="BX108" s="12" t="s">
        <v>600</v>
      </c>
      <c r="BY108" s="12" t="s">
        <v>600</v>
      </c>
      <c r="BZ108" s="12" t="s">
        <v>643</v>
      </c>
      <c r="CA108" s="12" t="s">
        <v>643</v>
      </c>
      <c r="CB108" s="12" t="s">
        <v>774</v>
      </c>
      <c r="CC108" s="12" t="s">
        <v>780</v>
      </c>
      <c r="CD108" s="12" t="s">
        <v>780</v>
      </c>
      <c r="CE108" s="12" t="s">
        <v>780</v>
      </c>
      <c r="CF108" s="12" t="s">
        <v>602</v>
      </c>
      <c r="CG108" s="12" t="s">
        <v>602</v>
      </c>
      <c r="CH108" s="12" t="s">
        <v>602</v>
      </c>
      <c r="CI108" s="12" t="s">
        <v>602</v>
      </c>
      <c r="CJ108" s="12" t="s">
        <v>602</v>
      </c>
      <c r="CK108" s="12" t="s">
        <v>602</v>
      </c>
      <c r="CL108" s="12" t="s">
        <v>691</v>
      </c>
      <c r="CM108" s="12" t="s">
        <v>691</v>
      </c>
      <c r="CN108" s="12" t="s">
        <v>691</v>
      </c>
      <c r="CO108" s="12" t="s">
        <v>691</v>
      </c>
      <c r="CP108" s="12" t="s">
        <v>826</v>
      </c>
      <c r="CQ108" s="12" t="s">
        <v>826</v>
      </c>
      <c r="CR108" s="12" t="s">
        <v>826</v>
      </c>
      <c r="CS108" s="12" t="s">
        <v>826</v>
      </c>
      <c r="CT108" s="12" t="s">
        <v>826</v>
      </c>
    </row>
    <row r="109" spans="1:98" hidden="1" x14ac:dyDescent="0.3">
      <c r="A109" s="12" t="s">
        <v>25</v>
      </c>
      <c r="B109" s="12" t="s">
        <v>2469</v>
      </c>
      <c r="C109" s="12" t="s">
        <v>2470</v>
      </c>
      <c r="D109" s="12" t="s">
        <v>2411</v>
      </c>
      <c r="E109" s="12" t="s">
        <v>596</v>
      </c>
      <c r="F109" s="12" t="s">
        <v>596</v>
      </c>
      <c r="G109" s="12" t="s">
        <v>596</v>
      </c>
      <c r="H109" s="12" t="s">
        <v>596</v>
      </c>
      <c r="I109" s="12" t="s">
        <v>596</v>
      </c>
      <c r="J109" s="12" t="s">
        <v>596</v>
      </c>
      <c r="K109" s="12" t="s">
        <v>596</v>
      </c>
      <c r="L109" s="12" t="s">
        <v>597</v>
      </c>
      <c r="M109" s="12" t="s">
        <v>597</v>
      </c>
      <c r="N109" s="12" t="s">
        <v>597</v>
      </c>
      <c r="O109" s="12" t="s">
        <v>597</v>
      </c>
      <c r="P109" s="12" t="s">
        <v>597</v>
      </c>
      <c r="Q109" s="12" t="s">
        <v>597</v>
      </c>
      <c r="R109" s="12" t="s">
        <v>597</v>
      </c>
      <c r="S109" s="12" t="s">
        <v>597</v>
      </c>
      <c r="T109" s="12" t="s">
        <v>597</v>
      </c>
      <c r="U109" s="12" t="s">
        <v>597</v>
      </c>
      <c r="V109" s="12" t="s">
        <v>597</v>
      </c>
      <c r="W109" s="12" t="s">
        <v>597</v>
      </c>
      <c r="X109" s="12" t="s">
        <v>597</v>
      </c>
      <c r="Y109" s="12" t="s">
        <v>597</v>
      </c>
      <c r="Z109" s="12" t="s">
        <v>597</v>
      </c>
      <c r="AA109" s="12" t="s">
        <v>597</v>
      </c>
      <c r="AB109" s="12" t="s">
        <v>597</v>
      </c>
      <c r="AC109" s="12" t="s">
        <v>597</v>
      </c>
      <c r="AD109" s="12" t="s">
        <v>597</v>
      </c>
      <c r="AE109" s="12" t="s">
        <v>597</v>
      </c>
      <c r="AF109" s="12" t="s">
        <v>597</v>
      </c>
      <c r="AG109" s="12" t="s">
        <v>597</v>
      </c>
      <c r="AH109" s="12" t="s">
        <v>597</v>
      </c>
      <c r="AI109" s="12" t="s">
        <v>597</v>
      </c>
      <c r="AJ109" s="12" t="s">
        <v>597</v>
      </c>
      <c r="AK109" s="12" t="s">
        <v>597</v>
      </c>
      <c r="AL109" s="12" t="s">
        <v>597</v>
      </c>
      <c r="AM109" s="12" t="s">
        <v>597</v>
      </c>
      <c r="AN109" s="12" t="s">
        <v>641</v>
      </c>
      <c r="AO109" s="12" t="s">
        <v>641</v>
      </c>
      <c r="AP109" s="12" t="s">
        <v>641</v>
      </c>
      <c r="AQ109" s="12" t="s">
        <v>690</v>
      </c>
      <c r="AR109" s="12" t="s">
        <v>869</v>
      </c>
      <c r="AS109" s="12" t="s">
        <v>869</v>
      </c>
      <c r="AT109" s="12" t="s">
        <v>869</v>
      </c>
      <c r="AU109" s="12" t="s">
        <v>869</v>
      </c>
      <c r="AV109" s="12" t="s">
        <v>643</v>
      </c>
      <c r="AW109" s="12" t="s">
        <v>780</v>
      </c>
      <c r="AX109" s="12" t="s">
        <v>780</v>
      </c>
      <c r="AY109" s="12" t="s">
        <v>644</v>
      </c>
      <c r="AZ109" s="12" t="s">
        <v>2036</v>
      </c>
      <c r="BA109" s="12" t="s">
        <v>606</v>
      </c>
      <c r="BB109" s="12" t="s">
        <v>650</v>
      </c>
      <c r="BC109" s="12" t="s">
        <v>650</v>
      </c>
      <c r="BD109" s="12" t="s">
        <v>1641</v>
      </c>
      <c r="BE109" s="12" t="s">
        <v>2047</v>
      </c>
      <c r="BF109" s="12" t="s">
        <v>1527</v>
      </c>
      <c r="BG109" s="12" t="s">
        <v>664</v>
      </c>
      <c r="BH109" s="12" t="s">
        <v>1329</v>
      </c>
      <c r="BI109" s="12" t="s">
        <v>2075</v>
      </c>
      <c r="BJ109" s="12" t="s">
        <v>670</v>
      </c>
      <c r="BK109" s="12" t="s">
        <v>2471</v>
      </c>
      <c r="BL109" s="12" t="s">
        <v>2055</v>
      </c>
      <c r="BM109" s="12" t="s">
        <v>2004</v>
      </c>
      <c r="BN109" s="12" t="s">
        <v>1158</v>
      </c>
      <c r="BO109" s="12" t="s">
        <v>2472</v>
      </c>
      <c r="BP109" s="12" t="s">
        <v>2473</v>
      </c>
      <c r="BQ109" s="12" t="s">
        <v>2474</v>
      </c>
      <c r="BR109" s="12" t="s">
        <v>2475</v>
      </c>
      <c r="BS109" s="12" t="s">
        <v>1316</v>
      </c>
      <c r="BT109" s="12" t="s">
        <v>2144</v>
      </c>
      <c r="BU109" s="12" t="s">
        <v>1791</v>
      </c>
      <c r="BV109" s="12" t="s">
        <v>2476</v>
      </c>
      <c r="BW109" s="12" t="s">
        <v>2477</v>
      </c>
      <c r="BX109" s="12" t="s">
        <v>1132</v>
      </c>
      <c r="BY109" s="12" t="s">
        <v>2478</v>
      </c>
      <c r="BZ109" s="12" t="s">
        <v>2479</v>
      </c>
      <c r="CA109" s="12" t="s">
        <v>2480</v>
      </c>
      <c r="CB109" s="12" t="s">
        <v>2481</v>
      </c>
      <c r="CC109" s="12" t="s">
        <v>2482</v>
      </c>
      <c r="CD109" s="12" t="s">
        <v>2483</v>
      </c>
      <c r="CE109" s="12" t="s">
        <v>2484</v>
      </c>
      <c r="CF109" s="12" t="s">
        <v>2485</v>
      </c>
      <c r="CG109" s="12" t="s">
        <v>2486</v>
      </c>
      <c r="CH109" s="12" t="s">
        <v>2487</v>
      </c>
      <c r="CI109" s="12" t="s">
        <v>2488</v>
      </c>
      <c r="CJ109" s="12" t="s">
        <v>2489</v>
      </c>
      <c r="CK109" s="12" t="s">
        <v>2490</v>
      </c>
      <c r="CL109" s="12" t="s">
        <v>2491</v>
      </c>
      <c r="CM109" s="12" t="s">
        <v>2492</v>
      </c>
      <c r="CN109" s="12" t="s">
        <v>2493</v>
      </c>
      <c r="CO109" s="12" t="s">
        <v>2494</v>
      </c>
      <c r="CP109" s="12" t="s">
        <v>2495</v>
      </c>
      <c r="CQ109" s="12" t="s">
        <v>2496</v>
      </c>
      <c r="CR109" s="12" t="s">
        <v>2497</v>
      </c>
      <c r="CS109" s="12" t="s">
        <v>2498</v>
      </c>
      <c r="CT109" s="12" t="s">
        <v>2499</v>
      </c>
    </row>
    <row r="110" spans="1:98" hidden="1" x14ac:dyDescent="0.3">
      <c r="A110" s="12" t="s">
        <v>2500</v>
      </c>
      <c r="B110" s="12" t="s">
        <v>2501</v>
      </c>
      <c r="C110" s="12" t="s">
        <v>2502</v>
      </c>
      <c r="D110" s="12" t="s">
        <v>2503</v>
      </c>
      <c r="E110" s="12" t="s">
        <v>596</v>
      </c>
      <c r="F110" s="12" t="s">
        <v>596</v>
      </c>
      <c r="G110" s="12" t="s">
        <v>596</v>
      </c>
      <c r="H110" s="12" t="s">
        <v>596</v>
      </c>
      <c r="I110" s="12" t="s">
        <v>596</v>
      </c>
      <c r="J110" s="12" t="s">
        <v>596</v>
      </c>
      <c r="K110" s="12" t="s">
        <v>596</v>
      </c>
      <c r="L110" s="12" t="s">
        <v>596</v>
      </c>
      <c r="M110" s="12" t="s">
        <v>596</v>
      </c>
      <c r="N110" s="12" t="s">
        <v>596</v>
      </c>
      <c r="O110" s="12" t="s">
        <v>596</v>
      </c>
      <c r="P110" s="12" t="s">
        <v>596</v>
      </c>
      <c r="Q110" s="12" t="s">
        <v>596</v>
      </c>
      <c r="R110" s="12" t="s">
        <v>596</v>
      </c>
      <c r="S110" s="12" t="s">
        <v>596</v>
      </c>
      <c r="T110" s="12" t="s">
        <v>596</v>
      </c>
      <c r="U110" s="12" t="s">
        <v>596</v>
      </c>
      <c r="V110" s="12" t="s">
        <v>596</v>
      </c>
      <c r="W110" s="12" t="s">
        <v>596</v>
      </c>
      <c r="X110" s="12" t="s">
        <v>596</v>
      </c>
      <c r="Y110" s="12" t="s">
        <v>596</v>
      </c>
      <c r="Z110" s="12" t="s">
        <v>596</v>
      </c>
      <c r="AA110" s="12" t="s">
        <v>596</v>
      </c>
      <c r="AB110" s="12" t="s">
        <v>596</v>
      </c>
      <c r="AC110" s="12" t="s">
        <v>596</v>
      </c>
      <c r="AD110" s="12" t="s">
        <v>596</v>
      </c>
      <c r="AE110" s="12" t="s">
        <v>596</v>
      </c>
      <c r="AF110" s="12" t="s">
        <v>596</v>
      </c>
      <c r="AG110" s="12" t="s">
        <v>596</v>
      </c>
      <c r="AH110" s="12" t="s">
        <v>596</v>
      </c>
      <c r="AI110" s="12" t="s">
        <v>596</v>
      </c>
      <c r="AJ110" s="12" t="s">
        <v>596</v>
      </c>
      <c r="AK110" s="12" t="s">
        <v>596</v>
      </c>
      <c r="AL110" s="12" t="s">
        <v>596</v>
      </c>
      <c r="AM110" s="12" t="s">
        <v>596</v>
      </c>
      <c r="AN110" s="12" t="s">
        <v>596</v>
      </c>
      <c r="AO110" s="12" t="s">
        <v>596</v>
      </c>
      <c r="AP110" s="12" t="s">
        <v>596</v>
      </c>
      <c r="AQ110" s="12" t="s">
        <v>596</v>
      </c>
      <c r="AR110" s="12" t="s">
        <v>596</v>
      </c>
      <c r="AS110" s="12" t="s">
        <v>596</v>
      </c>
      <c r="AT110" s="12" t="s">
        <v>596</v>
      </c>
      <c r="AU110" s="12" t="s">
        <v>596</v>
      </c>
      <c r="AV110" s="12" t="s">
        <v>596</v>
      </c>
      <c r="AW110" s="12" t="s">
        <v>596</v>
      </c>
      <c r="AX110" s="12" t="s">
        <v>599</v>
      </c>
      <c r="AY110" s="12" t="s">
        <v>599</v>
      </c>
      <c r="AZ110" s="12" t="s">
        <v>599</v>
      </c>
      <c r="BA110" s="12" t="s">
        <v>599</v>
      </c>
      <c r="BB110" s="12" t="s">
        <v>599</v>
      </c>
      <c r="BC110" s="12" t="s">
        <v>599</v>
      </c>
      <c r="BD110" s="12" t="s">
        <v>599</v>
      </c>
      <c r="BE110" s="12" t="s">
        <v>599</v>
      </c>
      <c r="BF110" s="12" t="s">
        <v>600</v>
      </c>
      <c r="BG110" s="12" t="s">
        <v>601</v>
      </c>
      <c r="BH110" s="12" t="s">
        <v>601</v>
      </c>
      <c r="BI110" s="12" t="s">
        <v>601</v>
      </c>
      <c r="BJ110" s="12" t="s">
        <v>601</v>
      </c>
      <c r="BK110" s="12" t="s">
        <v>780</v>
      </c>
      <c r="BL110" s="12" t="s">
        <v>826</v>
      </c>
      <c r="BM110" s="12" t="s">
        <v>826</v>
      </c>
      <c r="BN110" s="12" t="s">
        <v>693</v>
      </c>
      <c r="BO110" s="12" t="s">
        <v>644</v>
      </c>
      <c r="BP110" s="12" t="s">
        <v>887</v>
      </c>
      <c r="BQ110" s="12" t="s">
        <v>887</v>
      </c>
      <c r="BR110" s="12" t="s">
        <v>887</v>
      </c>
      <c r="BS110" s="12" t="s">
        <v>887</v>
      </c>
      <c r="BT110" s="12" t="s">
        <v>887</v>
      </c>
      <c r="BU110" s="12" t="s">
        <v>1277</v>
      </c>
      <c r="BV110" s="12" t="s">
        <v>1277</v>
      </c>
      <c r="BW110" s="12" t="s">
        <v>648</v>
      </c>
      <c r="BX110" s="12" t="s">
        <v>648</v>
      </c>
      <c r="BY110" s="12" t="s">
        <v>1010</v>
      </c>
      <c r="BZ110" s="12" t="s">
        <v>937</v>
      </c>
      <c r="CA110" s="12" t="s">
        <v>937</v>
      </c>
      <c r="CB110" s="12" t="s">
        <v>993</v>
      </c>
      <c r="CC110" s="12" t="s">
        <v>993</v>
      </c>
      <c r="CD110" s="12" t="s">
        <v>873</v>
      </c>
      <c r="CE110" s="12" t="s">
        <v>1370</v>
      </c>
      <c r="CF110" s="12" t="s">
        <v>1370</v>
      </c>
      <c r="CG110" s="12" t="s">
        <v>1370</v>
      </c>
      <c r="CH110" s="12" t="s">
        <v>995</v>
      </c>
      <c r="CI110" s="12" t="s">
        <v>995</v>
      </c>
      <c r="CJ110" s="12" t="s">
        <v>995</v>
      </c>
      <c r="CK110" s="12" t="s">
        <v>995</v>
      </c>
      <c r="CL110" s="12" t="s">
        <v>995</v>
      </c>
      <c r="CM110" s="12" t="s">
        <v>877</v>
      </c>
      <c r="CN110" s="12" t="s">
        <v>877</v>
      </c>
      <c r="CO110" s="12" t="s">
        <v>877</v>
      </c>
      <c r="CP110" s="12" t="s">
        <v>790</v>
      </c>
      <c r="CQ110" s="12" t="s">
        <v>790</v>
      </c>
      <c r="CR110" s="12" t="s">
        <v>790</v>
      </c>
      <c r="CS110" s="12" t="s">
        <v>1278</v>
      </c>
      <c r="CT110" s="12" t="s">
        <v>997</v>
      </c>
    </row>
    <row r="111" spans="1:98" hidden="1" x14ac:dyDescent="0.3">
      <c r="A111" s="12" t="s">
        <v>2504</v>
      </c>
      <c r="B111" s="12" t="s">
        <v>2501</v>
      </c>
      <c r="C111" s="12" t="s">
        <v>2505</v>
      </c>
      <c r="D111" s="12" t="s">
        <v>2506</v>
      </c>
      <c r="E111" s="12" t="s">
        <v>596</v>
      </c>
      <c r="F111" s="12" t="s">
        <v>596</v>
      </c>
      <c r="G111" s="12" t="s">
        <v>596</v>
      </c>
      <c r="H111" s="12" t="s">
        <v>596</v>
      </c>
      <c r="I111" s="12" t="s">
        <v>596</v>
      </c>
      <c r="J111" s="12" t="s">
        <v>596</v>
      </c>
      <c r="K111" s="12" t="s">
        <v>596</v>
      </c>
      <c r="L111" s="12" t="s">
        <v>596</v>
      </c>
      <c r="M111" s="12" t="s">
        <v>596</v>
      </c>
      <c r="N111" s="12" t="s">
        <v>596</v>
      </c>
      <c r="O111" s="12" t="s">
        <v>596</v>
      </c>
      <c r="P111" s="12" t="s">
        <v>596</v>
      </c>
      <c r="Q111" s="12" t="s">
        <v>596</v>
      </c>
      <c r="R111" s="12" t="s">
        <v>596</v>
      </c>
      <c r="S111" s="12" t="s">
        <v>596</v>
      </c>
      <c r="T111" s="12" t="s">
        <v>596</v>
      </c>
      <c r="U111" s="12" t="s">
        <v>596</v>
      </c>
      <c r="V111" s="12" t="s">
        <v>596</v>
      </c>
      <c r="W111" s="12" t="s">
        <v>596</v>
      </c>
      <c r="X111" s="12" t="s">
        <v>596</v>
      </c>
      <c r="Y111" s="12" t="s">
        <v>596</v>
      </c>
      <c r="Z111" s="12" t="s">
        <v>596</v>
      </c>
      <c r="AA111" s="12" t="s">
        <v>596</v>
      </c>
      <c r="AB111" s="12" t="s">
        <v>596</v>
      </c>
      <c r="AC111" s="12" t="s">
        <v>596</v>
      </c>
      <c r="AD111" s="12" t="s">
        <v>596</v>
      </c>
      <c r="AE111" s="12" t="s">
        <v>596</v>
      </c>
      <c r="AF111" s="12" t="s">
        <v>596</v>
      </c>
      <c r="AG111" s="12" t="s">
        <v>596</v>
      </c>
      <c r="AH111" s="12" t="s">
        <v>596</v>
      </c>
      <c r="AI111" s="12" t="s">
        <v>596</v>
      </c>
      <c r="AJ111" s="12" t="s">
        <v>596</v>
      </c>
      <c r="AK111" s="12" t="s">
        <v>596</v>
      </c>
      <c r="AL111" s="12" t="s">
        <v>596</v>
      </c>
      <c r="AM111" s="12" t="s">
        <v>596</v>
      </c>
      <c r="AN111" s="12" t="s">
        <v>596</v>
      </c>
      <c r="AO111" s="12" t="s">
        <v>596</v>
      </c>
      <c r="AP111" s="12" t="s">
        <v>596</v>
      </c>
      <c r="AQ111" s="12" t="s">
        <v>596</v>
      </c>
      <c r="AR111" s="12" t="s">
        <v>596</v>
      </c>
      <c r="AS111" s="12" t="s">
        <v>596</v>
      </c>
      <c r="AT111" s="12" t="s">
        <v>596</v>
      </c>
      <c r="AU111" s="12" t="s">
        <v>596</v>
      </c>
      <c r="AV111" s="12" t="s">
        <v>596</v>
      </c>
      <c r="AW111" s="12" t="s">
        <v>596</v>
      </c>
      <c r="AX111" s="12" t="s">
        <v>596</v>
      </c>
      <c r="AY111" s="12" t="s">
        <v>596</v>
      </c>
      <c r="AZ111" s="12" t="s">
        <v>596</v>
      </c>
      <c r="BA111" s="12" t="s">
        <v>596</v>
      </c>
      <c r="BB111" s="12" t="s">
        <v>596</v>
      </c>
      <c r="BC111" s="12" t="s">
        <v>596</v>
      </c>
      <c r="BD111" s="12" t="s">
        <v>690</v>
      </c>
      <c r="BE111" s="12" t="s">
        <v>690</v>
      </c>
      <c r="BF111" s="12" t="s">
        <v>690</v>
      </c>
      <c r="BG111" s="12" t="s">
        <v>690</v>
      </c>
      <c r="BH111" s="12" t="s">
        <v>690</v>
      </c>
      <c r="BI111" s="12" t="s">
        <v>690</v>
      </c>
      <c r="BJ111" s="12" t="s">
        <v>869</v>
      </c>
      <c r="BK111" s="12" t="s">
        <v>601</v>
      </c>
      <c r="BL111" s="12" t="s">
        <v>780</v>
      </c>
      <c r="BM111" s="12" t="s">
        <v>826</v>
      </c>
      <c r="BN111" s="12" t="s">
        <v>826</v>
      </c>
      <c r="BO111" s="12" t="s">
        <v>775</v>
      </c>
      <c r="BP111" s="12" t="s">
        <v>775</v>
      </c>
      <c r="BQ111" s="12" t="s">
        <v>2036</v>
      </c>
      <c r="BR111" s="12" t="s">
        <v>2036</v>
      </c>
      <c r="BS111" s="12" t="s">
        <v>2036</v>
      </c>
      <c r="BT111" s="12" t="s">
        <v>2036</v>
      </c>
      <c r="BU111" s="12" t="s">
        <v>989</v>
      </c>
      <c r="BV111" s="12" t="s">
        <v>989</v>
      </c>
      <c r="BW111" s="12" t="s">
        <v>695</v>
      </c>
      <c r="BX111" s="12" t="s">
        <v>695</v>
      </c>
      <c r="BY111" s="12" t="s">
        <v>736</v>
      </c>
      <c r="BZ111" s="12" t="s">
        <v>606</v>
      </c>
      <c r="CA111" s="12" t="s">
        <v>1064</v>
      </c>
      <c r="CB111" s="12" t="s">
        <v>647</v>
      </c>
      <c r="CC111" s="12" t="s">
        <v>990</v>
      </c>
      <c r="CD111" s="12" t="s">
        <v>648</v>
      </c>
      <c r="CE111" s="12" t="s">
        <v>648</v>
      </c>
      <c r="CF111" s="12" t="s">
        <v>648</v>
      </c>
      <c r="CG111" s="12" t="s">
        <v>648</v>
      </c>
      <c r="CH111" s="12" t="s">
        <v>737</v>
      </c>
      <c r="CI111" s="12" t="s">
        <v>649</v>
      </c>
      <c r="CJ111" s="12" t="s">
        <v>649</v>
      </c>
      <c r="CK111" s="12" t="s">
        <v>649</v>
      </c>
      <c r="CL111" s="12" t="s">
        <v>649</v>
      </c>
      <c r="CM111" s="12" t="s">
        <v>649</v>
      </c>
      <c r="CN111" s="12" t="s">
        <v>649</v>
      </c>
      <c r="CO111" s="12" t="s">
        <v>649</v>
      </c>
      <c r="CP111" s="12" t="s">
        <v>787</v>
      </c>
      <c r="CQ111" s="12" t="s">
        <v>787</v>
      </c>
      <c r="CR111" s="12" t="s">
        <v>1010</v>
      </c>
      <c r="CS111" s="12" t="s">
        <v>1010</v>
      </c>
      <c r="CT111" s="12" t="s">
        <v>1010</v>
      </c>
    </row>
    <row r="112" spans="1:98" hidden="1" x14ac:dyDescent="0.3">
      <c r="A112" s="12" t="s">
        <v>2507</v>
      </c>
      <c r="B112" s="12" t="s">
        <v>2501</v>
      </c>
      <c r="C112" s="12" t="s">
        <v>2508</v>
      </c>
      <c r="D112" s="12" t="s">
        <v>2509</v>
      </c>
      <c r="E112" s="12" t="s">
        <v>596</v>
      </c>
      <c r="F112" s="12" t="s">
        <v>596</v>
      </c>
      <c r="G112" s="12" t="s">
        <v>596</v>
      </c>
      <c r="H112" s="12" t="s">
        <v>596</v>
      </c>
      <c r="I112" s="12" t="s">
        <v>596</v>
      </c>
      <c r="J112" s="12" t="s">
        <v>596</v>
      </c>
      <c r="K112" s="12" t="s">
        <v>596</v>
      </c>
      <c r="L112" s="12" t="s">
        <v>596</v>
      </c>
      <c r="M112" s="12" t="s">
        <v>596</v>
      </c>
      <c r="N112" s="12" t="s">
        <v>596</v>
      </c>
      <c r="O112" s="12" t="s">
        <v>596</v>
      </c>
      <c r="P112" s="12" t="s">
        <v>596</v>
      </c>
      <c r="Q112" s="12" t="s">
        <v>596</v>
      </c>
      <c r="R112" s="12" t="s">
        <v>596</v>
      </c>
      <c r="S112" s="12" t="s">
        <v>596</v>
      </c>
      <c r="T112" s="12" t="s">
        <v>596</v>
      </c>
      <c r="U112" s="12" t="s">
        <v>596</v>
      </c>
      <c r="V112" s="12" t="s">
        <v>596</v>
      </c>
      <c r="W112" s="12" t="s">
        <v>596</v>
      </c>
      <c r="X112" s="12" t="s">
        <v>596</v>
      </c>
      <c r="Y112" s="12" t="s">
        <v>596</v>
      </c>
      <c r="Z112" s="12" t="s">
        <v>596</v>
      </c>
      <c r="AA112" s="12" t="s">
        <v>596</v>
      </c>
      <c r="AB112" s="12" t="s">
        <v>596</v>
      </c>
      <c r="AC112" s="12" t="s">
        <v>596</v>
      </c>
      <c r="AD112" s="12" t="s">
        <v>596</v>
      </c>
      <c r="AE112" s="12" t="s">
        <v>596</v>
      </c>
      <c r="AF112" s="12" t="s">
        <v>596</v>
      </c>
      <c r="AG112" s="12" t="s">
        <v>596</v>
      </c>
      <c r="AH112" s="12" t="s">
        <v>596</v>
      </c>
      <c r="AI112" s="12" t="s">
        <v>596</v>
      </c>
      <c r="AJ112" s="12" t="s">
        <v>596</v>
      </c>
      <c r="AK112" s="12" t="s">
        <v>596</v>
      </c>
      <c r="AL112" s="12" t="s">
        <v>596</v>
      </c>
      <c r="AM112" s="12" t="s">
        <v>596</v>
      </c>
      <c r="AN112" s="12" t="s">
        <v>596</v>
      </c>
      <c r="AO112" s="12" t="s">
        <v>596</v>
      </c>
      <c r="AP112" s="12" t="s">
        <v>596</v>
      </c>
      <c r="AQ112" s="12" t="s">
        <v>596</v>
      </c>
      <c r="AR112" s="12" t="s">
        <v>596</v>
      </c>
      <c r="AS112" s="12" t="s">
        <v>596</v>
      </c>
      <c r="AT112" s="12" t="s">
        <v>596</v>
      </c>
      <c r="AU112" s="12" t="s">
        <v>596</v>
      </c>
      <c r="AV112" s="12" t="s">
        <v>596</v>
      </c>
      <c r="AW112" s="12" t="s">
        <v>596</v>
      </c>
      <c r="AX112" s="12" t="s">
        <v>596</v>
      </c>
      <c r="AY112" s="12" t="s">
        <v>596</v>
      </c>
      <c r="AZ112" s="12" t="s">
        <v>596</v>
      </c>
      <c r="BA112" s="12" t="s">
        <v>596</v>
      </c>
      <c r="BB112" s="12" t="s">
        <v>596</v>
      </c>
      <c r="BC112" s="12" t="s">
        <v>596</v>
      </c>
      <c r="BD112" s="12" t="s">
        <v>597</v>
      </c>
      <c r="BE112" s="12" t="s">
        <v>597</v>
      </c>
      <c r="BF112" s="12" t="s">
        <v>690</v>
      </c>
      <c r="BG112" s="12" t="s">
        <v>869</v>
      </c>
      <c r="BH112" s="12" t="s">
        <v>826</v>
      </c>
      <c r="BI112" s="12" t="s">
        <v>931</v>
      </c>
      <c r="BJ112" s="12" t="s">
        <v>645</v>
      </c>
      <c r="BK112" s="12" t="s">
        <v>786</v>
      </c>
      <c r="BL112" s="12" t="s">
        <v>737</v>
      </c>
      <c r="BM112" s="12" t="s">
        <v>1431</v>
      </c>
      <c r="BN112" s="12" t="s">
        <v>871</v>
      </c>
      <c r="BO112" s="12" t="s">
        <v>871</v>
      </c>
      <c r="BP112" s="12" t="s">
        <v>1138</v>
      </c>
      <c r="BQ112" s="12" t="s">
        <v>1138</v>
      </c>
      <c r="BR112" s="12" t="s">
        <v>1138</v>
      </c>
      <c r="BS112" s="12" t="s">
        <v>881</v>
      </c>
      <c r="BT112" s="12" t="s">
        <v>1682</v>
      </c>
      <c r="BU112" s="12" t="s">
        <v>1682</v>
      </c>
      <c r="BV112" s="12" t="s">
        <v>1371</v>
      </c>
      <c r="BW112" s="12" t="s">
        <v>1769</v>
      </c>
      <c r="BX112" s="12" t="s">
        <v>791</v>
      </c>
      <c r="BY112" s="12" t="s">
        <v>2052</v>
      </c>
      <c r="BZ112" s="12" t="s">
        <v>891</v>
      </c>
      <c r="CA112" s="12" t="s">
        <v>1374</v>
      </c>
      <c r="CB112" s="12" t="s">
        <v>1374</v>
      </c>
      <c r="CC112" s="12" t="s">
        <v>701</v>
      </c>
      <c r="CD112" s="12" t="s">
        <v>2031</v>
      </c>
      <c r="CE112" s="12" t="s">
        <v>2031</v>
      </c>
      <c r="CF112" s="12" t="s">
        <v>1839</v>
      </c>
      <c r="CG112" s="12" t="s">
        <v>1839</v>
      </c>
      <c r="CH112" s="12" t="s">
        <v>1839</v>
      </c>
      <c r="CI112" s="12" t="s">
        <v>1839</v>
      </c>
      <c r="CJ112" s="12" t="s">
        <v>1904</v>
      </c>
      <c r="CK112" s="12" t="s">
        <v>1904</v>
      </c>
      <c r="CL112" s="12" t="s">
        <v>1904</v>
      </c>
      <c r="CM112" s="12" t="s">
        <v>1904</v>
      </c>
      <c r="CN112" s="12" t="s">
        <v>1523</v>
      </c>
      <c r="CO112" s="12" t="s">
        <v>1523</v>
      </c>
      <c r="CP112" s="12" t="s">
        <v>1523</v>
      </c>
      <c r="CQ112" s="12" t="s">
        <v>1523</v>
      </c>
      <c r="CR112" s="12" t="s">
        <v>1523</v>
      </c>
      <c r="CS112" s="12" t="s">
        <v>1523</v>
      </c>
      <c r="CT112" s="12" t="s">
        <v>2117</v>
      </c>
    </row>
    <row r="113" spans="1:98" hidden="1" x14ac:dyDescent="0.3">
      <c r="A113" s="12" t="s">
        <v>2510</v>
      </c>
      <c r="B113" s="12" t="s">
        <v>2501</v>
      </c>
      <c r="C113" s="12" t="s">
        <v>2511</v>
      </c>
      <c r="D113" s="12" t="s">
        <v>2512</v>
      </c>
      <c r="E113" s="12" t="s">
        <v>596</v>
      </c>
      <c r="F113" s="12" t="s">
        <v>596</v>
      </c>
      <c r="G113" s="12" t="s">
        <v>596</v>
      </c>
      <c r="H113" s="12" t="s">
        <v>596</v>
      </c>
      <c r="I113" s="12" t="s">
        <v>596</v>
      </c>
      <c r="J113" s="12" t="s">
        <v>596</v>
      </c>
      <c r="K113" s="12" t="s">
        <v>596</v>
      </c>
      <c r="L113" s="12" t="s">
        <v>596</v>
      </c>
      <c r="M113" s="12" t="s">
        <v>596</v>
      </c>
      <c r="N113" s="12" t="s">
        <v>596</v>
      </c>
      <c r="O113" s="12" t="s">
        <v>596</v>
      </c>
      <c r="P113" s="12" t="s">
        <v>596</v>
      </c>
      <c r="Q113" s="12" t="s">
        <v>596</v>
      </c>
      <c r="R113" s="12" t="s">
        <v>596</v>
      </c>
      <c r="S113" s="12" t="s">
        <v>596</v>
      </c>
      <c r="T113" s="12" t="s">
        <v>596</v>
      </c>
      <c r="U113" s="12" t="s">
        <v>596</v>
      </c>
      <c r="V113" s="12" t="s">
        <v>596</v>
      </c>
      <c r="W113" s="12" t="s">
        <v>596</v>
      </c>
      <c r="X113" s="12" t="s">
        <v>596</v>
      </c>
      <c r="Y113" s="12" t="s">
        <v>596</v>
      </c>
      <c r="Z113" s="12" t="s">
        <v>596</v>
      </c>
      <c r="AA113" s="12" t="s">
        <v>596</v>
      </c>
      <c r="AB113" s="12" t="s">
        <v>596</v>
      </c>
      <c r="AC113" s="12" t="s">
        <v>596</v>
      </c>
      <c r="AD113" s="12" t="s">
        <v>596</v>
      </c>
      <c r="AE113" s="12" t="s">
        <v>596</v>
      </c>
      <c r="AF113" s="12" t="s">
        <v>596</v>
      </c>
      <c r="AG113" s="12" t="s">
        <v>596</v>
      </c>
      <c r="AH113" s="12" t="s">
        <v>596</v>
      </c>
      <c r="AI113" s="12" t="s">
        <v>596</v>
      </c>
      <c r="AJ113" s="12" t="s">
        <v>596</v>
      </c>
      <c r="AK113" s="12" t="s">
        <v>596</v>
      </c>
      <c r="AL113" s="12" t="s">
        <v>596</v>
      </c>
      <c r="AM113" s="12" t="s">
        <v>596</v>
      </c>
      <c r="AN113" s="12" t="s">
        <v>596</v>
      </c>
      <c r="AO113" s="12" t="s">
        <v>596</v>
      </c>
      <c r="AP113" s="12" t="s">
        <v>596</v>
      </c>
      <c r="AQ113" s="12" t="s">
        <v>596</v>
      </c>
      <c r="AR113" s="12" t="s">
        <v>596</v>
      </c>
      <c r="AS113" s="12" t="s">
        <v>596</v>
      </c>
      <c r="AT113" s="12" t="s">
        <v>596</v>
      </c>
      <c r="AU113" s="12" t="s">
        <v>596</v>
      </c>
      <c r="AV113" s="12" t="s">
        <v>596</v>
      </c>
      <c r="AW113" s="12" t="s">
        <v>596</v>
      </c>
      <c r="AX113" s="12" t="s">
        <v>596</v>
      </c>
      <c r="AY113" s="12" t="s">
        <v>596</v>
      </c>
      <c r="AZ113" s="12" t="s">
        <v>596</v>
      </c>
      <c r="BA113" s="12" t="s">
        <v>596</v>
      </c>
      <c r="BB113" s="12" t="s">
        <v>596</v>
      </c>
      <c r="BC113" s="12" t="s">
        <v>596</v>
      </c>
      <c r="BD113" s="12" t="s">
        <v>596</v>
      </c>
      <c r="BE113" s="12" t="s">
        <v>596</v>
      </c>
      <c r="BF113" s="12" t="s">
        <v>597</v>
      </c>
      <c r="BG113" s="12" t="s">
        <v>597</v>
      </c>
      <c r="BH113" s="12" t="s">
        <v>597</v>
      </c>
      <c r="BI113" s="12" t="s">
        <v>690</v>
      </c>
      <c r="BJ113" s="12" t="s">
        <v>690</v>
      </c>
      <c r="BK113" s="12" t="s">
        <v>869</v>
      </c>
      <c r="BL113" s="12" t="s">
        <v>600</v>
      </c>
      <c r="BM113" s="12" t="s">
        <v>601</v>
      </c>
      <c r="BN113" s="12" t="s">
        <v>605</v>
      </c>
      <c r="BO113" s="12" t="s">
        <v>989</v>
      </c>
      <c r="BP113" s="12" t="s">
        <v>989</v>
      </c>
      <c r="BQ113" s="12" t="s">
        <v>989</v>
      </c>
      <c r="BR113" s="12" t="s">
        <v>972</v>
      </c>
      <c r="BS113" s="12" t="s">
        <v>1198</v>
      </c>
      <c r="BT113" s="12" t="s">
        <v>1198</v>
      </c>
      <c r="BU113" s="12" t="s">
        <v>994</v>
      </c>
      <c r="BV113" s="12" t="s">
        <v>609</v>
      </c>
      <c r="BW113" s="12" t="s">
        <v>609</v>
      </c>
      <c r="BX113" s="12" t="s">
        <v>1518</v>
      </c>
      <c r="BY113" s="12" t="s">
        <v>791</v>
      </c>
      <c r="BZ113" s="12" t="s">
        <v>891</v>
      </c>
      <c r="CA113" s="12" t="s">
        <v>1533</v>
      </c>
      <c r="CB113" s="12" t="s">
        <v>1533</v>
      </c>
      <c r="CC113" s="12" t="s">
        <v>892</v>
      </c>
      <c r="CD113" s="12" t="s">
        <v>892</v>
      </c>
      <c r="CE113" s="12" t="s">
        <v>939</v>
      </c>
      <c r="CF113" s="12" t="s">
        <v>1297</v>
      </c>
      <c r="CG113" s="12" t="s">
        <v>2155</v>
      </c>
      <c r="CH113" s="12" t="s">
        <v>2155</v>
      </c>
      <c r="CI113" s="12" t="s">
        <v>1005</v>
      </c>
      <c r="CJ113" s="12" t="s">
        <v>1507</v>
      </c>
      <c r="CK113" s="12" t="s">
        <v>1507</v>
      </c>
      <c r="CL113" s="12" t="s">
        <v>1441</v>
      </c>
      <c r="CM113" s="12" t="s">
        <v>1834</v>
      </c>
      <c r="CN113" s="12" t="s">
        <v>1510</v>
      </c>
      <c r="CO113" s="12" t="s">
        <v>1477</v>
      </c>
      <c r="CP113" s="12" t="s">
        <v>1477</v>
      </c>
      <c r="CQ113" s="12" t="s">
        <v>1047</v>
      </c>
      <c r="CR113" s="12" t="s">
        <v>1630</v>
      </c>
      <c r="CS113" s="12" t="s">
        <v>1630</v>
      </c>
      <c r="CT113" s="12" t="s">
        <v>1285</v>
      </c>
    </row>
    <row r="114" spans="1:98" hidden="1" x14ac:dyDescent="0.3">
      <c r="A114" s="12" t="s">
        <v>2513</v>
      </c>
      <c r="B114" s="12" t="s">
        <v>2501</v>
      </c>
      <c r="C114" s="12" t="s">
        <v>2514</v>
      </c>
      <c r="D114" s="12" t="s">
        <v>2515</v>
      </c>
      <c r="E114" s="12" t="s">
        <v>596</v>
      </c>
      <c r="F114" s="12" t="s">
        <v>596</v>
      </c>
      <c r="G114" s="12" t="s">
        <v>596</v>
      </c>
      <c r="H114" s="12" t="s">
        <v>596</v>
      </c>
      <c r="I114" s="12" t="s">
        <v>596</v>
      </c>
      <c r="J114" s="12" t="s">
        <v>596</v>
      </c>
      <c r="K114" s="12" t="s">
        <v>596</v>
      </c>
      <c r="L114" s="12" t="s">
        <v>596</v>
      </c>
      <c r="M114" s="12" t="s">
        <v>596</v>
      </c>
      <c r="N114" s="12" t="s">
        <v>596</v>
      </c>
      <c r="O114" s="12" t="s">
        <v>596</v>
      </c>
      <c r="P114" s="12" t="s">
        <v>596</v>
      </c>
      <c r="Q114" s="12" t="s">
        <v>596</v>
      </c>
      <c r="R114" s="12" t="s">
        <v>596</v>
      </c>
      <c r="S114" s="12" t="s">
        <v>596</v>
      </c>
      <c r="T114" s="12" t="s">
        <v>596</v>
      </c>
      <c r="U114" s="12" t="s">
        <v>596</v>
      </c>
      <c r="V114" s="12" t="s">
        <v>596</v>
      </c>
      <c r="W114" s="12" t="s">
        <v>596</v>
      </c>
      <c r="X114" s="12" t="s">
        <v>596</v>
      </c>
      <c r="Y114" s="12" t="s">
        <v>596</v>
      </c>
      <c r="Z114" s="12" t="s">
        <v>596</v>
      </c>
      <c r="AA114" s="12" t="s">
        <v>596</v>
      </c>
      <c r="AB114" s="12" t="s">
        <v>596</v>
      </c>
      <c r="AC114" s="12" t="s">
        <v>596</v>
      </c>
      <c r="AD114" s="12" t="s">
        <v>596</v>
      </c>
      <c r="AE114" s="12" t="s">
        <v>596</v>
      </c>
      <c r="AF114" s="12" t="s">
        <v>596</v>
      </c>
      <c r="AG114" s="12" t="s">
        <v>596</v>
      </c>
      <c r="AH114" s="12" t="s">
        <v>596</v>
      </c>
      <c r="AI114" s="12" t="s">
        <v>596</v>
      </c>
      <c r="AJ114" s="12" t="s">
        <v>596</v>
      </c>
      <c r="AK114" s="12" t="s">
        <v>596</v>
      </c>
      <c r="AL114" s="12" t="s">
        <v>596</v>
      </c>
      <c r="AM114" s="12" t="s">
        <v>596</v>
      </c>
      <c r="AN114" s="12" t="s">
        <v>596</v>
      </c>
      <c r="AO114" s="12" t="s">
        <v>596</v>
      </c>
      <c r="AP114" s="12" t="s">
        <v>596</v>
      </c>
      <c r="AQ114" s="12" t="s">
        <v>596</v>
      </c>
      <c r="AR114" s="12" t="s">
        <v>596</v>
      </c>
      <c r="AS114" s="12" t="s">
        <v>596</v>
      </c>
      <c r="AT114" s="12" t="s">
        <v>596</v>
      </c>
      <c r="AU114" s="12" t="s">
        <v>596</v>
      </c>
      <c r="AV114" s="12" t="s">
        <v>596</v>
      </c>
      <c r="AW114" s="12" t="s">
        <v>596</v>
      </c>
      <c r="AX114" s="12" t="s">
        <v>596</v>
      </c>
      <c r="AY114" s="12" t="s">
        <v>596</v>
      </c>
      <c r="AZ114" s="12" t="s">
        <v>596</v>
      </c>
      <c r="BA114" s="12" t="s">
        <v>596</v>
      </c>
      <c r="BB114" s="12" t="s">
        <v>596</v>
      </c>
      <c r="BC114" s="12" t="s">
        <v>596</v>
      </c>
      <c r="BD114" s="12" t="s">
        <v>596</v>
      </c>
      <c r="BE114" s="12" t="s">
        <v>596</v>
      </c>
      <c r="BF114" s="12" t="s">
        <v>596</v>
      </c>
      <c r="BG114" s="12" t="s">
        <v>596</v>
      </c>
      <c r="BH114" s="12" t="s">
        <v>596</v>
      </c>
      <c r="BI114" s="12" t="s">
        <v>596</v>
      </c>
      <c r="BJ114" s="12" t="s">
        <v>641</v>
      </c>
      <c r="BK114" s="12" t="s">
        <v>641</v>
      </c>
      <c r="BL114" s="12" t="s">
        <v>598</v>
      </c>
      <c r="BM114" s="12" t="s">
        <v>598</v>
      </c>
      <c r="BN114" s="12" t="s">
        <v>773</v>
      </c>
      <c r="BO114" s="12" t="s">
        <v>642</v>
      </c>
      <c r="BP114" s="12" t="s">
        <v>774</v>
      </c>
      <c r="BQ114" s="12" t="s">
        <v>774</v>
      </c>
      <c r="BR114" s="12" t="s">
        <v>780</v>
      </c>
      <c r="BS114" s="12" t="s">
        <v>780</v>
      </c>
      <c r="BT114" s="12" t="s">
        <v>780</v>
      </c>
      <c r="BU114" s="12" t="s">
        <v>780</v>
      </c>
      <c r="BV114" s="12" t="s">
        <v>602</v>
      </c>
      <c r="BW114" s="12" t="s">
        <v>602</v>
      </c>
      <c r="BX114" s="12" t="s">
        <v>826</v>
      </c>
      <c r="BY114" s="12" t="s">
        <v>826</v>
      </c>
      <c r="BZ114" s="12" t="s">
        <v>691</v>
      </c>
      <c r="CA114" s="12" t="s">
        <v>826</v>
      </c>
      <c r="CB114" s="12" t="s">
        <v>826</v>
      </c>
      <c r="CC114" s="12" t="s">
        <v>826</v>
      </c>
      <c r="CD114" s="12" t="s">
        <v>826</v>
      </c>
      <c r="CE114" s="12" t="s">
        <v>826</v>
      </c>
      <c r="CF114" s="12" t="s">
        <v>826</v>
      </c>
      <c r="CG114" s="12" t="s">
        <v>826</v>
      </c>
      <c r="CH114" s="12" t="s">
        <v>826</v>
      </c>
      <c r="CI114" s="12" t="s">
        <v>826</v>
      </c>
      <c r="CJ114" s="12" t="s">
        <v>826</v>
      </c>
      <c r="CK114" s="12" t="s">
        <v>826</v>
      </c>
      <c r="CL114" s="12" t="s">
        <v>826</v>
      </c>
      <c r="CM114" s="12" t="s">
        <v>826</v>
      </c>
      <c r="CN114" s="12" t="s">
        <v>826</v>
      </c>
      <c r="CO114" s="12" t="s">
        <v>826</v>
      </c>
      <c r="CP114" s="12" t="s">
        <v>826</v>
      </c>
      <c r="CQ114" s="12" t="s">
        <v>826</v>
      </c>
      <c r="CR114" s="12" t="s">
        <v>826</v>
      </c>
      <c r="CS114" s="12" t="s">
        <v>826</v>
      </c>
      <c r="CT114" s="12" t="s">
        <v>826</v>
      </c>
    </row>
    <row r="115" spans="1:98" hidden="1" x14ac:dyDescent="0.3">
      <c r="A115" s="12" t="s">
        <v>2516</v>
      </c>
      <c r="B115" s="12" t="s">
        <v>2501</v>
      </c>
      <c r="C115" s="12" t="s">
        <v>2517</v>
      </c>
      <c r="D115" s="12" t="s">
        <v>2518</v>
      </c>
      <c r="E115" s="12" t="s">
        <v>596</v>
      </c>
      <c r="F115" s="12" t="s">
        <v>596</v>
      </c>
      <c r="G115" s="12" t="s">
        <v>596</v>
      </c>
      <c r="H115" s="12" t="s">
        <v>596</v>
      </c>
      <c r="I115" s="12" t="s">
        <v>596</v>
      </c>
      <c r="J115" s="12" t="s">
        <v>596</v>
      </c>
      <c r="K115" s="12" t="s">
        <v>596</v>
      </c>
      <c r="L115" s="12" t="s">
        <v>596</v>
      </c>
      <c r="M115" s="12" t="s">
        <v>596</v>
      </c>
      <c r="N115" s="12" t="s">
        <v>596</v>
      </c>
      <c r="O115" s="12" t="s">
        <v>596</v>
      </c>
      <c r="P115" s="12" t="s">
        <v>596</v>
      </c>
      <c r="Q115" s="12" t="s">
        <v>596</v>
      </c>
      <c r="R115" s="12" t="s">
        <v>596</v>
      </c>
      <c r="S115" s="12" t="s">
        <v>596</v>
      </c>
      <c r="T115" s="12" t="s">
        <v>596</v>
      </c>
      <c r="U115" s="12" t="s">
        <v>596</v>
      </c>
      <c r="V115" s="12" t="s">
        <v>596</v>
      </c>
      <c r="W115" s="12" t="s">
        <v>596</v>
      </c>
      <c r="X115" s="12" t="s">
        <v>596</v>
      </c>
      <c r="Y115" s="12" t="s">
        <v>596</v>
      </c>
      <c r="Z115" s="12" t="s">
        <v>596</v>
      </c>
      <c r="AA115" s="12" t="s">
        <v>596</v>
      </c>
      <c r="AB115" s="12" t="s">
        <v>596</v>
      </c>
      <c r="AC115" s="12" t="s">
        <v>596</v>
      </c>
      <c r="AD115" s="12" t="s">
        <v>596</v>
      </c>
      <c r="AE115" s="12" t="s">
        <v>596</v>
      </c>
      <c r="AF115" s="12" t="s">
        <v>596</v>
      </c>
      <c r="AG115" s="12" t="s">
        <v>596</v>
      </c>
      <c r="AH115" s="12" t="s">
        <v>596</v>
      </c>
      <c r="AI115" s="12" t="s">
        <v>596</v>
      </c>
      <c r="AJ115" s="12" t="s">
        <v>596</v>
      </c>
      <c r="AK115" s="12" t="s">
        <v>596</v>
      </c>
      <c r="AL115" s="12" t="s">
        <v>596</v>
      </c>
      <c r="AM115" s="12" t="s">
        <v>596</v>
      </c>
      <c r="AN115" s="12" t="s">
        <v>596</v>
      </c>
      <c r="AO115" s="12" t="s">
        <v>596</v>
      </c>
      <c r="AP115" s="12" t="s">
        <v>596</v>
      </c>
      <c r="AQ115" s="12" t="s">
        <v>596</v>
      </c>
      <c r="AR115" s="12" t="s">
        <v>596</v>
      </c>
      <c r="AS115" s="12" t="s">
        <v>596</v>
      </c>
      <c r="AT115" s="12" t="s">
        <v>596</v>
      </c>
      <c r="AU115" s="12" t="s">
        <v>596</v>
      </c>
      <c r="AV115" s="12" t="s">
        <v>596</v>
      </c>
      <c r="AW115" s="12" t="s">
        <v>596</v>
      </c>
      <c r="AX115" s="12" t="s">
        <v>596</v>
      </c>
      <c r="AY115" s="12" t="s">
        <v>596</v>
      </c>
      <c r="AZ115" s="12" t="s">
        <v>596</v>
      </c>
      <c r="BA115" s="12" t="s">
        <v>596</v>
      </c>
      <c r="BB115" s="12" t="s">
        <v>597</v>
      </c>
      <c r="BC115" s="12" t="s">
        <v>597</v>
      </c>
      <c r="BD115" s="12" t="s">
        <v>599</v>
      </c>
      <c r="BE115" s="12" t="s">
        <v>869</v>
      </c>
      <c r="BF115" s="12" t="s">
        <v>600</v>
      </c>
      <c r="BG115" s="12" t="s">
        <v>779</v>
      </c>
      <c r="BH115" s="12" t="s">
        <v>779</v>
      </c>
      <c r="BI115" s="12" t="s">
        <v>643</v>
      </c>
      <c r="BJ115" s="12" t="s">
        <v>774</v>
      </c>
      <c r="BK115" s="12" t="s">
        <v>887</v>
      </c>
      <c r="BL115" s="12" t="s">
        <v>786</v>
      </c>
      <c r="BM115" s="12" t="s">
        <v>651</v>
      </c>
      <c r="BN115" s="12" t="s">
        <v>872</v>
      </c>
      <c r="BO115" s="12" t="s">
        <v>609</v>
      </c>
      <c r="BP115" s="12" t="s">
        <v>997</v>
      </c>
      <c r="BQ115" s="12" t="s">
        <v>1374</v>
      </c>
      <c r="BR115" s="12" t="s">
        <v>1904</v>
      </c>
      <c r="BS115" s="12" t="s">
        <v>1281</v>
      </c>
      <c r="BT115" s="12" t="s">
        <v>1281</v>
      </c>
      <c r="BU115" s="12" t="s">
        <v>744</v>
      </c>
      <c r="BV115" s="12" t="s">
        <v>1528</v>
      </c>
      <c r="BW115" s="12" t="s">
        <v>616</v>
      </c>
      <c r="BX115" s="12" t="s">
        <v>746</v>
      </c>
      <c r="BY115" s="12" t="s">
        <v>1329</v>
      </c>
      <c r="BZ115" s="12" t="s">
        <v>747</v>
      </c>
      <c r="CA115" s="12" t="s">
        <v>2077</v>
      </c>
      <c r="CB115" s="12" t="s">
        <v>618</v>
      </c>
      <c r="CC115" s="12" t="s">
        <v>1456</v>
      </c>
      <c r="CD115" s="12" t="s">
        <v>1456</v>
      </c>
      <c r="CE115" s="12" t="s">
        <v>2519</v>
      </c>
      <c r="CF115" s="12" t="s">
        <v>2207</v>
      </c>
      <c r="CG115" s="12" t="s">
        <v>2520</v>
      </c>
      <c r="CH115" s="12" t="s">
        <v>1737</v>
      </c>
      <c r="CI115" s="12" t="s">
        <v>2020</v>
      </c>
      <c r="CJ115" s="12" t="s">
        <v>2020</v>
      </c>
      <c r="CK115" s="12" t="s">
        <v>2020</v>
      </c>
      <c r="CL115" s="12" t="s">
        <v>2185</v>
      </c>
      <c r="CM115" s="12" t="s">
        <v>2413</v>
      </c>
      <c r="CN115" s="12" t="s">
        <v>838</v>
      </c>
      <c r="CO115" s="12" t="s">
        <v>1685</v>
      </c>
      <c r="CP115" s="12" t="s">
        <v>1685</v>
      </c>
      <c r="CQ115" s="12" t="s">
        <v>1713</v>
      </c>
      <c r="CR115" s="12" t="s">
        <v>1713</v>
      </c>
      <c r="CS115" s="12" t="s">
        <v>2521</v>
      </c>
      <c r="CT115" s="12" t="s">
        <v>2521</v>
      </c>
    </row>
    <row r="116" spans="1:98" hidden="1" x14ac:dyDescent="0.3">
      <c r="A116" s="12" t="s">
        <v>2522</v>
      </c>
      <c r="B116" s="12" t="s">
        <v>2501</v>
      </c>
      <c r="C116" s="12" t="s">
        <v>2523</v>
      </c>
      <c r="D116" s="12" t="s">
        <v>2524</v>
      </c>
      <c r="E116" s="12" t="s">
        <v>596</v>
      </c>
      <c r="F116" s="12" t="s">
        <v>596</v>
      </c>
      <c r="G116" s="12" t="s">
        <v>596</v>
      </c>
      <c r="H116" s="12" t="s">
        <v>596</v>
      </c>
      <c r="I116" s="12" t="s">
        <v>596</v>
      </c>
      <c r="J116" s="12" t="s">
        <v>596</v>
      </c>
      <c r="K116" s="12" t="s">
        <v>596</v>
      </c>
      <c r="L116" s="12" t="s">
        <v>596</v>
      </c>
      <c r="M116" s="12" t="s">
        <v>596</v>
      </c>
      <c r="N116" s="12" t="s">
        <v>596</v>
      </c>
      <c r="O116" s="12" t="s">
        <v>596</v>
      </c>
      <c r="P116" s="12" t="s">
        <v>596</v>
      </c>
      <c r="Q116" s="12" t="s">
        <v>596</v>
      </c>
      <c r="R116" s="12" t="s">
        <v>596</v>
      </c>
      <c r="S116" s="12" t="s">
        <v>596</v>
      </c>
      <c r="T116" s="12" t="s">
        <v>596</v>
      </c>
      <c r="U116" s="12" t="s">
        <v>596</v>
      </c>
      <c r="V116" s="12" t="s">
        <v>596</v>
      </c>
      <c r="W116" s="12" t="s">
        <v>596</v>
      </c>
      <c r="X116" s="12" t="s">
        <v>596</v>
      </c>
      <c r="Y116" s="12" t="s">
        <v>596</v>
      </c>
      <c r="Z116" s="12" t="s">
        <v>596</v>
      </c>
      <c r="AA116" s="12" t="s">
        <v>596</v>
      </c>
      <c r="AB116" s="12" t="s">
        <v>596</v>
      </c>
      <c r="AC116" s="12" t="s">
        <v>596</v>
      </c>
      <c r="AD116" s="12" t="s">
        <v>596</v>
      </c>
      <c r="AE116" s="12" t="s">
        <v>596</v>
      </c>
      <c r="AF116" s="12" t="s">
        <v>596</v>
      </c>
      <c r="AG116" s="12" t="s">
        <v>596</v>
      </c>
      <c r="AH116" s="12" t="s">
        <v>596</v>
      </c>
      <c r="AI116" s="12" t="s">
        <v>596</v>
      </c>
      <c r="AJ116" s="12" t="s">
        <v>596</v>
      </c>
      <c r="AK116" s="12" t="s">
        <v>596</v>
      </c>
      <c r="AL116" s="12" t="s">
        <v>596</v>
      </c>
      <c r="AM116" s="12" t="s">
        <v>596</v>
      </c>
      <c r="AN116" s="12" t="s">
        <v>596</v>
      </c>
      <c r="AO116" s="12" t="s">
        <v>596</v>
      </c>
      <c r="AP116" s="12" t="s">
        <v>596</v>
      </c>
      <c r="AQ116" s="12" t="s">
        <v>596</v>
      </c>
      <c r="AR116" s="12" t="s">
        <v>596</v>
      </c>
      <c r="AS116" s="12" t="s">
        <v>596</v>
      </c>
      <c r="AT116" s="12" t="s">
        <v>596</v>
      </c>
      <c r="AU116" s="12" t="s">
        <v>690</v>
      </c>
      <c r="AV116" s="12" t="s">
        <v>690</v>
      </c>
      <c r="AW116" s="12" t="s">
        <v>690</v>
      </c>
      <c r="AX116" s="12" t="s">
        <v>690</v>
      </c>
      <c r="AY116" s="12" t="s">
        <v>690</v>
      </c>
      <c r="AZ116" s="12" t="s">
        <v>597</v>
      </c>
      <c r="BA116" s="12" t="s">
        <v>597</v>
      </c>
      <c r="BB116" s="12" t="s">
        <v>597</v>
      </c>
      <c r="BC116" s="12" t="s">
        <v>597</v>
      </c>
      <c r="BD116" s="12" t="s">
        <v>597</v>
      </c>
      <c r="BE116" s="12" t="s">
        <v>597</v>
      </c>
      <c r="BF116" s="12" t="s">
        <v>597</v>
      </c>
      <c r="BG116" s="12" t="s">
        <v>690</v>
      </c>
      <c r="BH116" s="12" t="s">
        <v>690</v>
      </c>
      <c r="BI116" s="12" t="s">
        <v>690</v>
      </c>
      <c r="BJ116" s="12" t="s">
        <v>690</v>
      </c>
      <c r="BK116" s="12" t="s">
        <v>690</v>
      </c>
      <c r="BL116" s="12" t="s">
        <v>690</v>
      </c>
      <c r="BM116" s="12" t="s">
        <v>690</v>
      </c>
      <c r="BN116" s="12" t="s">
        <v>690</v>
      </c>
      <c r="BO116" s="12" t="s">
        <v>690</v>
      </c>
      <c r="BP116" s="12" t="s">
        <v>690</v>
      </c>
      <c r="BQ116" s="12" t="s">
        <v>690</v>
      </c>
      <c r="BR116" s="12" t="s">
        <v>599</v>
      </c>
      <c r="BS116" s="12" t="s">
        <v>599</v>
      </c>
      <c r="BT116" s="12" t="s">
        <v>599</v>
      </c>
      <c r="BU116" s="12" t="s">
        <v>869</v>
      </c>
      <c r="BV116" s="12" t="s">
        <v>869</v>
      </c>
      <c r="BW116" s="12" t="s">
        <v>869</v>
      </c>
      <c r="BX116" s="12" t="s">
        <v>869</v>
      </c>
      <c r="BY116" s="12" t="s">
        <v>869</v>
      </c>
      <c r="BZ116" s="12" t="s">
        <v>869</v>
      </c>
      <c r="CA116" s="12" t="s">
        <v>869</v>
      </c>
      <c r="CB116" s="12" t="s">
        <v>869</v>
      </c>
      <c r="CC116" s="12" t="s">
        <v>869</v>
      </c>
      <c r="CD116" s="12" t="s">
        <v>869</v>
      </c>
      <c r="CE116" s="12" t="s">
        <v>869</v>
      </c>
      <c r="CF116" s="12" t="s">
        <v>869</v>
      </c>
      <c r="CG116" s="12" t="s">
        <v>869</v>
      </c>
      <c r="CH116" s="12" t="s">
        <v>869</v>
      </c>
      <c r="CI116" s="12" t="s">
        <v>869</v>
      </c>
      <c r="CJ116" s="12" t="s">
        <v>869</v>
      </c>
      <c r="CK116" s="12" t="s">
        <v>869</v>
      </c>
      <c r="CL116" s="12" t="s">
        <v>869</v>
      </c>
      <c r="CM116" s="12" t="s">
        <v>869</v>
      </c>
      <c r="CN116" s="12" t="s">
        <v>869</v>
      </c>
      <c r="CO116" s="12" t="s">
        <v>869</v>
      </c>
      <c r="CP116" s="12" t="s">
        <v>869</v>
      </c>
      <c r="CQ116" s="12" t="s">
        <v>869</v>
      </c>
      <c r="CR116" s="12" t="s">
        <v>869</v>
      </c>
      <c r="CS116" s="12" t="s">
        <v>869</v>
      </c>
      <c r="CT116" s="12" t="s">
        <v>869</v>
      </c>
    </row>
    <row r="117" spans="1:98" hidden="1" x14ac:dyDescent="0.3">
      <c r="A117" s="12" t="s">
        <v>2525</v>
      </c>
      <c r="B117" s="12" t="s">
        <v>2501</v>
      </c>
      <c r="C117" s="12" t="s">
        <v>2526</v>
      </c>
      <c r="D117" s="12" t="s">
        <v>2527</v>
      </c>
      <c r="E117" s="12" t="s">
        <v>596</v>
      </c>
      <c r="F117" s="12" t="s">
        <v>596</v>
      </c>
      <c r="G117" s="12" t="s">
        <v>596</v>
      </c>
      <c r="H117" s="12" t="s">
        <v>596</v>
      </c>
      <c r="I117" s="12" t="s">
        <v>596</v>
      </c>
      <c r="J117" s="12" t="s">
        <v>596</v>
      </c>
      <c r="K117" s="12" t="s">
        <v>596</v>
      </c>
      <c r="L117" s="12" t="s">
        <v>596</v>
      </c>
      <c r="M117" s="12" t="s">
        <v>596</v>
      </c>
      <c r="N117" s="12" t="s">
        <v>596</v>
      </c>
      <c r="O117" s="12" t="s">
        <v>596</v>
      </c>
      <c r="P117" s="12" t="s">
        <v>596</v>
      </c>
      <c r="Q117" s="12" t="s">
        <v>596</v>
      </c>
      <c r="R117" s="12" t="s">
        <v>596</v>
      </c>
      <c r="S117" s="12" t="s">
        <v>596</v>
      </c>
      <c r="T117" s="12" t="s">
        <v>596</v>
      </c>
      <c r="U117" s="12" t="s">
        <v>596</v>
      </c>
      <c r="V117" s="12" t="s">
        <v>596</v>
      </c>
      <c r="W117" s="12" t="s">
        <v>596</v>
      </c>
      <c r="X117" s="12" t="s">
        <v>596</v>
      </c>
      <c r="Y117" s="12" t="s">
        <v>596</v>
      </c>
      <c r="Z117" s="12" t="s">
        <v>596</v>
      </c>
      <c r="AA117" s="12" t="s">
        <v>596</v>
      </c>
      <c r="AB117" s="12" t="s">
        <v>596</v>
      </c>
      <c r="AC117" s="12" t="s">
        <v>596</v>
      </c>
      <c r="AD117" s="12" t="s">
        <v>596</v>
      </c>
      <c r="AE117" s="12" t="s">
        <v>596</v>
      </c>
      <c r="AF117" s="12" t="s">
        <v>596</v>
      </c>
      <c r="AG117" s="12" t="s">
        <v>596</v>
      </c>
      <c r="AH117" s="12" t="s">
        <v>596</v>
      </c>
      <c r="AI117" s="12" t="s">
        <v>596</v>
      </c>
      <c r="AJ117" s="12" t="s">
        <v>596</v>
      </c>
      <c r="AK117" s="12" t="s">
        <v>596</v>
      </c>
      <c r="AL117" s="12" t="s">
        <v>596</v>
      </c>
      <c r="AM117" s="12" t="s">
        <v>596</v>
      </c>
      <c r="AN117" s="12" t="s">
        <v>596</v>
      </c>
      <c r="AO117" s="12" t="s">
        <v>596</v>
      </c>
      <c r="AP117" s="12" t="s">
        <v>596</v>
      </c>
      <c r="AQ117" s="12" t="s">
        <v>596</v>
      </c>
      <c r="AR117" s="12" t="s">
        <v>596</v>
      </c>
      <c r="AS117" s="12" t="s">
        <v>596</v>
      </c>
      <c r="AT117" s="12" t="s">
        <v>596</v>
      </c>
      <c r="AU117" s="12" t="s">
        <v>596</v>
      </c>
      <c r="AV117" s="12" t="s">
        <v>596</v>
      </c>
      <c r="AW117" s="12" t="s">
        <v>596</v>
      </c>
      <c r="AX117" s="12" t="s">
        <v>596</v>
      </c>
      <c r="AY117" s="12" t="s">
        <v>596</v>
      </c>
      <c r="AZ117" s="12" t="s">
        <v>641</v>
      </c>
      <c r="BA117" s="12" t="s">
        <v>641</v>
      </c>
      <c r="BB117" s="12" t="s">
        <v>641</v>
      </c>
      <c r="BC117" s="12" t="s">
        <v>641</v>
      </c>
      <c r="BD117" s="12" t="s">
        <v>641</v>
      </c>
      <c r="BE117" s="12" t="s">
        <v>641</v>
      </c>
      <c r="BF117" s="12" t="s">
        <v>641</v>
      </c>
      <c r="BG117" s="12" t="s">
        <v>641</v>
      </c>
      <c r="BH117" s="12" t="s">
        <v>641</v>
      </c>
      <c r="BI117" s="12" t="s">
        <v>690</v>
      </c>
      <c r="BJ117" s="12" t="s">
        <v>598</v>
      </c>
      <c r="BK117" s="12" t="s">
        <v>598</v>
      </c>
      <c r="BL117" s="12" t="s">
        <v>598</v>
      </c>
      <c r="BM117" s="12" t="s">
        <v>599</v>
      </c>
      <c r="BN117" s="12" t="s">
        <v>773</v>
      </c>
      <c r="BO117" s="12" t="s">
        <v>773</v>
      </c>
      <c r="BP117" s="12" t="s">
        <v>601</v>
      </c>
      <c r="BQ117" s="12" t="s">
        <v>601</v>
      </c>
      <c r="BR117" s="12" t="s">
        <v>601</v>
      </c>
      <c r="BS117" s="12" t="s">
        <v>601</v>
      </c>
      <c r="BT117" s="12" t="s">
        <v>601</v>
      </c>
      <c r="BU117" s="12" t="s">
        <v>780</v>
      </c>
      <c r="BV117" s="12" t="s">
        <v>780</v>
      </c>
      <c r="BW117" s="12" t="s">
        <v>780</v>
      </c>
      <c r="BX117" s="12" t="s">
        <v>604</v>
      </c>
      <c r="BY117" s="12" t="s">
        <v>604</v>
      </c>
      <c r="BZ117" s="12" t="s">
        <v>605</v>
      </c>
      <c r="CA117" s="12" t="s">
        <v>870</v>
      </c>
      <c r="CB117" s="12" t="s">
        <v>870</v>
      </c>
      <c r="CC117" s="12" t="s">
        <v>870</v>
      </c>
      <c r="CD117" s="12" t="s">
        <v>870</v>
      </c>
      <c r="CE117" s="12" t="s">
        <v>870</v>
      </c>
      <c r="CF117" s="12" t="s">
        <v>870</v>
      </c>
      <c r="CG117" s="12" t="s">
        <v>870</v>
      </c>
      <c r="CH117" s="12" t="s">
        <v>870</v>
      </c>
      <c r="CI117" s="12" t="s">
        <v>870</v>
      </c>
      <c r="CJ117" s="12" t="s">
        <v>870</v>
      </c>
      <c r="CK117" s="12" t="s">
        <v>935</v>
      </c>
      <c r="CL117" s="12" t="s">
        <v>935</v>
      </c>
      <c r="CM117" s="12" t="s">
        <v>935</v>
      </c>
      <c r="CN117" s="12" t="s">
        <v>695</v>
      </c>
      <c r="CO117" s="12" t="s">
        <v>695</v>
      </c>
      <c r="CP117" s="12" t="s">
        <v>695</v>
      </c>
      <c r="CQ117" s="12" t="s">
        <v>695</v>
      </c>
      <c r="CR117" s="12" t="s">
        <v>646</v>
      </c>
      <c r="CS117" s="12" t="s">
        <v>646</v>
      </c>
      <c r="CT117" s="12" t="s">
        <v>646</v>
      </c>
    </row>
    <row r="118" spans="1:98" hidden="1" x14ac:dyDescent="0.3">
      <c r="A118" s="12" t="s">
        <v>2528</v>
      </c>
      <c r="B118" s="12" t="s">
        <v>2501</v>
      </c>
      <c r="C118" s="12" t="s">
        <v>2529</v>
      </c>
      <c r="D118" s="12" t="s">
        <v>2530</v>
      </c>
      <c r="E118" s="12" t="s">
        <v>596</v>
      </c>
      <c r="F118" s="12" t="s">
        <v>596</v>
      </c>
      <c r="G118" s="12" t="s">
        <v>596</v>
      </c>
      <c r="H118" s="12" t="s">
        <v>596</v>
      </c>
      <c r="I118" s="12" t="s">
        <v>596</v>
      </c>
      <c r="J118" s="12" t="s">
        <v>596</v>
      </c>
      <c r="K118" s="12" t="s">
        <v>596</v>
      </c>
      <c r="L118" s="12" t="s">
        <v>596</v>
      </c>
      <c r="M118" s="12" t="s">
        <v>596</v>
      </c>
      <c r="N118" s="12" t="s">
        <v>596</v>
      </c>
      <c r="O118" s="12" t="s">
        <v>596</v>
      </c>
      <c r="P118" s="12" t="s">
        <v>596</v>
      </c>
      <c r="Q118" s="12" t="s">
        <v>596</v>
      </c>
      <c r="R118" s="12" t="s">
        <v>596</v>
      </c>
      <c r="S118" s="12" t="s">
        <v>596</v>
      </c>
      <c r="T118" s="12" t="s">
        <v>596</v>
      </c>
      <c r="U118" s="12" t="s">
        <v>596</v>
      </c>
      <c r="V118" s="12" t="s">
        <v>596</v>
      </c>
      <c r="W118" s="12" t="s">
        <v>596</v>
      </c>
      <c r="X118" s="12" t="s">
        <v>596</v>
      </c>
      <c r="Y118" s="12" t="s">
        <v>596</v>
      </c>
      <c r="Z118" s="12" t="s">
        <v>596</v>
      </c>
      <c r="AA118" s="12" t="s">
        <v>596</v>
      </c>
      <c r="AB118" s="12" t="s">
        <v>596</v>
      </c>
      <c r="AC118" s="12" t="s">
        <v>596</v>
      </c>
      <c r="AD118" s="12" t="s">
        <v>596</v>
      </c>
      <c r="AE118" s="12" t="s">
        <v>596</v>
      </c>
      <c r="AF118" s="12" t="s">
        <v>596</v>
      </c>
      <c r="AG118" s="12" t="s">
        <v>596</v>
      </c>
      <c r="AH118" s="12" t="s">
        <v>596</v>
      </c>
      <c r="AI118" s="12" t="s">
        <v>596</v>
      </c>
      <c r="AJ118" s="12" t="s">
        <v>596</v>
      </c>
      <c r="AK118" s="12" t="s">
        <v>596</v>
      </c>
      <c r="AL118" s="12" t="s">
        <v>596</v>
      </c>
      <c r="AM118" s="12" t="s">
        <v>596</v>
      </c>
      <c r="AN118" s="12" t="s">
        <v>596</v>
      </c>
      <c r="AO118" s="12" t="s">
        <v>596</v>
      </c>
      <c r="AP118" s="12" t="s">
        <v>596</v>
      </c>
      <c r="AQ118" s="12" t="s">
        <v>596</v>
      </c>
      <c r="AR118" s="12" t="s">
        <v>596</v>
      </c>
      <c r="AS118" s="12" t="s">
        <v>596</v>
      </c>
      <c r="AT118" s="12" t="s">
        <v>596</v>
      </c>
      <c r="AU118" s="12" t="s">
        <v>596</v>
      </c>
      <c r="AV118" s="12" t="s">
        <v>596</v>
      </c>
      <c r="AW118" s="12" t="s">
        <v>596</v>
      </c>
      <c r="AX118" s="12" t="s">
        <v>641</v>
      </c>
      <c r="AY118" s="12" t="s">
        <v>641</v>
      </c>
      <c r="AZ118" s="12" t="s">
        <v>641</v>
      </c>
      <c r="BA118" s="12" t="s">
        <v>641</v>
      </c>
      <c r="BB118" s="12" t="s">
        <v>690</v>
      </c>
      <c r="BC118" s="12" t="s">
        <v>690</v>
      </c>
      <c r="BD118" s="12" t="s">
        <v>690</v>
      </c>
      <c r="BE118" s="12" t="s">
        <v>779</v>
      </c>
      <c r="BF118" s="12" t="s">
        <v>779</v>
      </c>
      <c r="BG118" s="12" t="s">
        <v>780</v>
      </c>
      <c r="BH118" s="12" t="s">
        <v>602</v>
      </c>
      <c r="BI118" s="12" t="s">
        <v>692</v>
      </c>
      <c r="BJ118" s="12" t="s">
        <v>644</v>
      </c>
      <c r="BK118" s="12" t="s">
        <v>870</v>
      </c>
      <c r="BL118" s="12" t="s">
        <v>870</v>
      </c>
      <c r="BM118" s="12" t="s">
        <v>1114</v>
      </c>
      <c r="BN118" s="12" t="s">
        <v>737</v>
      </c>
      <c r="BO118" s="12" t="s">
        <v>1010</v>
      </c>
      <c r="BP118" s="12" t="s">
        <v>991</v>
      </c>
      <c r="BQ118" s="12" t="s">
        <v>991</v>
      </c>
      <c r="BR118" s="12" t="s">
        <v>1202</v>
      </c>
      <c r="BS118" s="12" t="s">
        <v>876</v>
      </c>
      <c r="BT118" s="12" t="s">
        <v>876</v>
      </c>
      <c r="BU118" s="12" t="s">
        <v>876</v>
      </c>
      <c r="BV118" s="12" t="s">
        <v>791</v>
      </c>
      <c r="BW118" s="12" t="s">
        <v>1374</v>
      </c>
      <c r="BX118" s="12" t="s">
        <v>1376</v>
      </c>
      <c r="BY118" s="12" t="s">
        <v>1839</v>
      </c>
      <c r="BZ118" s="12" t="s">
        <v>1904</v>
      </c>
      <c r="CA118" s="12" t="s">
        <v>2117</v>
      </c>
      <c r="CB118" s="12" t="s">
        <v>1327</v>
      </c>
      <c r="CC118" s="12" t="s">
        <v>1203</v>
      </c>
      <c r="CD118" s="12" t="s">
        <v>2119</v>
      </c>
      <c r="CE118" s="12" t="s">
        <v>2119</v>
      </c>
      <c r="CF118" s="12" t="s">
        <v>1641</v>
      </c>
      <c r="CG118" s="12" t="s">
        <v>1641</v>
      </c>
      <c r="CH118" s="12" t="s">
        <v>1641</v>
      </c>
      <c r="CI118" s="12" t="s">
        <v>1280</v>
      </c>
      <c r="CJ118" s="12" t="s">
        <v>1280</v>
      </c>
      <c r="CK118" s="12" t="s">
        <v>792</v>
      </c>
      <c r="CL118" s="12" t="s">
        <v>792</v>
      </c>
      <c r="CM118" s="12" t="s">
        <v>792</v>
      </c>
      <c r="CN118" s="12" t="s">
        <v>792</v>
      </c>
      <c r="CO118" s="12" t="s">
        <v>1204</v>
      </c>
      <c r="CP118" s="12" t="s">
        <v>1204</v>
      </c>
      <c r="CQ118" s="12" t="s">
        <v>1204</v>
      </c>
      <c r="CR118" s="12" t="s">
        <v>742</v>
      </c>
      <c r="CS118" s="12" t="s">
        <v>742</v>
      </c>
      <c r="CT118" s="12" t="s">
        <v>612</v>
      </c>
    </row>
    <row r="119" spans="1:98" hidden="1" x14ac:dyDescent="0.3">
      <c r="A119" s="12" t="s">
        <v>25</v>
      </c>
      <c r="B119" s="12" t="s">
        <v>2501</v>
      </c>
      <c r="C119" s="12" t="s">
        <v>2531</v>
      </c>
      <c r="D119" s="12" t="s">
        <v>2532</v>
      </c>
      <c r="E119" s="12" t="s">
        <v>596</v>
      </c>
      <c r="F119" s="12" t="s">
        <v>596</v>
      </c>
      <c r="G119" s="12" t="s">
        <v>641</v>
      </c>
      <c r="H119" s="12" t="s">
        <v>690</v>
      </c>
      <c r="I119" s="12" t="s">
        <v>690</v>
      </c>
      <c r="J119" s="12" t="s">
        <v>690</v>
      </c>
      <c r="K119" s="12" t="s">
        <v>598</v>
      </c>
      <c r="L119" s="12" t="s">
        <v>599</v>
      </c>
      <c r="M119" s="12" t="s">
        <v>599</v>
      </c>
      <c r="N119" s="12" t="s">
        <v>599</v>
      </c>
      <c r="O119" s="12" t="s">
        <v>869</v>
      </c>
      <c r="P119" s="12" t="s">
        <v>869</v>
      </c>
      <c r="Q119" s="12" t="s">
        <v>869</v>
      </c>
      <c r="R119" s="12" t="s">
        <v>869</v>
      </c>
      <c r="S119" s="12" t="s">
        <v>869</v>
      </c>
      <c r="T119" s="12" t="s">
        <v>869</v>
      </c>
      <c r="U119" s="12" t="s">
        <v>869</v>
      </c>
      <c r="V119" s="12" t="s">
        <v>601</v>
      </c>
      <c r="W119" s="12" t="s">
        <v>601</v>
      </c>
      <c r="X119" s="12" t="s">
        <v>601</v>
      </c>
      <c r="Y119" s="12" t="s">
        <v>601</v>
      </c>
      <c r="Z119" s="12" t="s">
        <v>601</v>
      </c>
      <c r="AA119" s="12" t="s">
        <v>601</v>
      </c>
      <c r="AB119" s="12" t="s">
        <v>601</v>
      </c>
      <c r="AC119" s="12" t="s">
        <v>643</v>
      </c>
      <c r="AD119" s="12" t="s">
        <v>643</v>
      </c>
      <c r="AE119" s="12" t="s">
        <v>643</v>
      </c>
      <c r="AF119" s="12" t="s">
        <v>643</v>
      </c>
      <c r="AG119" s="12" t="s">
        <v>643</v>
      </c>
      <c r="AH119" s="12" t="s">
        <v>643</v>
      </c>
      <c r="AI119" s="12" t="s">
        <v>643</v>
      </c>
      <c r="AJ119" s="12" t="s">
        <v>643</v>
      </c>
      <c r="AK119" s="12" t="s">
        <v>643</v>
      </c>
      <c r="AL119" s="12" t="s">
        <v>643</v>
      </c>
      <c r="AM119" s="12" t="s">
        <v>774</v>
      </c>
      <c r="AN119" s="12" t="s">
        <v>826</v>
      </c>
      <c r="AO119" s="12" t="s">
        <v>646</v>
      </c>
      <c r="AP119" s="12" t="s">
        <v>1010</v>
      </c>
      <c r="AQ119" s="12" t="s">
        <v>879</v>
      </c>
      <c r="AR119" s="12" t="s">
        <v>2052</v>
      </c>
      <c r="AS119" s="12" t="s">
        <v>1297</v>
      </c>
      <c r="AT119" s="12" t="s">
        <v>2533</v>
      </c>
      <c r="AU119" s="12" t="s">
        <v>1147</v>
      </c>
      <c r="AV119" s="12" t="s">
        <v>668</v>
      </c>
      <c r="AW119" s="12" t="s">
        <v>2014</v>
      </c>
      <c r="AX119" s="12" t="s">
        <v>2534</v>
      </c>
      <c r="AY119" s="12" t="s">
        <v>2213</v>
      </c>
      <c r="AZ119" s="12" t="s">
        <v>2535</v>
      </c>
      <c r="BA119" s="12" t="s">
        <v>2536</v>
      </c>
      <c r="BB119" s="12" t="s">
        <v>2537</v>
      </c>
      <c r="BC119" s="12" t="s">
        <v>2537</v>
      </c>
      <c r="BD119" s="12" t="s">
        <v>2538</v>
      </c>
      <c r="BE119" s="12" t="s">
        <v>2539</v>
      </c>
      <c r="BF119" s="12" t="s">
        <v>2540</v>
      </c>
      <c r="BG119" s="12" t="s">
        <v>2541</v>
      </c>
      <c r="BH119" s="12" t="s">
        <v>2542</v>
      </c>
      <c r="BI119" s="12" t="s">
        <v>2543</v>
      </c>
      <c r="BJ119" s="12" t="s">
        <v>2544</v>
      </c>
      <c r="BK119" s="12" t="s">
        <v>2545</v>
      </c>
      <c r="BL119" s="12" t="s">
        <v>2546</v>
      </c>
      <c r="BM119" s="12" t="s">
        <v>2547</v>
      </c>
      <c r="BN119" s="12" t="s">
        <v>2548</v>
      </c>
      <c r="BO119" s="12" t="s">
        <v>2549</v>
      </c>
      <c r="BP119" s="12" t="s">
        <v>2550</v>
      </c>
      <c r="BQ119" s="12" t="s">
        <v>2551</v>
      </c>
      <c r="BR119" s="12" t="s">
        <v>2552</v>
      </c>
      <c r="BS119" s="12" t="s">
        <v>2553</v>
      </c>
      <c r="BT119" s="12" t="s">
        <v>2554</v>
      </c>
      <c r="BU119" s="12" t="s">
        <v>2555</v>
      </c>
      <c r="BV119" s="12" t="s">
        <v>2556</v>
      </c>
      <c r="BW119" s="12" t="s">
        <v>2557</v>
      </c>
      <c r="BX119" s="12" t="s">
        <v>2558</v>
      </c>
      <c r="BY119" s="12" t="s">
        <v>2559</v>
      </c>
      <c r="BZ119" s="12" t="s">
        <v>2560</v>
      </c>
      <c r="CA119" s="12" t="s">
        <v>2561</v>
      </c>
      <c r="CB119" s="12" t="s">
        <v>2562</v>
      </c>
      <c r="CC119" s="12" t="s">
        <v>2563</v>
      </c>
      <c r="CD119" s="12" t="s">
        <v>2564</v>
      </c>
      <c r="CE119" s="12" t="s">
        <v>2565</v>
      </c>
      <c r="CF119" s="12" t="s">
        <v>2566</v>
      </c>
      <c r="CG119" s="12" t="s">
        <v>2567</v>
      </c>
      <c r="CH119" s="12" t="s">
        <v>2568</v>
      </c>
      <c r="CI119" s="12" t="s">
        <v>2569</v>
      </c>
      <c r="CJ119" s="12" t="s">
        <v>2570</v>
      </c>
      <c r="CK119" s="12" t="s">
        <v>2571</v>
      </c>
      <c r="CL119" s="12" t="s">
        <v>2572</v>
      </c>
      <c r="CM119" s="12" t="s">
        <v>2573</v>
      </c>
      <c r="CN119" s="12" t="s">
        <v>2574</v>
      </c>
      <c r="CO119" s="12" t="s">
        <v>2575</v>
      </c>
      <c r="CP119" s="12" t="s">
        <v>2576</v>
      </c>
      <c r="CQ119" s="12" t="s">
        <v>2577</v>
      </c>
      <c r="CR119" s="12" t="s">
        <v>2578</v>
      </c>
      <c r="CS119" s="12" t="s">
        <v>2579</v>
      </c>
      <c r="CT119" s="12" t="s">
        <v>2580</v>
      </c>
    </row>
    <row r="120" spans="1:98" hidden="1" x14ac:dyDescent="0.3">
      <c r="A120" s="12" t="s">
        <v>25</v>
      </c>
      <c r="B120" s="12" t="s">
        <v>2581</v>
      </c>
      <c r="C120" s="12" t="s">
        <v>2582</v>
      </c>
      <c r="D120" s="12" t="s">
        <v>2583</v>
      </c>
      <c r="E120" s="12" t="s">
        <v>596</v>
      </c>
      <c r="F120" s="12" t="s">
        <v>596</v>
      </c>
      <c r="G120" s="12" t="s">
        <v>596</v>
      </c>
      <c r="H120" s="12" t="s">
        <v>596</v>
      </c>
      <c r="I120" s="12" t="s">
        <v>596</v>
      </c>
      <c r="J120" s="12" t="s">
        <v>596</v>
      </c>
      <c r="K120" s="12" t="s">
        <v>596</v>
      </c>
      <c r="L120" s="12" t="s">
        <v>596</v>
      </c>
      <c r="M120" s="12" t="s">
        <v>596</v>
      </c>
      <c r="N120" s="12" t="s">
        <v>596</v>
      </c>
      <c r="O120" s="12" t="s">
        <v>596</v>
      </c>
      <c r="P120" s="12" t="s">
        <v>596</v>
      </c>
      <c r="Q120" s="12" t="s">
        <v>596</v>
      </c>
      <c r="R120" s="12" t="s">
        <v>596</v>
      </c>
      <c r="S120" s="12" t="s">
        <v>596</v>
      </c>
      <c r="T120" s="12" t="s">
        <v>596</v>
      </c>
      <c r="U120" s="12" t="s">
        <v>596</v>
      </c>
      <c r="V120" s="12" t="s">
        <v>596</v>
      </c>
      <c r="W120" s="12" t="s">
        <v>596</v>
      </c>
      <c r="X120" s="12" t="s">
        <v>596</v>
      </c>
      <c r="Y120" s="12" t="s">
        <v>596</v>
      </c>
      <c r="Z120" s="12" t="s">
        <v>596</v>
      </c>
      <c r="AA120" s="12" t="s">
        <v>596</v>
      </c>
      <c r="AB120" s="12" t="s">
        <v>596</v>
      </c>
      <c r="AC120" s="12" t="s">
        <v>596</v>
      </c>
      <c r="AD120" s="12" t="s">
        <v>596</v>
      </c>
      <c r="AE120" s="12" t="s">
        <v>596</v>
      </c>
      <c r="AF120" s="12" t="s">
        <v>596</v>
      </c>
      <c r="AG120" s="12" t="s">
        <v>596</v>
      </c>
      <c r="AH120" s="12" t="s">
        <v>596</v>
      </c>
      <c r="AI120" s="12" t="s">
        <v>596</v>
      </c>
      <c r="AJ120" s="12" t="s">
        <v>596</v>
      </c>
      <c r="AK120" s="12" t="s">
        <v>596</v>
      </c>
      <c r="AL120" s="12" t="s">
        <v>596</v>
      </c>
      <c r="AM120" s="12" t="s">
        <v>596</v>
      </c>
      <c r="AN120" s="12" t="s">
        <v>596</v>
      </c>
      <c r="AO120" s="12" t="s">
        <v>596</v>
      </c>
      <c r="AP120" s="12" t="s">
        <v>596</v>
      </c>
      <c r="AQ120" s="12" t="s">
        <v>596</v>
      </c>
      <c r="AR120" s="12" t="s">
        <v>596</v>
      </c>
      <c r="AS120" s="12" t="s">
        <v>596</v>
      </c>
      <c r="AT120" s="12" t="s">
        <v>596</v>
      </c>
      <c r="AU120" s="12" t="s">
        <v>596</v>
      </c>
      <c r="AV120" s="12" t="s">
        <v>596</v>
      </c>
      <c r="AW120" s="12" t="s">
        <v>596</v>
      </c>
      <c r="AX120" s="12" t="s">
        <v>596</v>
      </c>
      <c r="AY120" s="12" t="s">
        <v>596</v>
      </c>
      <c r="AZ120" s="12" t="s">
        <v>596</v>
      </c>
      <c r="BA120" s="12" t="s">
        <v>596</v>
      </c>
      <c r="BB120" s="12" t="s">
        <v>596</v>
      </c>
      <c r="BC120" s="12" t="s">
        <v>596</v>
      </c>
      <c r="BD120" s="12" t="s">
        <v>596</v>
      </c>
      <c r="BE120" s="12" t="s">
        <v>597</v>
      </c>
      <c r="BF120" s="12" t="s">
        <v>597</v>
      </c>
      <c r="BG120" s="12" t="s">
        <v>597</v>
      </c>
      <c r="BH120" s="12" t="s">
        <v>597</v>
      </c>
      <c r="BI120" s="12" t="s">
        <v>597</v>
      </c>
      <c r="BJ120" s="12" t="s">
        <v>597</v>
      </c>
      <c r="BK120" s="12" t="s">
        <v>690</v>
      </c>
      <c r="BL120" s="12" t="s">
        <v>598</v>
      </c>
      <c r="BM120" s="12" t="s">
        <v>599</v>
      </c>
      <c r="BN120" s="12" t="s">
        <v>599</v>
      </c>
      <c r="BO120" s="12" t="s">
        <v>869</v>
      </c>
      <c r="BP120" s="12" t="s">
        <v>869</v>
      </c>
      <c r="BQ120" s="12" t="s">
        <v>600</v>
      </c>
      <c r="BR120" s="12" t="s">
        <v>600</v>
      </c>
      <c r="BS120" s="12" t="s">
        <v>600</v>
      </c>
      <c r="BT120" s="12" t="s">
        <v>600</v>
      </c>
      <c r="BU120" s="12" t="s">
        <v>600</v>
      </c>
      <c r="BV120" s="12" t="s">
        <v>602</v>
      </c>
      <c r="BW120" s="12" t="s">
        <v>826</v>
      </c>
      <c r="BX120" s="12" t="s">
        <v>603</v>
      </c>
      <c r="BY120" s="12" t="s">
        <v>603</v>
      </c>
      <c r="BZ120" s="12" t="s">
        <v>603</v>
      </c>
      <c r="CA120" s="12" t="s">
        <v>603</v>
      </c>
      <c r="CB120" s="12" t="s">
        <v>605</v>
      </c>
      <c r="CC120" s="12" t="s">
        <v>2036</v>
      </c>
      <c r="CD120" s="12" t="s">
        <v>785</v>
      </c>
      <c r="CE120" s="12" t="s">
        <v>1114</v>
      </c>
      <c r="CF120" s="12" t="s">
        <v>1114</v>
      </c>
      <c r="CG120" s="12" t="s">
        <v>936</v>
      </c>
      <c r="CH120" s="12" t="s">
        <v>1009</v>
      </c>
      <c r="CI120" s="12" t="s">
        <v>1010</v>
      </c>
      <c r="CJ120" s="12" t="s">
        <v>1010</v>
      </c>
      <c r="CK120" s="12" t="s">
        <v>874</v>
      </c>
      <c r="CL120" s="12" t="s">
        <v>874</v>
      </c>
      <c r="CM120" s="12" t="s">
        <v>1517</v>
      </c>
      <c r="CN120" s="12" t="s">
        <v>1517</v>
      </c>
      <c r="CO120" s="12" t="s">
        <v>1226</v>
      </c>
      <c r="CP120" s="12" t="s">
        <v>611</v>
      </c>
      <c r="CQ120" s="12" t="s">
        <v>1621</v>
      </c>
      <c r="CR120" s="12" t="s">
        <v>1295</v>
      </c>
      <c r="CS120" s="12" t="s">
        <v>1505</v>
      </c>
      <c r="CT120" s="12" t="s">
        <v>1833</v>
      </c>
    </row>
    <row r="121" spans="1:98" hidden="1" x14ac:dyDescent="0.3">
      <c r="A121" s="12" t="s">
        <v>25</v>
      </c>
      <c r="B121" s="12" t="s">
        <v>2584</v>
      </c>
      <c r="C121" s="12" t="s">
        <v>2585</v>
      </c>
      <c r="D121" s="12" t="s">
        <v>2586</v>
      </c>
      <c r="E121" s="12" t="s">
        <v>596</v>
      </c>
      <c r="F121" s="12" t="s">
        <v>596</v>
      </c>
      <c r="G121" s="12" t="s">
        <v>596</v>
      </c>
      <c r="H121" s="12" t="s">
        <v>596</v>
      </c>
      <c r="I121" s="12" t="s">
        <v>596</v>
      </c>
      <c r="J121" s="12" t="s">
        <v>596</v>
      </c>
      <c r="K121" s="12" t="s">
        <v>596</v>
      </c>
      <c r="L121" s="12" t="s">
        <v>596</v>
      </c>
      <c r="M121" s="12" t="s">
        <v>596</v>
      </c>
      <c r="N121" s="12" t="s">
        <v>596</v>
      </c>
      <c r="O121" s="12" t="s">
        <v>596</v>
      </c>
      <c r="P121" s="12" t="s">
        <v>596</v>
      </c>
      <c r="Q121" s="12" t="s">
        <v>596</v>
      </c>
      <c r="R121" s="12" t="s">
        <v>596</v>
      </c>
      <c r="S121" s="12" t="s">
        <v>596</v>
      </c>
      <c r="T121" s="12" t="s">
        <v>596</v>
      </c>
      <c r="U121" s="12" t="s">
        <v>596</v>
      </c>
      <c r="V121" s="12" t="s">
        <v>596</v>
      </c>
      <c r="W121" s="12" t="s">
        <v>596</v>
      </c>
      <c r="X121" s="12" t="s">
        <v>596</v>
      </c>
      <c r="Y121" s="12" t="s">
        <v>596</v>
      </c>
      <c r="Z121" s="12" t="s">
        <v>596</v>
      </c>
      <c r="AA121" s="12" t="s">
        <v>596</v>
      </c>
      <c r="AB121" s="12" t="s">
        <v>596</v>
      </c>
      <c r="AC121" s="12" t="s">
        <v>596</v>
      </c>
      <c r="AD121" s="12" t="s">
        <v>596</v>
      </c>
      <c r="AE121" s="12" t="s">
        <v>596</v>
      </c>
      <c r="AF121" s="12" t="s">
        <v>596</v>
      </c>
      <c r="AG121" s="12" t="s">
        <v>596</v>
      </c>
      <c r="AH121" s="12" t="s">
        <v>596</v>
      </c>
      <c r="AI121" s="12" t="s">
        <v>596</v>
      </c>
      <c r="AJ121" s="12" t="s">
        <v>596</v>
      </c>
      <c r="AK121" s="12" t="s">
        <v>596</v>
      </c>
      <c r="AL121" s="12" t="s">
        <v>596</v>
      </c>
      <c r="AM121" s="12" t="s">
        <v>596</v>
      </c>
      <c r="AN121" s="12" t="s">
        <v>596</v>
      </c>
      <c r="AO121" s="12" t="s">
        <v>596</v>
      </c>
      <c r="AP121" s="12" t="s">
        <v>596</v>
      </c>
      <c r="AQ121" s="12" t="s">
        <v>596</v>
      </c>
      <c r="AR121" s="12" t="s">
        <v>596</v>
      </c>
      <c r="AS121" s="12" t="s">
        <v>596</v>
      </c>
      <c r="AT121" s="12" t="s">
        <v>596</v>
      </c>
      <c r="AU121" s="12" t="s">
        <v>596</v>
      </c>
      <c r="AV121" s="12" t="s">
        <v>596</v>
      </c>
      <c r="AW121" s="12" t="s">
        <v>596</v>
      </c>
      <c r="AX121" s="12" t="s">
        <v>596</v>
      </c>
      <c r="AY121" s="12" t="s">
        <v>596</v>
      </c>
      <c r="AZ121" s="12" t="s">
        <v>596</v>
      </c>
      <c r="BA121" s="12" t="s">
        <v>596</v>
      </c>
      <c r="BB121" s="12" t="s">
        <v>596</v>
      </c>
      <c r="BC121" s="12" t="s">
        <v>596</v>
      </c>
      <c r="BD121" s="12" t="s">
        <v>596</v>
      </c>
      <c r="BE121" s="12" t="s">
        <v>596</v>
      </c>
      <c r="BF121" s="12" t="s">
        <v>596</v>
      </c>
      <c r="BG121" s="12" t="s">
        <v>596</v>
      </c>
      <c r="BH121" s="12" t="s">
        <v>597</v>
      </c>
      <c r="BI121" s="12" t="s">
        <v>597</v>
      </c>
      <c r="BJ121" s="12" t="s">
        <v>597</v>
      </c>
      <c r="BK121" s="12" t="s">
        <v>597</v>
      </c>
      <c r="BL121" s="12" t="s">
        <v>597</v>
      </c>
      <c r="BM121" s="12" t="s">
        <v>597</v>
      </c>
      <c r="BN121" s="12" t="s">
        <v>641</v>
      </c>
      <c r="BO121" s="12" t="s">
        <v>690</v>
      </c>
      <c r="BP121" s="12" t="s">
        <v>690</v>
      </c>
      <c r="BQ121" s="12" t="s">
        <v>690</v>
      </c>
      <c r="BR121" s="12" t="s">
        <v>690</v>
      </c>
      <c r="BS121" s="12" t="s">
        <v>690</v>
      </c>
      <c r="BT121" s="12" t="s">
        <v>598</v>
      </c>
      <c r="BU121" s="12" t="s">
        <v>598</v>
      </c>
      <c r="BV121" s="12" t="s">
        <v>598</v>
      </c>
      <c r="BW121" s="12" t="s">
        <v>598</v>
      </c>
      <c r="BX121" s="12" t="s">
        <v>598</v>
      </c>
      <c r="BY121" s="12" t="s">
        <v>598</v>
      </c>
      <c r="BZ121" s="12" t="s">
        <v>598</v>
      </c>
      <c r="CA121" s="12" t="s">
        <v>598</v>
      </c>
      <c r="CB121" s="12" t="s">
        <v>598</v>
      </c>
      <c r="CC121" s="12" t="s">
        <v>598</v>
      </c>
      <c r="CD121" s="12" t="s">
        <v>598</v>
      </c>
      <c r="CE121" s="12" t="s">
        <v>598</v>
      </c>
      <c r="CF121" s="12" t="s">
        <v>598</v>
      </c>
      <c r="CG121" s="12" t="s">
        <v>779</v>
      </c>
      <c r="CH121" s="12" t="s">
        <v>779</v>
      </c>
      <c r="CI121" s="12" t="s">
        <v>779</v>
      </c>
      <c r="CJ121" s="12" t="s">
        <v>779</v>
      </c>
      <c r="CK121" s="12" t="s">
        <v>779</v>
      </c>
      <c r="CL121" s="12" t="s">
        <v>779</v>
      </c>
      <c r="CM121" s="12" t="s">
        <v>779</v>
      </c>
      <c r="CN121" s="12" t="s">
        <v>779</v>
      </c>
      <c r="CO121" s="12" t="s">
        <v>642</v>
      </c>
      <c r="CP121" s="12" t="s">
        <v>642</v>
      </c>
      <c r="CQ121" s="12" t="s">
        <v>642</v>
      </c>
      <c r="CR121" s="12" t="s">
        <v>642</v>
      </c>
      <c r="CS121" s="12" t="s">
        <v>642</v>
      </c>
      <c r="CT121" s="12" t="s">
        <v>642</v>
      </c>
    </row>
    <row r="122" spans="1:98" hidden="1" x14ac:dyDescent="0.3">
      <c r="A122" s="12" t="s">
        <v>25</v>
      </c>
      <c r="B122" s="12" t="s">
        <v>2587</v>
      </c>
      <c r="C122" s="12" t="s">
        <v>2588</v>
      </c>
      <c r="D122" s="12" t="s">
        <v>2589</v>
      </c>
      <c r="E122" s="12" t="s">
        <v>596</v>
      </c>
      <c r="F122" s="12" t="s">
        <v>596</v>
      </c>
      <c r="G122" s="12" t="s">
        <v>596</v>
      </c>
      <c r="H122" s="12" t="s">
        <v>596</v>
      </c>
      <c r="I122" s="12" t="s">
        <v>596</v>
      </c>
      <c r="J122" s="12" t="s">
        <v>596</v>
      </c>
      <c r="K122" s="12" t="s">
        <v>596</v>
      </c>
      <c r="L122" s="12" t="s">
        <v>596</v>
      </c>
      <c r="M122" s="12" t="s">
        <v>596</v>
      </c>
      <c r="N122" s="12" t="s">
        <v>596</v>
      </c>
      <c r="O122" s="12" t="s">
        <v>596</v>
      </c>
      <c r="P122" s="12" t="s">
        <v>596</v>
      </c>
      <c r="Q122" s="12" t="s">
        <v>596</v>
      </c>
      <c r="R122" s="12" t="s">
        <v>596</v>
      </c>
      <c r="S122" s="12" t="s">
        <v>596</v>
      </c>
      <c r="T122" s="12" t="s">
        <v>596</v>
      </c>
      <c r="U122" s="12" t="s">
        <v>596</v>
      </c>
      <c r="V122" s="12" t="s">
        <v>596</v>
      </c>
      <c r="W122" s="12" t="s">
        <v>596</v>
      </c>
      <c r="X122" s="12" t="s">
        <v>596</v>
      </c>
      <c r="Y122" s="12" t="s">
        <v>596</v>
      </c>
      <c r="Z122" s="12" t="s">
        <v>596</v>
      </c>
      <c r="AA122" s="12" t="s">
        <v>596</v>
      </c>
      <c r="AB122" s="12" t="s">
        <v>596</v>
      </c>
      <c r="AC122" s="12" t="s">
        <v>596</v>
      </c>
      <c r="AD122" s="12" t="s">
        <v>596</v>
      </c>
      <c r="AE122" s="12" t="s">
        <v>596</v>
      </c>
      <c r="AF122" s="12" t="s">
        <v>596</v>
      </c>
      <c r="AG122" s="12" t="s">
        <v>596</v>
      </c>
      <c r="AH122" s="12" t="s">
        <v>596</v>
      </c>
      <c r="AI122" s="12" t="s">
        <v>596</v>
      </c>
      <c r="AJ122" s="12" t="s">
        <v>596</v>
      </c>
      <c r="AK122" s="12" t="s">
        <v>596</v>
      </c>
      <c r="AL122" s="12" t="s">
        <v>596</v>
      </c>
      <c r="AM122" s="12" t="s">
        <v>596</v>
      </c>
      <c r="AN122" s="12" t="s">
        <v>597</v>
      </c>
      <c r="AO122" s="12" t="s">
        <v>597</v>
      </c>
      <c r="AP122" s="12" t="s">
        <v>597</v>
      </c>
      <c r="AQ122" s="12" t="s">
        <v>597</v>
      </c>
      <c r="AR122" s="12" t="s">
        <v>690</v>
      </c>
      <c r="AS122" s="12" t="s">
        <v>690</v>
      </c>
      <c r="AT122" s="12" t="s">
        <v>690</v>
      </c>
      <c r="AU122" s="12" t="s">
        <v>690</v>
      </c>
      <c r="AV122" s="12" t="s">
        <v>598</v>
      </c>
      <c r="AW122" s="12" t="s">
        <v>598</v>
      </c>
      <c r="AX122" s="12" t="s">
        <v>598</v>
      </c>
      <c r="AY122" s="12" t="s">
        <v>886</v>
      </c>
      <c r="AZ122" s="12" t="s">
        <v>780</v>
      </c>
      <c r="BA122" s="12" t="s">
        <v>780</v>
      </c>
      <c r="BB122" s="12" t="s">
        <v>605</v>
      </c>
      <c r="BC122" s="12" t="s">
        <v>605</v>
      </c>
      <c r="BD122" s="12" t="s">
        <v>775</v>
      </c>
      <c r="BE122" s="12" t="s">
        <v>2036</v>
      </c>
      <c r="BF122" s="12" t="s">
        <v>645</v>
      </c>
      <c r="BG122" s="12" t="s">
        <v>645</v>
      </c>
      <c r="BH122" s="12" t="s">
        <v>785</v>
      </c>
      <c r="BI122" s="12" t="s">
        <v>646</v>
      </c>
      <c r="BJ122" s="12" t="s">
        <v>606</v>
      </c>
      <c r="BK122" s="12" t="s">
        <v>1277</v>
      </c>
      <c r="BL122" s="12" t="s">
        <v>1009</v>
      </c>
      <c r="BM122" s="12" t="s">
        <v>697</v>
      </c>
      <c r="BN122" s="12" t="s">
        <v>937</v>
      </c>
      <c r="BO122" s="12" t="s">
        <v>652</v>
      </c>
      <c r="BP122" s="12" t="s">
        <v>738</v>
      </c>
      <c r="BQ122" s="12" t="s">
        <v>789</v>
      </c>
      <c r="BR122" s="12" t="s">
        <v>1370</v>
      </c>
      <c r="BS122" s="12" t="s">
        <v>700</v>
      </c>
      <c r="BT122" s="12" t="s">
        <v>875</v>
      </c>
      <c r="BU122" s="12" t="s">
        <v>880</v>
      </c>
      <c r="BV122" s="12" t="s">
        <v>610</v>
      </c>
      <c r="BW122" s="12" t="s">
        <v>1435</v>
      </c>
      <c r="BX122" s="12" t="s">
        <v>891</v>
      </c>
      <c r="BY122" s="12" t="s">
        <v>1641</v>
      </c>
      <c r="BZ122" s="12" t="s">
        <v>1328</v>
      </c>
      <c r="CA122" s="12" t="s">
        <v>613</v>
      </c>
      <c r="CB122" s="12" t="s">
        <v>743</v>
      </c>
      <c r="CC122" s="12" t="s">
        <v>2155</v>
      </c>
      <c r="CD122" s="12" t="s">
        <v>1736</v>
      </c>
      <c r="CE122" s="12" t="s">
        <v>1181</v>
      </c>
      <c r="CF122" s="12" t="s">
        <v>2184</v>
      </c>
      <c r="CG122" s="12" t="s">
        <v>1381</v>
      </c>
      <c r="CH122" s="12" t="s">
        <v>974</v>
      </c>
      <c r="CI122" s="12" t="s">
        <v>1754</v>
      </c>
      <c r="CJ122" s="12" t="s">
        <v>1284</v>
      </c>
      <c r="CK122" s="12" t="s">
        <v>1442</v>
      </c>
      <c r="CL122" s="12" t="s">
        <v>2590</v>
      </c>
      <c r="CM122" s="12" t="s">
        <v>748</v>
      </c>
      <c r="CN122" s="12" t="s">
        <v>2520</v>
      </c>
      <c r="CO122" s="12" t="s">
        <v>2185</v>
      </c>
      <c r="CP122" s="12" t="s">
        <v>2413</v>
      </c>
      <c r="CQ122" s="12" t="s">
        <v>1685</v>
      </c>
      <c r="CR122" s="12" t="s">
        <v>672</v>
      </c>
      <c r="CS122" s="12" t="s">
        <v>1551</v>
      </c>
      <c r="CT122" s="12" t="s">
        <v>621</v>
      </c>
    </row>
    <row r="123" spans="1:98" hidden="1" x14ac:dyDescent="0.3">
      <c r="A123" s="12" t="s">
        <v>25</v>
      </c>
      <c r="B123" s="12" t="s">
        <v>2591</v>
      </c>
      <c r="C123" s="12" t="s">
        <v>2592</v>
      </c>
      <c r="D123" s="12" t="s">
        <v>2593</v>
      </c>
      <c r="E123" s="12" t="s">
        <v>596</v>
      </c>
      <c r="F123" s="12" t="s">
        <v>596</v>
      </c>
      <c r="G123" s="12" t="s">
        <v>596</v>
      </c>
      <c r="H123" s="12" t="s">
        <v>596</v>
      </c>
      <c r="I123" s="12" t="s">
        <v>596</v>
      </c>
      <c r="J123" s="12" t="s">
        <v>597</v>
      </c>
      <c r="K123" s="12" t="s">
        <v>598</v>
      </c>
      <c r="L123" s="12" t="s">
        <v>598</v>
      </c>
      <c r="M123" s="12" t="s">
        <v>598</v>
      </c>
      <c r="N123" s="12" t="s">
        <v>599</v>
      </c>
      <c r="O123" s="12" t="s">
        <v>773</v>
      </c>
      <c r="P123" s="12" t="s">
        <v>642</v>
      </c>
      <c r="Q123" s="12" t="s">
        <v>643</v>
      </c>
      <c r="R123" s="12" t="s">
        <v>643</v>
      </c>
      <c r="S123" s="12" t="s">
        <v>643</v>
      </c>
      <c r="T123" s="12" t="s">
        <v>643</v>
      </c>
      <c r="U123" s="12" t="s">
        <v>886</v>
      </c>
      <c r="V123" s="12" t="s">
        <v>886</v>
      </c>
      <c r="W123" s="12" t="s">
        <v>774</v>
      </c>
      <c r="X123" s="12" t="s">
        <v>774</v>
      </c>
      <c r="Y123" s="12" t="s">
        <v>602</v>
      </c>
      <c r="Z123" s="12" t="s">
        <v>602</v>
      </c>
      <c r="AA123" s="12" t="s">
        <v>602</v>
      </c>
      <c r="AB123" s="12" t="s">
        <v>602</v>
      </c>
      <c r="AC123" s="12" t="s">
        <v>602</v>
      </c>
      <c r="AD123" s="12" t="s">
        <v>602</v>
      </c>
      <c r="AE123" s="12" t="s">
        <v>602</v>
      </c>
      <c r="AF123" s="12" t="s">
        <v>602</v>
      </c>
      <c r="AG123" s="12" t="s">
        <v>602</v>
      </c>
      <c r="AH123" s="12" t="s">
        <v>602</v>
      </c>
      <c r="AI123" s="12" t="s">
        <v>602</v>
      </c>
      <c r="AJ123" s="12" t="s">
        <v>602</v>
      </c>
      <c r="AK123" s="12" t="s">
        <v>602</v>
      </c>
      <c r="AL123" s="12" t="s">
        <v>602</v>
      </c>
      <c r="AM123" s="12" t="s">
        <v>691</v>
      </c>
      <c r="AN123" s="12" t="s">
        <v>931</v>
      </c>
      <c r="AO123" s="12" t="s">
        <v>936</v>
      </c>
      <c r="AP123" s="12" t="s">
        <v>696</v>
      </c>
      <c r="AQ123" s="12" t="s">
        <v>789</v>
      </c>
      <c r="AR123" s="12" t="s">
        <v>2052</v>
      </c>
      <c r="AS123" s="12" t="s">
        <v>1751</v>
      </c>
      <c r="AT123" s="12" t="s">
        <v>2155</v>
      </c>
      <c r="AU123" s="12" t="s">
        <v>1512</v>
      </c>
      <c r="AV123" s="12" t="s">
        <v>840</v>
      </c>
      <c r="AW123" s="12" t="s">
        <v>2594</v>
      </c>
      <c r="AX123" s="12" t="s">
        <v>2595</v>
      </c>
      <c r="AY123" s="12" t="s">
        <v>1164</v>
      </c>
      <c r="AZ123" s="12" t="s">
        <v>635</v>
      </c>
      <c r="BA123" s="12" t="s">
        <v>2596</v>
      </c>
      <c r="BB123" s="12" t="s">
        <v>2227</v>
      </c>
      <c r="BC123" s="12" t="s">
        <v>2597</v>
      </c>
      <c r="BD123" s="12" t="s">
        <v>2598</v>
      </c>
      <c r="BE123" s="12" t="s">
        <v>2599</v>
      </c>
      <c r="BF123" s="12" t="s">
        <v>2600</v>
      </c>
      <c r="BG123" s="12" t="s">
        <v>2601</v>
      </c>
      <c r="BH123" s="12" t="s">
        <v>2602</v>
      </c>
      <c r="BI123" s="12" t="s">
        <v>2603</v>
      </c>
      <c r="BJ123" s="12" t="s">
        <v>2604</v>
      </c>
      <c r="BK123" s="12" t="s">
        <v>2605</v>
      </c>
      <c r="BL123" s="12" t="s">
        <v>2606</v>
      </c>
      <c r="BM123" s="12" t="s">
        <v>2607</v>
      </c>
      <c r="BN123" s="12" t="s">
        <v>2608</v>
      </c>
      <c r="BO123" s="12" t="s">
        <v>2609</v>
      </c>
      <c r="BP123" s="12" t="s">
        <v>2610</v>
      </c>
      <c r="BQ123" s="12" t="s">
        <v>2611</v>
      </c>
      <c r="BR123" s="12" t="s">
        <v>2612</v>
      </c>
      <c r="BS123" s="12" t="s">
        <v>2613</v>
      </c>
      <c r="BT123" s="12" t="s">
        <v>2614</v>
      </c>
      <c r="BU123" s="12" t="s">
        <v>2615</v>
      </c>
      <c r="BV123" s="12" t="s">
        <v>2616</v>
      </c>
      <c r="BW123" s="12" t="s">
        <v>2617</v>
      </c>
      <c r="BX123" s="12" t="s">
        <v>2618</v>
      </c>
      <c r="BY123" s="12" t="s">
        <v>2619</v>
      </c>
      <c r="BZ123" s="12" t="s">
        <v>2620</v>
      </c>
      <c r="CA123" s="12" t="s">
        <v>2621</v>
      </c>
      <c r="CB123" s="12" t="s">
        <v>2622</v>
      </c>
      <c r="CC123" s="12" t="s">
        <v>2623</v>
      </c>
      <c r="CD123" s="12" t="s">
        <v>2624</v>
      </c>
      <c r="CE123" s="12" t="s">
        <v>2625</v>
      </c>
      <c r="CF123" s="12" t="s">
        <v>2626</v>
      </c>
      <c r="CG123" s="12" t="s">
        <v>2627</v>
      </c>
      <c r="CH123" s="12" t="s">
        <v>2628</v>
      </c>
      <c r="CI123" s="12" t="s">
        <v>2629</v>
      </c>
      <c r="CJ123" s="12" t="s">
        <v>2630</v>
      </c>
      <c r="CK123" s="12" t="s">
        <v>2631</v>
      </c>
      <c r="CL123" s="12" t="s">
        <v>2632</v>
      </c>
      <c r="CM123" s="12" t="s">
        <v>2633</v>
      </c>
      <c r="CN123" s="12" t="s">
        <v>2634</v>
      </c>
      <c r="CO123" s="12" t="s">
        <v>2635</v>
      </c>
      <c r="CP123" s="12" t="s">
        <v>2636</v>
      </c>
      <c r="CQ123" s="12" t="s">
        <v>2637</v>
      </c>
      <c r="CR123" s="12" t="s">
        <v>2638</v>
      </c>
      <c r="CS123" s="12" t="s">
        <v>2639</v>
      </c>
      <c r="CT123" s="12" t="s">
        <v>2640</v>
      </c>
    </row>
    <row r="124" spans="1:98" hidden="1" x14ac:dyDescent="0.3">
      <c r="A124" s="12" t="s">
        <v>25</v>
      </c>
      <c r="B124" s="12" t="s">
        <v>2641</v>
      </c>
      <c r="C124" s="12" t="s">
        <v>2642</v>
      </c>
      <c r="D124" s="12" t="s">
        <v>2643</v>
      </c>
      <c r="E124" s="12" t="s">
        <v>596</v>
      </c>
      <c r="F124" s="12" t="s">
        <v>596</v>
      </c>
      <c r="G124" s="12" t="s">
        <v>596</v>
      </c>
      <c r="H124" s="12" t="s">
        <v>596</v>
      </c>
      <c r="I124" s="12" t="s">
        <v>596</v>
      </c>
      <c r="J124" s="12" t="s">
        <v>596</v>
      </c>
      <c r="K124" s="12" t="s">
        <v>596</v>
      </c>
      <c r="L124" s="12" t="s">
        <v>596</v>
      </c>
      <c r="M124" s="12" t="s">
        <v>596</v>
      </c>
      <c r="N124" s="12" t="s">
        <v>596</v>
      </c>
      <c r="O124" s="12" t="s">
        <v>596</v>
      </c>
      <c r="P124" s="12" t="s">
        <v>596</v>
      </c>
      <c r="Q124" s="12" t="s">
        <v>596</v>
      </c>
      <c r="R124" s="12" t="s">
        <v>596</v>
      </c>
      <c r="S124" s="12" t="s">
        <v>596</v>
      </c>
      <c r="T124" s="12" t="s">
        <v>596</v>
      </c>
      <c r="U124" s="12" t="s">
        <v>596</v>
      </c>
      <c r="V124" s="12" t="s">
        <v>596</v>
      </c>
      <c r="W124" s="12" t="s">
        <v>596</v>
      </c>
      <c r="X124" s="12" t="s">
        <v>596</v>
      </c>
      <c r="Y124" s="12" t="s">
        <v>596</v>
      </c>
      <c r="Z124" s="12" t="s">
        <v>596</v>
      </c>
      <c r="AA124" s="12" t="s">
        <v>596</v>
      </c>
      <c r="AB124" s="12" t="s">
        <v>596</v>
      </c>
      <c r="AC124" s="12" t="s">
        <v>596</v>
      </c>
      <c r="AD124" s="12" t="s">
        <v>596</v>
      </c>
      <c r="AE124" s="12" t="s">
        <v>596</v>
      </c>
      <c r="AF124" s="12" t="s">
        <v>596</v>
      </c>
      <c r="AG124" s="12" t="s">
        <v>596</v>
      </c>
      <c r="AH124" s="12" t="s">
        <v>596</v>
      </c>
      <c r="AI124" s="12" t="s">
        <v>596</v>
      </c>
      <c r="AJ124" s="12" t="s">
        <v>596</v>
      </c>
      <c r="AK124" s="12" t="s">
        <v>596</v>
      </c>
      <c r="AL124" s="12" t="s">
        <v>596</v>
      </c>
      <c r="AM124" s="12" t="s">
        <v>596</v>
      </c>
      <c r="AN124" s="12" t="s">
        <v>596</v>
      </c>
      <c r="AO124" s="12" t="s">
        <v>596</v>
      </c>
      <c r="AP124" s="12" t="s">
        <v>596</v>
      </c>
      <c r="AQ124" s="12" t="s">
        <v>596</v>
      </c>
      <c r="AR124" s="12" t="s">
        <v>596</v>
      </c>
      <c r="AS124" s="12" t="s">
        <v>596</v>
      </c>
      <c r="AT124" s="12" t="s">
        <v>596</v>
      </c>
      <c r="AU124" s="12" t="s">
        <v>596</v>
      </c>
      <c r="AV124" s="12" t="s">
        <v>596</v>
      </c>
      <c r="AW124" s="12" t="s">
        <v>596</v>
      </c>
      <c r="AX124" s="12" t="s">
        <v>596</v>
      </c>
      <c r="AY124" s="12" t="s">
        <v>596</v>
      </c>
      <c r="AZ124" s="12" t="s">
        <v>596</v>
      </c>
      <c r="BA124" s="12" t="s">
        <v>596</v>
      </c>
      <c r="BB124" s="12" t="s">
        <v>596</v>
      </c>
      <c r="BC124" s="12" t="s">
        <v>596</v>
      </c>
      <c r="BD124" s="12" t="s">
        <v>596</v>
      </c>
      <c r="BE124" s="12" t="s">
        <v>690</v>
      </c>
      <c r="BF124" s="12" t="s">
        <v>869</v>
      </c>
      <c r="BG124" s="12" t="s">
        <v>869</v>
      </c>
      <c r="BH124" s="12" t="s">
        <v>600</v>
      </c>
      <c r="BI124" s="12" t="s">
        <v>600</v>
      </c>
      <c r="BJ124" s="12" t="s">
        <v>601</v>
      </c>
      <c r="BK124" s="12" t="s">
        <v>602</v>
      </c>
      <c r="BL124" s="12" t="s">
        <v>692</v>
      </c>
      <c r="BM124" s="12" t="s">
        <v>644</v>
      </c>
      <c r="BN124" s="12" t="s">
        <v>931</v>
      </c>
      <c r="BO124" s="12" t="s">
        <v>737</v>
      </c>
      <c r="BP124" s="12" t="s">
        <v>876</v>
      </c>
      <c r="BQ124" s="12" t="s">
        <v>1279</v>
      </c>
      <c r="BR124" s="12" t="s">
        <v>1375</v>
      </c>
      <c r="BS124" s="12" t="s">
        <v>2031</v>
      </c>
      <c r="BT124" s="12" t="s">
        <v>1203</v>
      </c>
      <c r="BU124" s="12" t="s">
        <v>1203</v>
      </c>
      <c r="BV124" s="12" t="s">
        <v>2107</v>
      </c>
      <c r="BW124" s="12" t="s">
        <v>1002</v>
      </c>
      <c r="BX124" s="12" t="s">
        <v>2533</v>
      </c>
      <c r="BY124" s="12" t="s">
        <v>1004</v>
      </c>
      <c r="BZ124" s="12" t="s">
        <v>1004</v>
      </c>
      <c r="CA124" s="12" t="s">
        <v>1144</v>
      </c>
      <c r="CB124" s="12" t="s">
        <v>1144</v>
      </c>
      <c r="CC124" s="12" t="s">
        <v>975</v>
      </c>
      <c r="CD124" s="12" t="s">
        <v>1626</v>
      </c>
      <c r="CE124" s="12" t="s">
        <v>1860</v>
      </c>
      <c r="CF124" s="12" t="s">
        <v>1860</v>
      </c>
      <c r="CG124" s="12" t="s">
        <v>1685</v>
      </c>
      <c r="CH124" s="12" t="s">
        <v>1725</v>
      </c>
      <c r="CI124" s="12" t="s">
        <v>1725</v>
      </c>
      <c r="CJ124" s="12" t="s">
        <v>2007</v>
      </c>
      <c r="CK124" s="12" t="s">
        <v>2007</v>
      </c>
      <c r="CL124" s="12" t="s">
        <v>1118</v>
      </c>
      <c r="CM124" s="12" t="s">
        <v>1118</v>
      </c>
      <c r="CN124" s="12" t="s">
        <v>2644</v>
      </c>
      <c r="CO124" s="12" t="s">
        <v>2645</v>
      </c>
      <c r="CP124" s="12" t="s">
        <v>2645</v>
      </c>
      <c r="CQ124" s="12" t="s">
        <v>2645</v>
      </c>
      <c r="CR124" s="12" t="s">
        <v>2646</v>
      </c>
      <c r="CS124" s="12" t="s">
        <v>2646</v>
      </c>
      <c r="CT124" s="12" t="s">
        <v>636</v>
      </c>
    </row>
    <row r="125" spans="1:98" hidden="1" x14ac:dyDescent="0.3">
      <c r="A125" s="12" t="s">
        <v>25</v>
      </c>
      <c r="B125" s="12" t="s">
        <v>2647</v>
      </c>
      <c r="C125" s="12" t="s">
        <v>2648</v>
      </c>
      <c r="D125" s="12" t="s">
        <v>2649</v>
      </c>
      <c r="E125" s="12" t="s">
        <v>596</v>
      </c>
      <c r="F125" s="12" t="s">
        <v>596</v>
      </c>
      <c r="G125" s="12" t="s">
        <v>596</v>
      </c>
      <c r="H125" s="12" t="s">
        <v>596</v>
      </c>
      <c r="I125" s="12" t="s">
        <v>596</v>
      </c>
      <c r="J125" s="12" t="s">
        <v>596</v>
      </c>
      <c r="K125" s="12" t="s">
        <v>596</v>
      </c>
      <c r="L125" s="12" t="s">
        <v>596</v>
      </c>
      <c r="M125" s="12" t="s">
        <v>596</v>
      </c>
      <c r="N125" s="12" t="s">
        <v>596</v>
      </c>
      <c r="O125" s="12" t="s">
        <v>596</v>
      </c>
      <c r="P125" s="12" t="s">
        <v>596</v>
      </c>
      <c r="Q125" s="12" t="s">
        <v>596</v>
      </c>
      <c r="R125" s="12" t="s">
        <v>596</v>
      </c>
      <c r="S125" s="12" t="s">
        <v>596</v>
      </c>
      <c r="T125" s="12" t="s">
        <v>596</v>
      </c>
      <c r="U125" s="12" t="s">
        <v>596</v>
      </c>
      <c r="V125" s="12" t="s">
        <v>596</v>
      </c>
      <c r="W125" s="12" t="s">
        <v>596</v>
      </c>
      <c r="X125" s="12" t="s">
        <v>596</v>
      </c>
      <c r="Y125" s="12" t="s">
        <v>596</v>
      </c>
      <c r="Z125" s="12" t="s">
        <v>596</v>
      </c>
      <c r="AA125" s="12" t="s">
        <v>596</v>
      </c>
      <c r="AB125" s="12" t="s">
        <v>596</v>
      </c>
      <c r="AC125" s="12" t="s">
        <v>596</v>
      </c>
      <c r="AD125" s="12" t="s">
        <v>596</v>
      </c>
      <c r="AE125" s="12" t="s">
        <v>596</v>
      </c>
      <c r="AF125" s="12" t="s">
        <v>596</v>
      </c>
      <c r="AG125" s="12" t="s">
        <v>596</v>
      </c>
      <c r="AH125" s="12" t="s">
        <v>596</v>
      </c>
      <c r="AI125" s="12" t="s">
        <v>596</v>
      </c>
      <c r="AJ125" s="12" t="s">
        <v>596</v>
      </c>
      <c r="AK125" s="12" t="s">
        <v>596</v>
      </c>
      <c r="AL125" s="12" t="s">
        <v>596</v>
      </c>
      <c r="AM125" s="12" t="s">
        <v>596</v>
      </c>
      <c r="AN125" s="12" t="s">
        <v>597</v>
      </c>
      <c r="AO125" s="12" t="s">
        <v>690</v>
      </c>
      <c r="AP125" s="12" t="s">
        <v>598</v>
      </c>
      <c r="AQ125" s="12" t="s">
        <v>598</v>
      </c>
      <c r="AR125" s="12" t="s">
        <v>600</v>
      </c>
      <c r="AS125" s="12" t="s">
        <v>600</v>
      </c>
      <c r="AT125" s="12" t="s">
        <v>600</v>
      </c>
      <c r="AU125" s="12" t="s">
        <v>779</v>
      </c>
      <c r="AV125" s="12" t="s">
        <v>784</v>
      </c>
      <c r="AW125" s="12" t="s">
        <v>786</v>
      </c>
      <c r="AX125" s="12" t="s">
        <v>936</v>
      </c>
      <c r="AY125" s="12" t="s">
        <v>1138</v>
      </c>
      <c r="AZ125" s="12" t="s">
        <v>1138</v>
      </c>
      <c r="BA125" s="12" t="s">
        <v>654</v>
      </c>
      <c r="BB125" s="12" t="s">
        <v>878</v>
      </c>
      <c r="BC125" s="12" t="s">
        <v>878</v>
      </c>
      <c r="BD125" s="12" t="s">
        <v>1856</v>
      </c>
      <c r="BE125" s="12" t="s">
        <v>1145</v>
      </c>
      <c r="BF125" s="12" t="s">
        <v>1383</v>
      </c>
      <c r="BG125" s="12" t="s">
        <v>1383</v>
      </c>
      <c r="BH125" s="12" t="s">
        <v>795</v>
      </c>
      <c r="BI125" s="12" t="s">
        <v>1715</v>
      </c>
      <c r="BJ125" s="12" t="s">
        <v>1715</v>
      </c>
      <c r="BK125" s="12" t="s">
        <v>1053</v>
      </c>
      <c r="BL125" s="12" t="s">
        <v>1687</v>
      </c>
      <c r="BM125" s="12" t="s">
        <v>1304</v>
      </c>
      <c r="BN125" s="12" t="s">
        <v>2252</v>
      </c>
      <c r="BO125" s="12" t="s">
        <v>948</v>
      </c>
      <c r="BP125" s="12" t="s">
        <v>1018</v>
      </c>
      <c r="BQ125" s="12" t="s">
        <v>1873</v>
      </c>
      <c r="BR125" s="12" t="s">
        <v>2650</v>
      </c>
      <c r="BS125" s="12" t="s">
        <v>2651</v>
      </c>
      <c r="BT125" s="12" t="s">
        <v>2652</v>
      </c>
      <c r="BU125" s="12" t="s">
        <v>1027</v>
      </c>
      <c r="BV125" s="12" t="s">
        <v>2653</v>
      </c>
      <c r="BW125" s="12" t="s">
        <v>1799</v>
      </c>
      <c r="BX125" s="12" t="s">
        <v>1817</v>
      </c>
      <c r="BY125" s="12" t="s">
        <v>2654</v>
      </c>
      <c r="BZ125" s="12" t="s">
        <v>2655</v>
      </c>
      <c r="CA125" s="12" t="s">
        <v>2656</v>
      </c>
      <c r="CB125" s="12" t="s">
        <v>2657</v>
      </c>
      <c r="CC125" s="12" t="s">
        <v>2225</v>
      </c>
      <c r="CD125" s="12" t="s">
        <v>2658</v>
      </c>
      <c r="CE125" s="12" t="s">
        <v>2659</v>
      </c>
      <c r="CF125" s="12" t="s">
        <v>2660</v>
      </c>
      <c r="CG125" s="12" t="s">
        <v>2661</v>
      </c>
      <c r="CH125" s="12" t="s">
        <v>2662</v>
      </c>
      <c r="CI125" s="12" t="s">
        <v>2663</v>
      </c>
      <c r="CJ125" s="12" t="s">
        <v>2664</v>
      </c>
      <c r="CK125" s="12" t="s">
        <v>2665</v>
      </c>
      <c r="CL125" s="12" t="s">
        <v>2666</v>
      </c>
      <c r="CM125" s="12" t="s">
        <v>2667</v>
      </c>
      <c r="CN125" s="12" t="s">
        <v>2668</v>
      </c>
      <c r="CO125" s="12" t="s">
        <v>2668</v>
      </c>
      <c r="CP125" s="12" t="s">
        <v>2669</v>
      </c>
      <c r="CQ125" s="12" t="s">
        <v>2670</v>
      </c>
      <c r="CR125" s="12" t="s">
        <v>2671</v>
      </c>
      <c r="CS125" s="12" t="s">
        <v>2672</v>
      </c>
      <c r="CT125" s="12" t="s">
        <v>2673</v>
      </c>
    </row>
    <row r="126" spans="1:98" hidden="1" x14ac:dyDescent="0.3">
      <c r="A126" s="12" t="s">
        <v>25</v>
      </c>
      <c r="B126" s="12" t="s">
        <v>2674</v>
      </c>
      <c r="C126" s="12" t="s">
        <v>2675</v>
      </c>
      <c r="D126" s="12" t="s">
        <v>2676</v>
      </c>
      <c r="E126" s="12" t="s">
        <v>596</v>
      </c>
      <c r="F126" s="12" t="s">
        <v>596</v>
      </c>
      <c r="G126" s="12" t="s">
        <v>596</v>
      </c>
      <c r="H126" s="12" t="s">
        <v>596</v>
      </c>
      <c r="I126" s="12" t="s">
        <v>596</v>
      </c>
      <c r="J126" s="12" t="s">
        <v>596</v>
      </c>
      <c r="K126" s="12" t="s">
        <v>596</v>
      </c>
      <c r="L126" s="12" t="s">
        <v>596</v>
      </c>
      <c r="M126" s="12" t="s">
        <v>596</v>
      </c>
      <c r="N126" s="12" t="s">
        <v>596</v>
      </c>
      <c r="O126" s="12" t="s">
        <v>596</v>
      </c>
      <c r="P126" s="12" t="s">
        <v>596</v>
      </c>
      <c r="Q126" s="12" t="s">
        <v>596</v>
      </c>
      <c r="R126" s="12" t="s">
        <v>596</v>
      </c>
      <c r="S126" s="12" t="s">
        <v>596</v>
      </c>
      <c r="T126" s="12" t="s">
        <v>596</v>
      </c>
      <c r="U126" s="12" t="s">
        <v>596</v>
      </c>
      <c r="V126" s="12" t="s">
        <v>596</v>
      </c>
      <c r="W126" s="12" t="s">
        <v>596</v>
      </c>
      <c r="X126" s="12" t="s">
        <v>596</v>
      </c>
      <c r="Y126" s="12" t="s">
        <v>596</v>
      </c>
      <c r="Z126" s="12" t="s">
        <v>596</v>
      </c>
      <c r="AA126" s="12" t="s">
        <v>596</v>
      </c>
      <c r="AB126" s="12" t="s">
        <v>596</v>
      </c>
      <c r="AC126" s="12" t="s">
        <v>596</v>
      </c>
      <c r="AD126" s="12" t="s">
        <v>596</v>
      </c>
      <c r="AE126" s="12" t="s">
        <v>596</v>
      </c>
      <c r="AF126" s="12" t="s">
        <v>596</v>
      </c>
      <c r="AG126" s="12" t="s">
        <v>596</v>
      </c>
      <c r="AH126" s="12" t="s">
        <v>596</v>
      </c>
      <c r="AI126" s="12" t="s">
        <v>596</v>
      </c>
      <c r="AJ126" s="12" t="s">
        <v>596</v>
      </c>
      <c r="AK126" s="12" t="s">
        <v>596</v>
      </c>
      <c r="AL126" s="12" t="s">
        <v>596</v>
      </c>
      <c r="AM126" s="12" t="s">
        <v>596</v>
      </c>
      <c r="AN126" s="12" t="s">
        <v>596</v>
      </c>
      <c r="AO126" s="12" t="s">
        <v>596</v>
      </c>
      <c r="AP126" s="12" t="s">
        <v>596</v>
      </c>
      <c r="AQ126" s="12" t="s">
        <v>596</v>
      </c>
      <c r="AR126" s="12" t="s">
        <v>596</v>
      </c>
      <c r="AS126" s="12" t="s">
        <v>596</v>
      </c>
      <c r="AT126" s="12" t="s">
        <v>596</v>
      </c>
      <c r="AU126" s="12" t="s">
        <v>596</v>
      </c>
      <c r="AV126" s="12" t="s">
        <v>596</v>
      </c>
      <c r="AW126" s="12" t="s">
        <v>596</v>
      </c>
      <c r="AX126" s="12" t="s">
        <v>596</v>
      </c>
      <c r="AY126" s="12" t="s">
        <v>596</v>
      </c>
      <c r="AZ126" s="12" t="s">
        <v>596</v>
      </c>
      <c r="BA126" s="12" t="s">
        <v>596</v>
      </c>
      <c r="BB126" s="12" t="s">
        <v>596</v>
      </c>
      <c r="BC126" s="12" t="s">
        <v>596</v>
      </c>
      <c r="BD126" s="12" t="s">
        <v>596</v>
      </c>
      <c r="BE126" s="12" t="s">
        <v>597</v>
      </c>
      <c r="BF126" s="12" t="s">
        <v>597</v>
      </c>
      <c r="BG126" s="12" t="s">
        <v>641</v>
      </c>
      <c r="BH126" s="12" t="s">
        <v>869</v>
      </c>
      <c r="BI126" s="12" t="s">
        <v>869</v>
      </c>
      <c r="BJ126" s="12" t="s">
        <v>779</v>
      </c>
      <c r="BK126" s="12" t="s">
        <v>643</v>
      </c>
      <c r="BL126" s="12" t="s">
        <v>691</v>
      </c>
      <c r="BM126" s="12" t="s">
        <v>692</v>
      </c>
      <c r="BN126" s="12" t="s">
        <v>693</v>
      </c>
      <c r="BO126" s="12" t="s">
        <v>603</v>
      </c>
      <c r="BP126" s="12" t="s">
        <v>605</v>
      </c>
      <c r="BQ126" s="12" t="s">
        <v>775</v>
      </c>
      <c r="BR126" s="12" t="s">
        <v>887</v>
      </c>
      <c r="BS126" s="12" t="s">
        <v>785</v>
      </c>
      <c r="BT126" s="12" t="s">
        <v>785</v>
      </c>
      <c r="BU126" s="12" t="s">
        <v>989</v>
      </c>
      <c r="BV126" s="12" t="s">
        <v>646</v>
      </c>
      <c r="BW126" s="12" t="s">
        <v>736</v>
      </c>
      <c r="BX126" s="12" t="s">
        <v>990</v>
      </c>
      <c r="BY126" s="12" t="s">
        <v>972</v>
      </c>
      <c r="BZ126" s="12" t="s">
        <v>937</v>
      </c>
      <c r="CA126" s="12" t="s">
        <v>937</v>
      </c>
      <c r="CB126" s="12" t="s">
        <v>652</v>
      </c>
      <c r="CC126" s="12" t="s">
        <v>873</v>
      </c>
      <c r="CD126" s="12" t="s">
        <v>699</v>
      </c>
      <c r="CE126" s="12" t="s">
        <v>1143</v>
      </c>
      <c r="CF126" s="12" t="s">
        <v>1294</v>
      </c>
      <c r="CG126" s="12" t="s">
        <v>1375</v>
      </c>
      <c r="CH126" s="12" t="s">
        <v>1641</v>
      </c>
      <c r="CI126" s="12" t="s">
        <v>1621</v>
      </c>
      <c r="CJ126" s="12" t="s">
        <v>1505</v>
      </c>
      <c r="CK126" s="12" t="s">
        <v>1001</v>
      </c>
      <c r="CL126" s="12" t="s">
        <v>2155</v>
      </c>
      <c r="CM126" s="12" t="s">
        <v>1144</v>
      </c>
      <c r="CN126" s="12" t="s">
        <v>833</v>
      </c>
      <c r="CO126" s="12" t="s">
        <v>974</v>
      </c>
      <c r="CP126" s="12" t="s">
        <v>1625</v>
      </c>
      <c r="CQ126" s="12" t="s">
        <v>1757</v>
      </c>
      <c r="CR126" s="12" t="s">
        <v>1628</v>
      </c>
      <c r="CS126" s="12" t="s">
        <v>1416</v>
      </c>
      <c r="CT126" s="12" t="s">
        <v>2677</v>
      </c>
    </row>
    <row r="127" spans="1:98" hidden="1" x14ac:dyDescent="0.3">
      <c r="A127" s="12" t="s">
        <v>25</v>
      </c>
      <c r="B127" s="12" t="s">
        <v>2678</v>
      </c>
      <c r="C127" s="12" t="s">
        <v>2679</v>
      </c>
      <c r="D127" s="12" t="s">
        <v>2680</v>
      </c>
      <c r="E127" s="12" t="s">
        <v>596</v>
      </c>
      <c r="F127" s="12" t="s">
        <v>596</v>
      </c>
      <c r="G127" s="12" t="s">
        <v>596</v>
      </c>
      <c r="H127" s="12" t="s">
        <v>596</v>
      </c>
      <c r="I127" s="12" t="s">
        <v>596</v>
      </c>
      <c r="J127" s="12" t="s">
        <v>596</v>
      </c>
      <c r="K127" s="12" t="s">
        <v>596</v>
      </c>
      <c r="L127" s="12" t="s">
        <v>596</v>
      </c>
      <c r="M127" s="12" t="s">
        <v>596</v>
      </c>
      <c r="N127" s="12" t="s">
        <v>596</v>
      </c>
      <c r="O127" s="12" t="s">
        <v>596</v>
      </c>
      <c r="P127" s="12" t="s">
        <v>596</v>
      </c>
      <c r="Q127" s="12" t="s">
        <v>596</v>
      </c>
      <c r="R127" s="12" t="s">
        <v>596</v>
      </c>
      <c r="S127" s="12" t="s">
        <v>596</v>
      </c>
      <c r="T127" s="12" t="s">
        <v>596</v>
      </c>
      <c r="U127" s="12" t="s">
        <v>596</v>
      </c>
      <c r="V127" s="12" t="s">
        <v>596</v>
      </c>
      <c r="W127" s="12" t="s">
        <v>596</v>
      </c>
      <c r="X127" s="12" t="s">
        <v>596</v>
      </c>
      <c r="Y127" s="12" t="s">
        <v>596</v>
      </c>
      <c r="Z127" s="12" t="s">
        <v>596</v>
      </c>
      <c r="AA127" s="12" t="s">
        <v>596</v>
      </c>
      <c r="AB127" s="12" t="s">
        <v>596</v>
      </c>
      <c r="AC127" s="12" t="s">
        <v>596</v>
      </c>
      <c r="AD127" s="12" t="s">
        <v>596</v>
      </c>
      <c r="AE127" s="12" t="s">
        <v>596</v>
      </c>
      <c r="AF127" s="12" t="s">
        <v>596</v>
      </c>
      <c r="AG127" s="12" t="s">
        <v>596</v>
      </c>
      <c r="AH127" s="12" t="s">
        <v>596</v>
      </c>
      <c r="AI127" s="12" t="s">
        <v>596</v>
      </c>
      <c r="AJ127" s="12" t="s">
        <v>596</v>
      </c>
      <c r="AK127" s="12" t="s">
        <v>596</v>
      </c>
      <c r="AL127" s="12" t="s">
        <v>596</v>
      </c>
      <c r="AM127" s="12" t="s">
        <v>596</v>
      </c>
      <c r="AN127" s="12" t="s">
        <v>596</v>
      </c>
      <c r="AO127" s="12" t="s">
        <v>596</v>
      </c>
      <c r="AP127" s="12" t="s">
        <v>596</v>
      </c>
      <c r="AQ127" s="12" t="s">
        <v>596</v>
      </c>
      <c r="AR127" s="12" t="s">
        <v>596</v>
      </c>
      <c r="AS127" s="12" t="s">
        <v>596</v>
      </c>
      <c r="AT127" s="12" t="s">
        <v>596</v>
      </c>
      <c r="AU127" s="12" t="s">
        <v>596</v>
      </c>
      <c r="AV127" s="12" t="s">
        <v>596</v>
      </c>
      <c r="AW127" s="12" t="s">
        <v>596</v>
      </c>
      <c r="AX127" s="12" t="s">
        <v>596</v>
      </c>
      <c r="AY127" s="12" t="s">
        <v>596</v>
      </c>
      <c r="AZ127" s="12" t="s">
        <v>596</v>
      </c>
      <c r="BA127" s="12" t="s">
        <v>596</v>
      </c>
      <c r="BB127" s="12" t="s">
        <v>596</v>
      </c>
      <c r="BC127" s="12" t="s">
        <v>596</v>
      </c>
      <c r="BD127" s="12" t="s">
        <v>597</v>
      </c>
      <c r="BE127" s="12" t="s">
        <v>597</v>
      </c>
      <c r="BF127" s="12" t="s">
        <v>597</v>
      </c>
      <c r="BG127" s="12" t="s">
        <v>597</v>
      </c>
      <c r="BH127" s="12" t="s">
        <v>597</v>
      </c>
      <c r="BI127" s="12" t="s">
        <v>597</v>
      </c>
      <c r="BJ127" s="12" t="s">
        <v>597</v>
      </c>
      <c r="BK127" s="12" t="s">
        <v>597</v>
      </c>
      <c r="BL127" s="12" t="s">
        <v>641</v>
      </c>
      <c r="BM127" s="12" t="s">
        <v>641</v>
      </c>
      <c r="BN127" s="12" t="s">
        <v>598</v>
      </c>
      <c r="BO127" s="12" t="s">
        <v>598</v>
      </c>
      <c r="BP127" s="12" t="s">
        <v>598</v>
      </c>
      <c r="BQ127" s="12" t="s">
        <v>598</v>
      </c>
      <c r="BR127" s="12" t="s">
        <v>773</v>
      </c>
      <c r="BS127" s="12" t="s">
        <v>773</v>
      </c>
      <c r="BT127" s="12" t="s">
        <v>602</v>
      </c>
      <c r="BU127" s="12" t="s">
        <v>604</v>
      </c>
      <c r="BV127" s="12" t="s">
        <v>604</v>
      </c>
      <c r="BW127" s="12" t="s">
        <v>2036</v>
      </c>
      <c r="BX127" s="12" t="s">
        <v>827</v>
      </c>
      <c r="BY127" s="12" t="s">
        <v>1138</v>
      </c>
      <c r="BZ127" s="12" t="s">
        <v>997</v>
      </c>
      <c r="CA127" s="12" t="s">
        <v>1011</v>
      </c>
      <c r="CB127" s="12" t="s">
        <v>791</v>
      </c>
      <c r="CC127" s="12" t="s">
        <v>938</v>
      </c>
      <c r="CD127" s="12" t="s">
        <v>742</v>
      </c>
      <c r="CE127" s="12" t="s">
        <v>832</v>
      </c>
      <c r="CF127" s="12" t="s">
        <v>660</v>
      </c>
      <c r="CG127" s="12" t="s">
        <v>1508</v>
      </c>
      <c r="CH127" s="12" t="s">
        <v>1508</v>
      </c>
      <c r="CI127" s="12" t="s">
        <v>941</v>
      </c>
      <c r="CJ127" s="12" t="s">
        <v>2078</v>
      </c>
      <c r="CK127" s="12" t="s">
        <v>2080</v>
      </c>
      <c r="CL127" s="12" t="s">
        <v>985</v>
      </c>
      <c r="CM127" s="12" t="s">
        <v>2681</v>
      </c>
      <c r="CN127" s="12" t="s">
        <v>678</v>
      </c>
      <c r="CO127" s="12" t="s">
        <v>1303</v>
      </c>
      <c r="CP127" s="12" t="s">
        <v>2088</v>
      </c>
      <c r="CQ127" s="12" t="s">
        <v>1157</v>
      </c>
      <c r="CR127" s="12" t="s">
        <v>1924</v>
      </c>
      <c r="CS127" s="12" t="s">
        <v>1913</v>
      </c>
      <c r="CT127" s="12" t="s">
        <v>2127</v>
      </c>
    </row>
    <row r="128" spans="1:98" hidden="1" x14ac:dyDescent="0.3">
      <c r="A128" s="12" t="s">
        <v>25</v>
      </c>
      <c r="B128" s="12" t="s">
        <v>2682</v>
      </c>
      <c r="C128" s="12" t="s">
        <v>2683</v>
      </c>
      <c r="D128" s="12" t="s">
        <v>2684</v>
      </c>
      <c r="E128" s="12" t="s">
        <v>596</v>
      </c>
      <c r="F128" s="12" t="s">
        <v>596</v>
      </c>
      <c r="G128" s="12" t="s">
        <v>596</v>
      </c>
      <c r="H128" s="12" t="s">
        <v>596</v>
      </c>
      <c r="I128" s="12" t="s">
        <v>596</v>
      </c>
      <c r="J128" s="12" t="s">
        <v>596</v>
      </c>
      <c r="K128" s="12" t="s">
        <v>596</v>
      </c>
      <c r="L128" s="12" t="s">
        <v>596</v>
      </c>
      <c r="M128" s="12" t="s">
        <v>596</v>
      </c>
      <c r="N128" s="12" t="s">
        <v>596</v>
      </c>
      <c r="O128" s="12" t="s">
        <v>596</v>
      </c>
      <c r="P128" s="12" t="s">
        <v>596</v>
      </c>
      <c r="Q128" s="12" t="s">
        <v>596</v>
      </c>
      <c r="R128" s="12" t="s">
        <v>596</v>
      </c>
      <c r="S128" s="12" t="s">
        <v>596</v>
      </c>
      <c r="T128" s="12" t="s">
        <v>596</v>
      </c>
      <c r="U128" s="12" t="s">
        <v>596</v>
      </c>
      <c r="V128" s="12" t="s">
        <v>596</v>
      </c>
      <c r="W128" s="12" t="s">
        <v>596</v>
      </c>
      <c r="X128" s="12" t="s">
        <v>596</v>
      </c>
      <c r="Y128" s="12" t="s">
        <v>596</v>
      </c>
      <c r="Z128" s="12" t="s">
        <v>596</v>
      </c>
      <c r="AA128" s="12" t="s">
        <v>596</v>
      </c>
      <c r="AB128" s="12" t="s">
        <v>596</v>
      </c>
      <c r="AC128" s="12" t="s">
        <v>596</v>
      </c>
      <c r="AD128" s="12" t="s">
        <v>596</v>
      </c>
      <c r="AE128" s="12" t="s">
        <v>596</v>
      </c>
      <c r="AF128" s="12" t="s">
        <v>596</v>
      </c>
      <c r="AG128" s="12" t="s">
        <v>596</v>
      </c>
      <c r="AH128" s="12" t="s">
        <v>596</v>
      </c>
      <c r="AI128" s="12" t="s">
        <v>596</v>
      </c>
      <c r="AJ128" s="12" t="s">
        <v>596</v>
      </c>
      <c r="AK128" s="12" t="s">
        <v>596</v>
      </c>
      <c r="AL128" s="12" t="s">
        <v>596</v>
      </c>
      <c r="AM128" s="12" t="s">
        <v>596</v>
      </c>
      <c r="AN128" s="12" t="s">
        <v>596</v>
      </c>
      <c r="AO128" s="12" t="s">
        <v>596</v>
      </c>
      <c r="AP128" s="12" t="s">
        <v>596</v>
      </c>
      <c r="AQ128" s="12" t="s">
        <v>596</v>
      </c>
      <c r="AR128" s="12" t="s">
        <v>596</v>
      </c>
      <c r="AS128" s="12" t="s">
        <v>596</v>
      </c>
      <c r="AT128" s="12" t="s">
        <v>596</v>
      </c>
      <c r="AU128" s="12" t="s">
        <v>596</v>
      </c>
      <c r="AV128" s="12" t="s">
        <v>596</v>
      </c>
      <c r="AW128" s="12" t="s">
        <v>596</v>
      </c>
      <c r="AX128" s="12" t="s">
        <v>596</v>
      </c>
      <c r="AY128" s="12" t="s">
        <v>596</v>
      </c>
      <c r="AZ128" s="12" t="s">
        <v>596</v>
      </c>
      <c r="BA128" s="12" t="s">
        <v>596</v>
      </c>
      <c r="BB128" s="12" t="s">
        <v>596</v>
      </c>
      <c r="BC128" s="12" t="s">
        <v>597</v>
      </c>
      <c r="BD128" s="12" t="s">
        <v>597</v>
      </c>
      <c r="BE128" s="12" t="s">
        <v>597</v>
      </c>
      <c r="BF128" s="12" t="s">
        <v>598</v>
      </c>
      <c r="BG128" s="12" t="s">
        <v>598</v>
      </c>
      <c r="BH128" s="12" t="s">
        <v>600</v>
      </c>
      <c r="BI128" s="12" t="s">
        <v>600</v>
      </c>
      <c r="BJ128" s="12" t="s">
        <v>600</v>
      </c>
      <c r="BK128" s="12" t="s">
        <v>600</v>
      </c>
      <c r="BL128" s="12" t="s">
        <v>600</v>
      </c>
      <c r="BM128" s="12" t="s">
        <v>692</v>
      </c>
      <c r="BN128" s="12" t="s">
        <v>693</v>
      </c>
      <c r="BO128" s="12" t="s">
        <v>599</v>
      </c>
      <c r="BP128" s="12" t="s">
        <v>599</v>
      </c>
      <c r="BQ128" s="12" t="s">
        <v>599</v>
      </c>
      <c r="BR128" s="12" t="s">
        <v>599</v>
      </c>
      <c r="BS128" s="12" t="s">
        <v>773</v>
      </c>
      <c r="BT128" s="12" t="s">
        <v>773</v>
      </c>
      <c r="BU128" s="12" t="s">
        <v>773</v>
      </c>
      <c r="BV128" s="12" t="s">
        <v>643</v>
      </c>
      <c r="BW128" s="12" t="s">
        <v>692</v>
      </c>
      <c r="BX128" s="12" t="s">
        <v>692</v>
      </c>
      <c r="BY128" s="12" t="s">
        <v>644</v>
      </c>
      <c r="BZ128" s="12" t="s">
        <v>644</v>
      </c>
      <c r="CA128" s="12" t="s">
        <v>605</v>
      </c>
      <c r="CB128" s="12" t="s">
        <v>784</v>
      </c>
      <c r="CC128" s="12" t="s">
        <v>645</v>
      </c>
      <c r="CD128" s="12" t="s">
        <v>695</v>
      </c>
      <c r="CE128" s="12" t="s">
        <v>695</v>
      </c>
      <c r="CF128" s="12" t="s">
        <v>695</v>
      </c>
      <c r="CG128" s="12" t="s">
        <v>786</v>
      </c>
      <c r="CH128" s="12" t="s">
        <v>786</v>
      </c>
      <c r="CI128" s="12" t="s">
        <v>786</v>
      </c>
      <c r="CJ128" s="12" t="s">
        <v>990</v>
      </c>
      <c r="CK128" s="12" t="s">
        <v>649</v>
      </c>
      <c r="CL128" s="12" t="s">
        <v>649</v>
      </c>
      <c r="CM128" s="12" t="s">
        <v>1198</v>
      </c>
      <c r="CN128" s="12" t="s">
        <v>1198</v>
      </c>
      <c r="CO128" s="12" t="s">
        <v>888</v>
      </c>
      <c r="CP128" s="12" t="s">
        <v>888</v>
      </c>
      <c r="CQ128" s="12" t="s">
        <v>991</v>
      </c>
      <c r="CR128" s="12" t="s">
        <v>973</v>
      </c>
      <c r="CS128" s="12" t="s">
        <v>652</v>
      </c>
      <c r="CT128" s="12" t="s">
        <v>1138</v>
      </c>
    </row>
    <row r="129" spans="1:98" hidden="1" x14ac:dyDescent="0.3">
      <c r="A129" s="12" t="s">
        <v>25</v>
      </c>
      <c r="B129" s="12" t="s">
        <v>2685</v>
      </c>
      <c r="C129" s="12" t="s">
        <v>2686</v>
      </c>
      <c r="D129" s="12" t="s">
        <v>2687</v>
      </c>
      <c r="E129" s="12" t="s">
        <v>596</v>
      </c>
      <c r="F129" s="12" t="s">
        <v>596</v>
      </c>
      <c r="G129" s="12" t="s">
        <v>596</v>
      </c>
      <c r="H129" s="12" t="s">
        <v>596</v>
      </c>
      <c r="I129" s="12" t="s">
        <v>596</v>
      </c>
      <c r="J129" s="12" t="s">
        <v>596</v>
      </c>
      <c r="K129" s="12" t="s">
        <v>596</v>
      </c>
      <c r="L129" s="12" t="s">
        <v>596</v>
      </c>
      <c r="M129" s="12" t="s">
        <v>596</v>
      </c>
      <c r="N129" s="12" t="s">
        <v>596</v>
      </c>
      <c r="O129" s="12" t="s">
        <v>596</v>
      </c>
      <c r="P129" s="12" t="s">
        <v>596</v>
      </c>
      <c r="Q129" s="12" t="s">
        <v>596</v>
      </c>
      <c r="R129" s="12" t="s">
        <v>596</v>
      </c>
      <c r="S129" s="12" t="s">
        <v>596</v>
      </c>
      <c r="T129" s="12" t="s">
        <v>596</v>
      </c>
      <c r="U129" s="12" t="s">
        <v>596</v>
      </c>
      <c r="V129" s="12" t="s">
        <v>596</v>
      </c>
      <c r="W129" s="12" t="s">
        <v>596</v>
      </c>
      <c r="X129" s="12" t="s">
        <v>596</v>
      </c>
      <c r="Y129" s="12" t="s">
        <v>596</v>
      </c>
      <c r="Z129" s="12" t="s">
        <v>596</v>
      </c>
      <c r="AA129" s="12" t="s">
        <v>596</v>
      </c>
      <c r="AB129" s="12" t="s">
        <v>596</v>
      </c>
      <c r="AC129" s="12" t="s">
        <v>596</v>
      </c>
      <c r="AD129" s="12" t="s">
        <v>596</v>
      </c>
      <c r="AE129" s="12" t="s">
        <v>596</v>
      </c>
      <c r="AF129" s="12" t="s">
        <v>596</v>
      </c>
      <c r="AG129" s="12" t="s">
        <v>596</v>
      </c>
      <c r="AH129" s="12" t="s">
        <v>596</v>
      </c>
      <c r="AI129" s="12" t="s">
        <v>596</v>
      </c>
      <c r="AJ129" s="12" t="s">
        <v>596</v>
      </c>
      <c r="AK129" s="12" t="s">
        <v>596</v>
      </c>
      <c r="AL129" s="12" t="s">
        <v>596</v>
      </c>
      <c r="AM129" s="12" t="s">
        <v>596</v>
      </c>
      <c r="AN129" s="12" t="s">
        <v>596</v>
      </c>
      <c r="AO129" s="12" t="s">
        <v>596</v>
      </c>
      <c r="AP129" s="12" t="s">
        <v>596</v>
      </c>
      <c r="AQ129" s="12" t="s">
        <v>596</v>
      </c>
      <c r="AR129" s="12" t="s">
        <v>596</v>
      </c>
      <c r="AS129" s="12" t="s">
        <v>596</v>
      </c>
      <c r="AT129" s="12" t="s">
        <v>596</v>
      </c>
      <c r="AU129" s="12" t="s">
        <v>596</v>
      </c>
      <c r="AV129" s="12" t="s">
        <v>596</v>
      </c>
      <c r="AW129" s="12" t="s">
        <v>596</v>
      </c>
      <c r="AX129" s="12" t="s">
        <v>596</v>
      </c>
      <c r="AY129" s="12" t="s">
        <v>596</v>
      </c>
      <c r="AZ129" s="12" t="s">
        <v>596</v>
      </c>
      <c r="BA129" s="12" t="s">
        <v>596</v>
      </c>
      <c r="BB129" s="12" t="s">
        <v>596</v>
      </c>
      <c r="BC129" s="12" t="s">
        <v>596</v>
      </c>
      <c r="BD129" s="12" t="s">
        <v>596</v>
      </c>
      <c r="BE129" s="12" t="s">
        <v>596</v>
      </c>
      <c r="BF129" s="12" t="s">
        <v>596</v>
      </c>
      <c r="BG129" s="12" t="s">
        <v>596</v>
      </c>
      <c r="BH129" s="12" t="s">
        <v>596</v>
      </c>
      <c r="BI129" s="12" t="s">
        <v>596</v>
      </c>
      <c r="BJ129" s="12" t="s">
        <v>596</v>
      </c>
      <c r="BK129" s="12" t="s">
        <v>641</v>
      </c>
      <c r="BL129" s="12" t="s">
        <v>641</v>
      </c>
      <c r="BM129" s="12" t="s">
        <v>641</v>
      </c>
      <c r="BN129" s="12" t="s">
        <v>869</v>
      </c>
      <c r="BO129" s="12" t="s">
        <v>600</v>
      </c>
      <c r="BP129" s="12" t="s">
        <v>773</v>
      </c>
      <c r="BQ129" s="12" t="s">
        <v>773</v>
      </c>
      <c r="BR129" s="12" t="s">
        <v>773</v>
      </c>
      <c r="BS129" s="12" t="s">
        <v>773</v>
      </c>
      <c r="BT129" s="12" t="s">
        <v>780</v>
      </c>
      <c r="BU129" s="12" t="s">
        <v>780</v>
      </c>
      <c r="BV129" s="12" t="s">
        <v>780</v>
      </c>
      <c r="BW129" s="12" t="s">
        <v>602</v>
      </c>
      <c r="BX129" s="12" t="s">
        <v>602</v>
      </c>
      <c r="BY129" s="12" t="s">
        <v>826</v>
      </c>
      <c r="BZ129" s="12" t="s">
        <v>693</v>
      </c>
      <c r="CA129" s="12" t="s">
        <v>603</v>
      </c>
      <c r="CB129" s="12" t="s">
        <v>605</v>
      </c>
      <c r="CC129" s="12" t="s">
        <v>775</v>
      </c>
      <c r="CD129" s="12" t="s">
        <v>931</v>
      </c>
      <c r="CE129" s="12" t="s">
        <v>2036</v>
      </c>
      <c r="CF129" s="12" t="s">
        <v>784</v>
      </c>
      <c r="CG129" s="12" t="s">
        <v>645</v>
      </c>
      <c r="CH129" s="12" t="s">
        <v>645</v>
      </c>
      <c r="CI129" s="12" t="s">
        <v>606</v>
      </c>
      <c r="CJ129" s="12" t="s">
        <v>606</v>
      </c>
      <c r="CK129" s="12" t="s">
        <v>1064</v>
      </c>
      <c r="CL129" s="12" t="s">
        <v>1064</v>
      </c>
      <c r="CM129" s="12" t="s">
        <v>1277</v>
      </c>
      <c r="CN129" s="12" t="s">
        <v>1114</v>
      </c>
      <c r="CO129" s="12" t="s">
        <v>990</v>
      </c>
      <c r="CP129" s="12" t="s">
        <v>1010</v>
      </c>
      <c r="CQ129" s="12" t="s">
        <v>1010</v>
      </c>
      <c r="CR129" s="12" t="s">
        <v>871</v>
      </c>
      <c r="CS129" s="12" t="s">
        <v>993</v>
      </c>
      <c r="CT129" s="12" t="s">
        <v>993</v>
      </c>
    </row>
    <row r="130" spans="1:98" hidden="1" x14ac:dyDescent="0.3">
      <c r="A130" s="12" t="s">
        <v>25</v>
      </c>
      <c r="B130" s="12" t="s">
        <v>2688</v>
      </c>
      <c r="C130" s="12" t="s">
        <v>2689</v>
      </c>
      <c r="D130" s="12" t="s">
        <v>2690</v>
      </c>
      <c r="E130" s="12" t="s">
        <v>596</v>
      </c>
      <c r="F130" s="12" t="s">
        <v>596</v>
      </c>
      <c r="G130" s="12" t="s">
        <v>596</v>
      </c>
      <c r="H130" s="12" t="s">
        <v>596</v>
      </c>
      <c r="I130" s="12" t="s">
        <v>596</v>
      </c>
      <c r="J130" s="12" t="s">
        <v>596</v>
      </c>
      <c r="K130" s="12" t="s">
        <v>596</v>
      </c>
      <c r="L130" s="12" t="s">
        <v>596</v>
      </c>
      <c r="M130" s="12" t="s">
        <v>596</v>
      </c>
      <c r="N130" s="12" t="s">
        <v>596</v>
      </c>
      <c r="O130" s="12" t="s">
        <v>596</v>
      </c>
      <c r="P130" s="12" t="s">
        <v>596</v>
      </c>
      <c r="Q130" s="12" t="s">
        <v>596</v>
      </c>
      <c r="R130" s="12" t="s">
        <v>596</v>
      </c>
      <c r="S130" s="12" t="s">
        <v>596</v>
      </c>
      <c r="T130" s="12" t="s">
        <v>596</v>
      </c>
      <c r="U130" s="12" t="s">
        <v>596</v>
      </c>
      <c r="V130" s="12" t="s">
        <v>596</v>
      </c>
      <c r="W130" s="12" t="s">
        <v>596</v>
      </c>
      <c r="X130" s="12" t="s">
        <v>596</v>
      </c>
      <c r="Y130" s="12" t="s">
        <v>596</v>
      </c>
      <c r="Z130" s="12" t="s">
        <v>596</v>
      </c>
      <c r="AA130" s="12" t="s">
        <v>596</v>
      </c>
      <c r="AB130" s="12" t="s">
        <v>596</v>
      </c>
      <c r="AC130" s="12" t="s">
        <v>596</v>
      </c>
      <c r="AD130" s="12" t="s">
        <v>596</v>
      </c>
      <c r="AE130" s="12" t="s">
        <v>596</v>
      </c>
      <c r="AF130" s="12" t="s">
        <v>596</v>
      </c>
      <c r="AG130" s="12" t="s">
        <v>596</v>
      </c>
      <c r="AH130" s="12" t="s">
        <v>596</v>
      </c>
      <c r="AI130" s="12" t="s">
        <v>596</v>
      </c>
      <c r="AJ130" s="12" t="s">
        <v>596</v>
      </c>
      <c r="AK130" s="12" t="s">
        <v>596</v>
      </c>
      <c r="AL130" s="12" t="s">
        <v>596</v>
      </c>
      <c r="AM130" s="12" t="s">
        <v>596</v>
      </c>
      <c r="AN130" s="12" t="s">
        <v>596</v>
      </c>
      <c r="AO130" s="12" t="s">
        <v>596</v>
      </c>
      <c r="AP130" s="12" t="s">
        <v>596</v>
      </c>
      <c r="AQ130" s="12" t="s">
        <v>596</v>
      </c>
      <c r="AR130" s="12" t="s">
        <v>596</v>
      </c>
      <c r="AS130" s="12" t="s">
        <v>596</v>
      </c>
      <c r="AT130" s="12" t="s">
        <v>596</v>
      </c>
      <c r="AU130" s="12" t="s">
        <v>596</v>
      </c>
      <c r="AV130" s="12" t="s">
        <v>596</v>
      </c>
      <c r="AW130" s="12" t="s">
        <v>597</v>
      </c>
      <c r="AX130" s="12" t="s">
        <v>597</v>
      </c>
      <c r="AY130" s="12" t="s">
        <v>597</v>
      </c>
      <c r="AZ130" s="12" t="s">
        <v>597</v>
      </c>
      <c r="BA130" s="12" t="s">
        <v>597</v>
      </c>
      <c r="BB130" s="12" t="s">
        <v>597</v>
      </c>
      <c r="BC130" s="12" t="s">
        <v>597</v>
      </c>
      <c r="BD130" s="12" t="s">
        <v>597</v>
      </c>
      <c r="BE130" s="12" t="s">
        <v>597</v>
      </c>
      <c r="BF130" s="12" t="s">
        <v>597</v>
      </c>
      <c r="BG130" s="12" t="s">
        <v>597</v>
      </c>
      <c r="BH130" s="12" t="s">
        <v>597</v>
      </c>
      <c r="BI130" s="12" t="s">
        <v>597</v>
      </c>
      <c r="BJ130" s="12" t="s">
        <v>597</v>
      </c>
      <c r="BK130" s="12" t="s">
        <v>597</v>
      </c>
      <c r="BL130" s="12" t="s">
        <v>597</v>
      </c>
      <c r="BM130" s="12" t="s">
        <v>597</v>
      </c>
      <c r="BN130" s="12" t="s">
        <v>597</v>
      </c>
      <c r="BO130" s="12" t="s">
        <v>598</v>
      </c>
      <c r="BP130" s="12" t="s">
        <v>598</v>
      </c>
      <c r="BQ130" s="12" t="s">
        <v>598</v>
      </c>
      <c r="BR130" s="12" t="s">
        <v>598</v>
      </c>
      <c r="BS130" s="12" t="s">
        <v>869</v>
      </c>
      <c r="BT130" s="12" t="s">
        <v>869</v>
      </c>
      <c r="BU130" s="12" t="s">
        <v>869</v>
      </c>
      <c r="BV130" s="12" t="s">
        <v>869</v>
      </c>
      <c r="BW130" s="12" t="s">
        <v>869</v>
      </c>
      <c r="BX130" s="12" t="s">
        <v>600</v>
      </c>
      <c r="BY130" s="12" t="s">
        <v>600</v>
      </c>
      <c r="BZ130" s="12" t="s">
        <v>600</v>
      </c>
      <c r="CA130" s="12" t="s">
        <v>600</v>
      </c>
      <c r="CB130" s="12" t="s">
        <v>600</v>
      </c>
      <c r="CC130" s="12" t="s">
        <v>600</v>
      </c>
      <c r="CD130" s="12" t="s">
        <v>773</v>
      </c>
      <c r="CE130" s="12" t="s">
        <v>773</v>
      </c>
      <c r="CF130" s="12" t="s">
        <v>773</v>
      </c>
      <c r="CG130" s="12" t="s">
        <v>773</v>
      </c>
      <c r="CH130" s="12" t="s">
        <v>773</v>
      </c>
      <c r="CI130" s="12" t="s">
        <v>773</v>
      </c>
      <c r="CJ130" s="12" t="s">
        <v>773</v>
      </c>
      <c r="CK130" s="12" t="s">
        <v>773</v>
      </c>
      <c r="CL130" s="12" t="s">
        <v>773</v>
      </c>
      <c r="CM130" s="12" t="s">
        <v>773</v>
      </c>
      <c r="CN130" s="12" t="s">
        <v>773</v>
      </c>
      <c r="CO130" s="12" t="s">
        <v>773</v>
      </c>
      <c r="CP130" s="12" t="s">
        <v>779</v>
      </c>
      <c r="CQ130" s="12" t="s">
        <v>779</v>
      </c>
      <c r="CR130" s="12" t="s">
        <v>779</v>
      </c>
      <c r="CS130" s="12" t="s">
        <v>779</v>
      </c>
      <c r="CT130" s="12" t="s">
        <v>779</v>
      </c>
    </row>
    <row r="131" spans="1:98" hidden="1" x14ac:dyDescent="0.3">
      <c r="A131" s="12" t="s">
        <v>25</v>
      </c>
      <c r="B131" s="12" t="s">
        <v>2691</v>
      </c>
      <c r="C131" s="12" t="s">
        <v>2206</v>
      </c>
      <c r="D131" s="12" t="s">
        <v>2692</v>
      </c>
      <c r="E131" s="12" t="s">
        <v>596</v>
      </c>
      <c r="F131" s="12" t="s">
        <v>596</v>
      </c>
      <c r="G131" s="12" t="s">
        <v>596</v>
      </c>
      <c r="H131" s="12" t="s">
        <v>596</v>
      </c>
      <c r="I131" s="12" t="s">
        <v>596</v>
      </c>
      <c r="J131" s="12" t="s">
        <v>596</v>
      </c>
      <c r="K131" s="12" t="s">
        <v>596</v>
      </c>
      <c r="L131" s="12" t="s">
        <v>596</v>
      </c>
      <c r="M131" s="12" t="s">
        <v>596</v>
      </c>
      <c r="N131" s="12" t="s">
        <v>596</v>
      </c>
      <c r="O131" s="12" t="s">
        <v>596</v>
      </c>
      <c r="P131" s="12" t="s">
        <v>596</v>
      </c>
      <c r="Q131" s="12" t="s">
        <v>596</v>
      </c>
      <c r="R131" s="12" t="s">
        <v>596</v>
      </c>
      <c r="S131" s="12" t="s">
        <v>596</v>
      </c>
      <c r="T131" s="12" t="s">
        <v>596</v>
      </c>
      <c r="U131" s="12" t="s">
        <v>596</v>
      </c>
      <c r="V131" s="12" t="s">
        <v>596</v>
      </c>
      <c r="W131" s="12" t="s">
        <v>596</v>
      </c>
      <c r="X131" s="12" t="s">
        <v>596</v>
      </c>
      <c r="Y131" s="12" t="s">
        <v>596</v>
      </c>
      <c r="Z131" s="12" t="s">
        <v>596</v>
      </c>
      <c r="AA131" s="12" t="s">
        <v>596</v>
      </c>
      <c r="AB131" s="12" t="s">
        <v>596</v>
      </c>
      <c r="AC131" s="12" t="s">
        <v>596</v>
      </c>
      <c r="AD131" s="12" t="s">
        <v>596</v>
      </c>
      <c r="AE131" s="12" t="s">
        <v>596</v>
      </c>
      <c r="AF131" s="12" t="s">
        <v>596</v>
      </c>
      <c r="AG131" s="12" t="s">
        <v>596</v>
      </c>
      <c r="AH131" s="12" t="s">
        <v>596</v>
      </c>
      <c r="AI131" s="12" t="s">
        <v>596</v>
      </c>
      <c r="AJ131" s="12" t="s">
        <v>596</v>
      </c>
      <c r="AK131" s="12" t="s">
        <v>596</v>
      </c>
      <c r="AL131" s="12" t="s">
        <v>596</v>
      </c>
      <c r="AM131" s="12" t="s">
        <v>596</v>
      </c>
      <c r="AN131" s="12" t="s">
        <v>596</v>
      </c>
      <c r="AO131" s="12" t="s">
        <v>596</v>
      </c>
      <c r="AP131" s="12" t="s">
        <v>596</v>
      </c>
      <c r="AQ131" s="12" t="s">
        <v>596</v>
      </c>
      <c r="AR131" s="12" t="s">
        <v>596</v>
      </c>
      <c r="AS131" s="12" t="s">
        <v>596</v>
      </c>
      <c r="AT131" s="12" t="s">
        <v>596</v>
      </c>
      <c r="AU131" s="12" t="s">
        <v>596</v>
      </c>
      <c r="AV131" s="12" t="s">
        <v>596</v>
      </c>
      <c r="AW131" s="12" t="s">
        <v>596</v>
      </c>
      <c r="AX131" s="12" t="s">
        <v>596</v>
      </c>
      <c r="AY131" s="12" t="s">
        <v>596</v>
      </c>
      <c r="AZ131" s="12" t="s">
        <v>596</v>
      </c>
      <c r="BA131" s="12" t="s">
        <v>596</v>
      </c>
      <c r="BB131" s="12" t="s">
        <v>641</v>
      </c>
      <c r="BC131" s="12" t="s">
        <v>641</v>
      </c>
      <c r="BD131" s="12" t="s">
        <v>641</v>
      </c>
      <c r="BE131" s="12" t="s">
        <v>641</v>
      </c>
      <c r="BF131" s="12" t="s">
        <v>690</v>
      </c>
      <c r="BG131" s="12" t="s">
        <v>869</v>
      </c>
      <c r="BH131" s="12" t="s">
        <v>773</v>
      </c>
      <c r="BI131" s="12" t="s">
        <v>779</v>
      </c>
      <c r="BJ131" s="12" t="s">
        <v>643</v>
      </c>
      <c r="BK131" s="12" t="s">
        <v>605</v>
      </c>
      <c r="BL131" s="12" t="s">
        <v>605</v>
      </c>
      <c r="BM131" s="12" t="s">
        <v>694</v>
      </c>
      <c r="BN131" s="12" t="s">
        <v>2036</v>
      </c>
      <c r="BO131" s="12" t="s">
        <v>2036</v>
      </c>
      <c r="BP131" s="12" t="s">
        <v>989</v>
      </c>
      <c r="BQ131" s="12" t="s">
        <v>827</v>
      </c>
      <c r="BR131" s="12" t="s">
        <v>788</v>
      </c>
      <c r="BS131" s="12" t="s">
        <v>1143</v>
      </c>
      <c r="BT131" s="12" t="s">
        <v>610</v>
      </c>
      <c r="BU131" s="12" t="s">
        <v>701</v>
      </c>
      <c r="BV131" s="12" t="s">
        <v>2031</v>
      </c>
      <c r="BW131" s="12" t="s">
        <v>1833</v>
      </c>
      <c r="BX131" s="12" t="s">
        <v>1588</v>
      </c>
      <c r="BY131" s="12" t="s">
        <v>1410</v>
      </c>
      <c r="BZ131" s="12" t="s">
        <v>704</v>
      </c>
      <c r="CA131" s="12" t="s">
        <v>1282</v>
      </c>
      <c r="CB131" s="12" t="s">
        <v>1116</v>
      </c>
      <c r="CC131" s="12" t="s">
        <v>976</v>
      </c>
      <c r="CD131" s="12" t="s">
        <v>1849</v>
      </c>
      <c r="CE131" s="12" t="s">
        <v>1763</v>
      </c>
      <c r="CF131" s="12" t="s">
        <v>2207</v>
      </c>
      <c r="CG131" s="12" t="s">
        <v>1049</v>
      </c>
      <c r="CH131" s="12" t="s">
        <v>1711</v>
      </c>
      <c r="CI131" s="12" t="s">
        <v>942</v>
      </c>
      <c r="CJ131" s="12" t="s">
        <v>838</v>
      </c>
      <c r="CK131" s="12" t="s">
        <v>1148</v>
      </c>
      <c r="CL131" s="12" t="s">
        <v>1716</v>
      </c>
      <c r="CM131" s="12" t="s">
        <v>1717</v>
      </c>
      <c r="CN131" s="12" t="s">
        <v>1387</v>
      </c>
      <c r="CO131" s="12" t="s">
        <v>1478</v>
      </c>
      <c r="CP131" s="12" t="s">
        <v>2681</v>
      </c>
      <c r="CQ131" s="12" t="s">
        <v>677</v>
      </c>
      <c r="CR131" s="12" t="s">
        <v>2693</v>
      </c>
      <c r="CS131" s="12" t="s">
        <v>1908</v>
      </c>
      <c r="CT131" s="12" t="s">
        <v>1688</v>
      </c>
    </row>
    <row r="132" spans="1:98" hidden="1" x14ac:dyDescent="0.3">
      <c r="A132" s="12" t="s">
        <v>25</v>
      </c>
      <c r="B132" s="12" t="s">
        <v>2694</v>
      </c>
      <c r="C132" s="12" t="s">
        <v>2695</v>
      </c>
      <c r="D132" s="12" t="s">
        <v>2696</v>
      </c>
      <c r="E132" s="12" t="s">
        <v>596</v>
      </c>
      <c r="F132" s="12" t="s">
        <v>596</v>
      </c>
      <c r="G132" s="12" t="s">
        <v>596</v>
      </c>
      <c r="H132" s="12" t="s">
        <v>596</v>
      </c>
      <c r="I132" s="12" t="s">
        <v>596</v>
      </c>
      <c r="J132" s="12" t="s">
        <v>596</v>
      </c>
      <c r="K132" s="12" t="s">
        <v>596</v>
      </c>
      <c r="L132" s="12" t="s">
        <v>596</v>
      </c>
      <c r="M132" s="12" t="s">
        <v>596</v>
      </c>
      <c r="N132" s="12" t="s">
        <v>596</v>
      </c>
      <c r="O132" s="12" t="s">
        <v>596</v>
      </c>
      <c r="P132" s="12" t="s">
        <v>596</v>
      </c>
      <c r="Q132" s="12" t="s">
        <v>596</v>
      </c>
      <c r="R132" s="12" t="s">
        <v>596</v>
      </c>
      <c r="S132" s="12" t="s">
        <v>596</v>
      </c>
      <c r="T132" s="12" t="s">
        <v>596</v>
      </c>
      <c r="U132" s="12" t="s">
        <v>596</v>
      </c>
      <c r="V132" s="12" t="s">
        <v>596</v>
      </c>
      <c r="W132" s="12" t="s">
        <v>596</v>
      </c>
      <c r="X132" s="12" t="s">
        <v>596</v>
      </c>
      <c r="Y132" s="12" t="s">
        <v>596</v>
      </c>
      <c r="Z132" s="12" t="s">
        <v>596</v>
      </c>
      <c r="AA132" s="12" t="s">
        <v>596</v>
      </c>
      <c r="AB132" s="12" t="s">
        <v>596</v>
      </c>
      <c r="AC132" s="12" t="s">
        <v>596</v>
      </c>
      <c r="AD132" s="12" t="s">
        <v>596</v>
      </c>
      <c r="AE132" s="12" t="s">
        <v>596</v>
      </c>
      <c r="AF132" s="12" t="s">
        <v>596</v>
      </c>
      <c r="AG132" s="12" t="s">
        <v>596</v>
      </c>
      <c r="AH132" s="12" t="s">
        <v>596</v>
      </c>
      <c r="AI132" s="12" t="s">
        <v>596</v>
      </c>
      <c r="AJ132" s="12" t="s">
        <v>596</v>
      </c>
      <c r="AK132" s="12" t="s">
        <v>596</v>
      </c>
      <c r="AL132" s="12" t="s">
        <v>596</v>
      </c>
      <c r="AM132" s="12" t="s">
        <v>596</v>
      </c>
      <c r="AN132" s="12" t="s">
        <v>596</v>
      </c>
      <c r="AO132" s="12" t="s">
        <v>596</v>
      </c>
      <c r="AP132" s="12" t="s">
        <v>596</v>
      </c>
      <c r="AQ132" s="12" t="s">
        <v>596</v>
      </c>
      <c r="AR132" s="12" t="s">
        <v>596</v>
      </c>
      <c r="AS132" s="12" t="s">
        <v>596</v>
      </c>
      <c r="AT132" s="12" t="s">
        <v>596</v>
      </c>
      <c r="AU132" s="12" t="s">
        <v>641</v>
      </c>
      <c r="AV132" s="12" t="s">
        <v>641</v>
      </c>
      <c r="AW132" s="12" t="s">
        <v>641</v>
      </c>
      <c r="AX132" s="12" t="s">
        <v>598</v>
      </c>
      <c r="AY132" s="12" t="s">
        <v>600</v>
      </c>
      <c r="AZ132" s="12" t="s">
        <v>779</v>
      </c>
      <c r="BA132" s="12" t="s">
        <v>779</v>
      </c>
      <c r="BB132" s="12" t="s">
        <v>886</v>
      </c>
      <c r="BC132" s="12" t="s">
        <v>886</v>
      </c>
      <c r="BD132" s="12" t="s">
        <v>692</v>
      </c>
      <c r="BE132" s="12" t="s">
        <v>2036</v>
      </c>
      <c r="BF132" s="12" t="s">
        <v>870</v>
      </c>
      <c r="BG132" s="12" t="s">
        <v>736</v>
      </c>
      <c r="BH132" s="12" t="s">
        <v>972</v>
      </c>
      <c r="BI132" s="12" t="s">
        <v>1431</v>
      </c>
      <c r="BJ132" s="12" t="s">
        <v>1138</v>
      </c>
      <c r="BK132" s="12" t="s">
        <v>1142</v>
      </c>
      <c r="BL132" s="12" t="s">
        <v>880</v>
      </c>
      <c r="BM132" s="12" t="s">
        <v>1065</v>
      </c>
      <c r="BN132" s="12" t="s">
        <v>1505</v>
      </c>
      <c r="BO132" s="12" t="s">
        <v>1380</v>
      </c>
      <c r="BP132" s="12" t="s">
        <v>1524</v>
      </c>
      <c r="BQ132" s="12" t="s">
        <v>1411</v>
      </c>
      <c r="BR132" s="12" t="s">
        <v>1284</v>
      </c>
      <c r="BS132" s="12" t="s">
        <v>1763</v>
      </c>
      <c r="BT132" s="12" t="s">
        <v>1685</v>
      </c>
      <c r="BU132" s="12" t="s">
        <v>2697</v>
      </c>
      <c r="BV132" s="12" t="s">
        <v>2000</v>
      </c>
      <c r="BW132" s="12" t="s">
        <v>755</v>
      </c>
      <c r="BX132" s="12" t="s">
        <v>1729</v>
      </c>
      <c r="BY132" s="12" t="s">
        <v>2698</v>
      </c>
      <c r="BZ132" s="12" t="s">
        <v>686</v>
      </c>
      <c r="CA132" s="12" t="s">
        <v>1689</v>
      </c>
      <c r="CB132" s="12" t="s">
        <v>2699</v>
      </c>
      <c r="CC132" s="12" t="s">
        <v>2700</v>
      </c>
      <c r="CD132" s="12" t="s">
        <v>1775</v>
      </c>
      <c r="CE132" s="12" t="s">
        <v>2701</v>
      </c>
      <c r="CF132" s="12" t="s">
        <v>2702</v>
      </c>
      <c r="CG132" s="12" t="s">
        <v>2703</v>
      </c>
      <c r="CH132" s="12" t="s">
        <v>2704</v>
      </c>
      <c r="CI132" s="12" t="s">
        <v>2705</v>
      </c>
      <c r="CJ132" s="12" t="s">
        <v>2456</v>
      </c>
      <c r="CK132" s="12" t="s">
        <v>1824</v>
      </c>
      <c r="CL132" s="12" t="s">
        <v>2706</v>
      </c>
      <c r="CM132" s="12" t="s">
        <v>2707</v>
      </c>
      <c r="CN132" s="12" t="s">
        <v>2708</v>
      </c>
      <c r="CO132" s="12" t="s">
        <v>2709</v>
      </c>
      <c r="CP132" s="12" t="s">
        <v>2710</v>
      </c>
      <c r="CQ132" s="12" t="s">
        <v>2711</v>
      </c>
      <c r="CR132" s="12" t="s">
        <v>2712</v>
      </c>
      <c r="CS132" s="12" t="s">
        <v>2713</v>
      </c>
      <c r="CT132" s="12" t="s">
        <v>813</v>
      </c>
    </row>
    <row r="133" spans="1:98" hidden="1" x14ac:dyDescent="0.3">
      <c r="A133" s="12" t="s">
        <v>25</v>
      </c>
      <c r="B133" s="12" t="s">
        <v>2714</v>
      </c>
      <c r="C133" s="12" t="s">
        <v>2715</v>
      </c>
      <c r="D133" s="12" t="s">
        <v>2716</v>
      </c>
      <c r="E133" s="12" t="s">
        <v>596</v>
      </c>
      <c r="F133" s="12" t="s">
        <v>596</v>
      </c>
      <c r="G133" s="12" t="s">
        <v>596</v>
      </c>
      <c r="H133" s="12" t="s">
        <v>596</v>
      </c>
      <c r="I133" s="12" t="s">
        <v>596</v>
      </c>
      <c r="J133" s="12" t="s">
        <v>596</v>
      </c>
      <c r="K133" s="12" t="s">
        <v>596</v>
      </c>
      <c r="L133" s="12" t="s">
        <v>596</v>
      </c>
      <c r="M133" s="12" t="s">
        <v>596</v>
      </c>
      <c r="N133" s="12" t="s">
        <v>596</v>
      </c>
      <c r="O133" s="12" t="s">
        <v>596</v>
      </c>
      <c r="P133" s="12" t="s">
        <v>596</v>
      </c>
      <c r="Q133" s="12" t="s">
        <v>596</v>
      </c>
      <c r="R133" s="12" t="s">
        <v>596</v>
      </c>
      <c r="S133" s="12" t="s">
        <v>596</v>
      </c>
      <c r="T133" s="12" t="s">
        <v>596</v>
      </c>
      <c r="U133" s="12" t="s">
        <v>596</v>
      </c>
      <c r="V133" s="12" t="s">
        <v>596</v>
      </c>
      <c r="W133" s="12" t="s">
        <v>596</v>
      </c>
      <c r="X133" s="12" t="s">
        <v>596</v>
      </c>
      <c r="Y133" s="12" t="s">
        <v>596</v>
      </c>
      <c r="Z133" s="12" t="s">
        <v>596</v>
      </c>
      <c r="AA133" s="12" t="s">
        <v>596</v>
      </c>
      <c r="AB133" s="12" t="s">
        <v>596</v>
      </c>
      <c r="AC133" s="12" t="s">
        <v>596</v>
      </c>
      <c r="AD133" s="12" t="s">
        <v>596</v>
      </c>
      <c r="AE133" s="12" t="s">
        <v>596</v>
      </c>
      <c r="AF133" s="12" t="s">
        <v>596</v>
      </c>
      <c r="AG133" s="12" t="s">
        <v>596</v>
      </c>
      <c r="AH133" s="12" t="s">
        <v>596</v>
      </c>
      <c r="AI133" s="12" t="s">
        <v>596</v>
      </c>
      <c r="AJ133" s="12" t="s">
        <v>596</v>
      </c>
      <c r="AK133" s="12" t="s">
        <v>596</v>
      </c>
      <c r="AL133" s="12" t="s">
        <v>596</v>
      </c>
      <c r="AM133" s="12" t="s">
        <v>596</v>
      </c>
      <c r="AN133" s="12" t="s">
        <v>596</v>
      </c>
      <c r="AO133" s="12" t="s">
        <v>596</v>
      </c>
      <c r="AP133" s="12" t="s">
        <v>597</v>
      </c>
      <c r="AQ133" s="12" t="s">
        <v>597</v>
      </c>
      <c r="AR133" s="12" t="s">
        <v>690</v>
      </c>
      <c r="AS133" s="12" t="s">
        <v>869</v>
      </c>
      <c r="AT133" s="12" t="s">
        <v>601</v>
      </c>
      <c r="AU133" s="12" t="s">
        <v>694</v>
      </c>
      <c r="AV133" s="12" t="s">
        <v>785</v>
      </c>
      <c r="AW133" s="12" t="s">
        <v>1277</v>
      </c>
      <c r="AX133" s="12" t="s">
        <v>972</v>
      </c>
      <c r="AY133" s="12" t="s">
        <v>972</v>
      </c>
      <c r="AZ133" s="12" t="s">
        <v>1431</v>
      </c>
      <c r="BA133" s="12" t="s">
        <v>992</v>
      </c>
      <c r="BB133" s="12" t="s">
        <v>1142</v>
      </c>
      <c r="BC133" s="12" t="s">
        <v>880</v>
      </c>
      <c r="BD133" s="12" t="s">
        <v>891</v>
      </c>
      <c r="BE133" s="12" t="s">
        <v>1621</v>
      </c>
      <c r="BF133" s="12" t="s">
        <v>892</v>
      </c>
      <c r="BG133" s="12" t="s">
        <v>1001</v>
      </c>
      <c r="BH133" s="12" t="s">
        <v>1623</v>
      </c>
      <c r="BI133" s="12" t="s">
        <v>1508</v>
      </c>
      <c r="BJ133" s="12" t="s">
        <v>1182</v>
      </c>
      <c r="BK133" s="12" t="s">
        <v>671</v>
      </c>
      <c r="BL133" s="12" t="s">
        <v>2717</v>
      </c>
      <c r="BM133" s="12" t="s">
        <v>2718</v>
      </c>
      <c r="BN133" s="12" t="s">
        <v>1552</v>
      </c>
      <c r="BO133" s="12" t="s">
        <v>2719</v>
      </c>
      <c r="BP133" s="12" t="s">
        <v>1543</v>
      </c>
      <c r="BQ133" s="12" t="s">
        <v>1911</v>
      </c>
      <c r="BR133" s="12" t="s">
        <v>1914</v>
      </c>
      <c r="BS133" s="12" t="s">
        <v>2211</v>
      </c>
      <c r="BT133" s="12" t="s">
        <v>2720</v>
      </c>
      <c r="BU133" s="12" t="s">
        <v>2721</v>
      </c>
      <c r="BV133" s="12" t="s">
        <v>1024</v>
      </c>
      <c r="BW133" s="12" t="s">
        <v>2722</v>
      </c>
      <c r="BX133" s="12" t="s">
        <v>1034</v>
      </c>
      <c r="BY133" s="12" t="s">
        <v>1795</v>
      </c>
      <c r="BZ133" s="12" t="s">
        <v>2723</v>
      </c>
      <c r="CA133" s="12" t="s">
        <v>1209</v>
      </c>
      <c r="CB133" s="12" t="s">
        <v>2724</v>
      </c>
      <c r="CC133" s="12" t="s">
        <v>2725</v>
      </c>
      <c r="CD133" s="12" t="s">
        <v>2726</v>
      </c>
      <c r="CE133" s="12" t="s">
        <v>2727</v>
      </c>
      <c r="CF133" s="12" t="s">
        <v>2728</v>
      </c>
      <c r="CG133" s="12" t="s">
        <v>2729</v>
      </c>
      <c r="CH133" s="12" t="s">
        <v>2730</v>
      </c>
      <c r="CI133" s="12" t="s">
        <v>2731</v>
      </c>
      <c r="CJ133" s="12" t="s">
        <v>2732</v>
      </c>
      <c r="CK133" s="12" t="s">
        <v>2733</v>
      </c>
      <c r="CL133" s="12" t="s">
        <v>2734</v>
      </c>
      <c r="CM133" s="12" t="s">
        <v>2735</v>
      </c>
      <c r="CN133" s="12" t="s">
        <v>2736</v>
      </c>
      <c r="CO133" s="12" t="s">
        <v>2737</v>
      </c>
      <c r="CP133" s="12" t="s">
        <v>1171</v>
      </c>
      <c r="CQ133" s="12" t="s">
        <v>2738</v>
      </c>
      <c r="CR133" s="12" t="s">
        <v>2739</v>
      </c>
      <c r="CS133" s="12" t="s">
        <v>2740</v>
      </c>
      <c r="CT133" s="12" t="s">
        <v>2740</v>
      </c>
    </row>
    <row r="134" spans="1:98" hidden="1" x14ac:dyDescent="0.3">
      <c r="A134" s="12" t="s">
        <v>25</v>
      </c>
      <c r="B134" s="12" t="s">
        <v>2741</v>
      </c>
      <c r="C134" s="12" t="s">
        <v>2742</v>
      </c>
      <c r="D134" s="12" t="s">
        <v>2743</v>
      </c>
      <c r="E134" s="12" t="s">
        <v>596</v>
      </c>
      <c r="F134" s="12" t="s">
        <v>596</v>
      </c>
      <c r="G134" s="12" t="s">
        <v>596</v>
      </c>
      <c r="H134" s="12" t="s">
        <v>596</v>
      </c>
      <c r="I134" s="12" t="s">
        <v>596</v>
      </c>
      <c r="J134" s="12" t="s">
        <v>596</v>
      </c>
      <c r="K134" s="12" t="s">
        <v>596</v>
      </c>
      <c r="L134" s="12" t="s">
        <v>596</v>
      </c>
      <c r="M134" s="12" t="s">
        <v>597</v>
      </c>
      <c r="N134" s="12" t="s">
        <v>597</v>
      </c>
      <c r="O134" s="12" t="s">
        <v>597</v>
      </c>
      <c r="P134" s="12" t="s">
        <v>641</v>
      </c>
      <c r="Q134" s="12" t="s">
        <v>690</v>
      </c>
      <c r="R134" s="12" t="s">
        <v>690</v>
      </c>
      <c r="S134" s="12" t="s">
        <v>690</v>
      </c>
      <c r="T134" s="12" t="s">
        <v>690</v>
      </c>
      <c r="U134" s="12" t="s">
        <v>690</v>
      </c>
      <c r="V134" s="12" t="s">
        <v>690</v>
      </c>
      <c r="W134" s="12" t="s">
        <v>690</v>
      </c>
      <c r="X134" s="12" t="s">
        <v>690</v>
      </c>
      <c r="Y134" s="12" t="s">
        <v>690</v>
      </c>
      <c r="Z134" s="12" t="s">
        <v>690</v>
      </c>
      <c r="AA134" s="12" t="s">
        <v>690</v>
      </c>
      <c r="AB134" s="12" t="s">
        <v>690</v>
      </c>
      <c r="AC134" s="12" t="s">
        <v>690</v>
      </c>
      <c r="AD134" s="12" t="s">
        <v>690</v>
      </c>
      <c r="AE134" s="12" t="s">
        <v>690</v>
      </c>
      <c r="AF134" s="12" t="s">
        <v>690</v>
      </c>
      <c r="AG134" s="12" t="s">
        <v>690</v>
      </c>
      <c r="AH134" s="12" t="s">
        <v>690</v>
      </c>
      <c r="AI134" s="12" t="s">
        <v>690</v>
      </c>
      <c r="AJ134" s="12" t="s">
        <v>690</v>
      </c>
      <c r="AK134" s="12" t="s">
        <v>690</v>
      </c>
      <c r="AL134" s="12" t="s">
        <v>690</v>
      </c>
      <c r="AM134" s="12" t="s">
        <v>690</v>
      </c>
      <c r="AN134" s="12" t="s">
        <v>690</v>
      </c>
      <c r="AO134" s="12" t="s">
        <v>690</v>
      </c>
      <c r="AP134" s="12" t="s">
        <v>690</v>
      </c>
      <c r="AQ134" s="12" t="s">
        <v>690</v>
      </c>
      <c r="AR134" s="12" t="s">
        <v>690</v>
      </c>
      <c r="AS134" s="12" t="s">
        <v>599</v>
      </c>
      <c r="AT134" s="12" t="s">
        <v>599</v>
      </c>
      <c r="AU134" s="12" t="s">
        <v>887</v>
      </c>
      <c r="AV134" s="12" t="s">
        <v>2036</v>
      </c>
      <c r="AW134" s="12" t="s">
        <v>784</v>
      </c>
      <c r="AX134" s="12" t="s">
        <v>785</v>
      </c>
      <c r="AY134" s="12" t="s">
        <v>736</v>
      </c>
      <c r="AZ134" s="12" t="s">
        <v>1277</v>
      </c>
      <c r="BA134" s="12" t="s">
        <v>787</v>
      </c>
      <c r="BB134" s="12" t="s">
        <v>871</v>
      </c>
      <c r="BC134" s="12" t="s">
        <v>1138</v>
      </c>
      <c r="BD134" s="12" t="s">
        <v>994</v>
      </c>
      <c r="BE134" s="12" t="s">
        <v>881</v>
      </c>
      <c r="BF134" s="12" t="s">
        <v>740</v>
      </c>
      <c r="BG134" s="12" t="s">
        <v>1436</v>
      </c>
      <c r="BH134" s="12" t="s">
        <v>2032</v>
      </c>
      <c r="BI134" s="12" t="s">
        <v>1621</v>
      </c>
      <c r="BJ134" s="12" t="s">
        <v>832</v>
      </c>
      <c r="BK134" s="12" t="s">
        <v>1527</v>
      </c>
      <c r="BL134" s="12" t="s">
        <v>1182</v>
      </c>
      <c r="BM134" s="12" t="s">
        <v>978</v>
      </c>
      <c r="BN134" s="12" t="s">
        <v>1151</v>
      </c>
      <c r="BO134" s="12" t="s">
        <v>2085</v>
      </c>
      <c r="BP134" s="12" t="s">
        <v>2208</v>
      </c>
      <c r="BQ134" s="12" t="s">
        <v>2744</v>
      </c>
      <c r="BR134" s="12" t="s">
        <v>1162</v>
      </c>
      <c r="BS134" s="12" t="s">
        <v>960</v>
      </c>
      <c r="BT134" s="12" t="s">
        <v>967</v>
      </c>
      <c r="BU134" s="12" t="s">
        <v>712</v>
      </c>
      <c r="BV134" s="12" t="s">
        <v>2745</v>
      </c>
      <c r="BW134" s="12" t="s">
        <v>2746</v>
      </c>
      <c r="BX134" s="12" t="s">
        <v>2747</v>
      </c>
      <c r="BY134" s="12" t="s">
        <v>2748</v>
      </c>
      <c r="BZ134" s="12" t="s">
        <v>2749</v>
      </c>
      <c r="CA134" s="12" t="s">
        <v>2750</v>
      </c>
      <c r="CB134" s="12" t="s">
        <v>2751</v>
      </c>
      <c r="CC134" s="12" t="s">
        <v>2752</v>
      </c>
      <c r="CD134" s="12" t="s">
        <v>2753</v>
      </c>
      <c r="CE134" s="12" t="s">
        <v>2754</v>
      </c>
      <c r="CF134" s="12" t="s">
        <v>2755</v>
      </c>
      <c r="CG134" s="12" t="s">
        <v>2756</v>
      </c>
      <c r="CH134" s="12" t="s">
        <v>2757</v>
      </c>
      <c r="CI134" s="12" t="s">
        <v>2758</v>
      </c>
      <c r="CJ134" s="12" t="s">
        <v>2759</v>
      </c>
      <c r="CK134" s="12" t="s">
        <v>2760</v>
      </c>
      <c r="CL134" s="12" t="s">
        <v>2761</v>
      </c>
      <c r="CM134" s="12" t="s">
        <v>2762</v>
      </c>
      <c r="CN134" s="12" t="s">
        <v>2763</v>
      </c>
      <c r="CO134" s="12" t="s">
        <v>2764</v>
      </c>
      <c r="CP134" s="12" t="s">
        <v>2765</v>
      </c>
      <c r="CQ134" s="12" t="s">
        <v>2766</v>
      </c>
      <c r="CR134" s="12" t="s">
        <v>2767</v>
      </c>
      <c r="CS134" s="12" t="s">
        <v>2768</v>
      </c>
      <c r="CT134" s="12" t="s">
        <v>2769</v>
      </c>
    </row>
    <row r="135" spans="1:98" hidden="1" x14ac:dyDescent="0.3">
      <c r="A135" s="12" t="s">
        <v>25</v>
      </c>
      <c r="B135" s="12" t="s">
        <v>2770</v>
      </c>
      <c r="C135" s="12" t="s">
        <v>2771</v>
      </c>
      <c r="D135" s="12" t="s">
        <v>2772</v>
      </c>
      <c r="E135" s="12" t="s">
        <v>596</v>
      </c>
      <c r="F135" s="12" t="s">
        <v>596</v>
      </c>
      <c r="G135" s="12" t="s">
        <v>596</v>
      </c>
      <c r="H135" s="12" t="s">
        <v>596</v>
      </c>
      <c r="I135" s="12" t="s">
        <v>596</v>
      </c>
      <c r="J135" s="12" t="s">
        <v>596</v>
      </c>
      <c r="K135" s="12" t="s">
        <v>596</v>
      </c>
      <c r="L135" s="12" t="s">
        <v>596</v>
      </c>
      <c r="M135" s="12" t="s">
        <v>596</v>
      </c>
      <c r="N135" s="12" t="s">
        <v>596</v>
      </c>
      <c r="O135" s="12" t="s">
        <v>596</v>
      </c>
      <c r="P135" s="12" t="s">
        <v>596</v>
      </c>
      <c r="Q135" s="12" t="s">
        <v>596</v>
      </c>
      <c r="R135" s="12" t="s">
        <v>596</v>
      </c>
      <c r="S135" s="12" t="s">
        <v>596</v>
      </c>
      <c r="T135" s="12" t="s">
        <v>596</v>
      </c>
      <c r="U135" s="12" t="s">
        <v>596</v>
      </c>
      <c r="V135" s="12" t="s">
        <v>596</v>
      </c>
      <c r="W135" s="12" t="s">
        <v>596</v>
      </c>
      <c r="X135" s="12" t="s">
        <v>596</v>
      </c>
      <c r="Y135" s="12" t="s">
        <v>596</v>
      </c>
      <c r="Z135" s="12" t="s">
        <v>596</v>
      </c>
      <c r="AA135" s="12" t="s">
        <v>596</v>
      </c>
      <c r="AB135" s="12" t="s">
        <v>596</v>
      </c>
      <c r="AC135" s="12" t="s">
        <v>596</v>
      </c>
      <c r="AD135" s="12" t="s">
        <v>596</v>
      </c>
      <c r="AE135" s="12" t="s">
        <v>596</v>
      </c>
      <c r="AF135" s="12" t="s">
        <v>596</v>
      </c>
      <c r="AG135" s="12" t="s">
        <v>596</v>
      </c>
      <c r="AH135" s="12" t="s">
        <v>596</v>
      </c>
      <c r="AI135" s="12" t="s">
        <v>596</v>
      </c>
      <c r="AJ135" s="12" t="s">
        <v>596</v>
      </c>
      <c r="AK135" s="12" t="s">
        <v>596</v>
      </c>
      <c r="AL135" s="12" t="s">
        <v>596</v>
      </c>
      <c r="AM135" s="12" t="s">
        <v>596</v>
      </c>
      <c r="AN135" s="12" t="s">
        <v>596</v>
      </c>
      <c r="AO135" s="12" t="s">
        <v>596</v>
      </c>
      <c r="AP135" s="12" t="s">
        <v>596</v>
      </c>
      <c r="AQ135" s="12" t="s">
        <v>596</v>
      </c>
      <c r="AR135" s="12" t="s">
        <v>596</v>
      </c>
      <c r="AS135" s="12" t="s">
        <v>641</v>
      </c>
      <c r="AT135" s="12" t="s">
        <v>641</v>
      </c>
      <c r="AU135" s="12" t="s">
        <v>641</v>
      </c>
      <c r="AV135" s="12" t="s">
        <v>641</v>
      </c>
      <c r="AW135" s="12" t="s">
        <v>598</v>
      </c>
      <c r="AX135" s="12" t="s">
        <v>598</v>
      </c>
      <c r="AY135" s="12" t="s">
        <v>869</v>
      </c>
      <c r="AZ135" s="12" t="s">
        <v>692</v>
      </c>
      <c r="BA135" s="12" t="s">
        <v>931</v>
      </c>
      <c r="BB135" s="12" t="s">
        <v>785</v>
      </c>
      <c r="BC135" s="12" t="s">
        <v>785</v>
      </c>
      <c r="BD135" s="12" t="s">
        <v>992</v>
      </c>
      <c r="BE135" s="12" t="s">
        <v>877</v>
      </c>
      <c r="BF135" s="12" t="s">
        <v>1435</v>
      </c>
      <c r="BG135" s="12" t="s">
        <v>891</v>
      </c>
      <c r="BH135" s="12" t="s">
        <v>1833</v>
      </c>
      <c r="BI135" s="12" t="s">
        <v>1857</v>
      </c>
      <c r="BJ135" s="12" t="s">
        <v>1047</v>
      </c>
      <c r="BK135" s="12" t="s">
        <v>2446</v>
      </c>
      <c r="BL135" s="12" t="s">
        <v>2471</v>
      </c>
      <c r="BM135" s="12" t="s">
        <v>1055</v>
      </c>
      <c r="BN135" s="12" t="s">
        <v>1303</v>
      </c>
      <c r="BO135" s="12" t="s">
        <v>2195</v>
      </c>
      <c r="BP135" s="12" t="s">
        <v>2209</v>
      </c>
      <c r="BQ135" s="12" t="s">
        <v>2773</v>
      </c>
      <c r="BR135" s="12" t="s">
        <v>2774</v>
      </c>
      <c r="BS135" s="12" t="s">
        <v>2131</v>
      </c>
      <c r="BT135" s="12" t="s">
        <v>1318</v>
      </c>
      <c r="BU135" s="12" t="s">
        <v>2775</v>
      </c>
      <c r="BV135" s="12" t="s">
        <v>1167</v>
      </c>
      <c r="BW135" s="12" t="s">
        <v>2776</v>
      </c>
      <c r="BX135" s="12" t="s">
        <v>2777</v>
      </c>
      <c r="BY135" s="12" t="s">
        <v>2778</v>
      </c>
      <c r="BZ135" s="12" t="s">
        <v>2779</v>
      </c>
      <c r="CA135" s="12" t="s">
        <v>2780</v>
      </c>
      <c r="CB135" s="12" t="s">
        <v>2781</v>
      </c>
      <c r="CC135" s="12" t="s">
        <v>1654</v>
      </c>
      <c r="CD135" s="12" t="s">
        <v>2782</v>
      </c>
      <c r="CE135" s="12" t="s">
        <v>2783</v>
      </c>
      <c r="CF135" s="12" t="s">
        <v>2784</v>
      </c>
      <c r="CG135" s="12" t="s">
        <v>2785</v>
      </c>
      <c r="CH135" s="12" t="s">
        <v>2786</v>
      </c>
      <c r="CI135" s="12" t="s">
        <v>2787</v>
      </c>
      <c r="CJ135" s="12" t="s">
        <v>2788</v>
      </c>
      <c r="CK135" s="12" t="s">
        <v>2789</v>
      </c>
      <c r="CL135" s="12" t="s">
        <v>2790</v>
      </c>
      <c r="CM135" s="12" t="s">
        <v>2791</v>
      </c>
      <c r="CN135" s="12" t="s">
        <v>2792</v>
      </c>
      <c r="CO135" s="12" t="s">
        <v>2793</v>
      </c>
      <c r="CP135" s="12" t="s">
        <v>2794</v>
      </c>
      <c r="CQ135" s="12" t="s">
        <v>2795</v>
      </c>
      <c r="CR135" s="12" t="s">
        <v>2796</v>
      </c>
      <c r="CS135" s="12" t="s">
        <v>2797</v>
      </c>
      <c r="CT135" s="12" t="s">
        <v>2798</v>
      </c>
    </row>
    <row r="136" spans="1:98" hidden="1" x14ac:dyDescent="0.3">
      <c r="A136" s="12" t="s">
        <v>25</v>
      </c>
      <c r="B136" s="12" t="s">
        <v>2799</v>
      </c>
      <c r="C136" s="12" t="s">
        <v>2800</v>
      </c>
      <c r="D136" s="12" t="s">
        <v>2801</v>
      </c>
      <c r="E136" s="12" t="s">
        <v>596</v>
      </c>
      <c r="F136" s="12" t="s">
        <v>596</v>
      </c>
      <c r="G136" s="12" t="s">
        <v>596</v>
      </c>
      <c r="H136" s="12" t="s">
        <v>596</v>
      </c>
      <c r="I136" s="12" t="s">
        <v>596</v>
      </c>
      <c r="J136" s="12" t="s">
        <v>596</v>
      </c>
      <c r="K136" s="12" t="s">
        <v>596</v>
      </c>
      <c r="L136" s="12" t="s">
        <v>596</v>
      </c>
      <c r="M136" s="12" t="s">
        <v>596</v>
      </c>
      <c r="N136" s="12" t="s">
        <v>596</v>
      </c>
      <c r="O136" s="12" t="s">
        <v>596</v>
      </c>
      <c r="P136" s="12" t="s">
        <v>596</v>
      </c>
      <c r="Q136" s="12" t="s">
        <v>596</v>
      </c>
      <c r="R136" s="12" t="s">
        <v>596</v>
      </c>
      <c r="S136" s="12" t="s">
        <v>596</v>
      </c>
      <c r="T136" s="12" t="s">
        <v>596</v>
      </c>
      <c r="U136" s="12" t="s">
        <v>596</v>
      </c>
      <c r="V136" s="12" t="s">
        <v>596</v>
      </c>
      <c r="W136" s="12" t="s">
        <v>596</v>
      </c>
      <c r="X136" s="12" t="s">
        <v>596</v>
      </c>
      <c r="Y136" s="12" t="s">
        <v>596</v>
      </c>
      <c r="Z136" s="12" t="s">
        <v>596</v>
      </c>
      <c r="AA136" s="12" t="s">
        <v>596</v>
      </c>
      <c r="AB136" s="12" t="s">
        <v>596</v>
      </c>
      <c r="AC136" s="12" t="s">
        <v>596</v>
      </c>
      <c r="AD136" s="12" t="s">
        <v>596</v>
      </c>
      <c r="AE136" s="12" t="s">
        <v>596</v>
      </c>
      <c r="AF136" s="12" t="s">
        <v>596</v>
      </c>
      <c r="AG136" s="12" t="s">
        <v>641</v>
      </c>
      <c r="AH136" s="12" t="s">
        <v>599</v>
      </c>
      <c r="AI136" s="12" t="s">
        <v>826</v>
      </c>
      <c r="AJ136" s="12" t="s">
        <v>887</v>
      </c>
      <c r="AK136" s="12" t="s">
        <v>1277</v>
      </c>
      <c r="AL136" s="12" t="s">
        <v>937</v>
      </c>
      <c r="AM136" s="12" t="s">
        <v>1143</v>
      </c>
      <c r="AN136" s="12" t="s">
        <v>701</v>
      </c>
      <c r="AO136" s="12" t="s">
        <v>1834</v>
      </c>
      <c r="AP136" s="12" t="s">
        <v>2520</v>
      </c>
      <c r="AQ136" s="12" t="s">
        <v>1393</v>
      </c>
      <c r="AR136" s="12" t="s">
        <v>2802</v>
      </c>
      <c r="AS136" s="12" t="s">
        <v>1808</v>
      </c>
      <c r="AT136" s="12" t="s">
        <v>2803</v>
      </c>
      <c r="AU136" s="12" t="s">
        <v>2804</v>
      </c>
      <c r="AV136" s="12" t="s">
        <v>2805</v>
      </c>
      <c r="AW136" s="12" t="s">
        <v>2806</v>
      </c>
      <c r="AX136" s="12" t="s">
        <v>2807</v>
      </c>
      <c r="AY136" s="12" t="s">
        <v>2808</v>
      </c>
      <c r="AZ136" s="12" t="s">
        <v>2395</v>
      </c>
      <c r="BA136" s="12" t="s">
        <v>2809</v>
      </c>
      <c r="BB136" s="12" t="s">
        <v>2810</v>
      </c>
      <c r="BC136" s="12" t="s">
        <v>2811</v>
      </c>
      <c r="BD136" s="12" t="s">
        <v>2812</v>
      </c>
      <c r="BE136" s="12" t="s">
        <v>2813</v>
      </c>
      <c r="BF136" s="12" t="s">
        <v>2814</v>
      </c>
      <c r="BG136" s="12" t="s">
        <v>2815</v>
      </c>
      <c r="BH136" s="12" t="s">
        <v>2816</v>
      </c>
      <c r="BI136" s="12" t="s">
        <v>2817</v>
      </c>
      <c r="BJ136" s="12" t="s">
        <v>2818</v>
      </c>
      <c r="BK136" s="12" t="s">
        <v>2819</v>
      </c>
      <c r="BL136" s="12" t="s">
        <v>2820</v>
      </c>
      <c r="BM136" s="12" t="s">
        <v>2821</v>
      </c>
      <c r="BN136" s="12" t="s">
        <v>2822</v>
      </c>
      <c r="BO136" s="12" t="s">
        <v>2823</v>
      </c>
      <c r="BP136" s="12" t="s">
        <v>2824</v>
      </c>
      <c r="BQ136" s="12" t="s">
        <v>2825</v>
      </c>
      <c r="BR136" s="12" t="s">
        <v>2826</v>
      </c>
      <c r="BS136" s="12" t="s">
        <v>2827</v>
      </c>
      <c r="BT136" s="12" t="s">
        <v>2828</v>
      </c>
      <c r="BU136" s="12" t="s">
        <v>2829</v>
      </c>
      <c r="BV136" s="12" t="s">
        <v>2830</v>
      </c>
      <c r="BW136" s="12" t="s">
        <v>2831</v>
      </c>
      <c r="BX136" s="12" t="s">
        <v>2832</v>
      </c>
      <c r="BY136" s="12" t="s">
        <v>2833</v>
      </c>
      <c r="BZ136" s="12" t="s">
        <v>2834</v>
      </c>
      <c r="CA136" s="12" t="s">
        <v>2835</v>
      </c>
      <c r="CB136" s="12" t="s">
        <v>2836</v>
      </c>
      <c r="CC136" s="12" t="s">
        <v>2837</v>
      </c>
      <c r="CD136" s="12" t="s">
        <v>2838</v>
      </c>
      <c r="CE136" s="12" t="s">
        <v>2839</v>
      </c>
      <c r="CF136" s="12" t="s">
        <v>2840</v>
      </c>
      <c r="CG136" s="12" t="s">
        <v>2841</v>
      </c>
      <c r="CH136" s="12" t="s">
        <v>2842</v>
      </c>
      <c r="CI136" s="12" t="s">
        <v>2843</v>
      </c>
      <c r="CJ136" s="12" t="s">
        <v>2844</v>
      </c>
      <c r="CK136" s="12" t="s">
        <v>2845</v>
      </c>
      <c r="CL136" s="12" t="s">
        <v>2846</v>
      </c>
      <c r="CM136" s="12" t="s">
        <v>2847</v>
      </c>
      <c r="CN136" s="12" t="s">
        <v>2848</v>
      </c>
      <c r="CO136" s="12" t="s">
        <v>2849</v>
      </c>
      <c r="CP136" s="12" t="s">
        <v>2850</v>
      </c>
      <c r="CQ136" s="12" t="s">
        <v>2851</v>
      </c>
      <c r="CR136" s="12" t="s">
        <v>2852</v>
      </c>
      <c r="CS136" s="12" t="s">
        <v>2853</v>
      </c>
      <c r="CT136" s="12" t="s">
        <v>2854</v>
      </c>
    </row>
    <row r="137" spans="1:98" hidden="1" x14ac:dyDescent="0.3">
      <c r="A137" s="12" t="s">
        <v>25</v>
      </c>
      <c r="B137" s="12" t="s">
        <v>2855</v>
      </c>
      <c r="C137" s="12" t="s">
        <v>594</v>
      </c>
      <c r="D137" s="12" t="s">
        <v>2856</v>
      </c>
      <c r="E137" s="12" t="s">
        <v>596</v>
      </c>
      <c r="F137" s="12" t="s">
        <v>596</v>
      </c>
      <c r="G137" s="12" t="s">
        <v>596</v>
      </c>
      <c r="H137" s="12" t="s">
        <v>596</v>
      </c>
      <c r="I137" s="12" t="s">
        <v>596</v>
      </c>
      <c r="J137" s="12" t="s">
        <v>596</v>
      </c>
      <c r="K137" s="12" t="s">
        <v>596</v>
      </c>
      <c r="L137" s="12" t="s">
        <v>596</v>
      </c>
      <c r="M137" s="12" t="s">
        <v>596</v>
      </c>
      <c r="N137" s="12" t="s">
        <v>596</v>
      </c>
      <c r="O137" s="12" t="s">
        <v>596</v>
      </c>
      <c r="P137" s="12" t="s">
        <v>596</v>
      </c>
      <c r="Q137" s="12" t="s">
        <v>596</v>
      </c>
      <c r="R137" s="12" t="s">
        <v>596</v>
      </c>
      <c r="S137" s="12" t="s">
        <v>596</v>
      </c>
      <c r="T137" s="12" t="s">
        <v>596</v>
      </c>
      <c r="U137" s="12" t="s">
        <v>596</v>
      </c>
      <c r="V137" s="12" t="s">
        <v>596</v>
      </c>
      <c r="W137" s="12" t="s">
        <v>596</v>
      </c>
      <c r="X137" s="12" t="s">
        <v>596</v>
      </c>
      <c r="Y137" s="12" t="s">
        <v>596</v>
      </c>
      <c r="Z137" s="12" t="s">
        <v>596</v>
      </c>
      <c r="AA137" s="12" t="s">
        <v>596</v>
      </c>
      <c r="AB137" s="12" t="s">
        <v>596</v>
      </c>
      <c r="AC137" s="12" t="s">
        <v>596</v>
      </c>
      <c r="AD137" s="12" t="s">
        <v>596</v>
      </c>
      <c r="AE137" s="12" t="s">
        <v>596</v>
      </c>
      <c r="AF137" s="12" t="s">
        <v>596</v>
      </c>
      <c r="AG137" s="12" t="s">
        <v>596</v>
      </c>
      <c r="AH137" s="12" t="s">
        <v>596</v>
      </c>
      <c r="AI137" s="12" t="s">
        <v>596</v>
      </c>
      <c r="AJ137" s="12" t="s">
        <v>596</v>
      </c>
      <c r="AK137" s="12" t="s">
        <v>596</v>
      </c>
      <c r="AL137" s="12" t="s">
        <v>597</v>
      </c>
      <c r="AM137" s="12" t="s">
        <v>597</v>
      </c>
      <c r="AN137" s="12" t="s">
        <v>599</v>
      </c>
      <c r="AO137" s="12" t="s">
        <v>600</v>
      </c>
      <c r="AP137" s="12" t="s">
        <v>600</v>
      </c>
      <c r="AQ137" s="12" t="s">
        <v>886</v>
      </c>
      <c r="AR137" s="12" t="s">
        <v>692</v>
      </c>
      <c r="AS137" s="12" t="s">
        <v>694</v>
      </c>
      <c r="AT137" s="12" t="s">
        <v>870</v>
      </c>
      <c r="AU137" s="12" t="s">
        <v>935</v>
      </c>
      <c r="AV137" s="12" t="s">
        <v>935</v>
      </c>
      <c r="AW137" s="12" t="s">
        <v>606</v>
      </c>
      <c r="AX137" s="12" t="s">
        <v>697</v>
      </c>
      <c r="AY137" s="12" t="s">
        <v>698</v>
      </c>
      <c r="AZ137" s="12" t="s">
        <v>698</v>
      </c>
      <c r="BA137" s="12" t="s">
        <v>872</v>
      </c>
      <c r="BB137" s="12" t="s">
        <v>872</v>
      </c>
      <c r="BC137" s="12" t="s">
        <v>872</v>
      </c>
      <c r="BD137" s="12" t="s">
        <v>1750</v>
      </c>
      <c r="BE137" s="12" t="s">
        <v>610</v>
      </c>
      <c r="BF137" s="12" t="s">
        <v>1518</v>
      </c>
      <c r="BG137" s="12" t="s">
        <v>1768</v>
      </c>
      <c r="BH137" s="12" t="s">
        <v>2119</v>
      </c>
      <c r="BI137" s="12" t="s">
        <v>742</v>
      </c>
      <c r="BJ137" s="12" t="s">
        <v>2857</v>
      </c>
      <c r="BK137" s="12" t="s">
        <v>1905</v>
      </c>
      <c r="BL137" s="12" t="s">
        <v>1144</v>
      </c>
      <c r="BM137" s="12" t="s">
        <v>1441</v>
      </c>
      <c r="BN137" s="12" t="s">
        <v>793</v>
      </c>
      <c r="BO137" s="12" t="s">
        <v>1628</v>
      </c>
      <c r="BP137" s="12" t="s">
        <v>1384</v>
      </c>
      <c r="BQ137" s="12" t="s">
        <v>2207</v>
      </c>
      <c r="BR137" s="12" t="s">
        <v>1149</v>
      </c>
      <c r="BS137" s="12" t="s">
        <v>1054</v>
      </c>
      <c r="BT137" s="12" t="s">
        <v>2101</v>
      </c>
      <c r="BU137" s="12" t="s">
        <v>2858</v>
      </c>
      <c r="BV137" s="12" t="s">
        <v>2259</v>
      </c>
      <c r="BW137" s="12" t="s">
        <v>2859</v>
      </c>
      <c r="BX137" s="12" t="s">
        <v>1544</v>
      </c>
      <c r="BY137" s="12" t="s">
        <v>800</v>
      </c>
      <c r="BZ137" s="12" t="s">
        <v>1401</v>
      </c>
      <c r="CA137" s="12" t="s">
        <v>2448</v>
      </c>
      <c r="CB137" s="12" t="s">
        <v>2860</v>
      </c>
      <c r="CC137" s="12" t="s">
        <v>2861</v>
      </c>
      <c r="CD137" s="12" t="s">
        <v>2862</v>
      </c>
      <c r="CE137" s="12" t="s">
        <v>2140</v>
      </c>
      <c r="CF137" s="12" t="s">
        <v>636</v>
      </c>
      <c r="CG137" s="12" t="s">
        <v>2863</v>
      </c>
      <c r="CH137" s="12" t="s">
        <v>1791</v>
      </c>
      <c r="CI137" s="12" t="s">
        <v>1796</v>
      </c>
      <c r="CJ137" s="12" t="s">
        <v>1798</v>
      </c>
      <c r="CK137" s="12" t="s">
        <v>1799</v>
      </c>
      <c r="CL137" s="12" t="s">
        <v>2454</v>
      </c>
      <c r="CM137" s="12" t="s">
        <v>2864</v>
      </c>
      <c r="CN137" s="12" t="s">
        <v>2865</v>
      </c>
      <c r="CO137" s="12" t="s">
        <v>1816</v>
      </c>
      <c r="CP137" s="12" t="s">
        <v>2866</v>
      </c>
      <c r="CQ137" s="12" t="s">
        <v>2867</v>
      </c>
      <c r="CR137" s="12" t="s">
        <v>2868</v>
      </c>
      <c r="CS137" s="12" t="s">
        <v>2776</v>
      </c>
      <c r="CT137" s="12" t="s">
        <v>2869</v>
      </c>
    </row>
    <row r="138" spans="1:98" hidden="1" x14ac:dyDescent="0.3">
      <c r="A138" s="12" t="s">
        <v>25</v>
      </c>
      <c r="B138" s="12" t="s">
        <v>2870</v>
      </c>
      <c r="C138" s="12" t="s">
        <v>2871</v>
      </c>
      <c r="D138" s="12" t="s">
        <v>2872</v>
      </c>
      <c r="E138" s="12" t="s">
        <v>596</v>
      </c>
      <c r="F138" s="12" t="s">
        <v>596</v>
      </c>
      <c r="G138" s="12" t="s">
        <v>596</v>
      </c>
      <c r="H138" s="12" t="s">
        <v>596</v>
      </c>
      <c r="I138" s="12" t="s">
        <v>596</v>
      </c>
      <c r="J138" s="12" t="s">
        <v>596</v>
      </c>
      <c r="K138" s="12" t="s">
        <v>596</v>
      </c>
      <c r="L138" s="12" t="s">
        <v>596</v>
      </c>
      <c r="M138" s="12" t="s">
        <v>596</v>
      </c>
      <c r="N138" s="12" t="s">
        <v>596</v>
      </c>
      <c r="O138" s="12" t="s">
        <v>596</v>
      </c>
      <c r="P138" s="12" t="s">
        <v>596</v>
      </c>
      <c r="Q138" s="12" t="s">
        <v>596</v>
      </c>
      <c r="R138" s="12" t="s">
        <v>596</v>
      </c>
      <c r="S138" s="12" t="s">
        <v>596</v>
      </c>
      <c r="T138" s="12" t="s">
        <v>596</v>
      </c>
      <c r="U138" s="12" t="s">
        <v>596</v>
      </c>
      <c r="V138" s="12" t="s">
        <v>596</v>
      </c>
      <c r="W138" s="12" t="s">
        <v>596</v>
      </c>
      <c r="X138" s="12" t="s">
        <v>596</v>
      </c>
      <c r="Y138" s="12" t="s">
        <v>596</v>
      </c>
      <c r="Z138" s="12" t="s">
        <v>596</v>
      </c>
      <c r="AA138" s="12" t="s">
        <v>596</v>
      </c>
      <c r="AB138" s="12" t="s">
        <v>596</v>
      </c>
      <c r="AC138" s="12" t="s">
        <v>596</v>
      </c>
      <c r="AD138" s="12" t="s">
        <v>596</v>
      </c>
      <c r="AE138" s="12" t="s">
        <v>596</v>
      </c>
      <c r="AF138" s="12" t="s">
        <v>596</v>
      </c>
      <c r="AG138" s="12" t="s">
        <v>596</v>
      </c>
      <c r="AH138" s="12" t="s">
        <v>596</v>
      </c>
      <c r="AI138" s="12" t="s">
        <v>596</v>
      </c>
      <c r="AJ138" s="12" t="s">
        <v>596</v>
      </c>
      <c r="AK138" s="12" t="s">
        <v>596</v>
      </c>
      <c r="AL138" s="12" t="s">
        <v>596</v>
      </c>
      <c r="AM138" s="12" t="s">
        <v>596</v>
      </c>
      <c r="AN138" s="12" t="s">
        <v>596</v>
      </c>
      <c r="AO138" s="12" t="s">
        <v>596</v>
      </c>
      <c r="AP138" s="12" t="s">
        <v>596</v>
      </c>
      <c r="AQ138" s="12" t="s">
        <v>597</v>
      </c>
      <c r="AR138" s="12" t="s">
        <v>597</v>
      </c>
      <c r="AS138" s="12" t="s">
        <v>597</v>
      </c>
      <c r="AT138" s="12" t="s">
        <v>641</v>
      </c>
      <c r="AU138" s="12" t="s">
        <v>869</v>
      </c>
      <c r="AV138" s="12" t="s">
        <v>869</v>
      </c>
      <c r="AW138" s="12" t="s">
        <v>826</v>
      </c>
      <c r="AX138" s="12" t="s">
        <v>826</v>
      </c>
      <c r="AY138" s="12" t="s">
        <v>692</v>
      </c>
      <c r="AZ138" s="12" t="s">
        <v>603</v>
      </c>
      <c r="BA138" s="12" t="s">
        <v>785</v>
      </c>
      <c r="BB138" s="12" t="s">
        <v>1277</v>
      </c>
      <c r="BC138" s="12" t="s">
        <v>1277</v>
      </c>
      <c r="BD138" s="12" t="s">
        <v>700</v>
      </c>
      <c r="BE138" s="12" t="s">
        <v>1373</v>
      </c>
      <c r="BF138" s="12" t="s">
        <v>1373</v>
      </c>
      <c r="BG138" s="12" t="s">
        <v>1000</v>
      </c>
      <c r="BH138" s="12" t="s">
        <v>661</v>
      </c>
      <c r="BI138" s="12" t="s">
        <v>1756</v>
      </c>
      <c r="BJ138" s="12" t="s">
        <v>1421</v>
      </c>
      <c r="BK138" s="12" t="s">
        <v>2873</v>
      </c>
      <c r="BL138" s="12" t="s">
        <v>2874</v>
      </c>
      <c r="BM138" s="12" t="s">
        <v>630</v>
      </c>
      <c r="BN138" s="12" t="s">
        <v>2875</v>
      </c>
      <c r="BO138" s="12" t="s">
        <v>1036</v>
      </c>
      <c r="BP138" s="12" t="s">
        <v>1820</v>
      </c>
      <c r="BQ138" s="12" t="s">
        <v>2876</v>
      </c>
      <c r="BR138" s="12" t="s">
        <v>2877</v>
      </c>
      <c r="BS138" s="12" t="s">
        <v>2878</v>
      </c>
      <c r="BT138" s="12" t="s">
        <v>2879</v>
      </c>
      <c r="BU138" s="12" t="s">
        <v>730</v>
      </c>
      <c r="BV138" s="12" t="s">
        <v>2880</v>
      </c>
      <c r="BW138" s="12" t="s">
        <v>2881</v>
      </c>
      <c r="BX138" s="12" t="s">
        <v>2882</v>
      </c>
      <c r="BY138" s="12" t="s">
        <v>2883</v>
      </c>
      <c r="BZ138" s="12" t="s">
        <v>2884</v>
      </c>
      <c r="CA138" s="12" t="s">
        <v>2885</v>
      </c>
      <c r="CB138" s="12" t="s">
        <v>2886</v>
      </c>
      <c r="CC138" s="12" t="s">
        <v>2887</v>
      </c>
      <c r="CD138" s="12" t="s">
        <v>2888</v>
      </c>
      <c r="CE138" s="12" t="s">
        <v>2889</v>
      </c>
      <c r="CF138" s="12" t="s">
        <v>2890</v>
      </c>
      <c r="CG138" s="12" t="s">
        <v>2891</v>
      </c>
      <c r="CH138" s="12" t="s">
        <v>2892</v>
      </c>
      <c r="CI138" s="12" t="s">
        <v>2893</v>
      </c>
      <c r="CJ138" s="12" t="s">
        <v>2894</v>
      </c>
      <c r="CK138" s="12" t="s">
        <v>2895</v>
      </c>
      <c r="CL138" s="12" t="s">
        <v>2896</v>
      </c>
      <c r="CM138" s="12" t="s">
        <v>2897</v>
      </c>
      <c r="CN138" s="12" t="s">
        <v>2898</v>
      </c>
      <c r="CO138" s="12" t="s">
        <v>2899</v>
      </c>
      <c r="CP138" s="12" t="s">
        <v>2900</v>
      </c>
      <c r="CQ138" s="12" t="s">
        <v>2901</v>
      </c>
      <c r="CR138" s="12" t="s">
        <v>2902</v>
      </c>
      <c r="CS138" s="12" t="s">
        <v>2903</v>
      </c>
      <c r="CT138" s="12" t="s">
        <v>2904</v>
      </c>
    </row>
    <row r="139" spans="1:98" hidden="1" x14ac:dyDescent="0.3">
      <c r="A139" s="12" t="s">
        <v>25</v>
      </c>
      <c r="B139" s="12" t="s">
        <v>2905</v>
      </c>
      <c r="C139" s="12" t="s">
        <v>2906</v>
      </c>
      <c r="D139" s="12" t="s">
        <v>2907</v>
      </c>
      <c r="E139" s="12" t="s">
        <v>596</v>
      </c>
      <c r="F139" s="12" t="s">
        <v>596</v>
      </c>
      <c r="G139" s="12" t="s">
        <v>596</v>
      </c>
      <c r="H139" s="12" t="s">
        <v>596</v>
      </c>
      <c r="I139" s="12" t="s">
        <v>596</v>
      </c>
      <c r="J139" s="12" t="s">
        <v>596</v>
      </c>
      <c r="K139" s="12" t="s">
        <v>596</v>
      </c>
      <c r="L139" s="12" t="s">
        <v>596</v>
      </c>
      <c r="M139" s="12" t="s">
        <v>596</v>
      </c>
      <c r="N139" s="12" t="s">
        <v>596</v>
      </c>
      <c r="O139" s="12" t="s">
        <v>596</v>
      </c>
      <c r="P139" s="12" t="s">
        <v>596</v>
      </c>
      <c r="Q139" s="12" t="s">
        <v>596</v>
      </c>
      <c r="R139" s="12" t="s">
        <v>596</v>
      </c>
      <c r="S139" s="12" t="s">
        <v>596</v>
      </c>
      <c r="T139" s="12" t="s">
        <v>596</v>
      </c>
      <c r="U139" s="12" t="s">
        <v>596</v>
      </c>
      <c r="V139" s="12" t="s">
        <v>596</v>
      </c>
      <c r="W139" s="12" t="s">
        <v>596</v>
      </c>
      <c r="X139" s="12" t="s">
        <v>596</v>
      </c>
      <c r="Y139" s="12" t="s">
        <v>596</v>
      </c>
      <c r="Z139" s="12" t="s">
        <v>596</v>
      </c>
      <c r="AA139" s="12" t="s">
        <v>596</v>
      </c>
      <c r="AB139" s="12" t="s">
        <v>596</v>
      </c>
      <c r="AC139" s="12" t="s">
        <v>596</v>
      </c>
      <c r="AD139" s="12" t="s">
        <v>596</v>
      </c>
      <c r="AE139" s="12" t="s">
        <v>596</v>
      </c>
      <c r="AF139" s="12" t="s">
        <v>596</v>
      </c>
      <c r="AG139" s="12" t="s">
        <v>596</v>
      </c>
      <c r="AH139" s="12" t="s">
        <v>596</v>
      </c>
      <c r="AI139" s="12" t="s">
        <v>597</v>
      </c>
      <c r="AJ139" s="12" t="s">
        <v>597</v>
      </c>
      <c r="AK139" s="12" t="s">
        <v>597</v>
      </c>
      <c r="AL139" s="12" t="s">
        <v>597</v>
      </c>
      <c r="AM139" s="12" t="s">
        <v>597</v>
      </c>
      <c r="AN139" s="12" t="s">
        <v>641</v>
      </c>
      <c r="AO139" s="12" t="s">
        <v>690</v>
      </c>
      <c r="AP139" s="12" t="s">
        <v>598</v>
      </c>
      <c r="AQ139" s="12" t="s">
        <v>600</v>
      </c>
      <c r="AR139" s="12" t="s">
        <v>642</v>
      </c>
      <c r="AS139" s="12" t="s">
        <v>642</v>
      </c>
      <c r="AT139" s="12" t="s">
        <v>643</v>
      </c>
      <c r="AU139" s="12" t="s">
        <v>780</v>
      </c>
      <c r="AV139" s="12" t="s">
        <v>693</v>
      </c>
      <c r="AW139" s="12" t="s">
        <v>695</v>
      </c>
      <c r="AX139" s="12" t="s">
        <v>1277</v>
      </c>
      <c r="AY139" s="12" t="s">
        <v>937</v>
      </c>
      <c r="AZ139" s="12" t="s">
        <v>937</v>
      </c>
      <c r="BA139" s="12" t="s">
        <v>738</v>
      </c>
      <c r="BB139" s="12" t="s">
        <v>789</v>
      </c>
      <c r="BC139" s="12" t="s">
        <v>879</v>
      </c>
      <c r="BD139" s="12" t="s">
        <v>1294</v>
      </c>
      <c r="BE139" s="12" t="s">
        <v>1641</v>
      </c>
      <c r="BF139" s="12" t="s">
        <v>2046</v>
      </c>
      <c r="BG139" s="12" t="s">
        <v>1181</v>
      </c>
      <c r="BH139" s="12" t="s">
        <v>1508</v>
      </c>
      <c r="BI139" s="12" t="s">
        <v>665</v>
      </c>
      <c r="BJ139" s="12" t="s">
        <v>2908</v>
      </c>
      <c r="BK139" s="12" t="s">
        <v>1740</v>
      </c>
      <c r="BL139" s="12" t="s">
        <v>2235</v>
      </c>
      <c r="BM139" s="12" t="s">
        <v>2909</v>
      </c>
      <c r="BN139" s="12" t="s">
        <v>2910</v>
      </c>
      <c r="BO139" s="12" t="s">
        <v>2143</v>
      </c>
      <c r="BP139" s="12" t="s">
        <v>2911</v>
      </c>
      <c r="BQ139" s="12" t="s">
        <v>2912</v>
      </c>
      <c r="BR139" s="12" t="s">
        <v>2913</v>
      </c>
      <c r="BS139" s="12" t="s">
        <v>2914</v>
      </c>
      <c r="BT139" s="12" t="s">
        <v>2915</v>
      </c>
      <c r="BU139" s="12" t="s">
        <v>2916</v>
      </c>
      <c r="BV139" s="12" t="s">
        <v>2917</v>
      </c>
      <c r="BW139" s="12" t="s">
        <v>2918</v>
      </c>
      <c r="BX139" s="12" t="s">
        <v>2919</v>
      </c>
      <c r="BY139" s="12" t="s">
        <v>2920</v>
      </c>
      <c r="BZ139" s="12" t="s">
        <v>2921</v>
      </c>
      <c r="CA139" s="12" t="s">
        <v>2922</v>
      </c>
      <c r="CB139" s="12" t="s">
        <v>2923</v>
      </c>
      <c r="CC139" s="12" t="s">
        <v>2924</v>
      </c>
      <c r="CD139" s="12" t="s">
        <v>2925</v>
      </c>
      <c r="CE139" s="12" t="s">
        <v>2926</v>
      </c>
      <c r="CF139" s="12" t="s">
        <v>2927</v>
      </c>
      <c r="CG139" s="12" t="s">
        <v>2928</v>
      </c>
      <c r="CH139" s="12" t="s">
        <v>2929</v>
      </c>
      <c r="CI139" s="12" t="s">
        <v>2930</v>
      </c>
      <c r="CJ139" s="12" t="s">
        <v>2931</v>
      </c>
      <c r="CK139" s="12" t="s">
        <v>2932</v>
      </c>
      <c r="CL139" s="12" t="s">
        <v>2933</v>
      </c>
      <c r="CM139" s="12" t="s">
        <v>2934</v>
      </c>
      <c r="CN139" s="12" t="s">
        <v>2935</v>
      </c>
      <c r="CO139" s="12" t="s">
        <v>2936</v>
      </c>
      <c r="CP139" s="12" t="s">
        <v>2937</v>
      </c>
      <c r="CQ139" s="12" t="s">
        <v>2938</v>
      </c>
      <c r="CR139" s="12" t="s">
        <v>2939</v>
      </c>
      <c r="CS139" s="12" t="s">
        <v>2940</v>
      </c>
      <c r="CT139" s="12" t="s">
        <v>2941</v>
      </c>
    </row>
    <row r="140" spans="1:98" x14ac:dyDescent="0.3">
      <c r="A140" s="12" t="s">
        <v>25</v>
      </c>
      <c r="B140" s="12" t="s">
        <v>374</v>
      </c>
      <c r="C140" s="12" t="s">
        <v>2942</v>
      </c>
      <c r="D140" s="12" t="s">
        <v>2943</v>
      </c>
      <c r="E140" s="12" t="s">
        <v>596</v>
      </c>
      <c r="F140" s="12" t="s">
        <v>596</v>
      </c>
      <c r="G140" s="12" t="s">
        <v>596</v>
      </c>
      <c r="H140" s="12" t="s">
        <v>596</v>
      </c>
      <c r="I140" s="12" t="s">
        <v>596</v>
      </c>
      <c r="J140" s="12" t="s">
        <v>596</v>
      </c>
      <c r="K140" s="12" t="s">
        <v>596</v>
      </c>
      <c r="L140" s="12" t="s">
        <v>596</v>
      </c>
      <c r="M140" s="12" t="s">
        <v>596</v>
      </c>
      <c r="N140" s="12" t="s">
        <v>641</v>
      </c>
      <c r="O140" s="12" t="s">
        <v>641</v>
      </c>
      <c r="P140" s="12" t="s">
        <v>641</v>
      </c>
      <c r="Q140" s="12" t="s">
        <v>641</v>
      </c>
      <c r="R140" s="12" t="s">
        <v>641</v>
      </c>
      <c r="S140" s="12" t="s">
        <v>641</v>
      </c>
      <c r="T140" s="12" t="s">
        <v>641</v>
      </c>
      <c r="U140" s="12" t="s">
        <v>690</v>
      </c>
      <c r="V140" s="12" t="s">
        <v>690</v>
      </c>
      <c r="W140" s="12" t="s">
        <v>690</v>
      </c>
      <c r="X140" s="12" t="s">
        <v>690</v>
      </c>
      <c r="Y140" s="12" t="s">
        <v>690</v>
      </c>
      <c r="Z140" s="12" t="s">
        <v>690</v>
      </c>
      <c r="AA140" s="12" t="s">
        <v>690</v>
      </c>
      <c r="AB140" s="12" t="s">
        <v>690</v>
      </c>
      <c r="AC140" s="12" t="s">
        <v>690</v>
      </c>
      <c r="AD140" s="12" t="s">
        <v>690</v>
      </c>
      <c r="AE140" s="12" t="s">
        <v>690</v>
      </c>
      <c r="AF140" s="12" t="s">
        <v>690</v>
      </c>
      <c r="AG140" s="12" t="s">
        <v>690</v>
      </c>
      <c r="AH140" s="12" t="s">
        <v>690</v>
      </c>
      <c r="AI140" s="12" t="s">
        <v>693</v>
      </c>
      <c r="AJ140" s="12" t="s">
        <v>871</v>
      </c>
      <c r="AK140" s="12" t="s">
        <v>1641</v>
      </c>
      <c r="AL140" s="12" t="s">
        <v>1012</v>
      </c>
      <c r="AM140" s="12" t="s">
        <v>1760</v>
      </c>
      <c r="AN140" s="12" t="s">
        <v>1050</v>
      </c>
      <c r="AO140" s="12" t="s">
        <v>1069</v>
      </c>
      <c r="AP140" s="12" t="s">
        <v>2944</v>
      </c>
      <c r="AQ140" s="12" t="s">
        <v>2945</v>
      </c>
      <c r="AR140" s="12" t="s">
        <v>2946</v>
      </c>
      <c r="AS140" s="12" t="s">
        <v>2947</v>
      </c>
      <c r="AT140" s="12" t="s">
        <v>2948</v>
      </c>
      <c r="AU140" s="12" t="s">
        <v>2949</v>
      </c>
      <c r="AV140" s="12" t="s">
        <v>2271</v>
      </c>
      <c r="AW140" s="12" t="s">
        <v>2950</v>
      </c>
      <c r="AX140" s="12" t="s">
        <v>2951</v>
      </c>
      <c r="AY140" s="12" t="s">
        <v>2952</v>
      </c>
      <c r="AZ140" s="12" t="s">
        <v>2953</v>
      </c>
      <c r="BA140" s="12" t="s">
        <v>2954</v>
      </c>
      <c r="BB140" s="12" t="s">
        <v>2955</v>
      </c>
      <c r="BC140" s="12" t="s">
        <v>2955</v>
      </c>
      <c r="BD140" s="12" t="s">
        <v>2956</v>
      </c>
      <c r="BE140" s="12" t="s">
        <v>2957</v>
      </c>
      <c r="BF140" s="12" t="s">
        <v>2958</v>
      </c>
      <c r="BG140" s="12" t="s">
        <v>2959</v>
      </c>
      <c r="BH140" s="12" t="s">
        <v>2960</v>
      </c>
      <c r="BI140" s="12" t="s">
        <v>2961</v>
      </c>
      <c r="BJ140" s="12" t="s">
        <v>2962</v>
      </c>
      <c r="BK140" s="12" t="s">
        <v>2963</v>
      </c>
      <c r="BL140" s="12" t="s">
        <v>2964</v>
      </c>
      <c r="BM140" s="12" t="s">
        <v>2965</v>
      </c>
      <c r="BN140" s="12" t="s">
        <v>2966</v>
      </c>
      <c r="BO140" s="12" t="s">
        <v>2967</v>
      </c>
      <c r="BP140" s="12" t="s">
        <v>2968</v>
      </c>
      <c r="BQ140" s="12" t="s">
        <v>2969</v>
      </c>
      <c r="BR140" s="12" t="s">
        <v>2970</v>
      </c>
      <c r="BS140" s="12" t="s">
        <v>2971</v>
      </c>
      <c r="BT140" s="12" t="s">
        <v>2972</v>
      </c>
      <c r="BU140" s="12" t="s">
        <v>2973</v>
      </c>
      <c r="BV140" s="12" t="s">
        <v>2974</v>
      </c>
      <c r="BW140" s="12" t="s">
        <v>2975</v>
      </c>
      <c r="BX140" s="12" t="s">
        <v>2976</v>
      </c>
      <c r="BY140" s="12" t="s">
        <v>2977</v>
      </c>
      <c r="BZ140" s="12" t="s">
        <v>2978</v>
      </c>
      <c r="CA140" s="12" t="s">
        <v>2979</v>
      </c>
      <c r="CB140" s="12" t="s">
        <v>2980</v>
      </c>
      <c r="CC140" s="12" t="s">
        <v>2981</v>
      </c>
      <c r="CD140" s="12" t="s">
        <v>2982</v>
      </c>
      <c r="CE140" s="12" t="s">
        <v>2983</v>
      </c>
      <c r="CF140" s="12" t="s">
        <v>2984</v>
      </c>
      <c r="CG140" s="12" t="s">
        <v>2985</v>
      </c>
      <c r="CH140" s="12" t="s">
        <v>2986</v>
      </c>
      <c r="CI140" s="12" t="s">
        <v>2987</v>
      </c>
      <c r="CJ140" s="12" t="s">
        <v>2988</v>
      </c>
      <c r="CK140" s="12" t="s">
        <v>2989</v>
      </c>
      <c r="CL140" s="12" t="s">
        <v>2990</v>
      </c>
      <c r="CM140" s="12" t="s">
        <v>2991</v>
      </c>
      <c r="CN140" s="12" t="s">
        <v>2992</v>
      </c>
      <c r="CO140" s="12" t="s">
        <v>2993</v>
      </c>
      <c r="CP140" s="12" t="s">
        <v>2994</v>
      </c>
      <c r="CQ140" s="12" t="s">
        <v>2995</v>
      </c>
      <c r="CR140" s="12" t="s">
        <v>2996</v>
      </c>
      <c r="CS140" s="12" t="s">
        <v>2997</v>
      </c>
      <c r="CT140" s="12" t="s">
        <v>2998</v>
      </c>
    </row>
    <row r="141" spans="1:98" hidden="1" x14ac:dyDescent="0.3">
      <c r="A141" s="12" t="s">
        <v>25</v>
      </c>
      <c r="B141" s="12" t="s">
        <v>2999</v>
      </c>
      <c r="C141" s="12" t="s">
        <v>3000</v>
      </c>
      <c r="D141" s="12" t="s">
        <v>3001</v>
      </c>
      <c r="E141" s="12" t="s">
        <v>596</v>
      </c>
      <c r="F141" s="12" t="s">
        <v>596</v>
      </c>
      <c r="G141" s="12" t="s">
        <v>596</v>
      </c>
      <c r="H141" s="12" t="s">
        <v>596</v>
      </c>
      <c r="I141" s="12" t="s">
        <v>596</v>
      </c>
      <c r="J141" s="12" t="s">
        <v>596</v>
      </c>
      <c r="K141" s="12" t="s">
        <v>596</v>
      </c>
      <c r="L141" s="12" t="s">
        <v>596</v>
      </c>
      <c r="M141" s="12" t="s">
        <v>596</v>
      </c>
      <c r="N141" s="12" t="s">
        <v>596</v>
      </c>
      <c r="O141" s="12" t="s">
        <v>596</v>
      </c>
      <c r="P141" s="12" t="s">
        <v>596</v>
      </c>
      <c r="Q141" s="12" t="s">
        <v>596</v>
      </c>
      <c r="R141" s="12" t="s">
        <v>596</v>
      </c>
      <c r="S141" s="12" t="s">
        <v>596</v>
      </c>
      <c r="T141" s="12" t="s">
        <v>596</v>
      </c>
      <c r="U141" s="12" t="s">
        <v>596</v>
      </c>
      <c r="V141" s="12" t="s">
        <v>596</v>
      </c>
      <c r="W141" s="12" t="s">
        <v>596</v>
      </c>
      <c r="X141" s="12" t="s">
        <v>596</v>
      </c>
      <c r="Y141" s="12" t="s">
        <v>596</v>
      </c>
      <c r="Z141" s="12" t="s">
        <v>596</v>
      </c>
      <c r="AA141" s="12" t="s">
        <v>596</v>
      </c>
      <c r="AB141" s="12" t="s">
        <v>596</v>
      </c>
      <c r="AC141" s="12" t="s">
        <v>596</v>
      </c>
      <c r="AD141" s="12" t="s">
        <v>596</v>
      </c>
      <c r="AE141" s="12" t="s">
        <v>596</v>
      </c>
      <c r="AF141" s="12" t="s">
        <v>596</v>
      </c>
      <c r="AG141" s="12" t="s">
        <v>596</v>
      </c>
      <c r="AH141" s="12" t="s">
        <v>596</v>
      </c>
      <c r="AI141" s="12" t="s">
        <v>596</v>
      </c>
      <c r="AJ141" s="12" t="s">
        <v>596</v>
      </c>
      <c r="AK141" s="12" t="s">
        <v>596</v>
      </c>
      <c r="AL141" s="12" t="s">
        <v>596</v>
      </c>
      <c r="AM141" s="12" t="s">
        <v>596</v>
      </c>
      <c r="AN141" s="12" t="s">
        <v>596</v>
      </c>
      <c r="AO141" s="12" t="s">
        <v>596</v>
      </c>
      <c r="AP141" s="12" t="s">
        <v>596</v>
      </c>
      <c r="AQ141" s="12" t="s">
        <v>596</v>
      </c>
      <c r="AR141" s="12" t="s">
        <v>596</v>
      </c>
      <c r="AS141" s="12" t="s">
        <v>596</v>
      </c>
      <c r="AT141" s="12" t="s">
        <v>596</v>
      </c>
      <c r="AU141" s="12" t="s">
        <v>596</v>
      </c>
      <c r="AV141" s="12" t="s">
        <v>596</v>
      </c>
      <c r="AW141" s="12" t="s">
        <v>596</v>
      </c>
      <c r="AX141" s="12" t="s">
        <v>596</v>
      </c>
      <c r="AY141" s="12" t="s">
        <v>596</v>
      </c>
      <c r="AZ141" s="12" t="s">
        <v>596</v>
      </c>
      <c r="BA141" s="12" t="s">
        <v>596</v>
      </c>
      <c r="BB141" s="12" t="s">
        <v>597</v>
      </c>
      <c r="BC141" s="12" t="s">
        <v>641</v>
      </c>
      <c r="BD141" s="12" t="s">
        <v>773</v>
      </c>
      <c r="BE141" s="12" t="s">
        <v>773</v>
      </c>
      <c r="BF141" s="12" t="s">
        <v>642</v>
      </c>
      <c r="BG141" s="12" t="s">
        <v>642</v>
      </c>
      <c r="BH141" s="12" t="s">
        <v>643</v>
      </c>
      <c r="BI141" s="12" t="s">
        <v>886</v>
      </c>
      <c r="BJ141" s="12" t="s">
        <v>780</v>
      </c>
      <c r="BK141" s="12" t="s">
        <v>602</v>
      </c>
      <c r="BL141" s="12" t="s">
        <v>602</v>
      </c>
      <c r="BM141" s="12" t="s">
        <v>692</v>
      </c>
      <c r="BN141" s="12" t="s">
        <v>692</v>
      </c>
      <c r="BO141" s="12" t="s">
        <v>603</v>
      </c>
      <c r="BP141" s="12" t="s">
        <v>694</v>
      </c>
      <c r="BQ141" s="12" t="s">
        <v>694</v>
      </c>
      <c r="BR141" s="12" t="s">
        <v>694</v>
      </c>
      <c r="BS141" s="12" t="s">
        <v>2036</v>
      </c>
      <c r="BT141" s="12" t="s">
        <v>870</v>
      </c>
      <c r="BU141" s="12" t="s">
        <v>989</v>
      </c>
      <c r="BV141" s="12" t="s">
        <v>989</v>
      </c>
      <c r="BW141" s="12" t="s">
        <v>1114</v>
      </c>
      <c r="BX141" s="12" t="s">
        <v>990</v>
      </c>
      <c r="BY141" s="12" t="s">
        <v>990</v>
      </c>
      <c r="BZ141" s="12" t="s">
        <v>737</v>
      </c>
      <c r="CA141" s="12" t="s">
        <v>1431</v>
      </c>
      <c r="CB141" s="12" t="s">
        <v>1431</v>
      </c>
      <c r="CC141" s="12" t="s">
        <v>1198</v>
      </c>
      <c r="CD141" s="12" t="s">
        <v>1198</v>
      </c>
      <c r="CE141" s="12" t="s">
        <v>1198</v>
      </c>
      <c r="CF141" s="12" t="s">
        <v>1198</v>
      </c>
      <c r="CG141" s="12" t="s">
        <v>888</v>
      </c>
      <c r="CH141" s="12" t="s">
        <v>992</v>
      </c>
      <c r="CI141" s="12" t="s">
        <v>1138</v>
      </c>
      <c r="CJ141" s="12" t="s">
        <v>1138</v>
      </c>
      <c r="CK141" s="12" t="s">
        <v>1769</v>
      </c>
      <c r="CL141" s="12" t="s">
        <v>1839</v>
      </c>
      <c r="CM141" s="12" t="s">
        <v>1839</v>
      </c>
      <c r="CN141" s="12" t="s">
        <v>1204</v>
      </c>
      <c r="CO141" s="12" t="s">
        <v>1534</v>
      </c>
      <c r="CP141" s="12" t="s">
        <v>661</v>
      </c>
      <c r="CQ141" s="12" t="s">
        <v>661</v>
      </c>
      <c r="CR141" s="12" t="s">
        <v>1441</v>
      </c>
      <c r="CS141" s="12" t="s">
        <v>974</v>
      </c>
      <c r="CT141" s="12" t="s">
        <v>1413</v>
      </c>
    </row>
    <row r="142" spans="1:98" hidden="1" x14ac:dyDescent="0.3">
      <c r="A142" s="12" t="s">
        <v>25</v>
      </c>
      <c r="B142" s="12" t="s">
        <v>3002</v>
      </c>
      <c r="C142" s="12" t="s">
        <v>3003</v>
      </c>
      <c r="D142" s="12" t="s">
        <v>3004</v>
      </c>
      <c r="E142" s="12" t="s">
        <v>641</v>
      </c>
      <c r="F142" s="12" t="s">
        <v>641</v>
      </c>
      <c r="G142" s="12" t="s">
        <v>641</v>
      </c>
      <c r="H142" s="12" t="s">
        <v>641</v>
      </c>
      <c r="I142" s="12" t="s">
        <v>598</v>
      </c>
      <c r="J142" s="12" t="s">
        <v>598</v>
      </c>
      <c r="K142" s="12" t="s">
        <v>600</v>
      </c>
      <c r="L142" s="12" t="s">
        <v>600</v>
      </c>
      <c r="M142" s="12" t="s">
        <v>601</v>
      </c>
      <c r="N142" s="12" t="s">
        <v>780</v>
      </c>
      <c r="O142" s="12" t="s">
        <v>693</v>
      </c>
      <c r="P142" s="12" t="s">
        <v>693</v>
      </c>
      <c r="Q142" s="12" t="s">
        <v>693</v>
      </c>
      <c r="R142" s="12" t="s">
        <v>604</v>
      </c>
      <c r="S142" s="12" t="s">
        <v>604</v>
      </c>
      <c r="T142" s="12" t="s">
        <v>604</v>
      </c>
      <c r="U142" s="12" t="s">
        <v>775</v>
      </c>
      <c r="V142" s="12" t="s">
        <v>775</v>
      </c>
      <c r="W142" s="12" t="s">
        <v>694</v>
      </c>
      <c r="X142" s="12" t="s">
        <v>694</v>
      </c>
      <c r="Y142" s="12" t="s">
        <v>694</v>
      </c>
      <c r="Z142" s="12" t="s">
        <v>887</v>
      </c>
      <c r="AA142" s="12" t="s">
        <v>887</v>
      </c>
      <c r="AB142" s="12" t="s">
        <v>971</v>
      </c>
      <c r="AC142" s="12" t="s">
        <v>1277</v>
      </c>
      <c r="AD142" s="12" t="s">
        <v>650</v>
      </c>
      <c r="AE142" s="12" t="s">
        <v>991</v>
      </c>
      <c r="AF142" s="12" t="s">
        <v>607</v>
      </c>
      <c r="AG142" s="12" t="s">
        <v>608</v>
      </c>
      <c r="AH142" s="12" t="s">
        <v>609</v>
      </c>
      <c r="AI142" s="12" t="s">
        <v>882</v>
      </c>
      <c r="AJ142" s="12" t="s">
        <v>998</v>
      </c>
      <c r="AK142" s="12" t="s">
        <v>1533</v>
      </c>
      <c r="AL142" s="12" t="s">
        <v>1751</v>
      </c>
      <c r="AM142" s="12" t="s">
        <v>612</v>
      </c>
      <c r="AN142" s="12" t="s">
        <v>1994</v>
      </c>
      <c r="AO142" s="12" t="s">
        <v>1144</v>
      </c>
      <c r="AP142" s="12" t="s">
        <v>1145</v>
      </c>
      <c r="AQ142" s="12" t="s">
        <v>1526</v>
      </c>
      <c r="AR142" s="12" t="s">
        <v>1146</v>
      </c>
      <c r="AS142" s="12" t="s">
        <v>1705</v>
      </c>
      <c r="AT142" s="12" t="s">
        <v>1382</v>
      </c>
      <c r="AU142" s="12" t="s">
        <v>1383</v>
      </c>
      <c r="AV142" s="12" t="s">
        <v>1859</v>
      </c>
      <c r="AW142" s="12" t="s">
        <v>981</v>
      </c>
      <c r="AX142" s="12" t="s">
        <v>3005</v>
      </c>
      <c r="AY142" s="12" t="s">
        <v>796</v>
      </c>
      <c r="AZ142" s="12" t="s">
        <v>707</v>
      </c>
      <c r="BA142" s="12" t="s">
        <v>1424</v>
      </c>
      <c r="BB142" s="12" t="s">
        <v>2089</v>
      </c>
      <c r="BC142" s="12" t="s">
        <v>2089</v>
      </c>
      <c r="BD142" s="12" t="s">
        <v>3006</v>
      </c>
      <c r="BE142" s="12" t="s">
        <v>2064</v>
      </c>
      <c r="BF142" s="12" t="s">
        <v>3007</v>
      </c>
      <c r="BG142" s="12" t="s">
        <v>3007</v>
      </c>
      <c r="BH142" s="12" t="s">
        <v>1401</v>
      </c>
      <c r="BI142" s="12" t="s">
        <v>1692</v>
      </c>
      <c r="BJ142" s="12" t="s">
        <v>3008</v>
      </c>
      <c r="BK142" s="12" t="s">
        <v>2211</v>
      </c>
      <c r="BL142" s="12" t="s">
        <v>964</v>
      </c>
      <c r="BM142" s="12" t="s">
        <v>3009</v>
      </c>
      <c r="BN142" s="12" t="s">
        <v>2945</v>
      </c>
      <c r="BO142" s="12" t="s">
        <v>3010</v>
      </c>
      <c r="BP142" s="12" t="s">
        <v>3011</v>
      </c>
      <c r="BQ142" s="12" t="s">
        <v>3012</v>
      </c>
      <c r="BR142" s="12" t="s">
        <v>715</v>
      </c>
      <c r="BS142" s="12" t="s">
        <v>3013</v>
      </c>
      <c r="BT142" s="12" t="s">
        <v>3014</v>
      </c>
      <c r="BU142" s="12" t="s">
        <v>3014</v>
      </c>
      <c r="BV142" s="12" t="s">
        <v>3015</v>
      </c>
      <c r="BW142" s="12" t="s">
        <v>3016</v>
      </c>
      <c r="BX142" s="12" t="s">
        <v>3017</v>
      </c>
      <c r="BY142" s="12" t="s">
        <v>3018</v>
      </c>
      <c r="BZ142" s="12" t="s">
        <v>3019</v>
      </c>
      <c r="CA142" s="12" t="s">
        <v>3019</v>
      </c>
      <c r="CB142" s="12" t="s">
        <v>3020</v>
      </c>
      <c r="CC142" s="12" t="s">
        <v>3021</v>
      </c>
      <c r="CD142" s="12" t="s">
        <v>3022</v>
      </c>
      <c r="CE142" s="12" t="s">
        <v>3023</v>
      </c>
      <c r="CF142" s="12" t="s">
        <v>3024</v>
      </c>
      <c r="CG142" s="12" t="s">
        <v>3025</v>
      </c>
      <c r="CH142" s="12" t="s">
        <v>3026</v>
      </c>
      <c r="CI142" s="12" t="s">
        <v>3027</v>
      </c>
      <c r="CJ142" s="12" t="s">
        <v>3028</v>
      </c>
      <c r="CK142" s="12" t="s">
        <v>3029</v>
      </c>
      <c r="CL142" s="12" t="s">
        <v>3030</v>
      </c>
      <c r="CM142" s="12" t="s">
        <v>3031</v>
      </c>
      <c r="CN142" s="12" t="s">
        <v>3032</v>
      </c>
      <c r="CO142" s="12" t="s">
        <v>3033</v>
      </c>
      <c r="CP142" s="12" t="s">
        <v>3033</v>
      </c>
      <c r="CQ142" s="12" t="s">
        <v>3034</v>
      </c>
      <c r="CR142" s="12" t="s">
        <v>3035</v>
      </c>
      <c r="CS142" s="12" t="s">
        <v>3036</v>
      </c>
      <c r="CT142" s="12" t="s">
        <v>3037</v>
      </c>
    </row>
    <row r="143" spans="1:98" hidden="1" x14ac:dyDescent="0.3">
      <c r="A143" s="12" t="s">
        <v>25</v>
      </c>
      <c r="B143" s="12" t="s">
        <v>3038</v>
      </c>
      <c r="C143" s="12" t="s">
        <v>3039</v>
      </c>
      <c r="D143" s="12" t="s">
        <v>3040</v>
      </c>
      <c r="E143" s="12" t="s">
        <v>596</v>
      </c>
      <c r="F143" s="12" t="s">
        <v>596</v>
      </c>
      <c r="G143" s="12" t="s">
        <v>596</v>
      </c>
      <c r="H143" s="12" t="s">
        <v>596</v>
      </c>
      <c r="I143" s="12" t="s">
        <v>596</v>
      </c>
      <c r="J143" s="12" t="s">
        <v>596</v>
      </c>
      <c r="K143" s="12" t="s">
        <v>596</v>
      </c>
      <c r="L143" s="12" t="s">
        <v>596</v>
      </c>
      <c r="M143" s="12" t="s">
        <v>596</v>
      </c>
      <c r="N143" s="12" t="s">
        <v>596</v>
      </c>
      <c r="O143" s="12" t="s">
        <v>596</v>
      </c>
      <c r="P143" s="12" t="s">
        <v>596</v>
      </c>
      <c r="Q143" s="12" t="s">
        <v>596</v>
      </c>
      <c r="R143" s="12" t="s">
        <v>596</v>
      </c>
      <c r="S143" s="12" t="s">
        <v>596</v>
      </c>
      <c r="T143" s="12" t="s">
        <v>596</v>
      </c>
      <c r="U143" s="12" t="s">
        <v>596</v>
      </c>
      <c r="V143" s="12" t="s">
        <v>596</v>
      </c>
      <c r="W143" s="12" t="s">
        <v>596</v>
      </c>
      <c r="X143" s="12" t="s">
        <v>596</v>
      </c>
      <c r="Y143" s="12" t="s">
        <v>596</v>
      </c>
      <c r="Z143" s="12" t="s">
        <v>596</v>
      </c>
      <c r="AA143" s="12" t="s">
        <v>596</v>
      </c>
      <c r="AB143" s="12" t="s">
        <v>596</v>
      </c>
      <c r="AC143" s="12" t="s">
        <v>596</v>
      </c>
      <c r="AD143" s="12" t="s">
        <v>596</v>
      </c>
      <c r="AE143" s="12" t="s">
        <v>596</v>
      </c>
      <c r="AF143" s="12" t="s">
        <v>596</v>
      </c>
      <c r="AG143" s="12" t="s">
        <v>596</v>
      </c>
      <c r="AH143" s="12" t="s">
        <v>596</v>
      </c>
      <c r="AI143" s="12" t="s">
        <v>596</v>
      </c>
      <c r="AJ143" s="12" t="s">
        <v>596</v>
      </c>
      <c r="AK143" s="12" t="s">
        <v>596</v>
      </c>
      <c r="AL143" s="12" t="s">
        <v>596</v>
      </c>
      <c r="AM143" s="12" t="s">
        <v>596</v>
      </c>
      <c r="AN143" s="12" t="s">
        <v>596</v>
      </c>
      <c r="AO143" s="12" t="s">
        <v>596</v>
      </c>
      <c r="AP143" s="12" t="s">
        <v>596</v>
      </c>
      <c r="AQ143" s="12" t="s">
        <v>596</v>
      </c>
      <c r="AR143" s="12" t="s">
        <v>596</v>
      </c>
      <c r="AS143" s="12" t="s">
        <v>596</v>
      </c>
      <c r="AT143" s="12" t="s">
        <v>597</v>
      </c>
      <c r="AU143" s="12" t="s">
        <v>597</v>
      </c>
      <c r="AV143" s="12" t="s">
        <v>597</v>
      </c>
      <c r="AW143" s="12" t="s">
        <v>597</v>
      </c>
      <c r="AX143" s="12" t="s">
        <v>597</v>
      </c>
      <c r="AY143" s="12" t="s">
        <v>597</v>
      </c>
      <c r="AZ143" s="12" t="s">
        <v>597</v>
      </c>
      <c r="BA143" s="12" t="s">
        <v>597</v>
      </c>
      <c r="BB143" s="12" t="s">
        <v>597</v>
      </c>
      <c r="BC143" s="12" t="s">
        <v>597</v>
      </c>
      <c r="BD143" s="12" t="s">
        <v>597</v>
      </c>
      <c r="BE143" s="12" t="s">
        <v>597</v>
      </c>
      <c r="BF143" s="12" t="s">
        <v>773</v>
      </c>
      <c r="BG143" s="12" t="s">
        <v>691</v>
      </c>
      <c r="BH143" s="12" t="s">
        <v>785</v>
      </c>
      <c r="BI143" s="12" t="s">
        <v>827</v>
      </c>
      <c r="BJ143" s="12" t="s">
        <v>992</v>
      </c>
      <c r="BK143" s="12" t="s">
        <v>1142</v>
      </c>
      <c r="BL143" s="12" t="s">
        <v>1142</v>
      </c>
      <c r="BM143" s="12" t="s">
        <v>890</v>
      </c>
      <c r="BN143" s="12" t="s">
        <v>1372</v>
      </c>
      <c r="BO143" s="12" t="s">
        <v>2119</v>
      </c>
      <c r="BP143" s="12" t="s">
        <v>1833</v>
      </c>
      <c r="BQ143" s="12" t="s">
        <v>660</v>
      </c>
      <c r="BR143" s="12" t="s">
        <v>833</v>
      </c>
      <c r="BS143" s="12" t="s">
        <v>1067</v>
      </c>
      <c r="BT143" s="12" t="s">
        <v>663</v>
      </c>
      <c r="BU143" s="12" t="s">
        <v>1282</v>
      </c>
      <c r="BV143" s="12" t="s">
        <v>1705</v>
      </c>
      <c r="BW143" s="12" t="s">
        <v>1046</v>
      </c>
      <c r="BX143" s="12" t="s">
        <v>617</v>
      </c>
      <c r="BY143" s="12" t="s">
        <v>1536</v>
      </c>
      <c r="BZ143" s="12" t="s">
        <v>1299</v>
      </c>
      <c r="CA143" s="12" t="s">
        <v>1415</v>
      </c>
      <c r="CB143" s="12" t="s">
        <v>618</v>
      </c>
      <c r="CC143" s="12" t="s">
        <v>895</v>
      </c>
      <c r="CD143" s="12" t="s">
        <v>1456</v>
      </c>
      <c r="CE143" s="12" t="s">
        <v>1330</v>
      </c>
      <c r="CF143" s="12" t="s">
        <v>1330</v>
      </c>
      <c r="CG143" s="12" t="s">
        <v>1710</v>
      </c>
      <c r="CH143" s="12" t="s">
        <v>1737</v>
      </c>
      <c r="CI143" s="12" t="s">
        <v>2020</v>
      </c>
      <c r="CJ143" s="12" t="s">
        <v>942</v>
      </c>
      <c r="CK143" s="12" t="s">
        <v>3041</v>
      </c>
      <c r="CL143" s="12" t="s">
        <v>2413</v>
      </c>
      <c r="CM143" s="12" t="s">
        <v>838</v>
      </c>
      <c r="CN143" s="12" t="s">
        <v>1714</v>
      </c>
      <c r="CO143" s="12" t="s">
        <v>2097</v>
      </c>
      <c r="CP143" s="12" t="s">
        <v>1551</v>
      </c>
      <c r="CQ143" s="12" t="s">
        <v>751</v>
      </c>
      <c r="CR143" s="12" t="s">
        <v>983</v>
      </c>
      <c r="CS143" s="12" t="s">
        <v>984</v>
      </c>
      <c r="CT143" s="12" t="s">
        <v>1286</v>
      </c>
    </row>
    <row r="144" spans="1:98" hidden="1" x14ac:dyDescent="0.3">
      <c r="A144" s="12" t="s">
        <v>25</v>
      </c>
      <c r="B144" s="12" t="s">
        <v>3042</v>
      </c>
      <c r="C144" s="12" t="s">
        <v>3043</v>
      </c>
      <c r="D144" s="12" t="s">
        <v>3044</v>
      </c>
      <c r="E144" s="12" t="s">
        <v>596</v>
      </c>
      <c r="F144" s="12" t="s">
        <v>596</v>
      </c>
      <c r="G144" s="12" t="s">
        <v>596</v>
      </c>
      <c r="H144" s="12" t="s">
        <v>596</v>
      </c>
      <c r="I144" s="12" t="s">
        <v>596</v>
      </c>
      <c r="J144" s="12" t="s">
        <v>596</v>
      </c>
      <c r="K144" s="12" t="s">
        <v>596</v>
      </c>
      <c r="L144" s="12" t="s">
        <v>596</v>
      </c>
      <c r="M144" s="12" t="s">
        <v>596</v>
      </c>
      <c r="N144" s="12" t="s">
        <v>596</v>
      </c>
      <c r="O144" s="12" t="s">
        <v>596</v>
      </c>
      <c r="P144" s="12" t="s">
        <v>596</v>
      </c>
      <c r="Q144" s="12" t="s">
        <v>596</v>
      </c>
      <c r="R144" s="12" t="s">
        <v>596</v>
      </c>
      <c r="S144" s="12" t="s">
        <v>596</v>
      </c>
      <c r="T144" s="12" t="s">
        <v>596</v>
      </c>
      <c r="U144" s="12" t="s">
        <v>596</v>
      </c>
      <c r="V144" s="12" t="s">
        <v>596</v>
      </c>
      <c r="W144" s="12" t="s">
        <v>596</v>
      </c>
      <c r="X144" s="12" t="s">
        <v>596</v>
      </c>
      <c r="Y144" s="12" t="s">
        <v>596</v>
      </c>
      <c r="Z144" s="12" t="s">
        <v>596</v>
      </c>
      <c r="AA144" s="12" t="s">
        <v>596</v>
      </c>
      <c r="AB144" s="12" t="s">
        <v>596</v>
      </c>
      <c r="AC144" s="12" t="s">
        <v>596</v>
      </c>
      <c r="AD144" s="12" t="s">
        <v>596</v>
      </c>
      <c r="AE144" s="12" t="s">
        <v>596</v>
      </c>
      <c r="AF144" s="12" t="s">
        <v>596</v>
      </c>
      <c r="AG144" s="12" t="s">
        <v>596</v>
      </c>
      <c r="AH144" s="12" t="s">
        <v>596</v>
      </c>
      <c r="AI144" s="12" t="s">
        <v>596</v>
      </c>
      <c r="AJ144" s="12" t="s">
        <v>596</v>
      </c>
      <c r="AK144" s="12" t="s">
        <v>596</v>
      </c>
      <c r="AL144" s="12" t="s">
        <v>596</v>
      </c>
      <c r="AM144" s="12" t="s">
        <v>596</v>
      </c>
      <c r="AN144" s="12" t="s">
        <v>596</v>
      </c>
      <c r="AO144" s="12" t="s">
        <v>596</v>
      </c>
      <c r="AP144" s="12" t="s">
        <v>596</v>
      </c>
      <c r="AQ144" s="12" t="s">
        <v>596</v>
      </c>
      <c r="AR144" s="12" t="s">
        <v>596</v>
      </c>
      <c r="AS144" s="12" t="s">
        <v>596</v>
      </c>
      <c r="AT144" s="12" t="s">
        <v>596</v>
      </c>
      <c r="AU144" s="12" t="s">
        <v>596</v>
      </c>
      <c r="AV144" s="12" t="s">
        <v>596</v>
      </c>
      <c r="AW144" s="12" t="s">
        <v>596</v>
      </c>
      <c r="AX144" s="12" t="s">
        <v>596</v>
      </c>
      <c r="AY144" s="12" t="s">
        <v>596</v>
      </c>
      <c r="AZ144" s="12" t="s">
        <v>596</v>
      </c>
      <c r="BA144" s="12" t="s">
        <v>596</v>
      </c>
      <c r="BB144" s="12" t="s">
        <v>596</v>
      </c>
      <c r="BC144" s="12" t="s">
        <v>596</v>
      </c>
      <c r="BD144" s="12" t="s">
        <v>598</v>
      </c>
      <c r="BE144" s="12" t="s">
        <v>869</v>
      </c>
      <c r="BF144" s="12" t="s">
        <v>779</v>
      </c>
      <c r="BG144" s="12" t="s">
        <v>642</v>
      </c>
      <c r="BH144" s="12" t="s">
        <v>645</v>
      </c>
      <c r="BI144" s="12" t="s">
        <v>935</v>
      </c>
      <c r="BJ144" s="12" t="s">
        <v>1114</v>
      </c>
      <c r="BK144" s="12" t="s">
        <v>1009</v>
      </c>
      <c r="BL144" s="12" t="s">
        <v>737</v>
      </c>
      <c r="BM144" s="12" t="s">
        <v>698</v>
      </c>
      <c r="BN144" s="12" t="s">
        <v>871</v>
      </c>
      <c r="BO144" s="12" t="s">
        <v>993</v>
      </c>
      <c r="BP144" s="12" t="s">
        <v>1202</v>
      </c>
      <c r="BQ144" s="12" t="s">
        <v>997</v>
      </c>
      <c r="BR144" s="12" t="s">
        <v>1832</v>
      </c>
      <c r="BS144" s="12" t="s">
        <v>1145</v>
      </c>
      <c r="BT144" s="12" t="s">
        <v>3045</v>
      </c>
      <c r="BU144" s="12" t="s">
        <v>705</v>
      </c>
      <c r="BV144" s="12" t="s">
        <v>1763</v>
      </c>
      <c r="BW144" s="12" t="s">
        <v>1709</v>
      </c>
      <c r="BX144" s="12" t="s">
        <v>983</v>
      </c>
      <c r="BY144" s="12" t="s">
        <v>1861</v>
      </c>
      <c r="BZ144" s="12" t="s">
        <v>1390</v>
      </c>
      <c r="CA144" s="12" t="s">
        <v>682</v>
      </c>
      <c r="CB144" s="12" t="s">
        <v>2193</v>
      </c>
      <c r="CC144" s="12" t="s">
        <v>3046</v>
      </c>
      <c r="CD144" s="12" t="s">
        <v>2744</v>
      </c>
      <c r="CE144" s="12" t="s">
        <v>949</v>
      </c>
      <c r="CF144" s="12" t="s">
        <v>3047</v>
      </c>
      <c r="CG144" s="12" t="s">
        <v>2415</v>
      </c>
      <c r="CH144" s="12" t="s">
        <v>3048</v>
      </c>
      <c r="CI144" s="12" t="s">
        <v>3049</v>
      </c>
      <c r="CJ144" s="12" t="s">
        <v>2140</v>
      </c>
      <c r="CK144" s="12" t="s">
        <v>3050</v>
      </c>
      <c r="CL144" s="12" t="s">
        <v>3051</v>
      </c>
      <c r="CM144" s="12" t="s">
        <v>1333</v>
      </c>
      <c r="CN144" s="12" t="s">
        <v>2478</v>
      </c>
      <c r="CO144" s="12" t="s">
        <v>3052</v>
      </c>
      <c r="CP144" s="12" t="s">
        <v>3053</v>
      </c>
      <c r="CQ144" s="12" t="s">
        <v>3054</v>
      </c>
      <c r="CR144" s="12" t="s">
        <v>3055</v>
      </c>
      <c r="CS144" s="12" t="s">
        <v>3056</v>
      </c>
      <c r="CT144" s="12" t="s">
        <v>3057</v>
      </c>
    </row>
    <row r="145" spans="1:98" hidden="1" x14ac:dyDescent="0.3">
      <c r="A145" s="12" t="s">
        <v>25</v>
      </c>
      <c r="B145" s="12" t="s">
        <v>3058</v>
      </c>
      <c r="C145" s="12" t="s">
        <v>3059</v>
      </c>
      <c r="D145" s="12" t="s">
        <v>3060</v>
      </c>
      <c r="E145" s="12" t="s">
        <v>596</v>
      </c>
      <c r="F145" s="12" t="s">
        <v>596</v>
      </c>
      <c r="G145" s="12" t="s">
        <v>596</v>
      </c>
      <c r="H145" s="12" t="s">
        <v>596</v>
      </c>
      <c r="I145" s="12" t="s">
        <v>596</v>
      </c>
      <c r="J145" s="12" t="s">
        <v>596</v>
      </c>
      <c r="K145" s="12" t="s">
        <v>596</v>
      </c>
      <c r="L145" s="12" t="s">
        <v>596</v>
      </c>
      <c r="M145" s="12" t="s">
        <v>596</v>
      </c>
      <c r="N145" s="12" t="s">
        <v>596</v>
      </c>
      <c r="O145" s="12" t="s">
        <v>596</v>
      </c>
      <c r="P145" s="12" t="s">
        <v>596</v>
      </c>
      <c r="Q145" s="12" t="s">
        <v>596</v>
      </c>
      <c r="R145" s="12" t="s">
        <v>596</v>
      </c>
      <c r="S145" s="12" t="s">
        <v>596</v>
      </c>
      <c r="T145" s="12" t="s">
        <v>596</v>
      </c>
      <c r="U145" s="12" t="s">
        <v>596</v>
      </c>
      <c r="V145" s="12" t="s">
        <v>596</v>
      </c>
      <c r="W145" s="12" t="s">
        <v>596</v>
      </c>
      <c r="X145" s="12" t="s">
        <v>596</v>
      </c>
      <c r="Y145" s="12" t="s">
        <v>596</v>
      </c>
      <c r="Z145" s="12" t="s">
        <v>596</v>
      </c>
      <c r="AA145" s="12" t="s">
        <v>596</v>
      </c>
      <c r="AB145" s="12" t="s">
        <v>596</v>
      </c>
      <c r="AC145" s="12" t="s">
        <v>596</v>
      </c>
      <c r="AD145" s="12" t="s">
        <v>596</v>
      </c>
      <c r="AE145" s="12" t="s">
        <v>596</v>
      </c>
      <c r="AF145" s="12" t="s">
        <v>596</v>
      </c>
      <c r="AG145" s="12" t="s">
        <v>596</v>
      </c>
      <c r="AH145" s="12" t="s">
        <v>596</v>
      </c>
      <c r="AI145" s="12" t="s">
        <v>596</v>
      </c>
      <c r="AJ145" s="12" t="s">
        <v>596</v>
      </c>
      <c r="AK145" s="12" t="s">
        <v>596</v>
      </c>
      <c r="AL145" s="12" t="s">
        <v>596</v>
      </c>
      <c r="AM145" s="12" t="s">
        <v>596</v>
      </c>
      <c r="AN145" s="12" t="s">
        <v>596</v>
      </c>
      <c r="AO145" s="12" t="s">
        <v>596</v>
      </c>
      <c r="AP145" s="12" t="s">
        <v>596</v>
      </c>
      <c r="AQ145" s="12" t="s">
        <v>596</v>
      </c>
      <c r="AR145" s="12" t="s">
        <v>596</v>
      </c>
      <c r="AS145" s="12" t="s">
        <v>596</v>
      </c>
      <c r="AT145" s="12" t="s">
        <v>596</v>
      </c>
      <c r="AU145" s="12" t="s">
        <v>596</v>
      </c>
      <c r="AV145" s="12" t="s">
        <v>596</v>
      </c>
      <c r="AW145" s="12" t="s">
        <v>596</v>
      </c>
      <c r="AX145" s="12" t="s">
        <v>596</v>
      </c>
      <c r="AY145" s="12" t="s">
        <v>596</v>
      </c>
      <c r="AZ145" s="12" t="s">
        <v>596</v>
      </c>
      <c r="BA145" s="12" t="s">
        <v>596</v>
      </c>
      <c r="BB145" s="12" t="s">
        <v>596</v>
      </c>
      <c r="BC145" s="12" t="s">
        <v>596</v>
      </c>
      <c r="BD145" s="12" t="s">
        <v>597</v>
      </c>
      <c r="BE145" s="12" t="s">
        <v>597</v>
      </c>
      <c r="BF145" s="12" t="s">
        <v>690</v>
      </c>
      <c r="BG145" s="12" t="s">
        <v>690</v>
      </c>
      <c r="BH145" s="12" t="s">
        <v>690</v>
      </c>
      <c r="BI145" s="12" t="s">
        <v>690</v>
      </c>
      <c r="BJ145" s="12" t="s">
        <v>600</v>
      </c>
      <c r="BK145" s="12" t="s">
        <v>600</v>
      </c>
      <c r="BL145" s="12" t="s">
        <v>600</v>
      </c>
      <c r="BM145" s="12" t="s">
        <v>780</v>
      </c>
      <c r="BN145" s="12" t="s">
        <v>602</v>
      </c>
      <c r="BO145" s="12" t="s">
        <v>775</v>
      </c>
      <c r="BP145" s="12" t="s">
        <v>887</v>
      </c>
      <c r="BQ145" s="12" t="s">
        <v>784</v>
      </c>
      <c r="BR145" s="12" t="s">
        <v>784</v>
      </c>
      <c r="BS145" s="12" t="s">
        <v>646</v>
      </c>
      <c r="BT145" s="12" t="s">
        <v>647</v>
      </c>
      <c r="BU145" s="12" t="s">
        <v>972</v>
      </c>
      <c r="BV145" s="12" t="s">
        <v>650</v>
      </c>
      <c r="BW145" s="12" t="s">
        <v>1202</v>
      </c>
      <c r="BX145" s="12" t="s">
        <v>610</v>
      </c>
      <c r="BY145" s="12" t="s">
        <v>998</v>
      </c>
      <c r="BZ145" s="12" t="s">
        <v>1294</v>
      </c>
      <c r="CA145" s="12" t="s">
        <v>2032</v>
      </c>
      <c r="CB145" s="12" t="s">
        <v>792</v>
      </c>
      <c r="CC145" s="12" t="s">
        <v>1833</v>
      </c>
      <c r="CD145" s="12" t="s">
        <v>1752</v>
      </c>
      <c r="CE145" s="12" t="s">
        <v>939</v>
      </c>
      <c r="CF145" s="12" t="s">
        <v>1994</v>
      </c>
      <c r="CG145" s="12" t="s">
        <v>1297</v>
      </c>
      <c r="CH145" s="12" t="s">
        <v>659</v>
      </c>
      <c r="CI145" s="12" t="s">
        <v>1905</v>
      </c>
      <c r="CJ145" s="12" t="s">
        <v>3061</v>
      </c>
      <c r="CK145" s="12" t="s">
        <v>2047</v>
      </c>
      <c r="CL145" s="12" t="s">
        <v>2184</v>
      </c>
      <c r="CM145" s="12" t="s">
        <v>1067</v>
      </c>
      <c r="CN145" s="12" t="s">
        <v>1512</v>
      </c>
      <c r="CO145" s="12" t="s">
        <v>3062</v>
      </c>
      <c r="CP145" s="12" t="s">
        <v>616</v>
      </c>
      <c r="CQ145" s="12" t="s">
        <v>1758</v>
      </c>
      <c r="CR145" s="12" t="s">
        <v>1759</v>
      </c>
      <c r="CS145" s="12" t="s">
        <v>1629</v>
      </c>
      <c r="CT145" s="12" t="s">
        <v>2075</v>
      </c>
    </row>
    <row r="146" spans="1:98" hidden="1" x14ac:dyDescent="0.3">
      <c r="A146" s="12" t="s">
        <v>25</v>
      </c>
      <c r="B146" s="12" t="s">
        <v>3063</v>
      </c>
      <c r="C146" s="12" t="s">
        <v>3003</v>
      </c>
      <c r="D146" s="12" t="s">
        <v>3064</v>
      </c>
      <c r="E146" s="12" t="s">
        <v>597</v>
      </c>
      <c r="F146" s="12" t="s">
        <v>597</v>
      </c>
      <c r="G146" s="12" t="s">
        <v>641</v>
      </c>
      <c r="H146" s="12" t="s">
        <v>641</v>
      </c>
      <c r="I146" s="12" t="s">
        <v>690</v>
      </c>
      <c r="J146" s="12" t="s">
        <v>598</v>
      </c>
      <c r="K146" s="12" t="s">
        <v>598</v>
      </c>
      <c r="L146" s="12" t="s">
        <v>598</v>
      </c>
      <c r="M146" s="12" t="s">
        <v>598</v>
      </c>
      <c r="N146" s="12" t="s">
        <v>601</v>
      </c>
      <c r="O146" s="12" t="s">
        <v>643</v>
      </c>
      <c r="P146" s="12" t="s">
        <v>780</v>
      </c>
      <c r="Q146" s="12" t="s">
        <v>780</v>
      </c>
      <c r="R146" s="12" t="s">
        <v>602</v>
      </c>
      <c r="S146" s="12" t="s">
        <v>692</v>
      </c>
      <c r="T146" s="12" t="s">
        <v>644</v>
      </c>
      <c r="U146" s="12" t="s">
        <v>605</v>
      </c>
      <c r="V146" s="12" t="s">
        <v>605</v>
      </c>
      <c r="W146" s="12" t="s">
        <v>775</v>
      </c>
      <c r="X146" s="12" t="s">
        <v>931</v>
      </c>
      <c r="Y146" s="12" t="s">
        <v>887</v>
      </c>
      <c r="Z146" s="12" t="s">
        <v>887</v>
      </c>
      <c r="AA146" s="12" t="s">
        <v>887</v>
      </c>
      <c r="AB146" s="12" t="s">
        <v>887</v>
      </c>
      <c r="AC146" s="12" t="s">
        <v>887</v>
      </c>
      <c r="AD146" s="12" t="s">
        <v>971</v>
      </c>
      <c r="AE146" s="12" t="s">
        <v>2036</v>
      </c>
      <c r="AF146" s="12" t="s">
        <v>784</v>
      </c>
      <c r="AG146" s="12" t="s">
        <v>784</v>
      </c>
      <c r="AH146" s="12" t="s">
        <v>655</v>
      </c>
      <c r="AI146" s="12" t="s">
        <v>2533</v>
      </c>
      <c r="AJ146" s="12" t="s">
        <v>673</v>
      </c>
      <c r="AK146" s="12" t="s">
        <v>3065</v>
      </c>
      <c r="AL146" s="12" t="s">
        <v>846</v>
      </c>
      <c r="AM146" s="12" t="s">
        <v>2305</v>
      </c>
      <c r="AN146" s="12" t="s">
        <v>1780</v>
      </c>
      <c r="AO146" s="12" t="s">
        <v>3066</v>
      </c>
      <c r="AP146" s="12" t="s">
        <v>3067</v>
      </c>
      <c r="AQ146" s="12" t="s">
        <v>3068</v>
      </c>
      <c r="AR146" s="12" t="s">
        <v>3069</v>
      </c>
      <c r="AS146" s="12" t="s">
        <v>2368</v>
      </c>
      <c r="AT146" s="12" t="s">
        <v>3070</v>
      </c>
      <c r="AU146" s="12" t="s">
        <v>3071</v>
      </c>
      <c r="AV146" s="12" t="s">
        <v>3072</v>
      </c>
      <c r="AW146" s="12" t="s">
        <v>3073</v>
      </c>
      <c r="AX146" s="12" t="s">
        <v>3074</v>
      </c>
      <c r="AY146" s="12" t="s">
        <v>3075</v>
      </c>
      <c r="AZ146" s="12" t="s">
        <v>3076</v>
      </c>
      <c r="BA146" s="12" t="s">
        <v>3077</v>
      </c>
      <c r="BB146" s="12" t="s">
        <v>3078</v>
      </c>
      <c r="BC146" s="12" t="s">
        <v>3079</v>
      </c>
      <c r="BD146" s="12" t="s">
        <v>3080</v>
      </c>
      <c r="BE146" s="12" t="s">
        <v>3081</v>
      </c>
      <c r="BF146" s="12" t="s">
        <v>3082</v>
      </c>
      <c r="BG146" s="12" t="s">
        <v>3083</v>
      </c>
      <c r="BH146" s="12" t="s">
        <v>3084</v>
      </c>
      <c r="BI146" s="12" t="s">
        <v>3085</v>
      </c>
      <c r="BJ146" s="12" t="s">
        <v>3086</v>
      </c>
      <c r="BK146" s="12" t="s">
        <v>3087</v>
      </c>
      <c r="BL146" s="12" t="s">
        <v>3088</v>
      </c>
      <c r="BM146" s="12" t="s">
        <v>3089</v>
      </c>
      <c r="BN146" s="12" t="s">
        <v>3089</v>
      </c>
      <c r="BO146" s="12" t="s">
        <v>3090</v>
      </c>
      <c r="BP146" s="12" t="s">
        <v>3091</v>
      </c>
      <c r="BQ146" s="12" t="s">
        <v>3092</v>
      </c>
      <c r="BR146" s="12" t="s">
        <v>3093</v>
      </c>
      <c r="BS146" s="12" t="s">
        <v>3094</v>
      </c>
      <c r="BT146" s="12" t="s">
        <v>3095</v>
      </c>
      <c r="BU146" s="12" t="s">
        <v>3096</v>
      </c>
      <c r="BV146" s="12" t="s">
        <v>3097</v>
      </c>
      <c r="BW146" s="12" t="s">
        <v>3098</v>
      </c>
      <c r="BX146" s="12" t="s">
        <v>3099</v>
      </c>
      <c r="BY146" s="12" t="s">
        <v>3100</v>
      </c>
      <c r="BZ146" s="12" t="s">
        <v>3101</v>
      </c>
      <c r="CA146" s="12" t="s">
        <v>3102</v>
      </c>
      <c r="CB146" s="12" t="s">
        <v>3103</v>
      </c>
      <c r="CC146" s="12" t="s">
        <v>3104</v>
      </c>
      <c r="CD146" s="12" t="s">
        <v>3105</v>
      </c>
      <c r="CE146" s="12" t="s">
        <v>3106</v>
      </c>
      <c r="CF146" s="12" t="s">
        <v>3107</v>
      </c>
      <c r="CG146" s="12" t="s">
        <v>3108</v>
      </c>
      <c r="CH146" s="12" t="s">
        <v>3109</v>
      </c>
      <c r="CI146" s="12" t="s">
        <v>3110</v>
      </c>
      <c r="CJ146" s="12" t="s">
        <v>3111</v>
      </c>
      <c r="CK146" s="12" t="s">
        <v>3112</v>
      </c>
      <c r="CL146" s="12" t="s">
        <v>3113</v>
      </c>
      <c r="CM146" s="12" t="s">
        <v>3114</v>
      </c>
      <c r="CN146" s="12" t="s">
        <v>3115</v>
      </c>
      <c r="CO146" s="12" t="s">
        <v>3116</v>
      </c>
      <c r="CP146" s="12" t="s">
        <v>3117</v>
      </c>
      <c r="CQ146" s="12" t="s">
        <v>3118</v>
      </c>
      <c r="CR146" s="12" t="s">
        <v>3119</v>
      </c>
      <c r="CS146" s="12" t="s">
        <v>3120</v>
      </c>
      <c r="CT146" s="12" t="s">
        <v>3121</v>
      </c>
    </row>
    <row r="147" spans="1:98" hidden="1" x14ac:dyDescent="0.3">
      <c r="A147" s="12" t="s">
        <v>25</v>
      </c>
      <c r="B147" s="12" t="s">
        <v>3122</v>
      </c>
      <c r="C147" s="12" t="s">
        <v>3123</v>
      </c>
      <c r="D147" s="12" t="s">
        <v>3124</v>
      </c>
      <c r="E147" s="12" t="s">
        <v>596</v>
      </c>
      <c r="F147" s="12" t="s">
        <v>596</v>
      </c>
      <c r="G147" s="12" t="s">
        <v>596</v>
      </c>
      <c r="H147" s="12" t="s">
        <v>596</v>
      </c>
      <c r="I147" s="12" t="s">
        <v>596</v>
      </c>
      <c r="J147" s="12" t="s">
        <v>596</v>
      </c>
      <c r="K147" s="12" t="s">
        <v>596</v>
      </c>
      <c r="L147" s="12" t="s">
        <v>596</v>
      </c>
      <c r="M147" s="12" t="s">
        <v>596</v>
      </c>
      <c r="N147" s="12" t="s">
        <v>596</v>
      </c>
      <c r="O147" s="12" t="s">
        <v>596</v>
      </c>
      <c r="P147" s="12" t="s">
        <v>596</v>
      </c>
      <c r="Q147" s="12" t="s">
        <v>596</v>
      </c>
      <c r="R147" s="12" t="s">
        <v>596</v>
      </c>
      <c r="S147" s="12" t="s">
        <v>596</v>
      </c>
      <c r="T147" s="12" t="s">
        <v>596</v>
      </c>
      <c r="U147" s="12" t="s">
        <v>596</v>
      </c>
      <c r="V147" s="12" t="s">
        <v>596</v>
      </c>
      <c r="W147" s="12" t="s">
        <v>596</v>
      </c>
      <c r="X147" s="12" t="s">
        <v>596</v>
      </c>
      <c r="Y147" s="12" t="s">
        <v>596</v>
      </c>
      <c r="Z147" s="12" t="s">
        <v>596</v>
      </c>
      <c r="AA147" s="12" t="s">
        <v>596</v>
      </c>
      <c r="AB147" s="12" t="s">
        <v>596</v>
      </c>
      <c r="AC147" s="12" t="s">
        <v>596</v>
      </c>
      <c r="AD147" s="12" t="s">
        <v>596</v>
      </c>
      <c r="AE147" s="12" t="s">
        <v>596</v>
      </c>
      <c r="AF147" s="12" t="s">
        <v>596</v>
      </c>
      <c r="AG147" s="12" t="s">
        <v>596</v>
      </c>
      <c r="AH147" s="12" t="s">
        <v>596</v>
      </c>
      <c r="AI147" s="12" t="s">
        <v>596</v>
      </c>
      <c r="AJ147" s="12" t="s">
        <v>596</v>
      </c>
      <c r="AK147" s="12" t="s">
        <v>596</v>
      </c>
      <c r="AL147" s="12" t="s">
        <v>597</v>
      </c>
      <c r="AM147" s="12" t="s">
        <v>601</v>
      </c>
      <c r="AN147" s="12" t="s">
        <v>694</v>
      </c>
      <c r="AO147" s="12" t="s">
        <v>1277</v>
      </c>
      <c r="AP147" s="12" t="s">
        <v>786</v>
      </c>
      <c r="AQ147" s="12" t="s">
        <v>786</v>
      </c>
      <c r="AR147" s="12" t="s">
        <v>786</v>
      </c>
      <c r="AS147" s="12" t="s">
        <v>787</v>
      </c>
      <c r="AT147" s="12" t="s">
        <v>787</v>
      </c>
      <c r="AU147" s="12" t="s">
        <v>787</v>
      </c>
      <c r="AV147" s="12" t="s">
        <v>1431</v>
      </c>
      <c r="AW147" s="12" t="s">
        <v>1431</v>
      </c>
      <c r="AX147" s="12" t="s">
        <v>937</v>
      </c>
      <c r="AY147" s="12" t="s">
        <v>651</v>
      </c>
      <c r="AZ147" s="12" t="s">
        <v>651</v>
      </c>
      <c r="BA147" s="12" t="s">
        <v>992</v>
      </c>
      <c r="BB147" s="12" t="s">
        <v>993</v>
      </c>
      <c r="BC147" s="12" t="s">
        <v>874</v>
      </c>
      <c r="BD147" s="12" t="s">
        <v>874</v>
      </c>
      <c r="BE147" s="12" t="s">
        <v>655</v>
      </c>
      <c r="BF147" s="12" t="s">
        <v>890</v>
      </c>
      <c r="BG147" s="12" t="s">
        <v>656</v>
      </c>
      <c r="BH147" s="12" t="s">
        <v>2052</v>
      </c>
      <c r="BI147" s="12" t="s">
        <v>2032</v>
      </c>
      <c r="BJ147" s="12" t="s">
        <v>1523</v>
      </c>
      <c r="BK147" s="12" t="s">
        <v>1751</v>
      </c>
      <c r="BL147" s="12" t="s">
        <v>1296</v>
      </c>
      <c r="BM147" s="12" t="s">
        <v>743</v>
      </c>
      <c r="BN147" s="12" t="s">
        <v>1994</v>
      </c>
      <c r="BO147" s="12" t="s">
        <v>1297</v>
      </c>
      <c r="BP147" s="12" t="s">
        <v>1002</v>
      </c>
      <c r="BQ147" s="12" t="s">
        <v>1905</v>
      </c>
      <c r="BR147" s="12" t="s">
        <v>2047</v>
      </c>
      <c r="BS147" s="12" t="s">
        <v>833</v>
      </c>
      <c r="BT147" s="12" t="s">
        <v>1511</v>
      </c>
      <c r="BU147" s="12" t="s">
        <v>793</v>
      </c>
      <c r="BV147" s="12" t="s">
        <v>1625</v>
      </c>
      <c r="BW147" s="12" t="s">
        <v>1850</v>
      </c>
      <c r="BX147" s="12" t="s">
        <v>1537</v>
      </c>
      <c r="BY147" s="12" t="s">
        <v>2097</v>
      </c>
      <c r="BZ147" s="12" t="s">
        <v>1863</v>
      </c>
      <c r="CA147" s="12" t="s">
        <v>3125</v>
      </c>
      <c r="CB147" s="12" t="s">
        <v>626</v>
      </c>
      <c r="CC147" s="12" t="s">
        <v>948</v>
      </c>
      <c r="CD147" s="12" t="s">
        <v>3126</v>
      </c>
      <c r="CE147" s="12" t="s">
        <v>1693</v>
      </c>
      <c r="CF147" s="12" t="s">
        <v>3127</v>
      </c>
      <c r="CG147" s="12" t="s">
        <v>2646</v>
      </c>
      <c r="CH147" s="12" t="s">
        <v>1406</v>
      </c>
      <c r="CI147" s="12" t="s">
        <v>3128</v>
      </c>
      <c r="CJ147" s="12" t="s">
        <v>1555</v>
      </c>
      <c r="CK147" s="12" t="s">
        <v>901</v>
      </c>
      <c r="CL147" s="12" t="s">
        <v>1812</v>
      </c>
      <c r="CM147" s="12" t="s">
        <v>3129</v>
      </c>
      <c r="CN147" s="12" t="s">
        <v>3130</v>
      </c>
      <c r="CO147" s="12" t="s">
        <v>3131</v>
      </c>
      <c r="CP147" s="12" t="s">
        <v>3054</v>
      </c>
      <c r="CQ147" s="12" t="s">
        <v>3132</v>
      </c>
      <c r="CR147" s="12" t="s">
        <v>3133</v>
      </c>
      <c r="CS147" s="12" t="s">
        <v>3134</v>
      </c>
      <c r="CT147" s="12" t="s">
        <v>3135</v>
      </c>
    </row>
    <row r="148" spans="1:98" hidden="1" x14ac:dyDescent="0.3">
      <c r="A148" s="12" t="s">
        <v>25</v>
      </c>
      <c r="B148" s="12" t="s">
        <v>3136</v>
      </c>
      <c r="C148" s="12" t="s">
        <v>3137</v>
      </c>
      <c r="D148" s="12" t="s">
        <v>3138</v>
      </c>
      <c r="E148" s="12" t="s">
        <v>596</v>
      </c>
      <c r="F148" s="12" t="s">
        <v>596</v>
      </c>
      <c r="G148" s="12" t="s">
        <v>596</v>
      </c>
      <c r="H148" s="12" t="s">
        <v>596</v>
      </c>
      <c r="I148" s="12" t="s">
        <v>596</v>
      </c>
      <c r="J148" s="12" t="s">
        <v>596</v>
      </c>
      <c r="K148" s="12" t="s">
        <v>596</v>
      </c>
      <c r="L148" s="12" t="s">
        <v>596</v>
      </c>
      <c r="M148" s="12" t="s">
        <v>596</v>
      </c>
      <c r="N148" s="12" t="s">
        <v>596</v>
      </c>
      <c r="O148" s="12" t="s">
        <v>596</v>
      </c>
      <c r="P148" s="12" t="s">
        <v>596</v>
      </c>
      <c r="Q148" s="12" t="s">
        <v>596</v>
      </c>
      <c r="R148" s="12" t="s">
        <v>596</v>
      </c>
      <c r="S148" s="12" t="s">
        <v>596</v>
      </c>
      <c r="T148" s="12" t="s">
        <v>596</v>
      </c>
      <c r="U148" s="12" t="s">
        <v>596</v>
      </c>
      <c r="V148" s="12" t="s">
        <v>596</v>
      </c>
      <c r="W148" s="12" t="s">
        <v>596</v>
      </c>
      <c r="X148" s="12" t="s">
        <v>596</v>
      </c>
      <c r="Y148" s="12" t="s">
        <v>596</v>
      </c>
      <c r="Z148" s="12" t="s">
        <v>596</v>
      </c>
      <c r="AA148" s="12" t="s">
        <v>596</v>
      </c>
      <c r="AB148" s="12" t="s">
        <v>596</v>
      </c>
      <c r="AC148" s="12" t="s">
        <v>596</v>
      </c>
      <c r="AD148" s="12" t="s">
        <v>596</v>
      </c>
      <c r="AE148" s="12" t="s">
        <v>596</v>
      </c>
      <c r="AF148" s="12" t="s">
        <v>596</v>
      </c>
      <c r="AG148" s="12" t="s">
        <v>596</v>
      </c>
      <c r="AH148" s="12" t="s">
        <v>596</v>
      </c>
      <c r="AI148" s="12" t="s">
        <v>596</v>
      </c>
      <c r="AJ148" s="12" t="s">
        <v>596</v>
      </c>
      <c r="AK148" s="12" t="s">
        <v>596</v>
      </c>
      <c r="AL148" s="12" t="s">
        <v>596</v>
      </c>
      <c r="AM148" s="12" t="s">
        <v>596</v>
      </c>
      <c r="AN148" s="12" t="s">
        <v>596</v>
      </c>
      <c r="AO148" s="12" t="s">
        <v>596</v>
      </c>
      <c r="AP148" s="12" t="s">
        <v>596</v>
      </c>
      <c r="AQ148" s="12" t="s">
        <v>596</v>
      </c>
      <c r="AR148" s="12" t="s">
        <v>596</v>
      </c>
      <c r="AS148" s="12" t="s">
        <v>596</v>
      </c>
      <c r="AT148" s="12" t="s">
        <v>596</v>
      </c>
      <c r="AU148" s="12" t="s">
        <v>596</v>
      </c>
      <c r="AV148" s="12" t="s">
        <v>596</v>
      </c>
      <c r="AW148" s="12" t="s">
        <v>596</v>
      </c>
      <c r="AX148" s="12" t="s">
        <v>596</v>
      </c>
      <c r="AY148" s="12" t="s">
        <v>596</v>
      </c>
      <c r="AZ148" s="12" t="s">
        <v>596</v>
      </c>
      <c r="BA148" s="12" t="s">
        <v>596</v>
      </c>
      <c r="BB148" s="12" t="s">
        <v>596</v>
      </c>
      <c r="BC148" s="12" t="s">
        <v>596</v>
      </c>
      <c r="BD148" s="12" t="s">
        <v>596</v>
      </c>
      <c r="BE148" s="12" t="s">
        <v>596</v>
      </c>
      <c r="BF148" s="12" t="s">
        <v>596</v>
      </c>
      <c r="BG148" s="12" t="s">
        <v>596</v>
      </c>
      <c r="BH148" s="12" t="s">
        <v>596</v>
      </c>
      <c r="BI148" s="12" t="s">
        <v>690</v>
      </c>
      <c r="BJ148" s="12" t="s">
        <v>690</v>
      </c>
      <c r="BK148" s="12" t="s">
        <v>869</v>
      </c>
      <c r="BL148" s="12" t="s">
        <v>774</v>
      </c>
      <c r="BM148" s="12" t="s">
        <v>774</v>
      </c>
      <c r="BN148" s="12" t="s">
        <v>602</v>
      </c>
      <c r="BO148" s="12" t="s">
        <v>647</v>
      </c>
      <c r="BP148" s="12" t="s">
        <v>1114</v>
      </c>
      <c r="BQ148" s="12" t="s">
        <v>1114</v>
      </c>
      <c r="BR148" s="12" t="s">
        <v>1431</v>
      </c>
      <c r="BS148" s="12" t="s">
        <v>1431</v>
      </c>
      <c r="BT148" s="12" t="s">
        <v>608</v>
      </c>
      <c r="BU148" s="12" t="s">
        <v>609</v>
      </c>
      <c r="BV148" s="12" t="s">
        <v>1278</v>
      </c>
      <c r="BW148" s="12" t="s">
        <v>997</v>
      </c>
      <c r="BX148" s="12" t="s">
        <v>1518</v>
      </c>
      <c r="BY148" s="12" t="s">
        <v>2052</v>
      </c>
      <c r="BZ148" s="12" t="s">
        <v>938</v>
      </c>
      <c r="CA148" s="12" t="s">
        <v>1533</v>
      </c>
      <c r="CB148" s="12" t="s">
        <v>3061</v>
      </c>
      <c r="CC148" s="12" t="s">
        <v>1145</v>
      </c>
      <c r="CD148" s="12" t="s">
        <v>3062</v>
      </c>
      <c r="CE148" s="12" t="s">
        <v>3139</v>
      </c>
      <c r="CF148" s="12" t="s">
        <v>1116</v>
      </c>
      <c r="CG148" s="12" t="s">
        <v>2076</v>
      </c>
      <c r="CH148" s="12" t="s">
        <v>668</v>
      </c>
      <c r="CI148" s="12" t="s">
        <v>1148</v>
      </c>
      <c r="CJ148" s="12" t="s">
        <v>2677</v>
      </c>
      <c r="CK148" s="12" t="s">
        <v>3140</v>
      </c>
      <c r="CL148" s="12" t="s">
        <v>753</v>
      </c>
      <c r="CM148" s="12" t="s">
        <v>1866</v>
      </c>
      <c r="CN148" s="12" t="s">
        <v>1054</v>
      </c>
      <c r="CO148" s="12" t="s">
        <v>2103</v>
      </c>
      <c r="CP148" s="12" t="s">
        <v>2718</v>
      </c>
      <c r="CQ148" s="12" t="s">
        <v>1732</v>
      </c>
      <c r="CR148" s="12" t="s">
        <v>2190</v>
      </c>
      <c r="CS148" s="12" t="s">
        <v>2005</v>
      </c>
      <c r="CT148" s="12" t="s">
        <v>626</v>
      </c>
    </row>
    <row r="149" spans="1:98" hidden="1" x14ac:dyDescent="0.3">
      <c r="A149" s="12" t="s">
        <v>25</v>
      </c>
      <c r="B149" s="12" t="s">
        <v>3141</v>
      </c>
      <c r="C149" s="12" t="s">
        <v>3142</v>
      </c>
      <c r="D149" s="12" t="s">
        <v>3143</v>
      </c>
      <c r="E149" s="12" t="s">
        <v>596</v>
      </c>
      <c r="F149" s="12" t="s">
        <v>596</v>
      </c>
      <c r="G149" s="12" t="s">
        <v>596</v>
      </c>
      <c r="H149" s="12" t="s">
        <v>596</v>
      </c>
      <c r="I149" s="12" t="s">
        <v>596</v>
      </c>
      <c r="J149" s="12" t="s">
        <v>596</v>
      </c>
      <c r="K149" s="12" t="s">
        <v>596</v>
      </c>
      <c r="L149" s="12" t="s">
        <v>596</v>
      </c>
      <c r="M149" s="12" t="s">
        <v>596</v>
      </c>
      <c r="N149" s="12" t="s">
        <v>596</v>
      </c>
      <c r="O149" s="12" t="s">
        <v>596</v>
      </c>
      <c r="P149" s="12" t="s">
        <v>596</v>
      </c>
      <c r="Q149" s="12" t="s">
        <v>596</v>
      </c>
      <c r="R149" s="12" t="s">
        <v>596</v>
      </c>
      <c r="S149" s="12" t="s">
        <v>596</v>
      </c>
      <c r="T149" s="12" t="s">
        <v>596</v>
      </c>
      <c r="U149" s="12" t="s">
        <v>596</v>
      </c>
      <c r="V149" s="12" t="s">
        <v>596</v>
      </c>
      <c r="W149" s="12" t="s">
        <v>596</v>
      </c>
      <c r="X149" s="12" t="s">
        <v>596</v>
      </c>
      <c r="Y149" s="12" t="s">
        <v>596</v>
      </c>
      <c r="Z149" s="12" t="s">
        <v>596</v>
      </c>
      <c r="AA149" s="12" t="s">
        <v>596</v>
      </c>
      <c r="AB149" s="12" t="s">
        <v>596</v>
      </c>
      <c r="AC149" s="12" t="s">
        <v>596</v>
      </c>
      <c r="AD149" s="12" t="s">
        <v>596</v>
      </c>
      <c r="AE149" s="12" t="s">
        <v>596</v>
      </c>
      <c r="AF149" s="12" t="s">
        <v>596</v>
      </c>
      <c r="AG149" s="12" t="s">
        <v>596</v>
      </c>
      <c r="AH149" s="12" t="s">
        <v>596</v>
      </c>
      <c r="AI149" s="12" t="s">
        <v>596</v>
      </c>
      <c r="AJ149" s="12" t="s">
        <v>596</v>
      </c>
      <c r="AK149" s="12" t="s">
        <v>596</v>
      </c>
      <c r="AL149" s="12" t="s">
        <v>596</v>
      </c>
      <c r="AM149" s="12" t="s">
        <v>596</v>
      </c>
      <c r="AN149" s="12" t="s">
        <v>596</v>
      </c>
      <c r="AO149" s="12" t="s">
        <v>596</v>
      </c>
      <c r="AP149" s="12" t="s">
        <v>596</v>
      </c>
      <c r="AQ149" s="12" t="s">
        <v>596</v>
      </c>
      <c r="AR149" s="12" t="s">
        <v>596</v>
      </c>
      <c r="AS149" s="12" t="s">
        <v>597</v>
      </c>
      <c r="AT149" s="12" t="s">
        <v>597</v>
      </c>
      <c r="AU149" s="12" t="s">
        <v>597</v>
      </c>
      <c r="AV149" s="12" t="s">
        <v>597</v>
      </c>
      <c r="AW149" s="12" t="s">
        <v>597</v>
      </c>
      <c r="AX149" s="12" t="s">
        <v>597</v>
      </c>
      <c r="AY149" s="12" t="s">
        <v>641</v>
      </c>
      <c r="AZ149" s="12" t="s">
        <v>869</v>
      </c>
      <c r="BA149" s="12" t="s">
        <v>773</v>
      </c>
      <c r="BB149" s="12" t="s">
        <v>642</v>
      </c>
      <c r="BC149" s="12" t="s">
        <v>642</v>
      </c>
      <c r="BD149" s="12" t="s">
        <v>691</v>
      </c>
      <c r="BE149" s="12" t="s">
        <v>694</v>
      </c>
      <c r="BF149" s="12" t="s">
        <v>2036</v>
      </c>
      <c r="BG149" s="12" t="s">
        <v>785</v>
      </c>
      <c r="BH149" s="12" t="s">
        <v>1009</v>
      </c>
      <c r="BI149" s="12" t="s">
        <v>872</v>
      </c>
      <c r="BJ149" s="12" t="s">
        <v>995</v>
      </c>
      <c r="BK149" s="12" t="s">
        <v>997</v>
      </c>
      <c r="BL149" s="12" t="s">
        <v>1768</v>
      </c>
      <c r="BM149" s="12" t="s">
        <v>701</v>
      </c>
      <c r="BN149" s="12" t="s">
        <v>1001</v>
      </c>
      <c r="BO149" s="12" t="s">
        <v>659</v>
      </c>
      <c r="BP149" s="12" t="s">
        <v>940</v>
      </c>
      <c r="BQ149" s="12" t="s">
        <v>1527</v>
      </c>
      <c r="BR149" s="12" t="s">
        <v>3139</v>
      </c>
      <c r="BS149" s="12" t="s">
        <v>976</v>
      </c>
      <c r="BT149" s="12" t="s">
        <v>2053</v>
      </c>
      <c r="BU149" s="12" t="s">
        <v>749</v>
      </c>
      <c r="BV149" s="12" t="s">
        <v>3144</v>
      </c>
      <c r="BW149" s="12" t="s">
        <v>674</v>
      </c>
      <c r="BX149" s="12" t="s">
        <v>1149</v>
      </c>
      <c r="BY149" s="12" t="s">
        <v>944</v>
      </c>
      <c r="BZ149" s="12" t="s">
        <v>1443</v>
      </c>
      <c r="CA149" s="12" t="s">
        <v>1302</v>
      </c>
      <c r="CB149" s="12" t="s">
        <v>1420</v>
      </c>
      <c r="CC149" s="12" t="s">
        <v>680</v>
      </c>
      <c r="CD149" s="12" t="s">
        <v>1392</v>
      </c>
      <c r="CE149" s="12" t="s">
        <v>797</v>
      </c>
      <c r="CF149" s="12" t="s">
        <v>2190</v>
      </c>
      <c r="CG149" s="12" t="s">
        <v>2858</v>
      </c>
      <c r="CH149" s="12" t="s">
        <v>2012</v>
      </c>
      <c r="CI149" s="12" t="s">
        <v>1069</v>
      </c>
      <c r="CJ149" s="12" t="s">
        <v>2208</v>
      </c>
      <c r="CK149" s="12" t="s">
        <v>3145</v>
      </c>
      <c r="CL149" s="12" t="s">
        <v>1397</v>
      </c>
      <c r="CM149" s="12" t="s">
        <v>1909</v>
      </c>
      <c r="CN149" s="12" t="s">
        <v>2235</v>
      </c>
      <c r="CO149" s="12" t="s">
        <v>2744</v>
      </c>
      <c r="CP149" s="12" t="s">
        <v>3146</v>
      </c>
      <c r="CQ149" s="12" t="s">
        <v>3147</v>
      </c>
      <c r="CR149" s="12" t="s">
        <v>1924</v>
      </c>
      <c r="CS149" s="12" t="s">
        <v>2067</v>
      </c>
      <c r="CT149" s="12" t="s">
        <v>628</v>
      </c>
    </row>
    <row r="150" spans="1:98" hidden="1" x14ac:dyDescent="0.3">
      <c r="A150" s="12" t="s">
        <v>25</v>
      </c>
      <c r="B150" s="12" t="s">
        <v>3148</v>
      </c>
      <c r="C150" s="12" t="s">
        <v>3149</v>
      </c>
      <c r="D150" s="12" t="s">
        <v>3150</v>
      </c>
      <c r="E150" s="12" t="s">
        <v>596</v>
      </c>
      <c r="F150" s="12" t="s">
        <v>596</v>
      </c>
      <c r="G150" s="12" t="s">
        <v>596</v>
      </c>
      <c r="H150" s="12" t="s">
        <v>596</v>
      </c>
      <c r="I150" s="12" t="s">
        <v>596</v>
      </c>
      <c r="J150" s="12" t="s">
        <v>596</v>
      </c>
      <c r="K150" s="12" t="s">
        <v>596</v>
      </c>
      <c r="L150" s="12" t="s">
        <v>596</v>
      </c>
      <c r="M150" s="12" t="s">
        <v>596</v>
      </c>
      <c r="N150" s="12" t="s">
        <v>596</v>
      </c>
      <c r="O150" s="12" t="s">
        <v>596</v>
      </c>
      <c r="P150" s="12" t="s">
        <v>596</v>
      </c>
      <c r="Q150" s="12" t="s">
        <v>596</v>
      </c>
      <c r="R150" s="12" t="s">
        <v>596</v>
      </c>
      <c r="S150" s="12" t="s">
        <v>596</v>
      </c>
      <c r="T150" s="12" t="s">
        <v>596</v>
      </c>
      <c r="U150" s="12" t="s">
        <v>596</v>
      </c>
      <c r="V150" s="12" t="s">
        <v>596</v>
      </c>
      <c r="W150" s="12" t="s">
        <v>596</v>
      </c>
      <c r="X150" s="12" t="s">
        <v>596</v>
      </c>
      <c r="Y150" s="12" t="s">
        <v>596</v>
      </c>
      <c r="Z150" s="12" t="s">
        <v>596</v>
      </c>
      <c r="AA150" s="12" t="s">
        <v>596</v>
      </c>
      <c r="AB150" s="12" t="s">
        <v>596</v>
      </c>
      <c r="AC150" s="12" t="s">
        <v>596</v>
      </c>
      <c r="AD150" s="12" t="s">
        <v>596</v>
      </c>
      <c r="AE150" s="12" t="s">
        <v>596</v>
      </c>
      <c r="AF150" s="12" t="s">
        <v>596</v>
      </c>
      <c r="AG150" s="12" t="s">
        <v>596</v>
      </c>
      <c r="AH150" s="12" t="s">
        <v>596</v>
      </c>
      <c r="AI150" s="12" t="s">
        <v>597</v>
      </c>
      <c r="AJ150" s="12" t="s">
        <v>597</v>
      </c>
      <c r="AK150" s="12" t="s">
        <v>597</v>
      </c>
      <c r="AL150" s="12" t="s">
        <v>597</v>
      </c>
      <c r="AM150" s="12" t="s">
        <v>597</v>
      </c>
      <c r="AN150" s="12" t="s">
        <v>641</v>
      </c>
      <c r="AO150" s="12" t="s">
        <v>641</v>
      </c>
      <c r="AP150" s="12" t="s">
        <v>641</v>
      </c>
      <c r="AQ150" s="12" t="s">
        <v>598</v>
      </c>
      <c r="AR150" s="12" t="s">
        <v>642</v>
      </c>
      <c r="AS150" s="12" t="s">
        <v>886</v>
      </c>
      <c r="AT150" s="12" t="s">
        <v>886</v>
      </c>
      <c r="AU150" s="12" t="s">
        <v>886</v>
      </c>
      <c r="AV150" s="12" t="s">
        <v>602</v>
      </c>
      <c r="AW150" s="12" t="s">
        <v>604</v>
      </c>
      <c r="AX150" s="12" t="s">
        <v>604</v>
      </c>
      <c r="AY150" s="12" t="s">
        <v>870</v>
      </c>
      <c r="AZ150" s="12" t="s">
        <v>870</v>
      </c>
      <c r="BA150" s="12" t="s">
        <v>1064</v>
      </c>
      <c r="BB150" s="12" t="s">
        <v>937</v>
      </c>
      <c r="BC150" s="12" t="s">
        <v>937</v>
      </c>
      <c r="BD150" s="12" t="s">
        <v>873</v>
      </c>
      <c r="BE150" s="12" t="s">
        <v>876</v>
      </c>
      <c r="BF150" s="12" t="s">
        <v>610</v>
      </c>
      <c r="BG150" s="12" t="s">
        <v>610</v>
      </c>
      <c r="BH150" s="12" t="s">
        <v>611</v>
      </c>
      <c r="BI150" s="12" t="s">
        <v>741</v>
      </c>
      <c r="BJ150" s="12" t="s">
        <v>1280</v>
      </c>
      <c r="BK150" s="12" t="s">
        <v>1204</v>
      </c>
      <c r="BL150" s="12" t="s">
        <v>1380</v>
      </c>
      <c r="BM150" s="12" t="s">
        <v>2048</v>
      </c>
      <c r="BN150" s="12" t="s">
        <v>745</v>
      </c>
      <c r="BO150" s="12" t="s">
        <v>1414</v>
      </c>
      <c r="BP150" s="12" t="s">
        <v>666</v>
      </c>
      <c r="BQ150" s="12" t="s">
        <v>1300</v>
      </c>
      <c r="BR150" s="12" t="s">
        <v>2020</v>
      </c>
      <c r="BS150" s="12" t="s">
        <v>2521</v>
      </c>
      <c r="BT150" s="12" t="s">
        <v>985</v>
      </c>
      <c r="BU150" s="12" t="s">
        <v>674</v>
      </c>
      <c r="BV150" s="12" t="s">
        <v>1862</v>
      </c>
      <c r="BW150" s="12" t="s">
        <v>1863</v>
      </c>
      <c r="BX150" s="12" t="s">
        <v>677</v>
      </c>
      <c r="BY150" s="12" t="s">
        <v>2098</v>
      </c>
      <c r="BZ150" s="12" t="s">
        <v>1014</v>
      </c>
      <c r="CA150" s="12" t="s">
        <v>1057</v>
      </c>
      <c r="CB150" s="12" t="s">
        <v>1058</v>
      </c>
      <c r="CC150" s="12" t="s">
        <v>680</v>
      </c>
      <c r="CD150" s="12" t="s">
        <v>1423</v>
      </c>
      <c r="CE150" s="12" t="s">
        <v>1728</v>
      </c>
      <c r="CF150" s="12" t="s">
        <v>683</v>
      </c>
      <c r="CG150" s="12" t="s">
        <v>3151</v>
      </c>
      <c r="CH150" s="12" t="s">
        <v>2858</v>
      </c>
      <c r="CI150" s="12" t="s">
        <v>1645</v>
      </c>
      <c r="CJ150" s="12" t="s">
        <v>1118</v>
      </c>
      <c r="CK150" s="12" t="s">
        <v>1445</v>
      </c>
      <c r="CL150" s="12" t="s">
        <v>685</v>
      </c>
      <c r="CM150" s="12" t="s">
        <v>3152</v>
      </c>
      <c r="CN150" s="12" t="s">
        <v>1156</v>
      </c>
      <c r="CO150" s="12" t="s">
        <v>763</v>
      </c>
      <c r="CP150" s="12" t="s">
        <v>3153</v>
      </c>
      <c r="CQ150" s="12" t="s">
        <v>3153</v>
      </c>
      <c r="CR150" s="12" t="s">
        <v>1909</v>
      </c>
      <c r="CS150" s="12" t="s">
        <v>1157</v>
      </c>
      <c r="CT150" s="12" t="s">
        <v>764</v>
      </c>
    </row>
    <row r="151" spans="1:98" hidden="1" x14ac:dyDescent="0.3">
      <c r="A151" s="12" t="s">
        <v>25</v>
      </c>
      <c r="B151" s="12" t="s">
        <v>3154</v>
      </c>
      <c r="C151" s="12" t="s">
        <v>3155</v>
      </c>
      <c r="D151" s="12" t="s">
        <v>3156</v>
      </c>
      <c r="E151" s="12" t="s">
        <v>596</v>
      </c>
      <c r="F151" s="12" t="s">
        <v>596</v>
      </c>
      <c r="G151" s="12" t="s">
        <v>596</v>
      </c>
      <c r="H151" s="12" t="s">
        <v>596</v>
      </c>
      <c r="I151" s="12" t="s">
        <v>596</v>
      </c>
      <c r="J151" s="12" t="s">
        <v>596</v>
      </c>
      <c r="K151" s="12" t="s">
        <v>596</v>
      </c>
      <c r="L151" s="12" t="s">
        <v>596</v>
      </c>
      <c r="M151" s="12" t="s">
        <v>596</v>
      </c>
      <c r="N151" s="12" t="s">
        <v>596</v>
      </c>
      <c r="O151" s="12" t="s">
        <v>596</v>
      </c>
      <c r="P151" s="12" t="s">
        <v>596</v>
      </c>
      <c r="Q151" s="12" t="s">
        <v>596</v>
      </c>
      <c r="R151" s="12" t="s">
        <v>596</v>
      </c>
      <c r="S151" s="12" t="s">
        <v>596</v>
      </c>
      <c r="T151" s="12" t="s">
        <v>596</v>
      </c>
      <c r="U151" s="12" t="s">
        <v>596</v>
      </c>
      <c r="V151" s="12" t="s">
        <v>596</v>
      </c>
      <c r="W151" s="12" t="s">
        <v>596</v>
      </c>
      <c r="X151" s="12" t="s">
        <v>596</v>
      </c>
      <c r="Y151" s="12" t="s">
        <v>596</v>
      </c>
      <c r="Z151" s="12" t="s">
        <v>596</v>
      </c>
      <c r="AA151" s="12" t="s">
        <v>596</v>
      </c>
      <c r="AB151" s="12" t="s">
        <v>596</v>
      </c>
      <c r="AC151" s="12" t="s">
        <v>596</v>
      </c>
      <c r="AD151" s="12" t="s">
        <v>596</v>
      </c>
      <c r="AE151" s="12" t="s">
        <v>596</v>
      </c>
      <c r="AF151" s="12" t="s">
        <v>596</v>
      </c>
      <c r="AG151" s="12" t="s">
        <v>596</v>
      </c>
      <c r="AH151" s="12" t="s">
        <v>596</v>
      </c>
      <c r="AI151" s="12" t="s">
        <v>596</v>
      </c>
      <c r="AJ151" s="12" t="s">
        <v>596</v>
      </c>
      <c r="AK151" s="12" t="s">
        <v>596</v>
      </c>
      <c r="AL151" s="12" t="s">
        <v>596</v>
      </c>
      <c r="AM151" s="12" t="s">
        <v>596</v>
      </c>
      <c r="AN151" s="12" t="s">
        <v>596</v>
      </c>
      <c r="AO151" s="12" t="s">
        <v>596</v>
      </c>
      <c r="AP151" s="12" t="s">
        <v>596</v>
      </c>
      <c r="AQ151" s="12" t="s">
        <v>596</v>
      </c>
      <c r="AR151" s="12" t="s">
        <v>596</v>
      </c>
      <c r="AS151" s="12" t="s">
        <v>596</v>
      </c>
      <c r="AT151" s="12" t="s">
        <v>596</v>
      </c>
      <c r="AU151" s="12" t="s">
        <v>596</v>
      </c>
      <c r="AV151" s="12" t="s">
        <v>596</v>
      </c>
      <c r="AW151" s="12" t="s">
        <v>596</v>
      </c>
      <c r="AX151" s="12" t="s">
        <v>596</v>
      </c>
      <c r="AY151" s="12" t="s">
        <v>596</v>
      </c>
      <c r="AZ151" s="12" t="s">
        <v>596</v>
      </c>
      <c r="BA151" s="12" t="s">
        <v>596</v>
      </c>
      <c r="BB151" s="12" t="s">
        <v>596</v>
      </c>
      <c r="BC151" s="12" t="s">
        <v>596</v>
      </c>
      <c r="BD151" s="12" t="s">
        <v>596</v>
      </c>
      <c r="BE151" s="12" t="s">
        <v>596</v>
      </c>
      <c r="BF151" s="12" t="s">
        <v>596</v>
      </c>
      <c r="BG151" s="12" t="s">
        <v>597</v>
      </c>
      <c r="BH151" s="12" t="s">
        <v>597</v>
      </c>
      <c r="BI151" s="12" t="s">
        <v>641</v>
      </c>
      <c r="BJ151" s="12" t="s">
        <v>641</v>
      </c>
      <c r="BK151" s="12" t="s">
        <v>641</v>
      </c>
      <c r="BL151" s="12" t="s">
        <v>690</v>
      </c>
      <c r="BM151" s="12" t="s">
        <v>690</v>
      </c>
      <c r="BN151" s="12" t="s">
        <v>690</v>
      </c>
      <c r="BO151" s="12" t="s">
        <v>690</v>
      </c>
      <c r="BP151" s="12" t="s">
        <v>690</v>
      </c>
      <c r="BQ151" s="12" t="s">
        <v>690</v>
      </c>
      <c r="BR151" s="12" t="s">
        <v>690</v>
      </c>
      <c r="BS151" s="12" t="s">
        <v>690</v>
      </c>
      <c r="BT151" s="12" t="s">
        <v>690</v>
      </c>
      <c r="BU151" s="12" t="s">
        <v>690</v>
      </c>
      <c r="BV151" s="12" t="s">
        <v>690</v>
      </c>
      <c r="BW151" s="12" t="s">
        <v>869</v>
      </c>
      <c r="BX151" s="12" t="s">
        <v>869</v>
      </c>
      <c r="BY151" s="12" t="s">
        <v>600</v>
      </c>
      <c r="BZ151" s="12" t="s">
        <v>642</v>
      </c>
      <c r="CA151" s="12" t="s">
        <v>886</v>
      </c>
      <c r="CB151" s="12" t="s">
        <v>774</v>
      </c>
      <c r="CC151" s="12" t="s">
        <v>774</v>
      </c>
      <c r="CD151" s="12" t="s">
        <v>784</v>
      </c>
      <c r="CE151" s="12" t="s">
        <v>784</v>
      </c>
      <c r="CF151" s="12" t="s">
        <v>695</v>
      </c>
      <c r="CG151" s="12" t="s">
        <v>696</v>
      </c>
      <c r="CH151" s="12" t="s">
        <v>972</v>
      </c>
      <c r="CI151" s="12" t="s">
        <v>650</v>
      </c>
      <c r="CJ151" s="12" t="s">
        <v>650</v>
      </c>
      <c r="CK151" s="12" t="s">
        <v>650</v>
      </c>
      <c r="CL151" s="12" t="s">
        <v>650</v>
      </c>
      <c r="CM151" s="12" t="s">
        <v>653</v>
      </c>
      <c r="CN151" s="12" t="s">
        <v>653</v>
      </c>
      <c r="CO151" s="12" t="s">
        <v>875</v>
      </c>
      <c r="CP151" s="12" t="s">
        <v>878</v>
      </c>
      <c r="CQ151" s="12" t="s">
        <v>1750</v>
      </c>
      <c r="CR151" s="12" t="s">
        <v>1750</v>
      </c>
      <c r="CS151" s="12" t="s">
        <v>1750</v>
      </c>
      <c r="CT151" s="12" t="s">
        <v>1435</v>
      </c>
    </row>
    <row r="152" spans="1:98" hidden="1" x14ac:dyDescent="0.3">
      <c r="A152" s="12" t="s">
        <v>25</v>
      </c>
      <c r="B152" s="12" t="s">
        <v>3157</v>
      </c>
      <c r="C152" s="12" t="s">
        <v>3158</v>
      </c>
      <c r="D152" s="12" t="s">
        <v>3159</v>
      </c>
      <c r="E152" s="12" t="s">
        <v>596</v>
      </c>
      <c r="F152" s="12" t="s">
        <v>596</v>
      </c>
      <c r="G152" s="12" t="s">
        <v>596</v>
      </c>
      <c r="H152" s="12" t="s">
        <v>596</v>
      </c>
      <c r="I152" s="12" t="s">
        <v>596</v>
      </c>
      <c r="J152" s="12" t="s">
        <v>596</v>
      </c>
      <c r="K152" s="12" t="s">
        <v>596</v>
      </c>
      <c r="L152" s="12" t="s">
        <v>596</v>
      </c>
      <c r="M152" s="12" t="s">
        <v>596</v>
      </c>
      <c r="N152" s="12" t="s">
        <v>596</v>
      </c>
      <c r="O152" s="12" t="s">
        <v>596</v>
      </c>
      <c r="P152" s="12" t="s">
        <v>596</v>
      </c>
      <c r="Q152" s="12" t="s">
        <v>596</v>
      </c>
      <c r="R152" s="12" t="s">
        <v>596</v>
      </c>
      <c r="S152" s="12" t="s">
        <v>596</v>
      </c>
      <c r="T152" s="12" t="s">
        <v>596</v>
      </c>
      <c r="U152" s="12" t="s">
        <v>596</v>
      </c>
      <c r="V152" s="12" t="s">
        <v>596</v>
      </c>
      <c r="W152" s="12" t="s">
        <v>596</v>
      </c>
      <c r="X152" s="12" t="s">
        <v>596</v>
      </c>
      <c r="Y152" s="12" t="s">
        <v>596</v>
      </c>
      <c r="Z152" s="12" t="s">
        <v>596</v>
      </c>
      <c r="AA152" s="12" t="s">
        <v>596</v>
      </c>
      <c r="AB152" s="12" t="s">
        <v>596</v>
      </c>
      <c r="AC152" s="12" t="s">
        <v>596</v>
      </c>
      <c r="AD152" s="12" t="s">
        <v>596</v>
      </c>
      <c r="AE152" s="12" t="s">
        <v>596</v>
      </c>
      <c r="AF152" s="12" t="s">
        <v>596</v>
      </c>
      <c r="AG152" s="12" t="s">
        <v>596</v>
      </c>
      <c r="AH152" s="12" t="s">
        <v>596</v>
      </c>
      <c r="AI152" s="12" t="s">
        <v>596</v>
      </c>
      <c r="AJ152" s="12" t="s">
        <v>596</v>
      </c>
      <c r="AK152" s="12" t="s">
        <v>596</v>
      </c>
      <c r="AL152" s="12" t="s">
        <v>596</v>
      </c>
      <c r="AM152" s="12" t="s">
        <v>596</v>
      </c>
      <c r="AN152" s="12" t="s">
        <v>596</v>
      </c>
      <c r="AO152" s="12" t="s">
        <v>596</v>
      </c>
      <c r="AP152" s="12" t="s">
        <v>596</v>
      </c>
      <c r="AQ152" s="12" t="s">
        <v>596</v>
      </c>
      <c r="AR152" s="12" t="s">
        <v>596</v>
      </c>
      <c r="AS152" s="12" t="s">
        <v>596</v>
      </c>
      <c r="AT152" s="12" t="s">
        <v>596</v>
      </c>
      <c r="AU152" s="12" t="s">
        <v>597</v>
      </c>
      <c r="AV152" s="12" t="s">
        <v>597</v>
      </c>
      <c r="AW152" s="12" t="s">
        <v>597</v>
      </c>
      <c r="AX152" s="12" t="s">
        <v>597</v>
      </c>
      <c r="AY152" s="12" t="s">
        <v>597</v>
      </c>
      <c r="AZ152" s="12" t="s">
        <v>597</v>
      </c>
      <c r="BA152" s="12" t="s">
        <v>597</v>
      </c>
      <c r="BB152" s="12" t="s">
        <v>597</v>
      </c>
      <c r="BC152" s="12" t="s">
        <v>597</v>
      </c>
      <c r="BD152" s="12" t="s">
        <v>597</v>
      </c>
      <c r="BE152" s="12" t="s">
        <v>598</v>
      </c>
      <c r="BF152" s="12" t="s">
        <v>598</v>
      </c>
      <c r="BG152" s="12" t="s">
        <v>598</v>
      </c>
      <c r="BH152" s="12" t="s">
        <v>600</v>
      </c>
      <c r="BI152" s="12" t="s">
        <v>887</v>
      </c>
      <c r="BJ152" s="12" t="s">
        <v>887</v>
      </c>
      <c r="BK152" s="12" t="s">
        <v>887</v>
      </c>
      <c r="BL152" s="12" t="s">
        <v>695</v>
      </c>
      <c r="BM152" s="12" t="s">
        <v>695</v>
      </c>
      <c r="BN152" s="12" t="s">
        <v>648</v>
      </c>
      <c r="BO152" s="12" t="s">
        <v>648</v>
      </c>
      <c r="BP152" s="12" t="s">
        <v>648</v>
      </c>
      <c r="BQ152" s="12" t="s">
        <v>787</v>
      </c>
      <c r="BR152" s="12" t="s">
        <v>787</v>
      </c>
      <c r="BS152" s="12" t="s">
        <v>787</v>
      </c>
      <c r="BT152" s="12" t="s">
        <v>787</v>
      </c>
      <c r="BU152" s="12" t="s">
        <v>871</v>
      </c>
      <c r="BV152" s="12" t="s">
        <v>788</v>
      </c>
      <c r="BW152" s="12" t="s">
        <v>788</v>
      </c>
      <c r="BX152" s="12" t="s">
        <v>738</v>
      </c>
      <c r="BY152" s="12" t="s">
        <v>738</v>
      </c>
      <c r="BZ152" s="12" t="s">
        <v>873</v>
      </c>
      <c r="CA152" s="12" t="s">
        <v>873</v>
      </c>
      <c r="CB152" s="12" t="s">
        <v>873</v>
      </c>
      <c r="CC152" s="12" t="s">
        <v>828</v>
      </c>
      <c r="CD152" s="12" t="s">
        <v>828</v>
      </c>
      <c r="CE152" s="12" t="s">
        <v>828</v>
      </c>
      <c r="CF152" s="12" t="s">
        <v>789</v>
      </c>
      <c r="CG152" s="12" t="s">
        <v>789</v>
      </c>
      <c r="CH152" s="12" t="s">
        <v>789</v>
      </c>
      <c r="CI152" s="12" t="s">
        <v>789</v>
      </c>
      <c r="CJ152" s="12" t="s">
        <v>789</v>
      </c>
      <c r="CK152" s="12" t="s">
        <v>789</v>
      </c>
      <c r="CL152" s="12" t="s">
        <v>789</v>
      </c>
      <c r="CM152" s="12" t="s">
        <v>789</v>
      </c>
      <c r="CN152" s="12" t="s">
        <v>789</v>
      </c>
      <c r="CO152" s="12" t="s">
        <v>1202</v>
      </c>
      <c r="CP152" s="12" t="s">
        <v>1202</v>
      </c>
      <c r="CQ152" s="12" t="s">
        <v>1202</v>
      </c>
      <c r="CR152" s="12" t="s">
        <v>1202</v>
      </c>
      <c r="CS152" s="12" t="s">
        <v>1202</v>
      </c>
      <c r="CT152" s="12" t="s">
        <v>1202</v>
      </c>
    </row>
    <row r="153" spans="1:98" hidden="1" x14ac:dyDescent="0.3">
      <c r="A153" s="12" t="s">
        <v>25</v>
      </c>
      <c r="B153" s="12" t="s">
        <v>3160</v>
      </c>
      <c r="C153" s="12" t="s">
        <v>3161</v>
      </c>
      <c r="D153" s="12" t="s">
        <v>3162</v>
      </c>
      <c r="E153" s="12" t="s">
        <v>596</v>
      </c>
      <c r="F153" s="12" t="s">
        <v>596</v>
      </c>
      <c r="G153" s="12" t="s">
        <v>596</v>
      </c>
      <c r="H153" s="12" t="s">
        <v>596</v>
      </c>
      <c r="I153" s="12" t="s">
        <v>596</v>
      </c>
      <c r="J153" s="12" t="s">
        <v>596</v>
      </c>
      <c r="K153" s="12" t="s">
        <v>596</v>
      </c>
      <c r="L153" s="12" t="s">
        <v>596</v>
      </c>
      <c r="M153" s="12" t="s">
        <v>596</v>
      </c>
      <c r="N153" s="12" t="s">
        <v>596</v>
      </c>
      <c r="O153" s="12" t="s">
        <v>596</v>
      </c>
      <c r="P153" s="12" t="s">
        <v>596</v>
      </c>
      <c r="Q153" s="12" t="s">
        <v>596</v>
      </c>
      <c r="R153" s="12" t="s">
        <v>596</v>
      </c>
      <c r="S153" s="12" t="s">
        <v>596</v>
      </c>
      <c r="T153" s="12" t="s">
        <v>596</v>
      </c>
      <c r="U153" s="12" t="s">
        <v>596</v>
      </c>
      <c r="V153" s="12" t="s">
        <v>596</v>
      </c>
      <c r="W153" s="12" t="s">
        <v>596</v>
      </c>
      <c r="X153" s="12" t="s">
        <v>596</v>
      </c>
      <c r="Y153" s="12" t="s">
        <v>596</v>
      </c>
      <c r="Z153" s="12" t="s">
        <v>596</v>
      </c>
      <c r="AA153" s="12" t="s">
        <v>596</v>
      </c>
      <c r="AB153" s="12" t="s">
        <v>596</v>
      </c>
      <c r="AC153" s="12" t="s">
        <v>596</v>
      </c>
      <c r="AD153" s="12" t="s">
        <v>596</v>
      </c>
      <c r="AE153" s="12" t="s">
        <v>596</v>
      </c>
      <c r="AF153" s="12" t="s">
        <v>596</v>
      </c>
      <c r="AG153" s="12" t="s">
        <v>596</v>
      </c>
      <c r="AH153" s="12" t="s">
        <v>596</v>
      </c>
      <c r="AI153" s="12" t="s">
        <v>596</v>
      </c>
      <c r="AJ153" s="12" t="s">
        <v>596</v>
      </c>
      <c r="AK153" s="12" t="s">
        <v>596</v>
      </c>
      <c r="AL153" s="12" t="s">
        <v>596</v>
      </c>
      <c r="AM153" s="12" t="s">
        <v>596</v>
      </c>
      <c r="AN153" s="12" t="s">
        <v>596</v>
      </c>
      <c r="AO153" s="12" t="s">
        <v>596</v>
      </c>
      <c r="AP153" s="12" t="s">
        <v>597</v>
      </c>
      <c r="AQ153" s="12" t="s">
        <v>597</v>
      </c>
      <c r="AR153" s="12" t="s">
        <v>597</v>
      </c>
      <c r="AS153" s="12" t="s">
        <v>597</v>
      </c>
      <c r="AT153" s="12" t="s">
        <v>597</v>
      </c>
      <c r="AU153" s="12" t="s">
        <v>597</v>
      </c>
      <c r="AV153" s="12" t="s">
        <v>597</v>
      </c>
      <c r="AW153" s="12" t="s">
        <v>597</v>
      </c>
      <c r="AX153" s="12" t="s">
        <v>597</v>
      </c>
      <c r="AY153" s="12" t="s">
        <v>597</v>
      </c>
      <c r="AZ153" s="12" t="s">
        <v>597</v>
      </c>
      <c r="BA153" s="12" t="s">
        <v>597</v>
      </c>
      <c r="BB153" s="12" t="s">
        <v>690</v>
      </c>
      <c r="BC153" s="12" t="s">
        <v>690</v>
      </c>
      <c r="BD153" s="12" t="s">
        <v>869</v>
      </c>
      <c r="BE153" s="12" t="s">
        <v>773</v>
      </c>
      <c r="BF153" s="12" t="s">
        <v>643</v>
      </c>
      <c r="BG153" s="12" t="s">
        <v>691</v>
      </c>
      <c r="BH153" s="12" t="s">
        <v>775</v>
      </c>
      <c r="BI153" s="12" t="s">
        <v>931</v>
      </c>
      <c r="BJ153" s="12" t="s">
        <v>989</v>
      </c>
      <c r="BK153" s="12" t="s">
        <v>1009</v>
      </c>
      <c r="BL153" s="12" t="s">
        <v>1370</v>
      </c>
      <c r="BM153" s="12" t="s">
        <v>1839</v>
      </c>
      <c r="BN153" s="12" t="s">
        <v>1752</v>
      </c>
      <c r="BO153" s="12" t="s">
        <v>1115</v>
      </c>
      <c r="BP153" s="12" t="s">
        <v>1705</v>
      </c>
      <c r="BQ153" s="12" t="s">
        <v>617</v>
      </c>
      <c r="BR153" s="12" t="s">
        <v>1456</v>
      </c>
      <c r="BS153" s="12" t="s">
        <v>2185</v>
      </c>
      <c r="BT153" s="12" t="s">
        <v>1051</v>
      </c>
      <c r="BU153" s="12" t="s">
        <v>1721</v>
      </c>
      <c r="BV153" s="12" t="s">
        <v>1644</v>
      </c>
      <c r="BW153" s="12" t="s">
        <v>1424</v>
      </c>
      <c r="BX153" s="12" t="s">
        <v>1541</v>
      </c>
      <c r="BY153" s="12" t="s">
        <v>764</v>
      </c>
      <c r="BZ153" s="12" t="s">
        <v>2022</v>
      </c>
      <c r="CA153" s="12" t="s">
        <v>1160</v>
      </c>
      <c r="CB153" s="12" t="s">
        <v>3163</v>
      </c>
      <c r="CC153" s="12" t="s">
        <v>2473</v>
      </c>
      <c r="CD153" s="12" t="s">
        <v>1985</v>
      </c>
      <c r="CE153" s="12" t="s">
        <v>3164</v>
      </c>
      <c r="CF153" s="12" t="s">
        <v>962</v>
      </c>
      <c r="CG153" s="12" t="s">
        <v>633</v>
      </c>
      <c r="CH153" s="12" t="s">
        <v>3165</v>
      </c>
      <c r="CI153" s="12" t="s">
        <v>3166</v>
      </c>
      <c r="CJ153" s="12" t="s">
        <v>2417</v>
      </c>
      <c r="CK153" s="12" t="s">
        <v>3049</v>
      </c>
      <c r="CL153" s="12" t="s">
        <v>2945</v>
      </c>
      <c r="CM153" s="12" t="s">
        <v>2450</v>
      </c>
      <c r="CN153" s="12" t="s">
        <v>3167</v>
      </c>
      <c r="CO153" s="12" t="s">
        <v>3168</v>
      </c>
      <c r="CP153" s="12" t="s">
        <v>2308</v>
      </c>
      <c r="CQ153" s="12" t="s">
        <v>1790</v>
      </c>
      <c r="CR153" s="12" t="s">
        <v>1487</v>
      </c>
      <c r="CS153" s="12" t="s">
        <v>1129</v>
      </c>
      <c r="CT153" s="12" t="s">
        <v>2704</v>
      </c>
    </row>
    <row r="154" spans="1:98" hidden="1" x14ac:dyDescent="0.3">
      <c r="A154" s="12" t="s">
        <v>25</v>
      </c>
      <c r="B154" s="12" t="s">
        <v>3169</v>
      </c>
      <c r="C154" s="12" t="s">
        <v>3170</v>
      </c>
      <c r="D154" s="12" t="s">
        <v>3171</v>
      </c>
      <c r="E154" s="12" t="s">
        <v>596</v>
      </c>
      <c r="F154" s="12" t="s">
        <v>596</v>
      </c>
      <c r="G154" s="12" t="s">
        <v>596</v>
      </c>
      <c r="H154" s="12" t="s">
        <v>596</v>
      </c>
      <c r="I154" s="12" t="s">
        <v>596</v>
      </c>
      <c r="J154" s="12" t="s">
        <v>596</v>
      </c>
      <c r="K154" s="12" t="s">
        <v>596</v>
      </c>
      <c r="L154" s="12" t="s">
        <v>596</v>
      </c>
      <c r="M154" s="12" t="s">
        <v>596</v>
      </c>
      <c r="N154" s="12" t="s">
        <v>596</v>
      </c>
      <c r="O154" s="12" t="s">
        <v>596</v>
      </c>
      <c r="P154" s="12" t="s">
        <v>596</v>
      </c>
      <c r="Q154" s="12" t="s">
        <v>596</v>
      </c>
      <c r="R154" s="12" t="s">
        <v>596</v>
      </c>
      <c r="S154" s="12" t="s">
        <v>596</v>
      </c>
      <c r="T154" s="12" t="s">
        <v>596</v>
      </c>
      <c r="U154" s="12" t="s">
        <v>596</v>
      </c>
      <c r="V154" s="12" t="s">
        <v>596</v>
      </c>
      <c r="W154" s="12" t="s">
        <v>596</v>
      </c>
      <c r="X154" s="12" t="s">
        <v>596</v>
      </c>
      <c r="Y154" s="12" t="s">
        <v>596</v>
      </c>
      <c r="Z154" s="12" t="s">
        <v>596</v>
      </c>
      <c r="AA154" s="12" t="s">
        <v>596</v>
      </c>
      <c r="AB154" s="12" t="s">
        <v>596</v>
      </c>
      <c r="AC154" s="12" t="s">
        <v>596</v>
      </c>
      <c r="AD154" s="12" t="s">
        <v>596</v>
      </c>
      <c r="AE154" s="12" t="s">
        <v>596</v>
      </c>
      <c r="AF154" s="12" t="s">
        <v>596</v>
      </c>
      <c r="AG154" s="12" t="s">
        <v>596</v>
      </c>
      <c r="AH154" s="12" t="s">
        <v>596</v>
      </c>
      <c r="AI154" s="12" t="s">
        <v>596</v>
      </c>
      <c r="AJ154" s="12" t="s">
        <v>596</v>
      </c>
      <c r="AK154" s="12" t="s">
        <v>596</v>
      </c>
      <c r="AL154" s="12" t="s">
        <v>596</v>
      </c>
      <c r="AM154" s="12" t="s">
        <v>596</v>
      </c>
      <c r="AN154" s="12" t="s">
        <v>596</v>
      </c>
      <c r="AO154" s="12" t="s">
        <v>596</v>
      </c>
      <c r="AP154" s="12" t="s">
        <v>596</v>
      </c>
      <c r="AQ154" s="12" t="s">
        <v>597</v>
      </c>
      <c r="AR154" s="12" t="s">
        <v>597</v>
      </c>
      <c r="AS154" s="12" t="s">
        <v>597</v>
      </c>
      <c r="AT154" s="12" t="s">
        <v>597</v>
      </c>
      <c r="AU154" s="12" t="s">
        <v>597</v>
      </c>
      <c r="AV154" s="12" t="s">
        <v>597</v>
      </c>
      <c r="AW154" s="12" t="s">
        <v>641</v>
      </c>
      <c r="AX154" s="12" t="s">
        <v>641</v>
      </c>
      <c r="AY154" s="12" t="s">
        <v>690</v>
      </c>
      <c r="AZ154" s="12" t="s">
        <v>690</v>
      </c>
      <c r="BA154" s="12" t="s">
        <v>599</v>
      </c>
      <c r="BB154" s="12" t="s">
        <v>600</v>
      </c>
      <c r="BC154" s="12" t="s">
        <v>692</v>
      </c>
      <c r="BD154" s="12" t="s">
        <v>785</v>
      </c>
      <c r="BE154" s="12" t="s">
        <v>648</v>
      </c>
      <c r="BF154" s="12" t="s">
        <v>650</v>
      </c>
      <c r="BG154" s="12" t="s">
        <v>873</v>
      </c>
      <c r="BH154" s="12" t="s">
        <v>1043</v>
      </c>
      <c r="BI154" s="12" t="s">
        <v>1506</v>
      </c>
      <c r="BJ154" s="12" t="s">
        <v>2074</v>
      </c>
      <c r="BK154" s="12" t="s">
        <v>622</v>
      </c>
      <c r="BL154" s="12" t="s">
        <v>2594</v>
      </c>
      <c r="BM154" s="12" t="s">
        <v>2158</v>
      </c>
      <c r="BN154" s="12" t="s">
        <v>3172</v>
      </c>
      <c r="BO154" s="12" t="s">
        <v>3173</v>
      </c>
      <c r="BP154" s="12" t="s">
        <v>1785</v>
      </c>
      <c r="BQ154" s="12" t="s">
        <v>3174</v>
      </c>
      <c r="BR154" s="12" t="s">
        <v>2459</v>
      </c>
      <c r="BS154" s="12" t="s">
        <v>3175</v>
      </c>
      <c r="BT154" s="12" t="s">
        <v>2228</v>
      </c>
      <c r="BU154" s="12" t="s">
        <v>3176</v>
      </c>
      <c r="BV154" s="12" t="s">
        <v>3016</v>
      </c>
      <c r="BW154" s="12" t="s">
        <v>3177</v>
      </c>
      <c r="BX154" s="12" t="s">
        <v>2483</v>
      </c>
      <c r="BY154" s="12" t="s">
        <v>3178</v>
      </c>
      <c r="BZ154" s="12" t="s">
        <v>3179</v>
      </c>
      <c r="CA154" s="12" t="s">
        <v>3180</v>
      </c>
      <c r="CB154" s="12" t="s">
        <v>3181</v>
      </c>
      <c r="CC154" s="12" t="s">
        <v>3182</v>
      </c>
      <c r="CD154" s="12" t="s">
        <v>3183</v>
      </c>
      <c r="CE154" s="12" t="s">
        <v>3184</v>
      </c>
      <c r="CF154" s="12" t="s">
        <v>3185</v>
      </c>
      <c r="CG154" s="12" t="s">
        <v>3186</v>
      </c>
      <c r="CH154" s="12" t="s">
        <v>1214</v>
      </c>
      <c r="CI154" s="12" t="s">
        <v>3187</v>
      </c>
      <c r="CJ154" s="12" t="s">
        <v>3188</v>
      </c>
      <c r="CK154" s="12" t="s">
        <v>3189</v>
      </c>
      <c r="CL154" s="12" t="s">
        <v>3190</v>
      </c>
      <c r="CM154" s="12" t="s">
        <v>3191</v>
      </c>
      <c r="CN154" s="12" t="s">
        <v>3192</v>
      </c>
      <c r="CO154" s="12" t="s">
        <v>3193</v>
      </c>
      <c r="CP154" s="12" t="s">
        <v>3194</v>
      </c>
      <c r="CQ154" s="12" t="s">
        <v>3195</v>
      </c>
      <c r="CR154" s="12" t="s">
        <v>3020</v>
      </c>
      <c r="CS154" s="12" t="s">
        <v>3196</v>
      </c>
      <c r="CT154" s="12" t="s">
        <v>3197</v>
      </c>
    </row>
    <row r="155" spans="1:98" hidden="1" x14ac:dyDescent="0.3">
      <c r="A155" s="12" t="s">
        <v>25</v>
      </c>
      <c r="B155" s="12" t="s">
        <v>3198</v>
      </c>
      <c r="C155" s="12" t="s">
        <v>3199</v>
      </c>
      <c r="D155" s="12" t="s">
        <v>3200</v>
      </c>
      <c r="E155" s="12" t="s">
        <v>596</v>
      </c>
      <c r="F155" s="12" t="s">
        <v>596</v>
      </c>
      <c r="G155" s="12" t="s">
        <v>596</v>
      </c>
      <c r="H155" s="12" t="s">
        <v>596</v>
      </c>
      <c r="I155" s="12" t="s">
        <v>596</v>
      </c>
      <c r="J155" s="12" t="s">
        <v>596</v>
      </c>
      <c r="K155" s="12" t="s">
        <v>596</v>
      </c>
      <c r="L155" s="12" t="s">
        <v>596</v>
      </c>
      <c r="M155" s="12" t="s">
        <v>596</v>
      </c>
      <c r="N155" s="12" t="s">
        <v>596</v>
      </c>
      <c r="O155" s="12" t="s">
        <v>596</v>
      </c>
      <c r="P155" s="12" t="s">
        <v>596</v>
      </c>
      <c r="Q155" s="12" t="s">
        <v>596</v>
      </c>
      <c r="R155" s="12" t="s">
        <v>596</v>
      </c>
      <c r="S155" s="12" t="s">
        <v>596</v>
      </c>
      <c r="T155" s="12" t="s">
        <v>596</v>
      </c>
      <c r="U155" s="12" t="s">
        <v>596</v>
      </c>
      <c r="V155" s="12" t="s">
        <v>596</v>
      </c>
      <c r="W155" s="12" t="s">
        <v>596</v>
      </c>
      <c r="X155" s="12" t="s">
        <v>596</v>
      </c>
      <c r="Y155" s="12" t="s">
        <v>596</v>
      </c>
      <c r="Z155" s="12" t="s">
        <v>596</v>
      </c>
      <c r="AA155" s="12" t="s">
        <v>596</v>
      </c>
      <c r="AB155" s="12" t="s">
        <v>596</v>
      </c>
      <c r="AC155" s="12" t="s">
        <v>596</v>
      </c>
      <c r="AD155" s="12" t="s">
        <v>596</v>
      </c>
      <c r="AE155" s="12" t="s">
        <v>596</v>
      </c>
      <c r="AF155" s="12" t="s">
        <v>596</v>
      </c>
      <c r="AG155" s="12" t="s">
        <v>596</v>
      </c>
      <c r="AH155" s="12" t="s">
        <v>596</v>
      </c>
      <c r="AI155" s="12" t="s">
        <v>596</v>
      </c>
      <c r="AJ155" s="12" t="s">
        <v>596</v>
      </c>
      <c r="AK155" s="12" t="s">
        <v>596</v>
      </c>
      <c r="AL155" s="12" t="s">
        <v>596</v>
      </c>
      <c r="AM155" s="12" t="s">
        <v>596</v>
      </c>
      <c r="AN155" s="12" t="s">
        <v>596</v>
      </c>
      <c r="AO155" s="12" t="s">
        <v>596</v>
      </c>
      <c r="AP155" s="12" t="s">
        <v>596</v>
      </c>
      <c r="AQ155" s="12" t="s">
        <v>596</v>
      </c>
      <c r="AR155" s="12" t="s">
        <v>596</v>
      </c>
      <c r="AS155" s="12" t="s">
        <v>596</v>
      </c>
      <c r="AT155" s="12" t="s">
        <v>596</v>
      </c>
      <c r="AU155" s="12" t="s">
        <v>596</v>
      </c>
      <c r="AV155" s="12" t="s">
        <v>596</v>
      </c>
      <c r="AW155" s="12" t="s">
        <v>596</v>
      </c>
      <c r="AX155" s="12" t="s">
        <v>596</v>
      </c>
      <c r="AY155" s="12" t="s">
        <v>596</v>
      </c>
      <c r="AZ155" s="12" t="s">
        <v>596</v>
      </c>
      <c r="BA155" s="12" t="s">
        <v>596</v>
      </c>
      <c r="BB155" s="12" t="s">
        <v>596</v>
      </c>
      <c r="BC155" s="12" t="s">
        <v>596</v>
      </c>
      <c r="BD155" s="12" t="s">
        <v>596</v>
      </c>
      <c r="BE155" s="12" t="s">
        <v>596</v>
      </c>
      <c r="BF155" s="12" t="s">
        <v>596</v>
      </c>
      <c r="BG155" s="12" t="s">
        <v>596</v>
      </c>
      <c r="BH155" s="12" t="s">
        <v>596</v>
      </c>
      <c r="BI155" s="12" t="s">
        <v>596</v>
      </c>
      <c r="BJ155" s="12" t="s">
        <v>596</v>
      </c>
      <c r="BK155" s="12" t="s">
        <v>690</v>
      </c>
      <c r="BL155" s="12" t="s">
        <v>690</v>
      </c>
      <c r="BM155" s="12" t="s">
        <v>690</v>
      </c>
      <c r="BN155" s="12" t="s">
        <v>643</v>
      </c>
      <c r="BO155" s="12" t="s">
        <v>691</v>
      </c>
      <c r="BP155" s="12" t="s">
        <v>692</v>
      </c>
      <c r="BQ155" s="12" t="s">
        <v>644</v>
      </c>
      <c r="BR155" s="12" t="s">
        <v>694</v>
      </c>
      <c r="BS155" s="12" t="s">
        <v>694</v>
      </c>
      <c r="BT155" s="12" t="s">
        <v>736</v>
      </c>
      <c r="BU155" s="12" t="s">
        <v>1277</v>
      </c>
      <c r="BV155" s="12" t="s">
        <v>1010</v>
      </c>
      <c r="BW155" s="12" t="s">
        <v>1010</v>
      </c>
      <c r="BX155" s="12" t="s">
        <v>650</v>
      </c>
      <c r="BY155" s="12" t="s">
        <v>652</v>
      </c>
      <c r="BZ155" s="12" t="s">
        <v>652</v>
      </c>
      <c r="CA155" s="12" t="s">
        <v>993</v>
      </c>
      <c r="CB155" s="12" t="s">
        <v>994</v>
      </c>
      <c r="CC155" s="12" t="s">
        <v>739</v>
      </c>
      <c r="CD155" s="12" t="s">
        <v>876</v>
      </c>
      <c r="CE155" s="12" t="s">
        <v>876</v>
      </c>
      <c r="CF155" s="12" t="s">
        <v>876</v>
      </c>
      <c r="CG155" s="12" t="s">
        <v>881</v>
      </c>
      <c r="CH155" s="12" t="s">
        <v>1682</v>
      </c>
      <c r="CI155" s="12" t="s">
        <v>1682</v>
      </c>
      <c r="CJ155" s="12" t="s">
        <v>1517</v>
      </c>
      <c r="CK155" s="12" t="s">
        <v>610</v>
      </c>
      <c r="CL155" s="12" t="s">
        <v>997</v>
      </c>
      <c r="CM155" s="12" t="s">
        <v>1435</v>
      </c>
      <c r="CN155" s="12" t="s">
        <v>611</v>
      </c>
      <c r="CO155" s="12" t="s">
        <v>1011</v>
      </c>
      <c r="CP155" s="12" t="s">
        <v>1011</v>
      </c>
      <c r="CQ155" s="12" t="s">
        <v>1011</v>
      </c>
      <c r="CR155" s="12" t="s">
        <v>1011</v>
      </c>
      <c r="CS155" s="12" t="s">
        <v>1011</v>
      </c>
      <c r="CT155" s="12" t="s">
        <v>998</v>
      </c>
    </row>
    <row r="156" spans="1:98" hidden="1" x14ac:dyDescent="0.3">
      <c r="A156" s="12" t="s">
        <v>25</v>
      </c>
      <c r="B156" s="12" t="s">
        <v>3201</v>
      </c>
      <c r="C156" s="12" t="s">
        <v>3202</v>
      </c>
      <c r="D156" s="12" t="s">
        <v>3203</v>
      </c>
      <c r="E156" s="12" t="s">
        <v>596</v>
      </c>
      <c r="F156" s="12" t="s">
        <v>596</v>
      </c>
      <c r="G156" s="12" t="s">
        <v>596</v>
      </c>
      <c r="H156" s="12" t="s">
        <v>690</v>
      </c>
      <c r="I156" s="12" t="s">
        <v>598</v>
      </c>
      <c r="J156" s="12" t="s">
        <v>598</v>
      </c>
      <c r="K156" s="12" t="s">
        <v>598</v>
      </c>
      <c r="L156" s="12" t="s">
        <v>600</v>
      </c>
      <c r="M156" s="12" t="s">
        <v>773</v>
      </c>
      <c r="N156" s="12" t="s">
        <v>773</v>
      </c>
      <c r="O156" s="12" t="s">
        <v>773</v>
      </c>
      <c r="P156" s="12" t="s">
        <v>773</v>
      </c>
      <c r="Q156" s="12" t="s">
        <v>773</v>
      </c>
      <c r="R156" s="12" t="s">
        <v>642</v>
      </c>
      <c r="S156" s="12" t="s">
        <v>643</v>
      </c>
      <c r="T156" s="12" t="s">
        <v>643</v>
      </c>
      <c r="U156" s="12" t="s">
        <v>643</v>
      </c>
      <c r="V156" s="12" t="s">
        <v>602</v>
      </c>
      <c r="W156" s="12" t="s">
        <v>602</v>
      </c>
      <c r="X156" s="12" t="s">
        <v>826</v>
      </c>
      <c r="Y156" s="12" t="s">
        <v>826</v>
      </c>
      <c r="Z156" s="12" t="s">
        <v>826</v>
      </c>
      <c r="AA156" s="12" t="s">
        <v>692</v>
      </c>
      <c r="AB156" s="12" t="s">
        <v>692</v>
      </c>
      <c r="AC156" s="12" t="s">
        <v>604</v>
      </c>
      <c r="AD156" s="12" t="s">
        <v>604</v>
      </c>
      <c r="AE156" s="12" t="s">
        <v>604</v>
      </c>
      <c r="AF156" s="12" t="s">
        <v>604</v>
      </c>
      <c r="AG156" s="12" t="s">
        <v>604</v>
      </c>
      <c r="AH156" s="12" t="s">
        <v>604</v>
      </c>
      <c r="AI156" s="12" t="s">
        <v>604</v>
      </c>
      <c r="AJ156" s="12" t="s">
        <v>604</v>
      </c>
      <c r="AK156" s="12" t="s">
        <v>604</v>
      </c>
      <c r="AL156" s="12" t="s">
        <v>604</v>
      </c>
      <c r="AM156" s="12" t="s">
        <v>604</v>
      </c>
      <c r="AN156" s="12" t="s">
        <v>604</v>
      </c>
      <c r="AO156" s="12" t="s">
        <v>644</v>
      </c>
      <c r="AP156" s="12" t="s">
        <v>644</v>
      </c>
      <c r="AQ156" s="12" t="s">
        <v>775</v>
      </c>
      <c r="AR156" s="12" t="s">
        <v>971</v>
      </c>
      <c r="AS156" s="12" t="s">
        <v>971</v>
      </c>
      <c r="AT156" s="12" t="s">
        <v>989</v>
      </c>
      <c r="AU156" s="12" t="s">
        <v>972</v>
      </c>
      <c r="AV156" s="12" t="s">
        <v>972</v>
      </c>
      <c r="AW156" s="12" t="s">
        <v>1370</v>
      </c>
      <c r="AX156" s="12" t="s">
        <v>876</v>
      </c>
      <c r="AY156" s="12" t="s">
        <v>878</v>
      </c>
      <c r="AZ156" s="12" t="s">
        <v>1435</v>
      </c>
      <c r="BA156" s="12" t="s">
        <v>1373</v>
      </c>
      <c r="BB156" s="12" t="s">
        <v>2117</v>
      </c>
      <c r="BC156" s="12" t="s">
        <v>2117</v>
      </c>
      <c r="BD156" s="12" t="s">
        <v>659</v>
      </c>
      <c r="BE156" s="12" t="s">
        <v>1642</v>
      </c>
      <c r="BF156" s="12" t="s">
        <v>751</v>
      </c>
      <c r="BG156" s="12" t="s">
        <v>1725</v>
      </c>
      <c r="BH156" s="12" t="s">
        <v>763</v>
      </c>
      <c r="BI156" s="12" t="s">
        <v>2209</v>
      </c>
      <c r="BJ156" s="12" t="s">
        <v>952</v>
      </c>
      <c r="BK156" s="12" t="s">
        <v>3204</v>
      </c>
      <c r="BL156" s="12" t="s">
        <v>3205</v>
      </c>
      <c r="BM156" s="12" t="s">
        <v>1649</v>
      </c>
      <c r="BN156" s="12" t="s">
        <v>1132</v>
      </c>
      <c r="BO156" s="12" t="s">
        <v>3206</v>
      </c>
      <c r="BP156" s="12" t="s">
        <v>3207</v>
      </c>
      <c r="BQ156" s="12" t="s">
        <v>3208</v>
      </c>
      <c r="BR156" s="12" t="s">
        <v>3209</v>
      </c>
      <c r="BS156" s="12" t="s">
        <v>3210</v>
      </c>
      <c r="BT156" s="12" t="s">
        <v>3211</v>
      </c>
      <c r="BU156" s="12" t="s">
        <v>3212</v>
      </c>
      <c r="BV156" s="12" t="s">
        <v>3213</v>
      </c>
      <c r="BW156" s="12" t="s">
        <v>1470</v>
      </c>
      <c r="BX156" s="12" t="s">
        <v>3214</v>
      </c>
      <c r="BY156" s="12" t="s">
        <v>2429</v>
      </c>
      <c r="BZ156" s="12" t="s">
        <v>3215</v>
      </c>
      <c r="CA156" s="12" t="s">
        <v>3216</v>
      </c>
      <c r="CB156" s="12" t="s">
        <v>3217</v>
      </c>
      <c r="CC156" s="12" t="s">
        <v>3218</v>
      </c>
      <c r="CD156" s="12" t="s">
        <v>3219</v>
      </c>
      <c r="CE156" s="12" t="s">
        <v>3220</v>
      </c>
      <c r="CF156" s="12" t="s">
        <v>3221</v>
      </c>
      <c r="CG156" s="12" t="s">
        <v>3222</v>
      </c>
      <c r="CH156" s="12" t="s">
        <v>3223</v>
      </c>
      <c r="CI156" s="12" t="s">
        <v>3224</v>
      </c>
      <c r="CJ156" s="12" t="s">
        <v>3225</v>
      </c>
      <c r="CK156" s="12" t="s">
        <v>3226</v>
      </c>
      <c r="CL156" s="12" t="s">
        <v>3227</v>
      </c>
      <c r="CM156" s="12" t="s">
        <v>3228</v>
      </c>
      <c r="CN156" s="12" t="s">
        <v>3229</v>
      </c>
      <c r="CO156" s="12" t="s">
        <v>3230</v>
      </c>
      <c r="CP156" s="12" t="s">
        <v>3231</v>
      </c>
      <c r="CQ156" s="12" t="s">
        <v>3232</v>
      </c>
      <c r="CR156" s="12" t="s">
        <v>3233</v>
      </c>
      <c r="CS156" s="12" t="s">
        <v>3234</v>
      </c>
      <c r="CT156" s="12" t="s">
        <v>3235</v>
      </c>
    </row>
    <row r="157" spans="1:98" hidden="1" x14ac:dyDescent="0.3">
      <c r="A157" s="12" t="s">
        <v>25</v>
      </c>
      <c r="B157" s="12" t="s">
        <v>3236</v>
      </c>
      <c r="C157" s="12" t="s">
        <v>3237</v>
      </c>
      <c r="D157" s="12" t="s">
        <v>3238</v>
      </c>
      <c r="E157" s="12" t="s">
        <v>596</v>
      </c>
      <c r="F157" s="12" t="s">
        <v>596</v>
      </c>
      <c r="G157" s="12" t="s">
        <v>596</v>
      </c>
      <c r="H157" s="12" t="s">
        <v>596</v>
      </c>
      <c r="I157" s="12" t="s">
        <v>596</v>
      </c>
      <c r="J157" s="12" t="s">
        <v>596</v>
      </c>
      <c r="K157" s="12" t="s">
        <v>596</v>
      </c>
      <c r="L157" s="12" t="s">
        <v>596</v>
      </c>
      <c r="M157" s="12" t="s">
        <v>596</v>
      </c>
      <c r="N157" s="12" t="s">
        <v>596</v>
      </c>
      <c r="O157" s="12" t="s">
        <v>596</v>
      </c>
      <c r="P157" s="12" t="s">
        <v>596</v>
      </c>
      <c r="Q157" s="12" t="s">
        <v>596</v>
      </c>
      <c r="R157" s="12" t="s">
        <v>596</v>
      </c>
      <c r="S157" s="12" t="s">
        <v>596</v>
      </c>
      <c r="T157" s="12" t="s">
        <v>596</v>
      </c>
      <c r="U157" s="12" t="s">
        <v>596</v>
      </c>
      <c r="V157" s="12" t="s">
        <v>596</v>
      </c>
      <c r="W157" s="12" t="s">
        <v>596</v>
      </c>
      <c r="X157" s="12" t="s">
        <v>596</v>
      </c>
      <c r="Y157" s="12" t="s">
        <v>596</v>
      </c>
      <c r="Z157" s="12" t="s">
        <v>596</v>
      </c>
      <c r="AA157" s="12" t="s">
        <v>596</v>
      </c>
      <c r="AB157" s="12" t="s">
        <v>596</v>
      </c>
      <c r="AC157" s="12" t="s">
        <v>596</v>
      </c>
      <c r="AD157" s="12" t="s">
        <v>596</v>
      </c>
      <c r="AE157" s="12" t="s">
        <v>596</v>
      </c>
      <c r="AF157" s="12" t="s">
        <v>596</v>
      </c>
      <c r="AG157" s="12" t="s">
        <v>596</v>
      </c>
      <c r="AH157" s="12" t="s">
        <v>596</v>
      </c>
      <c r="AI157" s="12" t="s">
        <v>596</v>
      </c>
      <c r="AJ157" s="12" t="s">
        <v>596</v>
      </c>
      <c r="AK157" s="12" t="s">
        <v>596</v>
      </c>
      <c r="AL157" s="12" t="s">
        <v>596</v>
      </c>
      <c r="AM157" s="12" t="s">
        <v>596</v>
      </c>
      <c r="AN157" s="12" t="s">
        <v>596</v>
      </c>
      <c r="AO157" s="12" t="s">
        <v>596</v>
      </c>
      <c r="AP157" s="12" t="s">
        <v>596</v>
      </c>
      <c r="AQ157" s="12" t="s">
        <v>596</v>
      </c>
      <c r="AR157" s="12" t="s">
        <v>596</v>
      </c>
      <c r="AS157" s="12" t="s">
        <v>596</v>
      </c>
      <c r="AT157" s="12" t="s">
        <v>596</v>
      </c>
      <c r="AU157" s="12" t="s">
        <v>596</v>
      </c>
      <c r="AV157" s="12" t="s">
        <v>596</v>
      </c>
      <c r="AW157" s="12" t="s">
        <v>596</v>
      </c>
      <c r="AX157" s="12" t="s">
        <v>596</v>
      </c>
      <c r="AY157" s="12" t="s">
        <v>598</v>
      </c>
      <c r="AZ157" s="12" t="s">
        <v>598</v>
      </c>
      <c r="BA157" s="12" t="s">
        <v>869</v>
      </c>
      <c r="BB157" s="12" t="s">
        <v>773</v>
      </c>
      <c r="BC157" s="12" t="s">
        <v>773</v>
      </c>
      <c r="BD157" s="12" t="s">
        <v>779</v>
      </c>
      <c r="BE157" s="12" t="s">
        <v>642</v>
      </c>
      <c r="BF157" s="12" t="s">
        <v>886</v>
      </c>
      <c r="BG157" s="12" t="s">
        <v>886</v>
      </c>
      <c r="BH157" s="12" t="s">
        <v>886</v>
      </c>
      <c r="BI157" s="12" t="s">
        <v>886</v>
      </c>
      <c r="BJ157" s="12" t="s">
        <v>886</v>
      </c>
      <c r="BK157" s="12" t="s">
        <v>886</v>
      </c>
      <c r="BL157" s="12" t="s">
        <v>886</v>
      </c>
      <c r="BM157" s="12" t="s">
        <v>886</v>
      </c>
      <c r="BN157" s="12" t="s">
        <v>886</v>
      </c>
      <c r="BO157" s="12" t="s">
        <v>886</v>
      </c>
      <c r="BP157" s="12" t="s">
        <v>886</v>
      </c>
      <c r="BQ157" s="12" t="s">
        <v>886</v>
      </c>
      <c r="BR157" s="12" t="s">
        <v>602</v>
      </c>
      <c r="BS157" s="12" t="s">
        <v>602</v>
      </c>
      <c r="BT157" s="12" t="s">
        <v>691</v>
      </c>
      <c r="BU157" s="12" t="s">
        <v>691</v>
      </c>
      <c r="BV157" s="12" t="s">
        <v>826</v>
      </c>
      <c r="BW157" s="12" t="s">
        <v>692</v>
      </c>
      <c r="BX157" s="12" t="s">
        <v>692</v>
      </c>
      <c r="BY157" s="12" t="s">
        <v>692</v>
      </c>
      <c r="BZ157" s="12" t="s">
        <v>692</v>
      </c>
      <c r="CA157" s="12" t="s">
        <v>692</v>
      </c>
      <c r="CB157" s="12" t="s">
        <v>692</v>
      </c>
      <c r="CC157" s="12" t="s">
        <v>692</v>
      </c>
      <c r="CD157" s="12" t="s">
        <v>692</v>
      </c>
      <c r="CE157" s="12" t="s">
        <v>692</v>
      </c>
      <c r="CF157" s="12" t="s">
        <v>692</v>
      </c>
      <c r="CG157" s="12" t="s">
        <v>692</v>
      </c>
      <c r="CH157" s="12" t="s">
        <v>693</v>
      </c>
      <c r="CI157" s="12" t="s">
        <v>693</v>
      </c>
      <c r="CJ157" s="12" t="s">
        <v>693</v>
      </c>
      <c r="CK157" s="12" t="s">
        <v>604</v>
      </c>
      <c r="CL157" s="12" t="s">
        <v>775</v>
      </c>
      <c r="CM157" s="12" t="s">
        <v>887</v>
      </c>
      <c r="CN157" s="12" t="s">
        <v>935</v>
      </c>
      <c r="CO157" s="12" t="s">
        <v>827</v>
      </c>
      <c r="CP157" s="12" t="s">
        <v>992</v>
      </c>
      <c r="CQ157" s="12" t="s">
        <v>1370</v>
      </c>
      <c r="CR157" s="12" t="s">
        <v>995</v>
      </c>
      <c r="CS157" s="12" t="s">
        <v>1517</v>
      </c>
      <c r="CT157" s="12" t="s">
        <v>1373</v>
      </c>
    </row>
    <row r="158" spans="1:98" hidden="1" x14ac:dyDescent="0.3">
      <c r="A158" s="12" t="s">
        <v>25</v>
      </c>
      <c r="B158" s="12" t="s">
        <v>3239</v>
      </c>
      <c r="C158" s="12" t="s">
        <v>3240</v>
      </c>
      <c r="D158" s="12" t="s">
        <v>3241</v>
      </c>
      <c r="E158" s="12" t="s">
        <v>596</v>
      </c>
      <c r="F158" s="12" t="s">
        <v>596</v>
      </c>
      <c r="G158" s="12" t="s">
        <v>596</v>
      </c>
      <c r="H158" s="12" t="s">
        <v>596</v>
      </c>
      <c r="I158" s="12" t="s">
        <v>596</v>
      </c>
      <c r="J158" s="12" t="s">
        <v>596</v>
      </c>
      <c r="K158" s="12" t="s">
        <v>596</v>
      </c>
      <c r="L158" s="12" t="s">
        <v>596</v>
      </c>
      <c r="M158" s="12" t="s">
        <v>596</v>
      </c>
      <c r="N158" s="12" t="s">
        <v>596</v>
      </c>
      <c r="O158" s="12" t="s">
        <v>596</v>
      </c>
      <c r="P158" s="12" t="s">
        <v>596</v>
      </c>
      <c r="Q158" s="12" t="s">
        <v>596</v>
      </c>
      <c r="R158" s="12" t="s">
        <v>596</v>
      </c>
      <c r="S158" s="12" t="s">
        <v>596</v>
      </c>
      <c r="T158" s="12" t="s">
        <v>596</v>
      </c>
      <c r="U158" s="12" t="s">
        <v>596</v>
      </c>
      <c r="V158" s="12" t="s">
        <v>596</v>
      </c>
      <c r="W158" s="12" t="s">
        <v>596</v>
      </c>
      <c r="X158" s="12" t="s">
        <v>596</v>
      </c>
      <c r="Y158" s="12" t="s">
        <v>596</v>
      </c>
      <c r="Z158" s="12" t="s">
        <v>596</v>
      </c>
      <c r="AA158" s="12" t="s">
        <v>596</v>
      </c>
      <c r="AB158" s="12" t="s">
        <v>596</v>
      </c>
      <c r="AC158" s="12" t="s">
        <v>596</v>
      </c>
      <c r="AD158" s="12" t="s">
        <v>596</v>
      </c>
      <c r="AE158" s="12" t="s">
        <v>596</v>
      </c>
      <c r="AF158" s="12" t="s">
        <v>596</v>
      </c>
      <c r="AG158" s="12" t="s">
        <v>596</v>
      </c>
      <c r="AH158" s="12" t="s">
        <v>596</v>
      </c>
      <c r="AI158" s="12" t="s">
        <v>596</v>
      </c>
      <c r="AJ158" s="12" t="s">
        <v>596</v>
      </c>
      <c r="AK158" s="12" t="s">
        <v>596</v>
      </c>
      <c r="AL158" s="12" t="s">
        <v>596</v>
      </c>
      <c r="AM158" s="12" t="s">
        <v>596</v>
      </c>
      <c r="AN158" s="12" t="s">
        <v>596</v>
      </c>
      <c r="AO158" s="12" t="s">
        <v>596</v>
      </c>
      <c r="AP158" s="12" t="s">
        <v>596</v>
      </c>
      <c r="AQ158" s="12" t="s">
        <v>596</v>
      </c>
      <c r="AR158" s="12" t="s">
        <v>596</v>
      </c>
      <c r="AS158" s="12" t="s">
        <v>596</v>
      </c>
      <c r="AT158" s="12" t="s">
        <v>596</v>
      </c>
      <c r="AU158" s="12" t="s">
        <v>596</v>
      </c>
      <c r="AV158" s="12" t="s">
        <v>596</v>
      </c>
      <c r="AW158" s="12" t="s">
        <v>596</v>
      </c>
      <c r="AX158" s="12" t="s">
        <v>690</v>
      </c>
      <c r="AY158" s="12" t="s">
        <v>690</v>
      </c>
      <c r="AZ158" s="12" t="s">
        <v>690</v>
      </c>
      <c r="BA158" s="12" t="s">
        <v>599</v>
      </c>
      <c r="BB158" s="12" t="s">
        <v>869</v>
      </c>
      <c r="BC158" s="12" t="s">
        <v>869</v>
      </c>
      <c r="BD158" s="12" t="s">
        <v>643</v>
      </c>
      <c r="BE158" s="12" t="s">
        <v>826</v>
      </c>
      <c r="BF158" s="12" t="s">
        <v>603</v>
      </c>
      <c r="BG158" s="12" t="s">
        <v>2036</v>
      </c>
      <c r="BH158" s="12" t="s">
        <v>646</v>
      </c>
      <c r="BI158" s="12" t="s">
        <v>646</v>
      </c>
      <c r="BJ158" s="12" t="s">
        <v>737</v>
      </c>
      <c r="BK158" s="12" t="s">
        <v>651</v>
      </c>
      <c r="BL158" s="12" t="s">
        <v>1138</v>
      </c>
      <c r="BM158" s="12" t="s">
        <v>700</v>
      </c>
      <c r="BN158" s="12" t="s">
        <v>1278</v>
      </c>
      <c r="BO158" s="12" t="s">
        <v>610</v>
      </c>
      <c r="BP158" s="12" t="s">
        <v>1373</v>
      </c>
      <c r="BQ158" s="12" t="s">
        <v>891</v>
      </c>
      <c r="BR158" s="12" t="s">
        <v>701</v>
      </c>
      <c r="BS158" s="12" t="s">
        <v>2117</v>
      </c>
      <c r="BT158" s="12" t="s">
        <v>1327</v>
      </c>
      <c r="BU158" s="12" t="s">
        <v>1621</v>
      </c>
      <c r="BV158" s="12" t="s">
        <v>1000</v>
      </c>
      <c r="BW158" s="12" t="s">
        <v>743</v>
      </c>
      <c r="BX158" s="12" t="s">
        <v>2155</v>
      </c>
      <c r="BY158" s="12" t="s">
        <v>1998</v>
      </c>
      <c r="BZ158" s="12" t="s">
        <v>2046</v>
      </c>
      <c r="CA158" s="12" t="s">
        <v>1857</v>
      </c>
      <c r="CB158" s="12" t="s">
        <v>1526</v>
      </c>
      <c r="CC158" s="12" t="s">
        <v>1382</v>
      </c>
      <c r="CD158" s="12" t="s">
        <v>617</v>
      </c>
      <c r="CE158" s="12" t="s">
        <v>977</v>
      </c>
      <c r="CF158" s="12" t="s">
        <v>1764</v>
      </c>
      <c r="CG158" s="12" t="s">
        <v>748</v>
      </c>
      <c r="CH158" s="12" t="s">
        <v>1860</v>
      </c>
      <c r="CI158" s="12" t="s">
        <v>1416</v>
      </c>
      <c r="CJ158" s="12" t="s">
        <v>1711</v>
      </c>
      <c r="CK158" s="12" t="s">
        <v>1385</v>
      </c>
      <c r="CL158" s="12" t="s">
        <v>2521</v>
      </c>
      <c r="CM158" s="12" t="s">
        <v>1386</v>
      </c>
      <c r="CN158" s="12" t="s">
        <v>1716</v>
      </c>
      <c r="CO158" s="12" t="s">
        <v>2908</v>
      </c>
      <c r="CP158" s="12" t="s">
        <v>3242</v>
      </c>
      <c r="CQ158" s="12" t="s">
        <v>943</v>
      </c>
      <c r="CR158" s="12" t="s">
        <v>621</v>
      </c>
      <c r="CS158" s="12" t="s">
        <v>1538</v>
      </c>
      <c r="CT158" s="12" t="s">
        <v>2697</v>
      </c>
    </row>
    <row r="159" spans="1:98" hidden="1" x14ac:dyDescent="0.3">
      <c r="A159" s="12" t="s">
        <v>25</v>
      </c>
      <c r="B159" s="12" t="s">
        <v>3243</v>
      </c>
      <c r="C159" s="12" t="s">
        <v>3244</v>
      </c>
      <c r="D159" s="12" t="s">
        <v>3245</v>
      </c>
      <c r="E159" s="12" t="s">
        <v>596</v>
      </c>
      <c r="F159" s="12" t="s">
        <v>596</v>
      </c>
      <c r="G159" s="12" t="s">
        <v>596</v>
      </c>
      <c r="H159" s="12" t="s">
        <v>596</v>
      </c>
      <c r="I159" s="12" t="s">
        <v>596</v>
      </c>
      <c r="J159" s="12" t="s">
        <v>596</v>
      </c>
      <c r="K159" s="12" t="s">
        <v>596</v>
      </c>
      <c r="L159" s="12" t="s">
        <v>596</v>
      </c>
      <c r="M159" s="12" t="s">
        <v>596</v>
      </c>
      <c r="N159" s="12" t="s">
        <v>596</v>
      </c>
      <c r="O159" s="12" t="s">
        <v>596</v>
      </c>
      <c r="P159" s="12" t="s">
        <v>596</v>
      </c>
      <c r="Q159" s="12" t="s">
        <v>596</v>
      </c>
      <c r="R159" s="12" t="s">
        <v>596</v>
      </c>
      <c r="S159" s="12" t="s">
        <v>596</v>
      </c>
      <c r="T159" s="12" t="s">
        <v>596</v>
      </c>
      <c r="U159" s="12" t="s">
        <v>596</v>
      </c>
      <c r="V159" s="12" t="s">
        <v>596</v>
      </c>
      <c r="W159" s="12" t="s">
        <v>596</v>
      </c>
      <c r="X159" s="12" t="s">
        <v>596</v>
      </c>
      <c r="Y159" s="12" t="s">
        <v>596</v>
      </c>
      <c r="Z159" s="12" t="s">
        <v>596</v>
      </c>
      <c r="AA159" s="12" t="s">
        <v>596</v>
      </c>
      <c r="AB159" s="12" t="s">
        <v>596</v>
      </c>
      <c r="AC159" s="12" t="s">
        <v>596</v>
      </c>
      <c r="AD159" s="12" t="s">
        <v>596</v>
      </c>
      <c r="AE159" s="12" t="s">
        <v>596</v>
      </c>
      <c r="AF159" s="12" t="s">
        <v>596</v>
      </c>
      <c r="AG159" s="12" t="s">
        <v>596</v>
      </c>
      <c r="AH159" s="12" t="s">
        <v>596</v>
      </c>
      <c r="AI159" s="12" t="s">
        <v>596</v>
      </c>
      <c r="AJ159" s="12" t="s">
        <v>596</v>
      </c>
      <c r="AK159" s="12" t="s">
        <v>596</v>
      </c>
      <c r="AL159" s="12" t="s">
        <v>596</v>
      </c>
      <c r="AM159" s="12" t="s">
        <v>596</v>
      </c>
      <c r="AN159" s="12" t="s">
        <v>596</v>
      </c>
      <c r="AO159" s="12" t="s">
        <v>596</v>
      </c>
      <c r="AP159" s="12" t="s">
        <v>596</v>
      </c>
      <c r="AQ159" s="12" t="s">
        <v>596</v>
      </c>
      <c r="AR159" s="12" t="s">
        <v>596</v>
      </c>
      <c r="AS159" s="12" t="s">
        <v>596</v>
      </c>
      <c r="AT159" s="12" t="s">
        <v>596</v>
      </c>
      <c r="AU159" s="12" t="s">
        <v>596</v>
      </c>
      <c r="AV159" s="12" t="s">
        <v>596</v>
      </c>
      <c r="AW159" s="12" t="s">
        <v>596</v>
      </c>
      <c r="AX159" s="12" t="s">
        <v>596</v>
      </c>
      <c r="AY159" s="12" t="s">
        <v>596</v>
      </c>
      <c r="AZ159" s="12" t="s">
        <v>596</v>
      </c>
      <c r="BA159" s="12" t="s">
        <v>596</v>
      </c>
      <c r="BB159" s="12" t="s">
        <v>596</v>
      </c>
      <c r="BC159" s="12" t="s">
        <v>596</v>
      </c>
      <c r="BD159" s="12" t="s">
        <v>596</v>
      </c>
      <c r="BE159" s="12" t="s">
        <v>597</v>
      </c>
      <c r="BF159" s="12" t="s">
        <v>597</v>
      </c>
      <c r="BG159" s="12" t="s">
        <v>597</v>
      </c>
      <c r="BH159" s="12" t="s">
        <v>597</v>
      </c>
      <c r="BI159" s="12" t="s">
        <v>597</v>
      </c>
      <c r="BJ159" s="12" t="s">
        <v>641</v>
      </c>
      <c r="BK159" s="12" t="s">
        <v>641</v>
      </c>
      <c r="BL159" s="12" t="s">
        <v>641</v>
      </c>
      <c r="BM159" s="12" t="s">
        <v>641</v>
      </c>
      <c r="BN159" s="12" t="s">
        <v>641</v>
      </c>
      <c r="BO159" s="12" t="s">
        <v>641</v>
      </c>
      <c r="BP159" s="12" t="s">
        <v>641</v>
      </c>
      <c r="BQ159" s="12" t="s">
        <v>690</v>
      </c>
      <c r="BR159" s="12" t="s">
        <v>690</v>
      </c>
      <c r="BS159" s="12" t="s">
        <v>599</v>
      </c>
      <c r="BT159" s="12" t="s">
        <v>599</v>
      </c>
      <c r="BU159" s="12" t="s">
        <v>599</v>
      </c>
      <c r="BV159" s="12" t="s">
        <v>869</v>
      </c>
      <c r="BW159" s="12" t="s">
        <v>869</v>
      </c>
      <c r="BX159" s="12" t="s">
        <v>869</v>
      </c>
      <c r="BY159" s="12" t="s">
        <v>869</v>
      </c>
      <c r="BZ159" s="12" t="s">
        <v>869</v>
      </c>
      <c r="CA159" s="12" t="s">
        <v>869</v>
      </c>
      <c r="CB159" s="12" t="s">
        <v>869</v>
      </c>
      <c r="CC159" s="12" t="s">
        <v>869</v>
      </c>
      <c r="CD159" s="12" t="s">
        <v>869</v>
      </c>
      <c r="CE159" s="12" t="s">
        <v>600</v>
      </c>
      <c r="CF159" s="12" t="s">
        <v>600</v>
      </c>
      <c r="CG159" s="12" t="s">
        <v>600</v>
      </c>
      <c r="CH159" s="12" t="s">
        <v>600</v>
      </c>
      <c r="CI159" s="12" t="s">
        <v>600</v>
      </c>
      <c r="CJ159" s="12" t="s">
        <v>600</v>
      </c>
      <c r="CK159" s="12" t="s">
        <v>600</v>
      </c>
      <c r="CL159" s="12" t="s">
        <v>600</v>
      </c>
      <c r="CM159" s="12" t="s">
        <v>600</v>
      </c>
      <c r="CN159" s="12" t="s">
        <v>600</v>
      </c>
      <c r="CO159" s="12" t="s">
        <v>600</v>
      </c>
      <c r="CP159" s="12" t="s">
        <v>600</v>
      </c>
      <c r="CQ159" s="12" t="s">
        <v>600</v>
      </c>
      <c r="CR159" s="12" t="s">
        <v>600</v>
      </c>
      <c r="CS159" s="12" t="s">
        <v>600</v>
      </c>
      <c r="CT159" s="12" t="s">
        <v>600</v>
      </c>
    </row>
    <row r="160" spans="1:98" hidden="1" x14ac:dyDescent="0.3">
      <c r="A160" s="12" t="s">
        <v>25</v>
      </c>
      <c r="B160" s="12" t="s">
        <v>3246</v>
      </c>
      <c r="C160" s="12" t="s">
        <v>3247</v>
      </c>
      <c r="D160" s="12" t="s">
        <v>3248</v>
      </c>
      <c r="E160" s="12" t="s">
        <v>596</v>
      </c>
      <c r="F160" s="12" t="s">
        <v>596</v>
      </c>
      <c r="G160" s="12" t="s">
        <v>596</v>
      </c>
      <c r="H160" s="12" t="s">
        <v>596</v>
      </c>
      <c r="I160" s="12" t="s">
        <v>596</v>
      </c>
      <c r="J160" s="12" t="s">
        <v>596</v>
      </c>
      <c r="K160" s="12" t="s">
        <v>596</v>
      </c>
      <c r="L160" s="12" t="s">
        <v>596</v>
      </c>
      <c r="M160" s="12" t="s">
        <v>596</v>
      </c>
      <c r="N160" s="12" t="s">
        <v>596</v>
      </c>
      <c r="O160" s="12" t="s">
        <v>596</v>
      </c>
      <c r="P160" s="12" t="s">
        <v>596</v>
      </c>
      <c r="Q160" s="12" t="s">
        <v>596</v>
      </c>
      <c r="R160" s="12" t="s">
        <v>596</v>
      </c>
      <c r="S160" s="12" t="s">
        <v>596</v>
      </c>
      <c r="T160" s="12" t="s">
        <v>596</v>
      </c>
      <c r="U160" s="12" t="s">
        <v>596</v>
      </c>
      <c r="V160" s="12" t="s">
        <v>596</v>
      </c>
      <c r="W160" s="12" t="s">
        <v>596</v>
      </c>
      <c r="X160" s="12" t="s">
        <v>596</v>
      </c>
      <c r="Y160" s="12" t="s">
        <v>596</v>
      </c>
      <c r="Z160" s="12" t="s">
        <v>596</v>
      </c>
      <c r="AA160" s="12" t="s">
        <v>596</v>
      </c>
      <c r="AB160" s="12" t="s">
        <v>596</v>
      </c>
      <c r="AC160" s="12" t="s">
        <v>596</v>
      </c>
      <c r="AD160" s="12" t="s">
        <v>596</v>
      </c>
      <c r="AE160" s="12" t="s">
        <v>596</v>
      </c>
      <c r="AF160" s="12" t="s">
        <v>596</v>
      </c>
      <c r="AG160" s="12" t="s">
        <v>596</v>
      </c>
      <c r="AH160" s="12" t="s">
        <v>596</v>
      </c>
      <c r="AI160" s="12" t="s">
        <v>596</v>
      </c>
      <c r="AJ160" s="12" t="s">
        <v>596</v>
      </c>
      <c r="AK160" s="12" t="s">
        <v>596</v>
      </c>
      <c r="AL160" s="12" t="s">
        <v>596</v>
      </c>
      <c r="AM160" s="12" t="s">
        <v>596</v>
      </c>
      <c r="AN160" s="12" t="s">
        <v>596</v>
      </c>
      <c r="AO160" s="12" t="s">
        <v>596</v>
      </c>
      <c r="AP160" s="12" t="s">
        <v>596</v>
      </c>
      <c r="AQ160" s="12" t="s">
        <v>596</v>
      </c>
      <c r="AR160" s="12" t="s">
        <v>596</v>
      </c>
      <c r="AS160" s="12" t="s">
        <v>596</v>
      </c>
      <c r="AT160" s="12" t="s">
        <v>596</v>
      </c>
      <c r="AU160" s="12" t="s">
        <v>596</v>
      </c>
      <c r="AV160" s="12" t="s">
        <v>596</v>
      </c>
      <c r="AW160" s="12" t="s">
        <v>596</v>
      </c>
      <c r="AX160" s="12" t="s">
        <v>596</v>
      </c>
      <c r="AY160" s="12" t="s">
        <v>596</v>
      </c>
      <c r="AZ160" s="12" t="s">
        <v>596</v>
      </c>
      <c r="BA160" s="12" t="s">
        <v>596</v>
      </c>
      <c r="BB160" s="12" t="s">
        <v>596</v>
      </c>
      <c r="BC160" s="12" t="s">
        <v>596</v>
      </c>
      <c r="BD160" s="12" t="s">
        <v>596</v>
      </c>
      <c r="BE160" s="12" t="s">
        <v>596</v>
      </c>
      <c r="BF160" s="12" t="s">
        <v>596</v>
      </c>
      <c r="BG160" s="12" t="s">
        <v>596</v>
      </c>
      <c r="BH160" s="12" t="s">
        <v>596</v>
      </c>
      <c r="BI160" s="12" t="s">
        <v>690</v>
      </c>
      <c r="BJ160" s="12" t="s">
        <v>690</v>
      </c>
      <c r="BK160" s="12" t="s">
        <v>643</v>
      </c>
      <c r="BL160" s="12" t="s">
        <v>774</v>
      </c>
      <c r="BM160" s="12" t="s">
        <v>887</v>
      </c>
      <c r="BN160" s="12" t="s">
        <v>989</v>
      </c>
      <c r="BO160" s="12" t="s">
        <v>647</v>
      </c>
      <c r="BP160" s="12" t="s">
        <v>696</v>
      </c>
      <c r="BQ160" s="12" t="s">
        <v>1202</v>
      </c>
      <c r="BR160" s="12" t="s">
        <v>609</v>
      </c>
      <c r="BS160" s="12" t="s">
        <v>881</v>
      </c>
      <c r="BT160" s="12" t="s">
        <v>1278</v>
      </c>
      <c r="BU160" s="12" t="s">
        <v>791</v>
      </c>
      <c r="BV160" s="12" t="s">
        <v>1839</v>
      </c>
      <c r="BW160" s="12" t="s">
        <v>2107</v>
      </c>
      <c r="BX160" s="12" t="s">
        <v>1000</v>
      </c>
      <c r="BY160" s="12" t="s">
        <v>658</v>
      </c>
      <c r="BZ160" s="12" t="s">
        <v>2155</v>
      </c>
      <c r="CA160" s="12" t="s">
        <v>1857</v>
      </c>
      <c r="CB160" s="12" t="s">
        <v>1527</v>
      </c>
      <c r="CC160" s="12" t="s">
        <v>1282</v>
      </c>
      <c r="CD160" s="12" t="s">
        <v>615</v>
      </c>
      <c r="CE160" s="12" t="s">
        <v>1228</v>
      </c>
      <c r="CF160" s="12" t="s">
        <v>1414</v>
      </c>
      <c r="CG160" s="12" t="s">
        <v>941</v>
      </c>
      <c r="CH160" s="12" t="s">
        <v>3249</v>
      </c>
      <c r="CI160" s="12" t="s">
        <v>3249</v>
      </c>
      <c r="CJ160" s="12" t="s">
        <v>3249</v>
      </c>
      <c r="CK160" s="12" t="s">
        <v>3249</v>
      </c>
      <c r="CL160" s="12" t="s">
        <v>3249</v>
      </c>
      <c r="CM160" s="12" t="s">
        <v>3249</v>
      </c>
      <c r="CN160" s="12" t="s">
        <v>1851</v>
      </c>
      <c r="CO160" s="12" t="s">
        <v>1761</v>
      </c>
      <c r="CP160" s="12" t="s">
        <v>1761</v>
      </c>
      <c r="CQ160" s="12" t="s">
        <v>1761</v>
      </c>
      <c r="CR160" s="12" t="s">
        <v>837</v>
      </c>
      <c r="CS160" s="12" t="s">
        <v>1383</v>
      </c>
      <c r="CT160" s="12" t="s">
        <v>1383</v>
      </c>
    </row>
    <row r="161" spans="1:98" hidden="1" x14ac:dyDescent="0.3">
      <c r="A161" s="12" t="s">
        <v>25</v>
      </c>
      <c r="B161" s="12" t="s">
        <v>3250</v>
      </c>
      <c r="C161" s="12" t="s">
        <v>3251</v>
      </c>
      <c r="D161" s="12" t="s">
        <v>3252</v>
      </c>
      <c r="E161" s="12" t="s">
        <v>596</v>
      </c>
      <c r="F161" s="12" t="s">
        <v>596</v>
      </c>
      <c r="G161" s="12" t="s">
        <v>596</v>
      </c>
      <c r="H161" s="12" t="s">
        <v>596</v>
      </c>
      <c r="I161" s="12" t="s">
        <v>596</v>
      </c>
      <c r="J161" s="12" t="s">
        <v>596</v>
      </c>
      <c r="K161" s="12" t="s">
        <v>596</v>
      </c>
      <c r="L161" s="12" t="s">
        <v>596</v>
      </c>
      <c r="M161" s="12" t="s">
        <v>596</v>
      </c>
      <c r="N161" s="12" t="s">
        <v>596</v>
      </c>
      <c r="O161" s="12" t="s">
        <v>596</v>
      </c>
      <c r="P161" s="12" t="s">
        <v>596</v>
      </c>
      <c r="Q161" s="12" t="s">
        <v>596</v>
      </c>
      <c r="R161" s="12" t="s">
        <v>596</v>
      </c>
      <c r="S161" s="12" t="s">
        <v>596</v>
      </c>
      <c r="T161" s="12" t="s">
        <v>596</v>
      </c>
      <c r="U161" s="12" t="s">
        <v>596</v>
      </c>
      <c r="V161" s="12" t="s">
        <v>596</v>
      </c>
      <c r="W161" s="12" t="s">
        <v>596</v>
      </c>
      <c r="X161" s="12" t="s">
        <v>596</v>
      </c>
      <c r="Y161" s="12" t="s">
        <v>596</v>
      </c>
      <c r="Z161" s="12" t="s">
        <v>596</v>
      </c>
      <c r="AA161" s="12" t="s">
        <v>596</v>
      </c>
      <c r="AB161" s="12" t="s">
        <v>596</v>
      </c>
      <c r="AC161" s="12" t="s">
        <v>596</v>
      </c>
      <c r="AD161" s="12" t="s">
        <v>596</v>
      </c>
      <c r="AE161" s="12" t="s">
        <v>596</v>
      </c>
      <c r="AF161" s="12" t="s">
        <v>596</v>
      </c>
      <c r="AG161" s="12" t="s">
        <v>596</v>
      </c>
      <c r="AH161" s="12" t="s">
        <v>596</v>
      </c>
      <c r="AI161" s="12" t="s">
        <v>596</v>
      </c>
      <c r="AJ161" s="12" t="s">
        <v>596</v>
      </c>
      <c r="AK161" s="12" t="s">
        <v>596</v>
      </c>
      <c r="AL161" s="12" t="s">
        <v>596</v>
      </c>
      <c r="AM161" s="12" t="s">
        <v>596</v>
      </c>
      <c r="AN161" s="12" t="s">
        <v>596</v>
      </c>
      <c r="AO161" s="12" t="s">
        <v>596</v>
      </c>
      <c r="AP161" s="12" t="s">
        <v>597</v>
      </c>
      <c r="AQ161" s="12" t="s">
        <v>598</v>
      </c>
      <c r="AR161" s="12" t="s">
        <v>599</v>
      </c>
      <c r="AS161" s="12" t="s">
        <v>599</v>
      </c>
      <c r="AT161" s="12" t="s">
        <v>599</v>
      </c>
      <c r="AU161" s="12" t="s">
        <v>599</v>
      </c>
      <c r="AV161" s="12" t="s">
        <v>599</v>
      </c>
      <c r="AW161" s="12" t="s">
        <v>869</v>
      </c>
      <c r="AX161" s="12" t="s">
        <v>869</v>
      </c>
      <c r="AY161" s="12" t="s">
        <v>600</v>
      </c>
      <c r="AZ161" s="12" t="s">
        <v>600</v>
      </c>
      <c r="BA161" s="12" t="s">
        <v>600</v>
      </c>
      <c r="BB161" s="12" t="s">
        <v>773</v>
      </c>
      <c r="BC161" s="12" t="s">
        <v>643</v>
      </c>
      <c r="BD161" s="12" t="s">
        <v>643</v>
      </c>
      <c r="BE161" s="12" t="s">
        <v>694</v>
      </c>
      <c r="BF161" s="12" t="s">
        <v>1064</v>
      </c>
      <c r="BG161" s="12" t="s">
        <v>737</v>
      </c>
      <c r="BH161" s="12" t="s">
        <v>994</v>
      </c>
      <c r="BI161" s="12" t="s">
        <v>876</v>
      </c>
      <c r="BJ161" s="12" t="s">
        <v>1519</v>
      </c>
      <c r="BK161" s="12" t="s">
        <v>742</v>
      </c>
      <c r="BL161" s="12" t="s">
        <v>1506</v>
      </c>
      <c r="BM161" s="12" t="s">
        <v>1835</v>
      </c>
      <c r="BN161" s="12" t="s">
        <v>1628</v>
      </c>
      <c r="BO161" s="12" t="s">
        <v>619</v>
      </c>
      <c r="BP161" s="12" t="s">
        <v>2096</v>
      </c>
      <c r="BQ161" s="12" t="s">
        <v>676</v>
      </c>
      <c r="BR161" s="12" t="s">
        <v>1729</v>
      </c>
      <c r="BS161" s="12" t="s">
        <v>767</v>
      </c>
      <c r="BT161" s="12" t="s">
        <v>1447</v>
      </c>
      <c r="BU161" s="12" t="s">
        <v>3127</v>
      </c>
      <c r="BV161" s="12" t="s">
        <v>3253</v>
      </c>
      <c r="BW161" s="12" t="s">
        <v>2138</v>
      </c>
      <c r="BX161" s="12" t="s">
        <v>1796</v>
      </c>
      <c r="BY161" s="12" t="s">
        <v>3254</v>
      </c>
      <c r="BZ161" s="12" t="s">
        <v>3255</v>
      </c>
      <c r="CA161" s="12" t="s">
        <v>3256</v>
      </c>
      <c r="CB161" s="12" t="s">
        <v>3257</v>
      </c>
      <c r="CC161" s="12" t="s">
        <v>3258</v>
      </c>
      <c r="CD161" s="12" t="s">
        <v>3259</v>
      </c>
      <c r="CE161" s="12" t="s">
        <v>3260</v>
      </c>
      <c r="CF161" s="12" t="s">
        <v>3261</v>
      </c>
      <c r="CG161" s="12" t="s">
        <v>3262</v>
      </c>
      <c r="CH161" s="12" t="s">
        <v>3263</v>
      </c>
      <c r="CI161" s="12" t="s">
        <v>3264</v>
      </c>
      <c r="CJ161" s="12" t="s">
        <v>3265</v>
      </c>
      <c r="CK161" s="12" t="s">
        <v>3266</v>
      </c>
      <c r="CL161" s="12" t="s">
        <v>3267</v>
      </c>
      <c r="CM161" s="12" t="s">
        <v>3268</v>
      </c>
      <c r="CN161" s="12" t="s">
        <v>3269</v>
      </c>
      <c r="CO161" s="12" t="s">
        <v>3270</v>
      </c>
      <c r="CP161" s="12" t="s">
        <v>3271</v>
      </c>
      <c r="CQ161" s="12" t="s">
        <v>3272</v>
      </c>
      <c r="CR161" s="12" t="s">
        <v>3273</v>
      </c>
      <c r="CS161" s="12" t="s">
        <v>3274</v>
      </c>
      <c r="CT161" s="12" t="s">
        <v>3274</v>
      </c>
    </row>
    <row r="162" spans="1:98" hidden="1" x14ac:dyDescent="0.3">
      <c r="A162" s="12" t="s">
        <v>25</v>
      </c>
      <c r="B162" s="12" t="s">
        <v>3275</v>
      </c>
      <c r="C162" s="12" t="s">
        <v>3276</v>
      </c>
      <c r="D162" s="12" t="s">
        <v>3277</v>
      </c>
      <c r="E162" s="12" t="s">
        <v>596</v>
      </c>
      <c r="F162" s="12" t="s">
        <v>596</v>
      </c>
      <c r="G162" s="12" t="s">
        <v>596</v>
      </c>
      <c r="H162" s="12" t="s">
        <v>596</v>
      </c>
      <c r="I162" s="12" t="s">
        <v>596</v>
      </c>
      <c r="J162" s="12" t="s">
        <v>596</v>
      </c>
      <c r="K162" s="12" t="s">
        <v>596</v>
      </c>
      <c r="L162" s="12" t="s">
        <v>596</v>
      </c>
      <c r="M162" s="12" t="s">
        <v>596</v>
      </c>
      <c r="N162" s="12" t="s">
        <v>596</v>
      </c>
      <c r="O162" s="12" t="s">
        <v>596</v>
      </c>
      <c r="P162" s="12" t="s">
        <v>596</v>
      </c>
      <c r="Q162" s="12" t="s">
        <v>596</v>
      </c>
      <c r="R162" s="12" t="s">
        <v>596</v>
      </c>
      <c r="S162" s="12" t="s">
        <v>596</v>
      </c>
      <c r="T162" s="12" t="s">
        <v>596</v>
      </c>
      <c r="U162" s="12" t="s">
        <v>596</v>
      </c>
      <c r="V162" s="12" t="s">
        <v>596</v>
      </c>
      <c r="W162" s="12" t="s">
        <v>596</v>
      </c>
      <c r="X162" s="12" t="s">
        <v>596</v>
      </c>
      <c r="Y162" s="12" t="s">
        <v>596</v>
      </c>
      <c r="Z162" s="12" t="s">
        <v>596</v>
      </c>
      <c r="AA162" s="12" t="s">
        <v>596</v>
      </c>
      <c r="AB162" s="12" t="s">
        <v>596</v>
      </c>
      <c r="AC162" s="12" t="s">
        <v>596</v>
      </c>
      <c r="AD162" s="12" t="s">
        <v>596</v>
      </c>
      <c r="AE162" s="12" t="s">
        <v>596</v>
      </c>
      <c r="AF162" s="12" t="s">
        <v>596</v>
      </c>
      <c r="AG162" s="12" t="s">
        <v>596</v>
      </c>
      <c r="AH162" s="12" t="s">
        <v>596</v>
      </c>
      <c r="AI162" s="12" t="s">
        <v>596</v>
      </c>
      <c r="AJ162" s="12" t="s">
        <v>596</v>
      </c>
      <c r="AK162" s="12" t="s">
        <v>596</v>
      </c>
      <c r="AL162" s="12" t="s">
        <v>596</v>
      </c>
      <c r="AM162" s="12" t="s">
        <v>596</v>
      </c>
      <c r="AN162" s="12" t="s">
        <v>596</v>
      </c>
      <c r="AO162" s="12" t="s">
        <v>596</v>
      </c>
      <c r="AP162" s="12" t="s">
        <v>596</v>
      </c>
      <c r="AQ162" s="12" t="s">
        <v>596</v>
      </c>
      <c r="AR162" s="12" t="s">
        <v>596</v>
      </c>
      <c r="AS162" s="12" t="s">
        <v>596</v>
      </c>
      <c r="AT162" s="12" t="s">
        <v>596</v>
      </c>
      <c r="AU162" s="12" t="s">
        <v>596</v>
      </c>
      <c r="AV162" s="12" t="s">
        <v>596</v>
      </c>
      <c r="AW162" s="12" t="s">
        <v>596</v>
      </c>
      <c r="AX162" s="12" t="s">
        <v>596</v>
      </c>
      <c r="AY162" s="12" t="s">
        <v>597</v>
      </c>
      <c r="AZ162" s="12" t="s">
        <v>597</v>
      </c>
      <c r="BA162" s="12" t="s">
        <v>690</v>
      </c>
      <c r="BB162" s="12" t="s">
        <v>690</v>
      </c>
      <c r="BC162" s="12" t="s">
        <v>690</v>
      </c>
      <c r="BD162" s="12" t="s">
        <v>869</v>
      </c>
      <c r="BE162" s="12" t="s">
        <v>643</v>
      </c>
      <c r="BF162" s="12" t="s">
        <v>644</v>
      </c>
      <c r="BG162" s="12" t="s">
        <v>644</v>
      </c>
      <c r="BH162" s="12" t="s">
        <v>2036</v>
      </c>
      <c r="BI162" s="12" t="s">
        <v>2036</v>
      </c>
      <c r="BJ162" s="12" t="s">
        <v>1009</v>
      </c>
      <c r="BK162" s="12" t="s">
        <v>991</v>
      </c>
      <c r="BL162" s="12" t="s">
        <v>874</v>
      </c>
      <c r="BM162" s="12" t="s">
        <v>609</v>
      </c>
      <c r="BN162" s="12" t="s">
        <v>1226</v>
      </c>
      <c r="BO162" s="12" t="s">
        <v>1769</v>
      </c>
      <c r="BP162" s="12" t="s">
        <v>2117</v>
      </c>
      <c r="BQ162" s="12" t="s">
        <v>1549</v>
      </c>
      <c r="BR162" s="12" t="s">
        <v>2378</v>
      </c>
      <c r="BS162" s="12" t="s">
        <v>1045</v>
      </c>
      <c r="BT162" s="12" t="s">
        <v>1513</v>
      </c>
      <c r="BU162" s="12" t="s">
        <v>1116</v>
      </c>
      <c r="BV162" s="12" t="s">
        <v>895</v>
      </c>
      <c r="BW162" s="12" t="s">
        <v>620</v>
      </c>
      <c r="BX162" s="12" t="s">
        <v>1739</v>
      </c>
      <c r="BY162" s="12" t="s">
        <v>1688</v>
      </c>
      <c r="BZ162" s="12" t="s">
        <v>3278</v>
      </c>
      <c r="CA162" s="12" t="s">
        <v>2304</v>
      </c>
      <c r="CB162" s="12" t="s">
        <v>957</v>
      </c>
      <c r="CC162" s="12" t="s">
        <v>3279</v>
      </c>
      <c r="CD162" s="12" t="s">
        <v>1484</v>
      </c>
      <c r="CE162" s="12" t="s">
        <v>3280</v>
      </c>
      <c r="CF162" s="12" t="s">
        <v>3281</v>
      </c>
      <c r="CG162" s="12" t="s">
        <v>2418</v>
      </c>
      <c r="CH162" s="12" t="s">
        <v>3282</v>
      </c>
      <c r="CI162" s="12" t="s">
        <v>3283</v>
      </c>
      <c r="CJ162" s="12" t="s">
        <v>3284</v>
      </c>
      <c r="CK162" s="12" t="s">
        <v>3285</v>
      </c>
      <c r="CL162" s="12" t="s">
        <v>3286</v>
      </c>
      <c r="CM162" s="12" t="s">
        <v>3287</v>
      </c>
      <c r="CN162" s="12" t="s">
        <v>3288</v>
      </c>
      <c r="CO162" s="12" t="s">
        <v>3289</v>
      </c>
      <c r="CP162" s="12" t="s">
        <v>3290</v>
      </c>
      <c r="CQ162" s="12" t="s">
        <v>3135</v>
      </c>
      <c r="CR162" s="12" t="s">
        <v>3291</v>
      </c>
      <c r="CS162" s="12" t="s">
        <v>920</v>
      </c>
      <c r="CT162" s="12" t="s">
        <v>3292</v>
      </c>
    </row>
    <row r="163" spans="1:98" hidden="1" x14ac:dyDescent="0.3">
      <c r="A163" s="12" t="s">
        <v>25</v>
      </c>
      <c r="B163" s="12" t="s">
        <v>3293</v>
      </c>
      <c r="C163" s="12" t="s">
        <v>3294</v>
      </c>
      <c r="D163" s="12" t="s">
        <v>3295</v>
      </c>
      <c r="E163" s="12" t="s">
        <v>596</v>
      </c>
      <c r="F163" s="12" t="s">
        <v>596</v>
      </c>
      <c r="G163" s="12" t="s">
        <v>596</v>
      </c>
      <c r="H163" s="12" t="s">
        <v>596</v>
      </c>
      <c r="I163" s="12" t="s">
        <v>596</v>
      </c>
      <c r="J163" s="12" t="s">
        <v>596</v>
      </c>
      <c r="K163" s="12" t="s">
        <v>596</v>
      </c>
      <c r="L163" s="12" t="s">
        <v>596</v>
      </c>
      <c r="M163" s="12" t="s">
        <v>596</v>
      </c>
      <c r="N163" s="12" t="s">
        <v>596</v>
      </c>
      <c r="O163" s="12" t="s">
        <v>596</v>
      </c>
      <c r="P163" s="12" t="s">
        <v>596</v>
      </c>
      <c r="Q163" s="12" t="s">
        <v>596</v>
      </c>
      <c r="R163" s="12" t="s">
        <v>596</v>
      </c>
      <c r="S163" s="12" t="s">
        <v>596</v>
      </c>
      <c r="T163" s="12" t="s">
        <v>596</v>
      </c>
      <c r="U163" s="12" t="s">
        <v>596</v>
      </c>
      <c r="V163" s="12" t="s">
        <v>596</v>
      </c>
      <c r="W163" s="12" t="s">
        <v>596</v>
      </c>
      <c r="X163" s="12" t="s">
        <v>596</v>
      </c>
      <c r="Y163" s="12" t="s">
        <v>596</v>
      </c>
      <c r="Z163" s="12" t="s">
        <v>596</v>
      </c>
      <c r="AA163" s="12" t="s">
        <v>596</v>
      </c>
      <c r="AB163" s="12" t="s">
        <v>596</v>
      </c>
      <c r="AC163" s="12" t="s">
        <v>596</v>
      </c>
      <c r="AD163" s="12" t="s">
        <v>596</v>
      </c>
      <c r="AE163" s="12" t="s">
        <v>596</v>
      </c>
      <c r="AF163" s="12" t="s">
        <v>596</v>
      </c>
      <c r="AG163" s="12" t="s">
        <v>596</v>
      </c>
      <c r="AH163" s="12" t="s">
        <v>596</v>
      </c>
      <c r="AI163" s="12" t="s">
        <v>596</v>
      </c>
      <c r="AJ163" s="12" t="s">
        <v>596</v>
      </c>
      <c r="AK163" s="12" t="s">
        <v>596</v>
      </c>
      <c r="AL163" s="12" t="s">
        <v>596</v>
      </c>
      <c r="AM163" s="12" t="s">
        <v>596</v>
      </c>
      <c r="AN163" s="12" t="s">
        <v>596</v>
      </c>
      <c r="AO163" s="12" t="s">
        <v>596</v>
      </c>
      <c r="AP163" s="12" t="s">
        <v>596</v>
      </c>
      <c r="AQ163" s="12" t="s">
        <v>597</v>
      </c>
      <c r="AR163" s="12" t="s">
        <v>597</v>
      </c>
      <c r="AS163" s="12" t="s">
        <v>597</v>
      </c>
      <c r="AT163" s="12" t="s">
        <v>597</v>
      </c>
      <c r="AU163" s="12" t="s">
        <v>597</v>
      </c>
      <c r="AV163" s="12" t="s">
        <v>597</v>
      </c>
      <c r="AW163" s="12" t="s">
        <v>597</v>
      </c>
      <c r="AX163" s="12" t="s">
        <v>597</v>
      </c>
      <c r="AY163" s="12" t="s">
        <v>597</v>
      </c>
      <c r="AZ163" s="12" t="s">
        <v>597</v>
      </c>
      <c r="BA163" s="12" t="s">
        <v>597</v>
      </c>
      <c r="BB163" s="12" t="s">
        <v>597</v>
      </c>
      <c r="BC163" s="12" t="s">
        <v>641</v>
      </c>
      <c r="BD163" s="12" t="s">
        <v>641</v>
      </c>
      <c r="BE163" s="12" t="s">
        <v>641</v>
      </c>
      <c r="BF163" s="12" t="s">
        <v>641</v>
      </c>
      <c r="BG163" s="12" t="s">
        <v>600</v>
      </c>
      <c r="BH163" s="12" t="s">
        <v>600</v>
      </c>
      <c r="BI163" s="12" t="s">
        <v>600</v>
      </c>
      <c r="BJ163" s="12" t="s">
        <v>600</v>
      </c>
      <c r="BK163" s="12" t="s">
        <v>601</v>
      </c>
      <c r="BL163" s="12" t="s">
        <v>601</v>
      </c>
      <c r="BM163" s="12" t="s">
        <v>644</v>
      </c>
      <c r="BN163" s="12" t="s">
        <v>644</v>
      </c>
      <c r="BO163" s="12" t="s">
        <v>644</v>
      </c>
      <c r="BP163" s="12" t="s">
        <v>784</v>
      </c>
      <c r="BQ163" s="12" t="s">
        <v>645</v>
      </c>
      <c r="BR163" s="12" t="s">
        <v>647</v>
      </c>
      <c r="BS163" s="12" t="s">
        <v>647</v>
      </c>
      <c r="BT163" s="12" t="s">
        <v>936</v>
      </c>
      <c r="BU163" s="12" t="s">
        <v>1009</v>
      </c>
      <c r="BV163" s="12" t="s">
        <v>827</v>
      </c>
      <c r="BW163" s="12" t="s">
        <v>649</v>
      </c>
      <c r="BX163" s="12" t="s">
        <v>698</v>
      </c>
      <c r="BY163" s="12" t="s">
        <v>651</v>
      </c>
      <c r="BZ163" s="12" t="s">
        <v>991</v>
      </c>
      <c r="CA163" s="12" t="s">
        <v>1138</v>
      </c>
      <c r="CB163" s="12" t="s">
        <v>873</v>
      </c>
      <c r="CC163" s="12" t="s">
        <v>789</v>
      </c>
      <c r="CD163" s="12" t="s">
        <v>1202</v>
      </c>
      <c r="CE163" s="12" t="s">
        <v>608</v>
      </c>
      <c r="CF163" s="12" t="s">
        <v>700</v>
      </c>
      <c r="CG163" s="12" t="s">
        <v>889</v>
      </c>
      <c r="CH163" s="12" t="s">
        <v>876</v>
      </c>
      <c r="CI163" s="12" t="s">
        <v>876</v>
      </c>
      <c r="CJ163" s="12" t="s">
        <v>876</v>
      </c>
      <c r="CK163" s="12" t="s">
        <v>876</v>
      </c>
      <c r="CL163" s="12" t="s">
        <v>876</v>
      </c>
      <c r="CM163" s="12" t="s">
        <v>609</v>
      </c>
      <c r="CN163" s="12" t="s">
        <v>609</v>
      </c>
      <c r="CO163" s="12" t="s">
        <v>609</v>
      </c>
      <c r="CP163" s="12" t="s">
        <v>609</v>
      </c>
      <c r="CQ163" s="12" t="s">
        <v>609</v>
      </c>
      <c r="CR163" s="12" t="s">
        <v>609</v>
      </c>
      <c r="CS163" s="12" t="s">
        <v>609</v>
      </c>
      <c r="CT163" s="12" t="s">
        <v>609</v>
      </c>
    </row>
    <row r="164" spans="1:98" hidden="1" x14ac:dyDescent="0.3">
      <c r="A164" s="12" t="s">
        <v>25</v>
      </c>
      <c r="B164" s="12" t="s">
        <v>3296</v>
      </c>
      <c r="C164" s="12" t="s">
        <v>3297</v>
      </c>
      <c r="D164" s="12" t="s">
        <v>3298</v>
      </c>
      <c r="E164" s="12" t="s">
        <v>596</v>
      </c>
      <c r="F164" s="12" t="s">
        <v>596</v>
      </c>
      <c r="G164" s="12" t="s">
        <v>596</v>
      </c>
      <c r="H164" s="12" t="s">
        <v>596</v>
      </c>
      <c r="I164" s="12" t="s">
        <v>596</v>
      </c>
      <c r="J164" s="12" t="s">
        <v>596</v>
      </c>
      <c r="K164" s="12" t="s">
        <v>596</v>
      </c>
      <c r="L164" s="12" t="s">
        <v>596</v>
      </c>
      <c r="M164" s="12" t="s">
        <v>596</v>
      </c>
      <c r="N164" s="12" t="s">
        <v>596</v>
      </c>
      <c r="O164" s="12" t="s">
        <v>596</v>
      </c>
      <c r="P164" s="12" t="s">
        <v>596</v>
      </c>
      <c r="Q164" s="12" t="s">
        <v>596</v>
      </c>
      <c r="R164" s="12" t="s">
        <v>596</v>
      </c>
      <c r="S164" s="12" t="s">
        <v>596</v>
      </c>
      <c r="T164" s="12" t="s">
        <v>596</v>
      </c>
      <c r="U164" s="12" t="s">
        <v>596</v>
      </c>
      <c r="V164" s="12" t="s">
        <v>596</v>
      </c>
      <c r="W164" s="12" t="s">
        <v>596</v>
      </c>
      <c r="X164" s="12" t="s">
        <v>596</v>
      </c>
      <c r="Y164" s="12" t="s">
        <v>596</v>
      </c>
      <c r="Z164" s="12" t="s">
        <v>596</v>
      </c>
      <c r="AA164" s="12" t="s">
        <v>596</v>
      </c>
      <c r="AB164" s="12" t="s">
        <v>596</v>
      </c>
      <c r="AC164" s="12" t="s">
        <v>596</v>
      </c>
      <c r="AD164" s="12" t="s">
        <v>596</v>
      </c>
      <c r="AE164" s="12" t="s">
        <v>596</v>
      </c>
      <c r="AF164" s="12" t="s">
        <v>596</v>
      </c>
      <c r="AG164" s="12" t="s">
        <v>596</v>
      </c>
      <c r="AH164" s="12" t="s">
        <v>596</v>
      </c>
      <c r="AI164" s="12" t="s">
        <v>596</v>
      </c>
      <c r="AJ164" s="12" t="s">
        <v>596</v>
      </c>
      <c r="AK164" s="12" t="s">
        <v>596</v>
      </c>
      <c r="AL164" s="12" t="s">
        <v>596</v>
      </c>
      <c r="AM164" s="12" t="s">
        <v>596</v>
      </c>
      <c r="AN164" s="12" t="s">
        <v>596</v>
      </c>
      <c r="AO164" s="12" t="s">
        <v>596</v>
      </c>
      <c r="AP164" s="12" t="s">
        <v>596</v>
      </c>
      <c r="AQ164" s="12" t="s">
        <v>596</v>
      </c>
      <c r="AR164" s="12" t="s">
        <v>596</v>
      </c>
      <c r="AS164" s="12" t="s">
        <v>596</v>
      </c>
      <c r="AT164" s="12" t="s">
        <v>596</v>
      </c>
      <c r="AU164" s="12" t="s">
        <v>596</v>
      </c>
      <c r="AV164" s="12" t="s">
        <v>596</v>
      </c>
      <c r="AW164" s="12" t="s">
        <v>596</v>
      </c>
      <c r="AX164" s="12" t="s">
        <v>596</v>
      </c>
      <c r="AY164" s="12" t="s">
        <v>596</v>
      </c>
      <c r="AZ164" s="12" t="s">
        <v>596</v>
      </c>
      <c r="BA164" s="12" t="s">
        <v>597</v>
      </c>
      <c r="BB164" s="12" t="s">
        <v>597</v>
      </c>
      <c r="BC164" s="12" t="s">
        <v>597</v>
      </c>
      <c r="BD164" s="12" t="s">
        <v>597</v>
      </c>
      <c r="BE164" s="12" t="s">
        <v>597</v>
      </c>
      <c r="BF164" s="12" t="s">
        <v>597</v>
      </c>
      <c r="BG164" s="12" t="s">
        <v>597</v>
      </c>
      <c r="BH164" s="12" t="s">
        <v>599</v>
      </c>
      <c r="BI164" s="12" t="s">
        <v>869</v>
      </c>
      <c r="BJ164" s="12" t="s">
        <v>869</v>
      </c>
      <c r="BK164" s="12" t="s">
        <v>869</v>
      </c>
      <c r="BL164" s="12" t="s">
        <v>642</v>
      </c>
      <c r="BM164" s="12" t="s">
        <v>642</v>
      </c>
      <c r="BN164" s="12" t="s">
        <v>642</v>
      </c>
      <c r="BO164" s="12" t="s">
        <v>642</v>
      </c>
      <c r="BP164" s="12" t="s">
        <v>642</v>
      </c>
      <c r="BQ164" s="12" t="s">
        <v>601</v>
      </c>
      <c r="BR164" s="12" t="s">
        <v>601</v>
      </c>
      <c r="BS164" s="12" t="s">
        <v>643</v>
      </c>
      <c r="BT164" s="12" t="s">
        <v>643</v>
      </c>
      <c r="BU164" s="12" t="s">
        <v>643</v>
      </c>
      <c r="BV164" s="12" t="s">
        <v>643</v>
      </c>
      <c r="BW164" s="12" t="s">
        <v>774</v>
      </c>
      <c r="BX164" s="12" t="s">
        <v>774</v>
      </c>
      <c r="BY164" s="12" t="s">
        <v>774</v>
      </c>
      <c r="BZ164" s="12" t="s">
        <v>774</v>
      </c>
      <c r="CA164" s="12" t="s">
        <v>774</v>
      </c>
      <c r="CB164" s="12" t="s">
        <v>780</v>
      </c>
      <c r="CC164" s="12" t="s">
        <v>780</v>
      </c>
      <c r="CD164" s="12" t="s">
        <v>602</v>
      </c>
      <c r="CE164" s="12" t="s">
        <v>602</v>
      </c>
      <c r="CF164" s="12" t="s">
        <v>602</v>
      </c>
      <c r="CG164" s="12" t="s">
        <v>602</v>
      </c>
      <c r="CH164" s="12" t="s">
        <v>602</v>
      </c>
      <c r="CI164" s="12" t="s">
        <v>691</v>
      </c>
      <c r="CJ164" s="12" t="s">
        <v>2036</v>
      </c>
      <c r="CK164" s="12" t="s">
        <v>2036</v>
      </c>
      <c r="CL164" s="12" t="s">
        <v>784</v>
      </c>
      <c r="CM164" s="12" t="s">
        <v>784</v>
      </c>
      <c r="CN164" s="12" t="s">
        <v>784</v>
      </c>
      <c r="CO164" s="12" t="s">
        <v>870</v>
      </c>
      <c r="CP164" s="12" t="s">
        <v>645</v>
      </c>
      <c r="CQ164" s="12" t="s">
        <v>785</v>
      </c>
      <c r="CR164" s="12" t="s">
        <v>935</v>
      </c>
      <c r="CS164" s="12" t="s">
        <v>989</v>
      </c>
      <c r="CT164" s="12" t="s">
        <v>695</v>
      </c>
    </row>
    <row r="165" spans="1:98" hidden="1" x14ac:dyDescent="0.3">
      <c r="A165" s="12" t="s">
        <v>25</v>
      </c>
      <c r="B165" s="12" t="s">
        <v>3299</v>
      </c>
      <c r="C165" s="12" t="s">
        <v>3300</v>
      </c>
      <c r="D165" s="12" t="s">
        <v>3301</v>
      </c>
      <c r="E165" s="12" t="s">
        <v>596</v>
      </c>
      <c r="F165" s="12" t="s">
        <v>596</v>
      </c>
      <c r="G165" s="12" t="s">
        <v>596</v>
      </c>
      <c r="H165" s="12" t="s">
        <v>596</v>
      </c>
      <c r="I165" s="12" t="s">
        <v>596</v>
      </c>
      <c r="J165" s="12" t="s">
        <v>596</v>
      </c>
      <c r="K165" s="12" t="s">
        <v>596</v>
      </c>
      <c r="L165" s="12" t="s">
        <v>596</v>
      </c>
      <c r="M165" s="12" t="s">
        <v>596</v>
      </c>
      <c r="N165" s="12" t="s">
        <v>596</v>
      </c>
      <c r="O165" s="12" t="s">
        <v>596</v>
      </c>
      <c r="P165" s="12" t="s">
        <v>596</v>
      </c>
      <c r="Q165" s="12" t="s">
        <v>596</v>
      </c>
      <c r="R165" s="12" t="s">
        <v>596</v>
      </c>
      <c r="S165" s="12" t="s">
        <v>596</v>
      </c>
      <c r="T165" s="12" t="s">
        <v>596</v>
      </c>
      <c r="U165" s="12" t="s">
        <v>596</v>
      </c>
      <c r="V165" s="12" t="s">
        <v>596</v>
      </c>
      <c r="W165" s="12" t="s">
        <v>596</v>
      </c>
      <c r="X165" s="12" t="s">
        <v>596</v>
      </c>
      <c r="Y165" s="12" t="s">
        <v>596</v>
      </c>
      <c r="Z165" s="12" t="s">
        <v>596</v>
      </c>
      <c r="AA165" s="12" t="s">
        <v>596</v>
      </c>
      <c r="AB165" s="12" t="s">
        <v>596</v>
      </c>
      <c r="AC165" s="12" t="s">
        <v>596</v>
      </c>
      <c r="AD165" s="12" t="s">
        <v>596</v>
      </c>
      <c r="AE165" s="12" t="s">
        <v>596</v>
      </c>
      <c r="AF165" s="12" t="s">
        <v>596</v>
      </c>
      <c r="AG165" s="12" t="s">
        <v>596</v>
      </c>
      <c r="AH165" s="12" t="s">
        <v>596</v>
      </c>
      <c r="AI165" s="12" t="s">
        <v>596</v>
      </c>
      <c r="AJ165" s="12" t="s">
        <v>596</v>
      </c>
      <c r="AK165" s="12" t="s">
        <v>596</v>
      </c>
      <c r="AL165" s="12" t="s">
        <v>596</v>
      </c>
      <c r="AM165" s="12" t="s">
        <v>596</v>
      </c>
      <c r="AN165" s="12" t="s">
        <v>596</v>
      </c>
      <c r="AO165" s="12" t="s">
        <v>596</v>
      </c>
      <c r="AP165" s="12" t="s">
        <v>596</v>
      </c>
      <c r="AQ165" s="12" t="s">
        <v>596</v>
      </c>
      <c r="AR165" s="12" t="s">
        <v>596</v>
      </c>
      <c r="AS165" s="12" t="s">
        <v>596</v>
      </c>
      <c r="AT165" s="12" t="s">
        <v>596</v>
      </c>
      <c r="AU165" s="12" t="s">
        <v>596</v>
      </c>
      <c r="AV165" s="12" t="s">
        <v>596</v>
      </c>
      <c r="AW165" s="12" t="s">
        <v>596</v>
      </c>
      <c r="AX165" s="12" t="s">
        <v>596</v>
      </c>
      <c r="AY165" s="12" t="s">
        <v>596</v>
      </c>
      <c r="AZ165" s="12" t="s">
        <v>596</v>
      </c>
      <c r="BA165" s="12" t="s">
        <v>596</v>
      </c>
      <c r="BB165" s="12" t="s">
        <v>596</v>
      </c>
      <c r="BC165" s="12" t="s">
        <v>596</v>
      </c>
      <c r="BD165" s="12" t="s">
        <v>596</v>
      </c>
      <c r="BE165" s="12" t="s">
        <v>596</v>
      </c>
      <c r="BF165" s="12" t="s">
        <v>596</v>
      </c>
      <c r="BG165" s="12" t="s">
        <v>596</v>
      </c>
      <c r="BH165" s="12" t="s">
        <v>641</v>
      </c>
      <c r="BI165" s="12" t="s">
        <v>641</v>
      </c>
      <c r="BJ165" s="12" t="s">
        <v>690</v>
      </c>
      <c r="BK165" s="12" t="s">
        <v>774</v>
      </c>
      <c r="BL165" s="12" t="s">
        <v>774</v>
      </c>
      <c r="BM165" s="12" t="s">
        <v>603</v>
      </c>
      <c r="BN165" s="12" t="s">
        <v>931</v>
      </c>
      <c r="BO165" s="12" t="s">
        <v>990</v>
      </c>
      <c r="BP165" s="12" t="s">
        <v>827</v>
      </c>
      <c r="BQ165" s="12" t="s">
        <v>992</v>
      </c>
      <c r="BR165" s="12" t="s">
        <v>994</v>
      </c>
      <c r="BS165" s="12" t="s">
        <v>608</v>
      </c>
      <c r="BT165" s="12" t="s">
        <v>1142</v>
      </c>
      <c r="BU165" s="12" t="s">
        <v>875</v>
      </c>
      <c r="BV165" s="12" t="s">
        <v>1226</v>
      </c>
      <c r="BW165" s="12" t="s">
        <v>656</v>
      </c>
      <c r="BX165" s="12" t="s">
        <v>938</v>
      </c>
      <c r="BY165" s="12" t="s">
        <v>613</v>
      </c>
      <c r="BZ165" s="12" t="s">
        <v>702</v>
      </c>
      <c r="CA165" s="12" t="s">
        <v>1144</v>
      </c>
      <c r="CB165" s="12" t="s">
        <v>1441</v>
      </c>
      <c r="CC165" s="12" t="s">
        <v>1526</v>
      </c>
      <c r="CD165" s="12" t="s">
        <v>2048</v>
      </c>
      <c r="CE165" s="12" t="s">
        <v>1529</v>
      </c>
      <c r="CF165" s="12" t="s">
        <v>1511</v>
      </c>
      <c r="CG165" s="12" t="s">
        <v>1513</v>
      </c>
      <c r="CH165" s="12" t="s">
        <v>1754</v>
      </c>
      <c r="CI165" s="12" t="s">
        <v>1705</v>
      </c>
      <c r="CJ165" s="12" t="s">
        <v>1846</v>
      </c>
      <c r="CK165" s="12" t="s">
        <v>1413</v>
      </c>
      <c r="CL165" s="12" t="s">
        <v>1759</v>
      </c>
      <c r="CM165" s="12" t="s">
        <v>1759</v>
      </c>
      <c r="CN165" s="12" t="s">
        <v>894</v>
      </c>
      <c r="CO165" s="12" t="s">
        <v>746</v>
      </c>
      <c r="CP165" s="12" t="s">
        <v>1849</v>
      </c>
      <c r="CQ165" s="12" t="s">
        <v>1626</v>
      </c>
      <c r="CR165" s="12" t="s">
        <v>1627</v>
      </c>
      <c r="CS165" s="12" t="s">
        <v>1628</v>
      </c>
      <c r="CT165" s="12" t="s">
        <v>941</v>
      </c>
    </row>
    <row r="166" spans="1:98" hidden="1" x14ac:dyDescent="0.3">
      <c r="A166" s="12" t="s">
        <v>25</v>
      </c>
      <c r="B166" s="12" t="s">
        <v>3302</v>
      </c>
      <c r="C166" s="12" t="s">
        <v>3303</v>
      </c>
      <c r="D166" s="12" t="s">
        <v>3304</v>
      </c>
      <c r="E166" s="12" t="s">
        <v>596</v>
      </c>
      <c r="F166" s="12" t="s">
        <v>596</v>
      </c>
      <c r="G166" s="12" t="s">
        <v>596</v>
      </c>
      <c r="H166" s="12" t="s">
        <v>596</v>
      </c>
      <c r="I166" s="12" t="s">
        <v>596</v>
      </c>
      <c r="J166" s="12" t="s">
        <v>596</v>
      </c>
      <c r="K166" s="12" t="s">
        <v>596</v>
      </c>
      <c r="L166" s="12" t="s">
        <v>596</v>
      </c>
      <c r="M166" s="12" t="s">
        <v>596</v>
      </c>
      <c r="N166" s="12" t="s">
        <v>596</v>
      </c>
      <c r="O166" s="12" t="s">
        <v>596</v>
      </c>
      <c r="P166" s="12" t="s">
        <v>596</v>
      </c>
      <c r="Q166" s="12" t="s">
        <v>596</v>
      </c>
      <c r="R166" s="12" t="s">
        <v>596</v>
      </c>
      <c r="S166" s="12" t="s">
        <v>596</v>
      </c>
      <c r="T166" s="12" t="s">
        <v>596</v>
      </c>
      <c r="U166" s="12" t="s">
        <v>596</v>
      </c>
      <c r="V166" s="12" t="s">
        <v>596</v>
      </c>
      <c r="W166" s="12" t="s">
        <v>596</v>
      </c>
      <c r="X166" s="12" t="s">
        <v>596</v>
      </c>
      <c r="Y166" s="12" t="s">
        <v>596</v>
      </c>
      <c r="Z166" s="12" t="s">
        <v>596</v>
      </c>
      <c r="AA166" s="12" t="s">
        <v>596</v>
      </c>
      <c r="AB166" s="12" t="s">
        <v>596</v>
      </c>
      <c r="AC166" s="12" t="s">
        <v>596</v>
      </c>
      <c r="AD166" s="12" t="s">
        <v>596</v>
      </c>
      <c r="AE166" s="12" t="s">
        <v>596</v>
      </c>
      <c r="AF166" s="12" t="s">
        <v>596</v>
      </c>
      <c r="AG166" s="12" t="s">
        <v>596</v>
      </c>
      <c r="AH166" s="12" t="s">
        <v>596</v>
      </c>
      <c r="AI166" s="12" t="s">
        <v>596</v>
      </c>
      <c r="AJ166" s="12" t="s">
        <v>596</v>
      </c>
      <c r="AK166" s="12" t="s">
        <v>596</v>
      </c>
      <c r="AL166" s="12" t="s">
        <v>596</v>
      </c>
      <c r="AM166" s="12" t="s">
        <v>596</v>
      </c>
      <c r="AN166" s="12" t="s">
        <v>596</v>
      </c>
      <c r="AO166" s="12" t="s">
        <v>596</v>
      </c>
      <c r="AP166" s="12" t="s">
        <v>596</v>
      </c>
      <c r="AQ166" s="12" t="s">
        <v>596</v>
      </c>
      <c r="AR166" s="12" t="s">
        <v>596</v>
      </c>
      <c r="AS166" s="12" t="s">
        <v>597</v>
      </c>
      <c r="AT166" s="12" t="s">
        <v>597</v>
      </c>
      <c r="AU166" s="12" t="s">
        <v>597</v>
      </c>
      <c r="AV166" s="12" t="s">
        <v>641</v>
      </c>
      <c r="AW166" s="12" t="s">
        <v>641</v>
      </c>
      <c r="AX166" s="12" t="s">
        <v>641</v>
      </c>
      <c r="AY166" s="12" t="s">
        <v>641</v>
      </c>
      <c r="AZ166" s="12" t="s">
        <v>641</v>
      </c>
      <c r="BA166" s="12" t="s">
        <v>690</v>
      </c>
      <c r="BB166" s="12" t="s">
        <v>599</v>
      </c>
      <c r="BC166" s="12" t="s">
        <v>869</v>
      </c>
      <c r="BD166" s="12" t="s">
        <v>600</v>
      </c>
      <c r="BE166" s="12" t="s">
        <v>691</v>
      </c>
      <c r="BF166" s="12" t="s">
        <v>887</v>
      </c>
      <c r="BG166" s="12" t="s">
        <v>971</v>
      </c>
      <c r="BH166" s="12" t="s">
        <v>646</v>
      </c>
      <c r="BI166" s="12" t="s">
        <v>1009</v>
      </c>
      <c r="BJ166" s="12" t="s">
        <v>1198</v>
      </c>
      <c r="BK166" s="12" t="s">
        <v>873</v>
      </c>
      <c r="BL166" s="12" t="s">
        <v>877</v>
      </c>
      <c r="BM166" s="12" t="s">
        <v>829</v>
      </c>
      <c r="BN166" s="12" t="s">
        <v>1839</v>
      </c>
      <c r="BO166" s="12" t="s">
        <v>612</v>
      </c>
      <c r="BP166" s="12" t="s">
        <v>2047</v>
      </c>
      <c r="BQ166" s="12" t="s">
        <v>1283</v>
      </c>
      <c r="BR166" s="12" t="s">
        <v>1415</v>
      </c>
      <c r="BS166" s="12" t="s">
        <v>2413</v>
      </c>
      <c r="BT166" s="12" t="s">
        <v>1863</v>
      </c>
      <c r="BU166" s="12" t="s">
        <v>3125</v>
      </c>
      <c r="BV166" s="12" t="s">
        <v>1479</v>
      </c>
      <c r="BW166" s="12" t="s">
        <v>1305</v>
      </c>
      <c r="BX166" s="12" t="s">
        <v>3305</v>
      </c>
      <c r="BY166" s="12" t="s">
        <v>3306</v>
      </c>
      <c r="BZ166" s="12" t="s">
        <v>3307</v>
      </c>
      <c r="CA166" s="12" t="s">
        <v>1332</v>
      </c>
      <c r="CB166" s="12" t="s">
        <v>2261</v>
      </c>
      <c r="CC166" s="12" t="s">
        <v>1889</v>
      </c>
      <c r="CD166" s="12" t="s">
        <v>1899</v>
      </c>
      <c r="CE166" s="12" t="s">
        <v>3308</v>
      </c>
      <c r="CF166" s="12" t="s">
        <v>1802</v>
      </c>
      <c r="CG166" s="12" t="s">
        <v>3309</v>
      </c>
      <c r="CH166" s="12" t="s">
        <v>3310</v>
      </c>
      <c r="CI166" s="12" t="s">
        <v>2707</v>
      </c>
      <c r="CJ166" s="12" t="s">
        <v>3311</v>
      </c>
      <c r="CK166" s="12" t="s">
        <v>1591</v>
      </c>
      <c r="CL166" s="12" t="s">
        <v>3312</v>
      </c>
      <c r="CM166" s="12" t="s">
        <v>3313</v>
      </c>
      <c r="CN166" s="12" t="s">
        <v>3314</v>
      </c>
      <c r="CO166" s="12" t="s">
        <v>3315</v>
      </c>
      <c r="CP166" s="12" t="s">
        <v>3316</v>
      </c>
      <c r="CQ166" s="12" t="s">
        <v>3317</v>
      </c>
      <c r="CR166" s="12" t="s">
        <v>3318</v>
      </c>
      <c r="CS166" s="12" t="s">
        <v>3319</v>
      </c>
      <c r="CT166" s="12" t="s">
        <v>3320</v>
      </c>
    </row>
    <row r="167" spans="1:98" hidden="1" x14ac:dyDescent="0.3">
      <c r="A167" s="12" t="s">
        <v>25</v>
      </c>
      <c r="B167" s="12" t="s">
        <v>3321</v>
      </c>
      <c r="C167" s="12" t="s">
        <v>3322</v>
      </c>
      <c r="D167" s="12" t="s">
        <v>3323</v>
      </c>
      <c r="E167" s="12" t="s">
        <v>596</v>
      </c>
      <c r="F167" s="12" t="s">
        <v>596</v>
      </c>
      <c r="G167" s="12" t="s">
        <v>596</v>
      </c>
      <c r="H167" s="12" t="s">
        <v>596</v>
      </c>
      <c r="I167" s="12" t="s">
        <v>596</v>
      </c>
      <c r="J167" s="12" t="s">
        <v>596</v>
      </c>
      <c r="K167" s="12" t="s">
        <v>596</v>
      </c>
      <c r="L167" s="12" t="s">
        <v>596</v>
      </c>
      <c r="M167" s="12" t="s">
        <v>596</v>
      </c>
      <c r="N167" s="12" t="s">
        <v>596</v>
      </c>
      <c r="O167" s="12" t="s">
        <v>596</v>
      </c>
      <c r="P167" s="12" t="s">
        <v>596</v>
      </c>
      <c r="Q167" s="12" t="s">
        <v>596</v>
      </c>
      <c r="R167" s="12" t="s">
        <v>596</v>
      </c>
      <c r="S167" s="12" t="s">
        <v>596</v>
      </c>
      <c r="T167" s="12" t="s">
        <v>596</v>
      </c>
      <c r="U167" s="12" t="s">
        <v>596</v>
      </c>
      <c r="V167" s="12" t="s">
        <v>596</v>
      </c>
      <c r="W167" s="12" t="s">
        <v>596</v>
      </c>
      <c r="X167" s="12" t="s">
        <v>596</v>
      </c>
      <c r="Y167" s="12" t="s">
        <v>596</v>
      </c>
      <c r="Z167" s="12" t="s">
        <v>596</v>
      </c>
      <c r="AA167" s="12" t="s">
        <v>596</v>
      </c>
      <c r="AB167" s="12" t="s">
        <v>596</v>
      </c>
      <c r="AC167" s="12" t="s">
        <v>596</v>
      </c>
      <c r="AD167" s="12" t="s">
        <v>596</v>
      </c>
      <c r="AE167" s="12" t="s">
        <v>596</v>
      </c>
      <c r="AF167" s="12" t="s">
        <v>596</v>
      </c>
      <c r="AG167" s="12" t="s">
        <v>596</v>
      </c>
      <c r="AH167" s="12" t="s">
        <v>596</v>
      </c>
      <c r="AI167" s="12" t="s">
        <v>596</v>
      </c>
      <c r="AJ167" s="12" t="s">
        <v>596</v>
      </c>
      <c r="AK167" s="12" t="s">
        <v>596</v>
      </c>
      <c r="AL167" s="12" t="s">
        <v>596</v>
      </c>
      <c r="AM167" s="12" t="s">
        <v>596</v>
      </c>
      <c r="AN167" s="12" t="s">
        <v>596</v>
      </c>
      <c r="AO167" s="12" t="s">
        <v>596</v>
      </c>
      <c r="AP167" s="12" t="s">
        <v>596</v>
      </c>
      <c r="AQ167" s="12" t="s">
        <v>596</v>
      </c>
      <c r="AR167" s="12" t="s">
        <v>596</v>
      </c>
      <c r="AS167" s="12" t="s">
        <v>596</v>
      </c>
      <c r="AT167" s="12" t="s">
        <v>596</v>
      </c>
      <c r="AU167" s="12" t="s">
        <v>596</v>
      </c>
      <c r="AV167" s="12" t="s">
        <v>596</v>
      </c>
      <c r="AW167" s="12" t="s">
        <v>596</v>
      </c>
      <c r="AX167" s="12" t="s">
        <v>596</v>
      </c>
      <c r="AY167" s="12" t="s">
        <v>596</v>
      </c>
      <c r="AZ167" s="12" t="s">
        <v>596</v>
      </c>
      <c r="BA167" s="12" t="s">
        <v>596</v>
      </c>
      <c r="BB167" s="12" t="s">
        <v>596</v>
      </c>
      <c r="BC167" s="12" t="s">
        <v>596</v>
      </c>
      <c r="BD167" s="12" t="s">
        <v>596</v>
      </c>
      <c r="BE167" s="12" t="s">
        <v>641</v>
      </c>
      <c r="BF167" s="12" t="s">
        <v>641</v>
      </c>
      <c r="BG167" s="12" t="s">
        <v>641</v>
      </c>
      <c r="BH167" s="12" t="s">
        <v>641</v>
      </c>
      <c r="BI167" s="12" t="s">
        <v>641</v>
      </c>
      <c r="BJ167" s="12" t="s">
        <v>690</v>
      </c>
      <c r="BK167" s="12" t="s">
        <v>690</v>
      </c>
      <c r="BL167" s="12" t="s">
        <v>690</v>
      </c>
      <c r="BM167" s="12" t="s">
        <v>690</v>
      </c>
      <c r="BN167" s="12" t="s">
        <v>598</v>
      </c>
      <c r="BO167" s="12" t="s">
        <v>600</v>
      </c>
      <c r="BP167" s="12" t="s">
        <v>600</v>
      </c>
      <c r="BQ167" s="12" t="s">
        <v>773</v>
      </c>
      <c r="BR167" s="12" t="s">
        <v>773</v>
      </c>
      <c r="BS167" s="12" t="s">
        <v>773</v>
      </c>
      <c r="BT167" s="12" t="s">
        <v>601</v>
      </c>
      <c r="BU167" s="12" t="s">
        <v>601</v>
      </c>
      <c r="BV167" s="12" t="s">
        <v>601</v>
      </c>
      <c r="BW167" s="12" t="s">
        <v>774</v>
      </c>
      <c r="BX167" s="12" t="s">
        <v>774</v>
      </c>
      <c r="BY167" s="12" t="s">
        <v>774</v>
      </c>
      <c r="BZ167" s="12" t="s">
        <v>774</v>
      </c>
      <c r="CA167" s="12" t="s">
        <v>602</v>
      </c>
      <c r="CB167" s="12" t="s">
        <v>602</v>
      </c>
      <c r="CC167" s="12" t="s">
        <v>602</v>
      </c>
      <c r="CD167" s="12" t="s">
        <v>602</v>
      </c>
      <c r="CE167" s="12" t="s">
        <v>602</v>
      </c>
      <c r="CF167" s="12" t="s">
        <v>602</v>
      </c>
      <c r="CG167" s="12" t="s">
        <v>602</v>
      </c>
      <c r="CH167" s="12" t="s">
        <v>602</v>
      </c>
      <c r="CI167" s="12" t="s">
        <v>602</v>
      </c>
      <c r="CJ167" s="12" t="s">
        <v>602</v>
      </c>
      <c r="CK167" s="12" t="s">
        <v>602</v>
      </c>
      <c r="CL167" s="12" t="s">
        <v>602</v>
      </c>
      <c r="CM167" s="12" t="s">
        <v>602</v>
      </c>
      <c r="CN167" s="12" t="s">
        <v>602</v>
      </c>
      <c r="CO167" s="12" t="s">
        <v>602</v>
      </c>
      <c r="CP167" s="12" t="s">
        <v>602</v>
      </c>
      <c r="CQ167" s="12" t="s">
        <v>602</v>
      </c>
      <c r="CR167" s="12" t="s">
        <v>602</v>
      </c>
      <c r="CS167" s="12" t="s">
        <v>602</v>
      </c>
      <c r="CT167" s="12" t="s">
        <v>602</v>
      </c>
    </row>
    <row r="168" spans="1:98" hidden="1" x14ac:dyDescent="0.3">
      <c r="A168" s="12" t="s">
        <v>25</v>
      </c>
      <c r="B168" s="12" t="s">
        <v>3324</v>
      </c>
      <c r="C168" s="12" t="s">
        <v>3325</v>
      </c>
      <c r="D168" s="12" t="s">
        <v>3326</v>
      </c>
      <c r="E168" s="12" t="s">
        <v>596</v>
      </c>
      <c r="F168" s="12" t="s">
        <v>596</v>
      </c>
      <c r="G168" s="12" t="s">
        <v>596</v>
      </c>
      <c r="H168" s="12" t="s">
        <v>597</v>
      </c>
      <c r="I168" s="12" t="s">
        <v>597</v>
      </c>
      <c r="J168" s="12" t="s">
        <v>597</v>
      </c>
      <c r="K168" s="12" t="s">
        <v>597</v>
      </c>
      <c r="L168" s="12" t="s">
        <v>597</v>
      </c>
      <c r="M168" s="12" t="s">
        <v>597</v>
      </c>
      <c r="N168" s="12" t="s">
        <v>597</v>
      </c>
      <c r="O168" s="12" t="s">
        <v>597</v>
      </c>
      <c r="P168" s="12" t="s">
        <v>597</v>
      </c>
      <c r="Q168" s="12" t="s">
        <v>597</v>
      </c>
      <c r="R168" s="12" t="s">
        <v>597</v>
      </c>
      <c r="S168" s="12" t="s">
        <v>597</v>
      </c>
      <c r="T168" s="12" t="s">
        <v>597</v>
      </c>
      <c r="U168" s="12" t="s">
        <v>597</v>
      </c>
      <c r="V168" s="12" t="s">
        <v>597</v>
      </c>
      <c r="W168" s="12" t="s">
        <v>597</v>
      </c>
      <c r="X168" s="12" t="s">
        <v>597</v>
      </c>
      <c r="Y168" s="12" t="s">
        <v>597</v>
      </c>
      <c r="Z168" s="12" t="s">
        <v>597</v>
      </c>
      <c r="AA168" s="12" t="s">
        <v>597</v>
      </c>
      <c r="AB168" s="12" t="s">
        <v>597</v>
      </c>
      <c r="AC168" s="12" t="s">
        <v>597</v>
      </c>
      <c r="AD168" s="12" t="s">
        <v>597</v>
      </c>
      <c r="AE168" s="12" t="s">
        <v>597</v>
      </c>
      <c r="AF168" s="12" t="s">
        <v>597</v>
      </c>
      <c r="AG168" s="12" t="s">
        <v>597</v>
      </c>
      <c r="AH168" s="12" t="s">
        <v>597</v>
      </c>
      <c r="AI168" s="12" t="s">
        <v>597</v>
      </c>
      <c r="AJ168" s="12" t="s">
        <v>597</v>
      </c>
      <c r="AK168" s="12" t="s">
        <v>597</v>
      </c>
      <c r="AL168" s="12" t="s">
        <v>597</v>
      </c>
      <c r="AM168" s="12" t="s">
        <v>597</v>
      </c>
      <c r="AN168" s="12" t="s">
        <v>597</v>
      </c>
      <c r="AO168" s="12" t="s">
        <v>597</v>
      </c>
      <c r="AP168" s="12" t="s">
        <v>597</v>
      </c>
      <c r="AQ168" s="12" t="s">
        <v>597</v>
      </c>
      <c r="AR168" s="12" t="s">
        <v>597</v>
      </c>
      <c r="AS168" s="12" t="s">
        <v>597</v>
      </c>
      <c r="AT168" s="12" t="s">
        <v>597</v>
      </c>
      <c r="AU168" s="12" t="s">
        <v>597</v>
      </c>
      <c r="AV168" s="12" t="s">
        <v>597</v>
      </c>
      <c r="AW168" s="12" t="s">
        <v>597</v>
      </c>
      <c r="AX168" s="12" t="s">
        <v>597</v>
      </c>
      <c r="AY168" s="12" t="s">
        <v>597</v>
      </c>
      <c r="AZ168" s="12" t="s">
        <v>597</v>
      </c>
      <c r="BA168" s="12" t="s">
        <v>597</v>
      </c>
      <c r="BB168" s="12" t="s">
        <v>597</v>
      </c>
      <c r="BC168" s="12" t="s">
        <v>597</v>
      </c>
      <c r="BD168" s="12" t="s">
        <v>597</v>
      </c>
      <c r="BE168" s="12" t="s">
        <v>597</v>
      </c>
      <c r="BF168" s="12" t="s">
        <v>597</v>
      </c>
      <c r="BG168" s="12" t="s">
        <v>597</v>
      </c>
      <c r="BH168" s="12" t="s">
        <v>597</v>
      </c>
      <c r="BI168" s="12" t="s">
        <v>597</v>
      </c>
      <c r="BJ168" s="12" t="s">
        <v>597</v>
      </c>
      <c r="BK168" s="12" t="s">
        <v>597</v>
      </c>
      <c r="BL168" s="12" t="s">
        <v>597</v>
      </c>
      <c r="BM168" s="12" t="s">
        <v>597</v>
      </c>
      <c r="BN168" s="12" t="s">
        <v>641</v>
      </c>
      <c r="BO168" s="12" t="s">
        <v>641</v>
      </c>
      <c r="BP168" s="12" t="s">
        <v>690</v>
      </c>
      <c r="BQ168" s="12" t="s">
        <v>690</v>
      </c>
      <c r="BR168" s="12" t="s">
        <v>598</v>
      </c>
      <c r="BS168" s="12" t="s">
        <v>599</v>
      </c>
      <c r="BT168" s="12" t="s">
        <v>599</v>
      </c>
      <c r="BU168" s="12" t="s">
        <v>599</v>
      </c>
      <c r="BV168" s="12" t="s">
        <v>599</v>
      </c>
      <c r="BW168" s="12" t="s">
        <v>599</v>
      </c>
      <c r="BX168" s="12" t="s">
        <v>869</v>
      </c>
      <c r="BY168" s="12" t="s">
        <v>869</v>
      </c>
      <c r="BZ168" s="12" t="s">
        <v>779</v>
      </c>
      <c r="CA168" s="12" t="s">
        <v>779</v>
      </c>
      <c r="CB168" s="12" t="s">
        <v>779</v>
      </c>
      <c r="CC168" s="12" t="s">
        <v>779</v>
      </c>
      <c r="CD168" s="12" t="s">
        <v>779</v>
      </c>
      <c r="CE168" s="12" t="s">
        <v>779</v>
      </c>
      <c r="CF168" s="12" t="s">
        <v>779</v>
      </c>
      <c r="CG168" s="12" t="s">
        <v>779</v>
      </c>
      <c r="CH168" s="12" t="s">
        <v>643</v>
      </c>
      <c r="CI168" s="12" t="s">
        <v>774</v>
      </c>
      <c r="CJ168" s="12" t="s">
        <v>602</v>
      </c>
      <c r="CK168" s="12" t="s">
        <v>602</v>
      </c>
      <c r="CL168" s="12" t="s">
        <v>602</v>
      </c>
      <c r="CM168" s="12" t="s">
        <v>2036</v>
      </c>
      <c r="CN168" s="12" t="s">
        <v>784</v>
      </c>
      <c r="CO168" s="12" t="s">
        <v>784</v>
      </c>
      <c r="CP168" s="12" t="s">
        <v>784</v>
      </c>
      <c r="CQ168" s="12" t="s">
        <v>1277</v>
      </c>
      <c r="CR168" s="12" t="s">
        <v>786</v>
      </c>
      <c r="CS168" s="12" t="s">
        <v>696</v>
      </c>
      <c r="CT168" s="12" t="s">
        <v>1009</v>
      </c>
    </row>
    <row r="169" spans="1:98" hidden="1" x14ac:dyDescent="0.3">
      <c r="A169" s="12" t="s">
        <v>3327</v>
      </c>
      <c r="B169" s="12" t="s">
        <v>3328</v>
      </c>
      <c r="C169" s="12" t="s">
        <v>3329</v>
      </c>
      <c r="D169" s="12" t="s">
        <v>3330</v>
      </c>
      <c r="E169" s="12" t="s">
        <v>596</v>
      </c>
      <c r="F169" s="12" t="s">
        <v>596</v>
      </c>
      <c r="G169" s="12" t="s">
        <v>596</v>
      </c>
      <c r="H169" s="12" t="s">
        <v>596</v>
      </c>
      <c r="I169" s="12" t="s">
        <v>596</v>
      </c>
      <c r="J169" s="12" t="s">
        <v>596</v>
      </c>
      <c r="K169" s="12" t="s">
        <v>596</v>
      </c>
      <c r="L169" s="12" t="s">
        <v>596</v>
      </c>
      <c r="M169" s="12" t="s">
        <v>596</v>
      </c>
      <c r="N169" s="12" t="s">
        <v>596</v>
      </c>
      <c r="O169" s="12" t="s">
        <v>596</v>
      </c>
      <c r="P169" s="12" t="s">
        <v>596</v>
      </c>
      <c r="Q169" s="12" t="s">
        <v>596</v>
      </c>
      <c r="R169" s="12" t="s">
        <v>596</v>
      </c>
      <c r="S169" s="12" t="s">
        <v>596</v>
      </c>
      <c r="T169" s="12" t="s">
        <v>596</v>
      </c>
      <c r="U169" s="12" t="s">
        <v>596</v>
      </c>
      <c r="V169" s="12" t="s">
        <v>596</v>
      </c>
      <c r="W169" s="12" t="s">
        <v>596</v>
      </c>
      <c r="X169" s="12" t="s">
        <v>596</v>
      </c>
      <c r="Y169" s="12" t="s">
        <v>596</v>
      </c>
      <c r="Z169" s="12" t="s">
        <v>596</v>
      </c>
      <c r="AA169" s="12" t="s">
        <v>596</v>
      </c>
      <c r="AB169" s="12" t="s">
        <v>596</v>
      </c>
      <c r="AC169" s="12" t="s">
        <v>596</v>
      </c>
      <c r="AD169" s="12" t="s">
        <v>596</v>
      </c>
      <c r="AE169" s="12" t="s">
        <v>596</v>
      </c>
      <c r="AF169" s="12" t="s">
        <v>596</v>
      </c>
      <c r="AG169" s="12" t="s">
        <v>596</v>
      </c>
      <c r="AH169" s="12" t="s">
        <v>596</v>
      </c>
      <c r="AI169" s="12" t="s">
        <v>596</v>
      </c>
      <c r="AJ169" s="12" t="s">
        <v>596</v>
      </c>
      <c r="AK169" s="12" t="s">
        <v>596</v>
      </c>
      <c r="AL169" s="12" t="s">
        <v>596</v>
      </c>
      <c r="AM169" s="12" t="s">
        <v>596</v>
      </c>
      <c r="AN169" s="12" t="s">
        <v>596</v>
      </c>
      <c r="AO169" s="12" t="s">
        <v>596</v>
      </c>
      <c r="AP169" s="12" t="s">
        <v>596</v>
      </c>
      <c r="AQ169" s="12" t="s">
        <v>596</v>
      </c>
      <c r="AR169" s="12" t="s">
        <v>596</v>
      </c>
      <c r="AS169" s="12" t="s">
        <v>596</v>
      </c>
      <c r="AT169" s="12" t="s">
        <v>596</v>
      </c>
      <c r="AU169" s="12" t="s">
        <v>596</v>
      </c>
      <c r="AV169" s="12" t="s">
        <v>596</v>
      </c>
      <c r="AW169" s="12" t="s">
        <v>596</v>
      </c>
      <c r="AX169" s="12" t="s">
        <v>596</v>
      </c>
      <c r="AY169" s="12" t="s">
        <v>596</v>
      </c>
      <c r="AZ169" s="12" t="s">
        <v>596</v>
      </c>
      <c r="BA169" s="12" t="s">
        <v>596</v>
      </c>
      <c r="BB169" s="12" t="s">
        <v>596</v>
      </c>
      <c r="BC169" s="12" t="s">
        <v>596</v>
      </c>
      <c r="BD169" s="12" t="s">
        <v>641</v>
      </c>
      <c r="BE169" s="12" t="s">
        <v>641</v>
      </c>
      <c r="BF169" s="12" t="s">
        <v>641</v>
      </c>
      <c r="BG169" s="12" t="s">
        <v>641</v>
      </c>
      <c r="BH169" s="12" t="s">
        <v>690</v>
      </c>
      <c r="BI169" s="12" t="s">
        <v>598</v>
      </c>
      <c r="BJ169" s="12" t="s">
        <v>598</v>
      </c>
      <c r="BK169" s="12" t="s">
        <v>599</v>
      </c>
      <c r="BL169" s="12" t="s">
        <v>599</v>
      </c>
      <c r="BM169" s="12" t="s">
        <v>779</v>
      </c>
      <c r="BN169" s="12" t="s">
        <v>779</v>
      </c>
      <c r="BO169" s="12" t="s">
        <v>643</v>
      </c>
      <c r="BP169" s="12" t="s">
        <v>691</v>
      </c>
      <c r="BQ169" s="12" t="s">
        <v>887</v>
      </c>
      <c r="BR169" s="12" t="s">
        <v>645</v>
      </c>
      <c r="BS169" s="12" t="s">
        <v>936</v>
      </c>
      <c r="BT169" s="12" t="s">
        <v>972</v>
      </c>
      <c r="BU169" s="12" t="s">
        <v>972</v>
      </c>
      <c r="BV169" s="12" t="s">
        <v>649</v>
      </c>
      <c r="BW169" s="12" t="s">
        <v>649</v>
      </c>
      <c r="BX169" s="12" t="s">
        <v>698</v>
      </c>
      <c r="BY169" s="12" t="s">
        <v>871</v>
      </c>
      <c r="BZ169" s="12" t="s">
        <v>651</v>
      </c>
      <c r="CA169" s="12" t="s">
        <v>651</v>
      </c>
      <c r="CB169" s="12" t="s">
        <v>872</v>
      </c>
      <c r="CC169" s="12" t="s">
        <v>607</v>
      </c>
      <c r="CD169" s="12" t="s">
        <v>873</v>
      </c>
      <c r="CE169" s="12" t="s">
        <v>994</v>
      </c>
      <c r="CF169" s="12" t="s">
        <v>995</v>
      </c>
      <c r="CG169" s="12" t="s">
        <v>889</v>
      </c>
      <c r="CH169" s="12" t="s">
        <v>889</v>
      </c>
      <c r="CI169" s="12" t="s">
        <v>889</v>
      </c>
      <c r="CJ169" s="12" t="s">
        <v>889</v>
      </c>
      <c r="CK169" s="12" t="s">
        <v>876</v>
      </c>
      <c r="CL169" s="12" t="s">
        <v>1143</v>
      </c>
      <c r="CM169" s="12" t="s">
        <v>877</v>
      </c>
      <c r="CN169" s="12" t="s">
        <v>877</v>
      </c>
      <c r="CO169" s="12" t="s">
        <v>790</v>
      </c>
      <c r="CP169" s="12" t="s">
        <v>790</v>
      </c>
      <c r="CQ169" s="12" t="s">
        <v>790</v>
      </c>
      <c r="CR169" s="12" t="s">
        <v>879</v>
      </c>
      <c r="CS169" s="12" t="s">
        <v>879</v>
      </c>
      <c r="CT169" s="12" t="s">
        <v>879</v>
      </c>
    </row>
    <row r="170" spans="1:98" hidden="1" x14ac:dyDescent="0.3">
      <c r="A170" s="12" t="s">
        <v>3331</v>
      </c>
      <c r="B170" s="12" t="s">
        <v>3328</v>
      </c>
      <c r="C170" s="12" t="s">
        <v>3332</v>
      </c>
      <c r="D170" s="12" t="s">
        <v>3333</v>
      </c>
      <c r="E170" s="12" t="s">
        <v>596</v>
      </c>
      <c r="F170" s="12" t="s">
        <v>596</v>
      </c>
      <c r="G170" s="12" t="s">
        <v>596</v>
      </c>
      <c r="H170" s="12" t="s">
        <v>596</v>
      </c>
      <c r="I170" s="12" t="s">
        <v>596</v>
      </c>
      <c r="J170" s="12" t="s">
        <v>596</v>
      </c>
      <c r="K170" s="12" t="s">
        <v>596</v>
      </c>
      <c r="L170" s="12" t="s">
        <v>596</v>
      </c>
      <c r="M170" s="12" t="s">
        <v>596</v>
      </c>
      <c r="N170" s="12" t="s">
        <v>596</v>
      </c>
      <c r="O170" s="12" t="s">
        <v>596</v>
      </c>
      <c r="P170" s="12" t="s">
        <v>596</v>
      </c>
      <c r="Q170" s="12" t="s">
        <v>596</v>
      </c>
      <c r="R170" s="12" t="s">
        <v>596</v>
      </c>
      <c r="S170" s="12" t="s">
        <v>596</v>
      </c>
      <c r="T170" s="12" t="s">
        <v>596</v>
      </c>
      <c r="U170" s="12" t="s">
        <v>596</v>
      </c>
      <c r="V170" s="12" t="s">
        <v>596</v>
      </c>
      <c r="W170" s="12" t="s">
        <v>596</v>
      </c>
      <c r="X170" s="12" t="s">
        <v>596</v>
      </c>
      <c r="Y170" s="12" t="s">
        <v>596</v>
      </c>
      <c r="Z170" s="12" t="s">
        <v>596</v>
      </c>
      <c r="AA170" s="12" t="s">
        <v>596</v>
      </c>
      <c r="AB170" s="12" t="s">
        <v>596</v>
      </c>
      <c r="AC170" s="12" t="s">
        <v>596</v>
      </c>
      <c r="AD170" s="12" t="s">
        <v>596</v>
      </c>
      <c r="AE170" s="12" t="s">
        <v>596</v>
      </c>
      <c r="AF170" s="12" t="s">
        <v>596</v>
      </c>
      <c r="AG170" s="12" t="s">
        <v>596</v>
      </c>
      <c r="AH170" s="12" t="s">
        <v>596</v>
      </c>
      <c r="AI170" s="12" t="s">
        <v>596</v>
      </c>
      <c r="AJ170" s="12" t="s">
        <v>596</v>
      </c>
      <c r="AK170" s="12" t="s">
        <v>596</v>
      </c>
      <c r="AL170" s="12" t="s">
        <v>596</v>
      </c>
      <c r="AM170" s="12" t="s">
        <v>596</v>
      </c>
      <c r="AN170" s="12" t="s">
        <v>596</v>
      </c>
      <c r="AO170" s="12" t="s">
        <v>596</v>
      </c>
      <c r="AP170" s="12" t="s">
        <v>596</v>
      </c>
      <c r="AQ170" s="12" t="s">
        <v>596</v>
      </c>
      <c r="AR170" s="12" t="s">
        <v>596</v>
      </c>
      <c r="AS170" s="12" t="s">
        <v>596</v>
      </c>
      <c r="AT170" s="12" t="s">
        <v>596</v>
      </c>
      <c r="AU170" s="12" t="s">
        <v>596</v>
      </c>
      <c r="AV170" s="12" t="s">
        <v>596</v>
      </c>
      <c r="AW170" s="12" t="s">
        <v>596</v>
      </c>
      <c r="AX170" s="12" t="s">
        <v>596</v>
      </c>
      <c r="AY170" s="12" t="s">
        <v>596</v>
      </c>
      <c r="AZ170" s="12" t="s">
        <v>596</v>
      </c>
      <c r="BA170" s="12" t="s">
        <v>596</v>
      </c>
      <c r="BB170" s="12" t="s">
        <v>596</v>
      </c>
      <c r="BC170" s="12" t="s">
        <v>596</v>
      </c>
      <c r="BD170" s="12" t="s">
        <v>596</v>
      </c>
      <c r="BE170" s="12" t="s">
        <v>597</v>
      </c>
      <c r="BF170" s="12" t="s">
        <v>597</v>
      </c>
      <c r="BG170" s="12" t="s">
        <v>597</v>
      </c>
      <c r="BH170" s="12" t="s">
        <v>690</v>
      </c>
      <c r="BI170" s="12" t="s">
        <v>690</v>
      </c>
      <c r="BJ170" s="12" t="s">
        <v>690</v>
      </c>
      <c r="BK170" s="12" t="s">
        <v>690</v>
      </c>
      <c r="BL170" s="12" t="s">
        <v>690</v>
      </c>
      <c r="BM170" s="12" t="s">
        <v>690</v>
      </c>
      <c r="BN170" s="12" t="s">
        <v>598</v>
      </c>
      <c r="BO170" s="12" t="s">
        <v>869</v>
      </c>
      <c r="BP170" s="12" t="s">
        <v>869</v>
      </c>
      <c r="BQ170" s="12" t="s">
        <v>869</v>
      </c>
      <c r="BR170" s="12" t="s">
        <v>773</v>
      </c>
      <c r="BS170" s="12" t="s">
        <v>773</v>
      </c>
      <c r="BT170" s="12" t="s">
        <v>773</v>
      </c>
      <c r="BU170" s="12" t="s">
        <v>601</v>
      </c>
      <c r="BV170" s="12" t="s">
        <v>601</v>
      </c>
      <c r="BW170" s="12" t="s">
        <v>601</v>
      </c>
      <c r="BX170" s="12" t="s">
        <v>601</v>
      </c>
      <c r="BY170" s="12" t="s">
        <v>601</v>
      </c>
      <c r="BZ170" s="12" t="s">
        <v>601</v>
      </c>
      <c r="CA170" s="12" t="s">
        <v>601</v>
      </c>
      <c r="CB170" s="12" t="s">
        <v>886</v>
      </c>
      <c r="CC170" s="12" t="s">
        <v>886</v>
      </c>
      <c r="CD170" s="12" t="s">
        <v>774</v>
      </c>
      <c r="CE170" s="12" t="s">
        <v>774</v>
      </c>
      <c r="CF170" s="12" t="s">
        <v>774</v>
      </c>
      <c r="CG170" s="12" t="s">
        <v>774</v>
      </c>
      <c r="CH170" s="12" t="s">
        <v>774</v>
      </c>
      <c r="CI170" s="12" t="s">
        <v>774</v>
      </c>
      <c r="CJ170" s="12" t="s">
        <v>774</v>
      </c>
      <c r="CK170" s="12" t="s">
        <v>774</v>
      </c>
      <c r="CL170" s="12" t="s">
        <v>774</v>
      </c>
      <c r="CM170" s="12" t="s">
        <v>774</v>
      </c>
      <c r="CN170" s="12" t="s">
        <v>774</v>
      </c>
      <c r="CO170" s="12" t="s">
        <v>774</v>
      </c>
      <c r="CP170" s="12" t="s">
        <v>774</v>
      </c>
      <c r="CQ170" s="12" t="s">
        <v>774</v>
      </c>
      <c r="CR170" s="12" t="s">
        <v>774</v>
      </c>
      <c r="CS170" s="12" t="s">
        <v>774</v>
      </c>
      <c r="CT170" s="12" t="s">
        <v>602</v>
      </c>
    </row>
    <row r="171" spans="1:98" hidden="1" x14ac:dyDescent="0.3">
      <c r="A171" s="12" t="s">
        <v>3334</v>
      </c>
      <c r="B171" s="12" t="s">
        <v>3328</v>
      </c>
      <c r="C171" s="12" t="s">
        <v>3335</v>
      </c>
      <c r="D171" s="12" t="s">
        <v>3336</v>
      </c>
      <c r="E171" s="12" t="s">
        <v>596</v>
      </c>
      <c r="F171" s="12" t="s">
        <v>596</v>
      </c>
      <c r="G171" s="12" t="s">
        <v>596</v>
      </c>
      <c r="H171" s="12" t="s">
        <v>596</v>
      </c>
      <c r="I171" s="12" t="s">
        <v>596</v>
      </c>
      <c r="J171" s="12" t="s">
        <v>596</v>
      </c>
      <c r="K171" s="12" t="s">
        <v>596</v>
      </c>
      <c r="L171" s="12" t="s">
        <v>596</v>
      </c>
      <c r="M171" s="12" t="s">
        <v>596</v>
      </c>
      <c r="N171" s="12" t="s">
        <v>596</v>
      </c>
      <c r="O171" s="12" t="s">
        <v>596</v>
      </c>
      <c r="P171" s="12" t="s">
        <v>596</v>
      </c>
      <c r="Q171" s="12" t="s">
        <v>596</v>
      </c>
      <c r="R171" s="12" t="s">
        <v>596</v>
      </c>
      <c r="S171" s="12" t="s">
        <v>596</v>
      </c>
      <c r="T171" s="12" t="s">
        <v>596</v>
      </c>
      <c r="U171" s="12" t="s">
        <v>596</v>
      </c>
      <c r="V171" s="12" t="s">
        <v>596</v>
      </c>
      <c r="W171" s="12" t="s">
        <v>596</v>
      </c>
      <c r="X171" s="12" t="s">
        <v>596</v>
      </c>
      <c r="Y171" s="12" t="s">
        <v>596</v>
      </c>
      <c r="Z171" s="12" t="s">
        <v>596</v>
      </c>
      <c r="AA171" s="12" t="s">
        <v>596</v>
      </c>
      <c r="AB171" s="12" t="s">
        <v>596</v>
      </c>
      <c r="AC171" s="12" t="s">
        <v>596</v>
      </c>
      <c r="AD171" s="12" t="s">
        <v>596</v>
      </c>
      <c r="AE171" s="12" t="s">
        <v>596</v>
      </c>
      <c r="AF171" s="12" t="s">
        <v>596</v>
      </c>
      <c r="AG171" s="12" t="s">
        <v>596</v>
      </c>
      <c r="AH171" s="12" t="s">
        <v>596</v>
      </c>
      <c r="AI171" s="12" t="s">
        <v>596</v>
      </c>
      <c r="AJ171" s="12" t="s">
        <v>596</v>
      </c>
      <c r="AK171" s="12" t="s">
        <v>596</v>
      </c>
      <c r="AL171" s="12" t="s">
        <v>596</v>
      </c>
      <c r="AM171" s="12" t="s">
        <v>596</v>
      </c>
      <c r="AN171" s="12" t="s">
        <v>596</v>
      </c>
      <c r="AO171" s="12" t="s">
        <v>596</v>
      </c>
      <c r="AP171" s="12" t="s">
        <v>596</v>
      </c>
      <c r="AQ171" s="12" t="s">
        <v>596</v>
      </c>
      <c r="AR171" s="12" t="s">
        <v>596</v>
      </c>
      <c r="AS171" s="12" t="s">
        <v>596</v>
      </c>
      <c r="AT171" s="12" t="s">
        <v>596</v>
      </c>
      <c r="AU171" s="12" t="s">
        <v>596</v>
      </c>
      <c r="AV171" s="12" t="s">
        <v>596</v>
      </c>
      <c r="AW171" s="12" t="s">
        <v>596</v>
      </c>
      <c r="AX171" s="12" t="s">
        <v>596</v>
      </c>
      <c r="AY171" s="12" t="s">
        <v>596</v>
      </c>
      <c r="AZ171" s="12" t="s">
        <v>596</v>
      </c>
      <c r="BA171" s="12" t="s">
        <v>596</v>
      </c>
      <c r="BB171" s="12" t="s">
        <v>596</v>
      </c>
      <c r="BC171" s="12" t="s">
        <v>596</v>
      </c>
      <c r="BD171" s="12" t="s">
        <v>596</v>
      </c>
      <c r="BE171" s="12" t="s">
        <v>596</v>
      </c>
      <c r="BF171" s="12" t="s">
        <v>596</v>
      </c>
      <c r="BG171" s="12" t="s">
        <v>596</v>
      </c>
      <c r="BH171" s="12" t="s">
        <v>596</v>
      </c>
      <c r="BI171" s="12" t="s">
        <v>596</v>
      </c>
      <c r="BJ171" s="12" t="s">
        <v>596</v>
      </c>
      <c r="BK171" s="12" t="s">
        <v>597</v>
      </c>
      <c r="BL171" s="12" t="s">
        <v>597</v>
      </c>
      <c r="BM171" s="12" t="s">
        <v>597</v>
      </c>
      <c r="BN171" s="12" t="s">
        <v>641</v>
      </c>
      <c r="BO171" s="12" t="s">
        <v>641</v>
      </c>
      <c r="BP171" s="12" t="s">
        <v>690</v>
      </c>
      <c r="BQ171" s="12" t="s">
        <v>690</v>
      </c>
      <c r="BR171" s="12" t="s">
        <v>690</v>
      </c>
      <c r="BS171" s="12" t="s">
        <v>690</v>
      </c>
      <c r="BT171" s="12" t="s">
        <v>869</v>
      </c>
      <c r="BU171" s="12" t="s">
        <v>869</v>
      </c>
      <c r="BV171" s="12" t="s">
        <v>869</v>
      </c>
      <c r="BW171" s="12" t="s">
        <v>602</v>
      </c>
      <c r="BX171" s="12" t="s">
        <v>826</v>
      </c>
      <c r="BY171" s="12" t="s">
        <v>644</v>
      </c>
      <c r="BZ171" s="12" t="s">
        <v>644</v>
      </c>
      <c r="CA171" s="12" t="s">
        <v>775</v>
      </c>
      <c r="CB171" s="12" t="s">
        <v>695</v>
      </c>
      <c r="CC171" s="12" t="s">
        <v>606</v>
      </c>
      <c r="CD171" s="12" t="s">
        <v>606</v>
      </c>
      <c r="CE171" s="12" t="s">
        <v>1277</v>
      </c>
      <c r="CF171" s="12" t="s">
        <v>972</v>
      </c>
      <c r="CG171" s="12" t="s">
        <v>972</v>
      </c>
      <c r="CH171" s="12" t="s">
        <v>972</v>
      </c>
      <c r="CI171" s="12" t="s">
        <v>972</v>
      </c>
      <c r="CJ171" s="12" t="s">
        <v>827</v>
      </c>
      <c r="CK171" s="12" t="s">
        <v>737</v>
      </c>
      <c r="CL171" s="12" t="s">
        <v>1010</v>
      </c>
      <c r="CM171" s="12" t="s">
        <v>1010</v>
      </c>
      <c r="CN171" s="12" t="s">
        <v>651</v>
      </c>
      <c r="CO171" s="12" t="s">
        <v>973</v>
      </c>
      <c r="CP171" s="12" t="s">
        <v>973</v>
      </c>
      <c r="CQ171" s="12" t="s">
        <v>973</v>
      </c>
      <c r="CR171" s="12" t="s">
        <v>872</v>
      </c>
      <c r="CS171" s="12" t="s">
        <v>1138</v>
      </c>
      <c r="CT171" s="12" t="s">
        <v>1138</v>
      </c>
    </row>
    <row r="172" spans="1:98" hidden="1" x14ac:dyDescent="0.3">
      <c r="A172" s="12" t="s">
        <v>25</v>
      </c>
      <c r="B172" s="12" t="s">
        <v>3328</v>
      </c>
      <c r="C172" s="12" t="s">
        <v>3337</v>
      </c>
      <c r="D172" s="12" t="s">
        <v>3338</v>
      </c>
      <c r="E172" s="12" t="s">
        <v>596</v>
      </c>
      <c r="F172" s="12" t="s">
        <v>596</v>
      </c>
      <c r="G172" s="12" t="s">
        <v>596</v>
      </c>
      <c r="H172" s="12" t="s">
        <v>596</v>
      </c>
      <c r="I172" s="12" t="s">
        <v>596</v>
      </c>
      <c r="J172" s="12" t="s">
        <v>596</v>
      </c>
      <c r="K172" s="12" t="s">
        <v>596</v>
      </c>
      <c r="L172" s="12" t="s">
        <v>596</v>
      </c>
      <c r="M172" s="12" t="s">
        <v>596</v>
      </c>
      <c r="N172" s="12" t="s">
        <v>596</v>
      </c>
      <c r="O172" s="12" t="s">
        <v>596</v>
      </c>
      <c r="P172" s="12" t="s">
        <v>596</v>
      </c>
      <c r="Q172" s="12" t="s">
        <v>596</v>
      </c>
      <c r="R172" s="12" t="s">
        <v>596</v>
      </c>
      <c r="S172" s="12" t="s">
        <v>596</v>
      </c>
      <c r="T172" s="12" t="s">
        <v>596</v>
      </c>
      <c r="U172" s="12" t="s">
        <v>596</v>
      </c>
      <c r="V172" s="12" t="s">
        <v>596</v>
      </c>
      <c r="W172" s="12" t="s">
        <v>596</v>
      </c>
      <c r="X172" s="12" t="s">
        <v>596</v>
      </c>
      <c r="Y172" s="12" t="s">
        <v>596</v>
      </c>
      <c r="Z172" s="12" t="s">
        <v>596</v>
      </c>
      <c r="AA172" s="12" t="s">
        <v>596</v>
      </c>
      <c r="AB172" s="12" t="s">
        <v>596</v>
      </c>
      <c r="AC172" s="12" t="s">
        <v>596</v>
      </c>
      <c r="AD172" s="12" t="s">
        <v>596</v>
      </c>
      <c r="AE172" s="12" t="s">
        <v>596</v>
      </c>
      <c r="AF172" s="12" t="s">
        <v>596</v>
      </c>
      <c r="AG172" s="12" t="s">
        <v>596</v>
      </c>
      <c r="AH172" s="12" t="s">
        <v>596</v>
      </c>
      <c r="AI172" s="12" t="s">
        <v>596</v>
      </c>
      <c r="AJ172" s="12" t="s">
        <v>596</v>
      </c>
      <c r="AK172" s="12" t="s">
        <v>596</v>
      </c>
      <c r="AL172" s="12" t="s">
        <v>596</v>
      </c>
      <c r="AM172" s="12" t="s">
        <v>596</v>
      </c>
      <c r="AN172" s="12" t="s">
        <v>596</v>
      </c>
      <c r="AO172" s="12" t="s">
        <v>597</v>
      </c>
      <c r="AP172" s="12" t="s">
        <v>597</v>
      </c>
      <c r="AQ172" s="12" t="s">
        <v>869</v>
      </c>
      <c r="AR172" s="12" t="s">
        <v>642</v>
      </c>
      <c r="AS172" s="12" t="s">
        <v>826</v>
      </c>
      <c r="AT172" s="12" t="s">
        <v>605</v>
      </c>
      <c r="AU172" s="12" t="s">
        <v>646</v>
      </c>
      <c r="AV172" s="12" t="s">
        <v>994</v>
      </c>
      <c r="AW172" s="12" t="s">
        <v>791</v>
      </c>
      <c r="AX172" s="12" t="s">
        <v>743</v>
      </c>
      <c r="AY172" s="12" t="s">
        <v>835</v>
      </c>
      <c r="AZ172" s="12" t="s">
        <v>1329</v>
      </c>
      <c r="BA172" s="12" t="s">
        <v>2207</v>
      </c>
      <c r="BB172" s="12" t="s">
        <v>1389</v>
      </c>
      <c r="BC172" s="12" t="s">
        <v>1389</v>
      </c>
      <c r="BD172" s="12" t="s">
        <v>1308</v>
      </c>
      <c r="BE172" s="12" t="s">
        <v>3339</v>
      </c>
      <c r="BF172" s="12" t="s">
        <v>1024</v>
      </c>
      <c r="BG172" s="12" t="s">
        <v>1322</v>
      </c>
      <c r="BH172" s="12" t="s">
        <v>3340</v>
      </c>
      <c r="BI172" s="12" t="s">
        <v>3341</v>
      </c>
      <c r="BJ172" s="12" t="s">
        <v>3342</v>
      </c>
      <c r="BK172" s="12" t="s">
        <v>3343</v>
      </c>
      <c r="BL172" s="12" t="s">
        <v>3344</v>
      </c>
      <c r="BM172" s="12" t="s">
        <v>1216</v>
      </c>
      <c r="BN172" s="12" t="s">
        <v>3345</v>
      </c>
      <c r="BO172" s="12" t="s">
        <v>3346</v>
      </c>
      <c r="BP172" s="12" t="s">
        <v>3347</v>
      </c>
      <c r="BQ172" s="12" t="s">
        <v>3348</v>
      </c>
      <c r="BR172" s="12" t="s">
        <v>3349</v>
      </c>
      <c r="BS172" s="12" t="s">
        <v>3350</v>
      </c>
      <c r="BT172" s="12" t="s">
        <v>3351</v>
      </c>
      <c r="BU172" s="12" t="s">
        <v>3352</v>
      </c>
      <c r="BV172" s="12" t="s">
        <v>3353</v>
      </c>
      <c r="BW172" s="12" t="s">
        <v>3354</v>
      </c>
      <c r="BX172" s="12" t="s">
        <v>3355</v>
      </c>
      <c r="BY172" s="12" t="s">
        <v>3356</v>
      </c>
      <c r="BZ172" s="12" t="s">
        <v>3357</v>
      </c>
      <c r="CA172" s="12" t="s">
        <v>3358</v>
      </c>
      <c r="CB172" s="12" t="s">
        <v>3359</v>
      </c>
      <c r="CC172" s="12" t="s">
        <v>3360</v>
      </c>
      <c r="CD172" s="12" t="s">
        <v>3361</v>
      </c>
      <c r="CE172" s="12" t="s">
        <v>3362</v>
      </c>
      <c r="CF172" s="12" t="s">
        <v>3363</v>
      </c>
      <c r="CG172" s="12" t="s">
        <v>3364</v>
      </c>
      <c r="CH172" s="12" t="s">
        <v>3365</v>
      </c>
      <c r="CI172" s="12" t="s">
        <v>3366</v>
      </c>
      <c r="CJ172" s="12" t="s">
        <v>3367</v>
      </c>
      <c r="CK172" s="12" t="s">
        <v>3368</v>
      </c>
      <c r="CL172" s="12" t="s">
        <v>3369</v>
      </c>
      <c r="CM172" s="12" t="s">
        <v>3370</v>
      </c>
      <c r="CN172" s="12" t="s">
        <v>3371</v>
      </c>
      <c r="CO172" s="12" t="s">
        <v>3372</v>
      </c>
      <c r="CP172" s="12" t="s">
        <v>3373</v>
      </c>
      <c r="CQ172" s="12" t="s">
        <v>3374</v>
      </c>
      <c r="CR172" s="12" t="s">
        <v>3375</v>
      </c>
      <c r="CS172" s="12" t="s">
        <v>3376</v>
      </c>
      <c r="CT172" s="12" t="s">
        <v>3377</v>
      </c>
    </row>
    <row r="173" spans="1:98" hidden="1" x14ac:dyDescent="0.3">
      <c r="A173" s="12" t="s">
        <v>25</v>
      </c>
      <c r="B173" s="12" t="s">
        <v>3378</v>
      </c>
      <c r="C173" s="12" t="s">
        <v>3379</v>
      </c>
      <c r="D173" s="12" t="s">
        <v>3380</v>
      </c>
      <c r="E173" s="12" t="s">
        <v>596</v>
      </c>
      <c r="F173" s="12" t="s">
        <v>596</v>
      </c>
      <c r="G173" s="12" t="s">
        <v>596</v>
      </c>
      <c r="H173" s="12" t="s">
        <v>596</v>
      </c>
      <c r="I173" s="12" t="s">
        <v>596</v>
      </c>
      <c r="J173" s="12" t="s">
        <v>596</v>
      </c>
      <c r="K173" s="12" t="s">
        <v>596</v>
      </c>
      <c r="L173" s="12" t="s">
        <v>596</v>
      </c>
      <c r="M173" s="12" t="s">
        <v>596</v>
      </c>
      <c r="N173" s="12" t="s">
        <v>596</v>
      </c>
      <c r="O173" s="12" t="s">
        <v>596</v>
      </c>
      <c r="P173" s="12" t="s">
        <v>596</v>
      </c>
      <c r="Q173" s="12" t="s">
        <v>596</v>
      </c>
      <c r="R173" s="12" t="s">
        <v>596</v>
      </c>
      <c r="S173" s="12" t="s">
        <v>596</v>
      </c>
      <c r="T173" s="12" t="s">
        <v>596</v>
      </c>
      <c r="U173" s="12" t="s">
        <v>596</v>
      </c>
      <c r="V173" s="12" t="s">
        <v>596</v>
      </c>
      <c r="W173" s="12" t="s">
        <v>596</v>
      </c>
      <c r="X173" s="12" t="s">
        <v>596</v>
      </c>
      <c r="Y173" s="12" t="s">
        <v>596</v>
      </c>
      <c r="Z173" s="12" t="s">
        <v>596</v>
      </c>
      <c r="AA173" s="12" t="s">
        <v>596</v>
      </c>
      <c r="AB173" s="12" t="s">
        <v>596</v>
      </c>
      <c r="AC173" s="12" t="s">
        <v>596</v>
      </c>
      <c r="AD173" s="12" t="s">
        <v>596</v>
      </c>
      <c r="AE173" s="12" t="s">
        <v>596</v>
      </c>
      <c r="AF173" s="12" t="s">
        <v>596</v>
      </c>
      <c r="AG173" s="12" t="s">
        <v>596</v>
      </c>
      <c r="AH173" s="12" t="s">
        <v>596</v>
      </c>
      <c r="AI173" s="12" t="s">
        <v>596</v>
      </c>
      <c r="AJ173" s="12" t="s">
        <v>596</v>
      </c>
      <c r="AK173" s="12" t="s">
        <v>596</v>
      </c>
      <c r="AL173" s="12" t="s">
        <v>596</v>
      </c>
      <c r="AM173" s="12" t="s">
        <v>596</v>
      </c>
      <c r="AN173" s="12" t="s">
        <v>596</v>
      </c>
      <c r="AO173" s="12" t="s">
        <v>596</v>
      </c>
      <c r="AP173" s="12" t="s">
        <v>597</v>
      </c>
      <c r="AQ173" s="12" t="s">
        <v>597</v>
      </c>
      <c r="AR173" s="12" t="s">
        <v>597</v>
      </c>
      <c r="AS173" s="12" t="s">
        <v>597</v>
      </c>
      <c r="AT173" s="12" t="s">
        <v>597</v>
      </c>
      <c r="AU173" s="12" t="s">
        <v>690</v>
      </c>
      <c r="AV173" s="12" t="s">
        <v>690</v>
      </c>
      <c r="AW173" s="12" t="s">
        <v>598</v>
      </c>
      <c r="AX173" s="12" t="s">
        <v>599</v>
      </c>
      <c r="AY173" s="12" t="s">
        <v>599</v>
      </c>
      <c r="AZ173" s="12" t="s">
        <v>599</v>
      </c>
      <c r="BA173" s="12" t="s">
        <v>599</v>
      </c>
      <c r="BB173" s="12" t="s">
        <v>599</v>
      </c>
      <c r="BC173" s="12" t="s">
        <v>599</v>
      </c>
      <c r="BD173" s="12" t="s">
        <v>599</v>
      </c>
      <c r="BE173" s="12" t="s">
        <v>869</v>
      </c>
      <c r="BF173" s="12" t="s">
        <v>773</v>
      </c>
      <c r="BG173" s="12" t="s">
        <v>773</v>
      </c>
      <c r="BH173" s="12" t="s">
        <v>643</v>
      </c>
      <c r="BI173" s="12" t="s">
        <v>693</v>
      </c>
      <c r="BJ173" s="12" t="s">
        <v>887</v>
      </c>
      <c r="BK173" s="12" t="s">
        <v>736</v>
      </c>
      <c r="BL173" s="12" t="s">
        <v>827</v>
      </c>
      <c r="BM173" s="12" t="s">
        <v>881</v>
      </c>
      <c r="BN173" s="12" t="s">
        <v>881</v>
      </c>
      <c r="BO173" s="12" t="s">
        <v>1641</v>
      </c>
      <c r="BP173" s="12" t="s">
        <v>1004</v>
      </c>
      <c r="BQ173" s="12" t="s">
        <v>1846</v>
      </c>
      <c r="BR173" s="12" t="s">
        <v>1300</v>
      </c>
      <c r="BS173" s="12" t="s">
        <v>2081</v>
      </c>
      <c r="BT173" s="12" t="s">
        <v>1055</v>
      </c>
      <c r="BU173" s="12" t="s">
        <v>797</v>
      </c>
      <c r="BV173" s="12" t="s">
        <v>2011</v>
      </c>
      <c r="BW173" s="12" t="s">
        <v>3305</v>
      </c>
      <c r="BX173" s="12" t="s">
        <v>3381</v>
      </c>
      <c r="BY173" s="12" t="s">
        <v>3382</v>
      </c>
      <c r="BZ173" s="12" t="s">
        <v>1694</v>
      </c>
      <c r="CA173" s="12" t="s">
        <v>853</v>
      </c>
      <c r="CB173" s="12" t="s">
        <v>3383</v>
      </c>
      <c r="CC173" s="12" t="s">
        <v>3384</v>
      </c>
      <c r="CD173" s="12" t="s">
        <v>3385</v>
      </c>
      <c r="CE173" s="12" t="s">
        <v>3167</v>
      </c>
      <c r="CF173" s="12" t="s">
        <v>1126</v>
      </c>
      <c r="CG173" s="12" t="s">
        <v>3386</v>
      </c>
      <c r="CH173" s="12" t="s">
        <v>3387</v>
      </c>
      <c r="CI173" s="12" t="s">
        <v>1789</v>
      </c>
      <c r="CJ173" s="12" t="s">
        <v>3388</v>
      </c>
      <c r="CK173" s="12" t="s">
        <v>3389</v>
      </c>
      <c r="CL173" s="12" t="s">
        <v>861</v>
      </c>
      <c r="CM173" s="12" t="s">
        <v>3390</v>
      </c>
      <c r="CN173" s="12" t="s">
        <v>3391</v>
      </c>
      <c r="CO173" s="12" t="s">
        <v>3392</v>
      </c>
      <c r="CP173" s="12" t="s">
        <v>3393</v>
      </c>
      <c r="CQ173" s="12" t="s">
        <v>1488</v>
      </c>
      <c r="CR173" s="12" t="s">
        <v>804</v>
      </c>
      <c r="CS173" s="12" t="s">
        <v>1803</v>
      </c>
      <c r="CT173" s="12" t="s">
        <v>3394</v>
      </c>
    </row>
    <row r="174" spans="1:98" hidden="1" x14ac:dyDescent="0.3">
      <c r="A174" s="12" t="s">
        <v>25</v>
      </c>
      <c r="B174" s="12" t="s">
        <v>3395</v>
      </c>
      <c r="C174" s="12" t="s">
        <v>3396</v>
      </c>
      <c r="D174" s="12" t="s">
        <v>3397</v>
      </c>
      <c r="E174" s="12" t="s">
        <v>596</v>
      </c>
      <c r="F174" s="12" t="s">
        <v>596</v>
      </c>
      <c r="G174" s="12" t="s">
        <v>596</v>
      </c>
      <c r="H174" s="12" t="s">
        <v>596</v>
      </c>
      <c r="I174" s="12" t="s">
        <v>596</v>
      </c>
      <c r="J174" s="12" t="s">
        <v>596</v>
      </c>
      <c r="K174" s="12" t="s">
        <v>596</v>
      </c>
      <c r="L174" s="12" t="s">
        <v>596</v>
      </c>
      <c r="M174" s="12" t="s">
        <v>596</v>
      </c>
      <c r="N174" s="12" t="s">
        <v>596</v>
      </c>
      <c r="O174" s="12" t="s">
        <v>596</v>
      </c>
      <c r="P174" s="12" t="s">
        <v>596</v>
      </c>
      <c r="Q174" s="12" t="s">
        <v>596</v>
      </c>
      <c r="R174" s="12" t="s">
        <v>596</v>
      </c>
      <c r="S174" s="12" t="s">
        <v>596</v>
      </c>
      <c r="T174" s="12" t="s">
        <v>596</v>
      </c>
      <c r="U174" s="12" t="s">
        <v>596</v>
      </c>
      <c r="V174" s="12" t="s">
        <v>596</v>
      </c>
      <c r="W174" s="12" t="s">
        <v>596</v>
      </c>
      <c r="X174" s="12" t="s">
        <v>596</v>
      </c>
      <c r="Y174" s="12" t="s">
        <v>596</v>
      </c>
      <c r="Z174" s="12" t="s">
        <v>596</v>
      </c>
      <c r="AA174" s="12" t="s">
        <v>596</v>
      </c>
      <c r="AB174" s="12" t="s">
        <v>596</v>
      </c>
      <c r="AC174" s="12" t="s">
        <v>596</v>
      </c>
      <c r="AD174" s="12" t="s">
        <v>596</v>
      </c>
      <c r="AE174" s="12" t="s">
        <v>596</v>
      </c>
      <c r="AF174" s="12" t="s">
        <v>596</v>
      </c>
      <c r="AG174" s="12" t="s">
        <v>596</v>
      </c>
      <c r="AH174" s="12" t="s">
        <v>596</v>
      </c>
      <c r="AI174" s="12" t="s">
        <v>596</v>
      </c>
      <c r="AJ174" s="12" t="s">
        <v>596</v>
      </c>
      <c r="AK174" s="12" t="s">
        <v>596</v>
      </c>
      <c r="AL174" s="12" t="s">
        <v>596</v>
      </c>
      <c r="AM174" s="12" t="s">
        <v>596</v>
      </c>
      <c r="AN174" s="12" t="s">
        <v>596</v>
      </c>
      <c r="AO174" s="12" t="s">
        <v>596</v>
      </c>
      <c r="AP174" s="12" t="s">
        <v>596</v>
      </c>
      <c r="AQ174" s="12" t="s">
        <v>596</v>
      </c>
      <c r="AR174" s="12" t="s">
        <v>596</v>
      </c>
      <c r="AS174" s="12" t="s">
        <v>596</v>
      </c>
      <c r="AT174" s="12" t="s">
        <v>596</v>
      </c>
      <c r="AU174" s="12" t="s">
        <v>596</v>
      </c>
      <c r="AV174" s="12" t="s">
        <v>596</v>
      </c>
      <c r="AW174" s="12" t="s">
        <v>596</v>
      </c>
      <c r="AX174" s="12" t="s">
        <v>596</v>
      </c>
      <c r="AY174" s="12" t="s">
        <v>596</v>
      </c>
      <c r="AZ174" s="12" t="s">
        <v>596</v>
      </c>
      <c r="BA174" s="12" t="s">
        <v>596</v>
      </c>
      <c r="BB174" s="12" t="s">
        <v>596</v>
      </c>
      <c r="BC174" s="12" t="s">
        <v>596</v>
      </c>
      <c r="BD174" s="12" t="s">
        <v>596</v>
      </c>
      <c r="BE174" s="12" t="s">
        <v>596</v>
      </c>
      <c r="BF174" s="12" t="s">
        <v>596</v>
      </c>
      <c r="BG174" s="12" t="s">
        <v>596</v>
      </c>
      <c r="BH174" s="12" t="s">
        <v>596</v>
      </c>
      <c r="BI174" s="12" t="s">
        <v>596</v>
      </c>
      <c r="BJ174" s="12" t="s">
        <v>597</v>
      </c>
      <c r="BK174" s="12" t="s">
        <v>597</v>
      </c>
      <c r="BL174" s="12" t="s">
        <v>641</v>
      </c>
      <c r="BM174" s="12" t="s">
        <v>641</v>
      </c>
      <c r="BN174" s="12" t="s">
        <v>641</v>
      </c>
      <c r="BO174" s="12" t="s">
        <v>641</v>
      </c>
      <c r="BP174" s="12" t="s">
        <v>641</v>
      </c>
      <c r="BQ174" s="12" t="s">
        <v>641</v>
      </c>
      <c r="BR174" s="12" t="s">
        <v>641</v>
      </c>
      <c r="BS174" s="12" t="s">
        <v>598</v>
      </c>
      <c r="BT174" s="12" t="s">
        <v>598</v>
      </c>
      <c r="BU174" s="12" t="s">
        <v>598</v>
      </c>
      <c r="BV174" s="12" t="s">
        <v>599</v>
      </c>
      <c r="BW174" s="12" t="s">
        <v>599</v>
      </c>
      <c r="BX174" s="12" t="s">
        <v>599</v>
      </c>
      <c r="BY174" s="12" t="s">
        <v>599</v>
      </c>
      <c r="BZ174" s="12" t="s">
        <v>599</v>
      </c>
      <c r="CA174" s="12" t="s">
        <v>869</v>
      </c>
      <c r="CB174" s="12" t="s">
        <v>869</v>
      </c>
      <c r="CC174" s="12" t="s">
        <v>869</v>
      </c>
      <c r="CD174" s="12" t="s">
        <v>869</v>
      </c>
      <c r="CE174" s="12" t="s">
        <v>600</v>
      </c>
      <c r="CF174" s="12" t="s">
        <v>600</v>
      </c>
      <c r="CG174" s="12" t="s">
        <v>773</v>
      </c>
      <c r="CH174" s="12" t="s">
        <v>779</v>
      </c>
      <c r="CI174" s="12" t="s">
        <v>779</v>
      </c>
      <c r="CJ174" s="12" t="s">
        <v>779</v>
      </c>
      <c r="CK174" s="12" t="s">
        <v>779</v>
      </c>
      <c r="CL174" s="12" t="s">
        <v>779</v>
      </c>
      <c r="CM174" s="12" t="s">
        <v>779</v>
      </c>
      <c r="CN174" s="12" t="s">
        <v>779</v>
      </c>
      <c r="CO174" s="12" t="s">
        <v>642</v>
      </c>
      <c r="CP174" s="12" t="s">
        <v>642</v>
      </c>
      <c r="CQ174" s="12" t="s">
        <v>642</v>
      </c>
      <c r="CR174" s="12" t="s">
        <v>642</v>
      </c>
      <c r="CS174" s="12" t="s">
        <v>601</v>
      </c>
      <c r="CT174" s="12" t="s">
        <v>601</v>
      </c>
    </row>
    <row r="175" spans="1:98" hidden="1" x14ac:dyDescent="0.3">
      <c r="A175" s="12" t="s">
        <v>25</v>
      </c>
      <c r="B175" s="12" t="s">
        <v>3398</v>
      </c>
      <c r="C175" s="12" t="s">
        <v>3399</v>
      </c>
      <c r="D175" s="12" t="s">
        <v>3400</v>
      </c>
      <c r="E175" s="12" t="s">
        <v>596</v>
      </c>
      <c r="F175" s="12" t="s">
        <v>596</v>
      </c>
      <c r="G175" s="12" t="s">
        <v>596</v>
      </c>
      <c r="H175" s="12" t="s">
        <v>596</v>
      </c>
      <c r="I175" s="12" t="s">
        <v>596</v>
      </c>
      <c r="J175" s="12" t="s">
        <v>596</v>
      </c>
      <c r="K175" s="12" t="s">
        <v>596</v>
      </c>
      <c r="L175" s="12" t="s">
        <v>596</v>
      </c>
      <c r="M175" s="12" t="s">
        <v>596</v>
      </c>
      <c r="N175" s="12" t="s">
        <v>596</v>
      </c>
      <c r="O175" s="12" t="s">
        <v>596</v>
      </c>
      <c r="P175" s="12" t="s">
        <v>596</v>
      </c>
      <c r="Q175" s="12" t="s">
        <v>596</v>
      </c>
      <c r="R175" s="12" t="s">
        <v>596</v>
      </c>
      <c r="S175" s="12" t="s">
        <v>596</v>
      </c>
      <c r="T175" s="12" t="s">
        <v>596</v>
      </c>
      <c r="U175" s="12" t="s">
        <v>596</v>
      </c>
      <c r="V175" s="12" t="s">
        <v>596</v>
      </c>
      <c r="W175" s="12" t="s">
        <v>596</v>
      </c>
      <c r="X175" s="12" t="s">
        <v>596</v>
      </c>
      <c r="Y175" s="12" t="s">
        <v>596</v>
      </c>
      <c r="Z175" s="12" t="s">
        <v>596</v>
      </c>
      <c r="AA175" s="12" t="s">
        <v>596</v>
      </c>
      <c r="AB175" s="12" t="s">
        <v>596</v>
      </c>
      <c r="AC175" s="12" t="s">
        <v>596</v>
      </c>
      <c r="AD175" s="12" t="s">
        <v>596</v>
      </c>
      <c r="AE175" s="12" t="s">
        <v>596</v>
      </c>
      <c r="AF175" s="12" t="s">
        <v>596</v>
      </c>
      <c r="AG175" s="12" t="s">
        <v>596</v>
      </c>
      <c r="AH175" s="12" t="s">
        <v>596</v>
      </c>
      <c r="AI175" s="12" t="s">
        <v>596</v>
      </c>
      <c r="AJ175" s="12" t="s">
        <v>596</v>
      </c>
      <c r="AK175" s="12" t="s">
        <v>596</v>
      </c>
      <c r="AL175" s="12" t="s">
        <v>596</v>
      </c>
      <c r="AM175" s="12" t="s">
        <v>596</v>
      </c>
      <c r="AN175" s="12" t="s">
        <v>596</v>
      </c>
      <c r="AO175" s="12" t="s">
        <v>596</v>
      </c>
      <c r="AP175" s="12" t="s">
        <v>596</v>
      </c>
      <c r="AQ175" s="12" t="s">
        <v>596</v>
      </c>
      <c r="AR175" s="12" t="s">
        <v>596</v>
      </c>
      <c r="AS175" s="12" t="s">
        <v>596</v>
      </c>
      <c r="AT175" s="12" t="s">
        <v>596</v>
      </c>
      <c r="AU175" s="12" t="s">
        <v>596</v>
      </c>
      <c r="AV175" s="12" t="s">
        <v>596</v>
      </c>
      <c r="AW175" s="12" t="s">
        <v>596</v>
      </c>
      <c r="AX175" s="12" t="s">
        <v>596</v>
      </c>
      <c r="AY175" s="12" t="s">
        <v>596</v>
      </c>
      <c r="AZ175" s="12" t="s">
        <v>596</v>
      </c>
      <c r="BA175" s="12" t="s">
        <v>596</v>
      </c>
      <c r="BB175" s="12" t="s">
        <v>596</v>
      </c>
      <c r="BC175" s="12" t="s">
        <v>596</v>
      </c>
      <c r="BD175" s="12" t="s">
        <v>596</v>
      </c>
      <c r="BE175" s="12" t="s">
        <v>596</v>
      </c>
      <c r="BF175" s="12" t="s">
        <v>596</v>
      </c>
      <c r="BG175" s="12" t="s">
        <v>596</v>
      </c>
      <c r="BH175" s="12" t="s">
        <v>596</v>
      </c>
      <c r="BI175" s="12" t="s">
        <v>596</v>
      </c>
      <c r="BJ175" s="12" t="s">
        <v>596</v>
      </c>
      <c r="BK175" s="12" t="s">
        <v>597</v>
      </c>
      <c r="BL175" s="12" t="s">
        <v>597</v>
      </c>
      <c r="BM175" s="12" t="s">
        <v>641</v>
      </c>
      <c r="BN175" s="12" t="s">
        <v>690</v>
      </c>
      <c r="BO175" s="12" t="s">
        <v>690</v>
      </c>
      <c r="BP175" s="12" t="s">
        <v>600</v>
      </c>
      <c r="BQ175" s="12" t="s">
        <v>642</v>
      </c>
      <c r="BR175" s="12" t="s">
        <v>642</v>
      </c>
      <c r="BS175" s="12" t="s">
        <v>642</v>
      </c>
      <c r="BT175" s="12" t="s">
        <v>826</v>
      </c>
      <c r="BU175" s="12" t="s">
        <v>931</v>
      </c>
      <c r="BV175" s="12" t="s">
        <v>931</v>
      </c>
      <c r="BW175" s="12" t="s">
        <v>607</v>
      </c>
      <c r="BX175" s="12" t="s">
        <v>996</v>
      </c>
      <c r="BY175" s="12" t="s">
        <v>611</v>
      </c>
      <c r="BZ175" s="12" t="s">
        <v>938</v>
      </c>
      <c r="CA175" s="12" t="s">
        <v>939</v>
      </c>
      <c r="CB175" s="12" t="s">
        <v>1509</v>
      </c>
      <c r="CC175" s="12" t="s">
        <v>1046</v>
      </c>
      <c r="CD175" s="12" t="s">
        <v>1537</v>
      </c>
      <c r="CE175" s="12" t="s">
        <v>1713</v>
      </c>
      <c r="CF175" s="12" t="s">
        <v>985</v>
      </c>
      <c r="CG175" s="12" t="s">
        <v>1721</v>
      </c>
      <c r="CH175" s="12" t="s">
        <v>1740</v>
      </c>
      <c r="CI175" s="12" t="s">
        <v>1740</v>
      </c>
      <c r="CJ175" s="12" t="s">
        <v>2002</v>
      </c>
      <c r="CK175" s="12" t="s">
        <v>682</v>
      </c>
      <c r="CL175" s="12" t="s">
        <v>682</v>
      </c>
      <c r="CM175" s="12" t="s">
        <v>3401</v>
      </c>
      <c r="CN175" s="12" t="s">
        <v>2089</v>
      </c>
      <c r="CO175" s="12" t="s">
        <v>2719</v>
      </c>
      <c r="CP175" s="12" t="s">
        <v>2719</v>
      </c>
      <c r="CQ175" s="12" t="s">
        <v>2208</v>
      </c>
      <c r="CR175" s="12" t="s">
        <v>2193</v>
      </c>
      <c r="CS175" s="12" t="s">
        <v>3402</v>
      </c>
      <c r="CT175" s="12" t="s">
        <v>2194</v>
      </c>
    </row>
    <row r="176" spans="1:98" hidden="1" x14ac:dyDescent="0.3">
      <c r="A176" s="12" t="s">
        <v>25</v>
      </c>
      <c r="B176" s="12" t="s">
        <v>3403</v>
      </c>
      <c r="C176" s="12" t="s">
        <v>3404</v>
      </c>
      <c r="D176" s="12" t="s">
        <v>3405</v>
      </c>
      <c r="E176" s="12" t="s">
        <v>596</v>
      </c>
      <c r="F176" s="12" t="s">
        <v>596</v>
      </c>
      <c r="G176" s="12" t="s">
        <v>596</v>
      </c>
      <c r="H176" s="12" t="s">
        <v>596</v>
      </c>
      <c r="I176" s="12" t="s">
        <v>596</v>
      </c>
      <c r="J176" s="12" t="s">
        <v>596</v>
      </c>
      <c r="K176" s="12" t="s">
        <v>596</v>
      </c>
      <c r="L176" s="12" t="s">
        <v>596</v>
      </c>
      <c r="M176" s="12" t="s">
        <v>596</v>
      </c>
      <c r="N176" s="12" t="s">
        <v>596</v>
      </c>
      <c r="O176" s="12" t="s">
        <v>596</v>
      </c>
      <c r="P176" s="12" t="s">
        <v>596</v>
      </c>
      <c r="Q176" s="12" t="s">
        <v>596</v>
      </c>
      <c r="R176" s="12" t="s">
        <v>596</v>
      </c>
      <c r="S176" s="12" t="s">
        <v>596</v>
      </c>
      <c r="T176" s="12" t="s">
        <v>596</v>
      </c>
      <c r="U176" s="12" t="s">
        <v>596</v>
      </c>
      <c r="V176" s="12" t="s">
        <v>596</v>
      </c>
      <c r="W176" s="12" t="s">
        <v>596</v>
      </c>
      <c r="X176" s="12" t="s">
        <v>596</v>
      </c>
      <c r="Y176" s="12" t="s">
        <v>596</v>
      </c>
      <c r="Z176" s="12" t="s">
        <v>596</v>
      </c>
      <c r="AA176" s="12" t="s">
        <v>596</v>
      </c>
      <c r="AB176" s="12" t="s">
        <v>596</v>
      </c>
      <c r="AC176" s="12" t="s">
        <v>596</v>
      </c>
      <c r="AD176" s="12" t="s">
        <v>596</v>
      </c>
      <c r="AE176" s="12" t="s">
        <v>596</v>
      </c>
      <c r="AF176" s="12" t="s">
        <v>596</v>
      </c>
      <c r="AG176" s="12" t="s">
        <v>596</v>
      </c>
      <c r="AH176" s="12" t="s">
        <v>596</v>
      </c>
      <c r="AI176" s="12" t="s">
        <v>596</v>
      </c>
      <c r="AJ176" s="12" t="s">
        <v>596</v>
      </c>
      <c r="AK176" s="12" t="s">
        <v>596</v>
      </c>
      <c r="AL176" s="12" t="s">
        <v>596</v>
      </c>
      <c r="AM176" s="12" t="s">
        <v>596</v>
      </c>
      <c r="AN176" s="12" t="s">
        <v>596</v>
      </c>
      <c r="AO176" s="12" t="s">
        <v>596</v>
      </c>
      <c r="AP176" s="12" t="s">
        <v>597</v>
      </c>
      <c r="AQ176" s="12" t="s">
        <v>597</v>
      </c>
      <c r="AR176" s="12" t="s">
        <v>597</v>
      </c>
      <c r="AS176" s="12" t="s">
        <v>597</v>
      </c>
      <c r="AT176" s="12" t="s">
        <v>597</v>
      </c>
      <c r="AU176" s="12" t="s">
        <v>597</v>
      </c>
      <c r="AV176" s="12" t="s">
        <v>597</v>
      </c>
      <c r="AW176" s="12" t="s">
        <v>597</v>
      </c>
      <c r="AX176" s="12" t="s">
        <v>597</v>
      </c>
      <c r="AY176" s="12" t="s">
        <v>597</v>
      </c>
      <c r="AZ176" s="12" t="s">
        <v>641</v>
      </c>
      <c r="BA176" s="12" t="s">
        <v>641</v>
      </c>
      <c r="BB176" s="12" t="s">
        <v>641</v>
      </c>
      <c r="BC176" s="12" t="s">
        <v>641</v>
      </c>
      <c r="BD176" s="12" t="s">
        <v>641</v>
      </c>
      <c r="BE176" s="12" t="s">
        <v>641</v>
      </c>
      <c r="BF176" s="12" t="s">
        <v>641</v>
      </c>
      <c r="BG176" s="12" t="s">
        <v>641</v>
      </c>
      <c r="BH176" s="12" t="s">
        <v>690</v>
      </c>
      <c r="BI176" s="12" t="s">
        <v>773</v>
      </c>
      <c r="BJ176" s="12" t="s">
        <v>773</v>
      </c>
      <c r="BK176" s="12" t="s">
        <v>643</v>
      </c>
      <c r="BL176" s="12" t="s">
        <v>604</v>
      </c>
      <c r="BM176" s="12" t="s">
        <v>2036</v>
      </c>
      <c r="BN176" s="12" t="s">
        <v>606</v>
      </c>
      <c r="BO176" s="12" t="s">
        <v>1114</v>
      </c>
      <c r="BP176" s="12" t="s">
        <v>648</v>
      </c>
      <c r="BQ176" s="12" t="s">
        <v>888</v>
      </c>
      <c r="BR176" s="12" t="s">
        <v>652</v>
      </c>
      <c r="BS176" s="12" t="s">
        <v>654</v>
      </c>
      <c r="BT176" s="12" t="s">
        <v>997</v>
      </c>
      <c r="BU176" s="12" t="s">
        <v>1065</v>
      </c>
      <c r="BV176" s="12" t="s">
        <v>1374</v>
      </c>
      <c r="BW176" s="12" t="s">
        <v>613</v>
      </c>
      <c r="BX176" s="12" t="s">
        <v>939</v>
      </c>
      <c r="BY176" s="12" t="s">
        <v>893</v>
      </c>
      <c r="BZ176" s="12" t="s">
        <v>1144</v>
      </c>
      <c r="CA176" s="12" t="s">
        <v>1525</v>
      </c>
      <c r="CB176" s="12" t="s">
        <v>1642</v>
      </c>
      <c r="CC176" s="12" t="s">
        <v>1510</v>
      </c>
      <c r="CD176" s="12" t="s">
        <v>3406</v>
      </c>
      <c r="CE176" s="12" t="s">
        <v>1413</v>
      </c>
      <c r="CF176" s="12" t="s">
        <v>976</v>
      </c>
      <c r="CG176" s="12" t="s">
        <v>1414</v>
      </c>
      <c r="CH176" s="12" t="s">
        <v>1299</v>
      </c>
      <c r="CI176" s="12" t="s">
        <v>1763</v>
      </c>
      <c r="CJ176" s="12" t="s">
        <v>1999</v>
      </c>
      <c r="CK176" s="12" t="s">
        <v>838</v>
      </c>
      <c r="CL176" s="12" t="s">
        <v>1717</v>
      </c>
      <c r="CM176" s="12" t="s">
        <v>944</v>
      </c>
      <c r="CN176" s="12" t="s">
        <v>1420</v>
      </c>
      <c r="CO176" s="12" t="s">
        <v>3401</v>
      </c>
      <c r="CP176" s="12" t="s">
        <v>626</v>
      </c>
      <c r="CQ176" s="12" t="s">
        <v>626</v>
      </c>
      <c r="CR176" s="12" t="s">
        <v>951</v>
      </c>
      <c r="CS176" s="12" t="s">
        <v>1884</v>
      </c>
      <c r="CT176" s="12" t="s">
        <v>1777</v>
      </c>
    </row>
    <row r="177" spans="1:98" hidden="1" x14ac:dyDescent="0.3">
      <c r="A177" s="12" t="s">
        <v>25</v>
      </c>
      <c r="B177" s="12" t="s">
        <v>3407</v>
      </c>
      <c r="C177" s="12" t="s">
        <v>3408</v>
      </c>
      <c r="D177" s="12" t="s">
        <v>3409</v>
      </c>
      <c r="E177" s="12" t="s">
        <v>596</v>
      </c>
      <c r="F177" s="12" t="s">
        <v>596</v>
      </c>
      <c r="G177" s="12" t="s">
        <v>596</v>
      </c>
      <c r="H177" s="12" t="s">
        <v>596</v>
      </c>
      <c r="I177" s="12" t="s">
        <v>596</v>
      </c>
      <c r="J177" s="12" t="s">
        <v>596</v>
      </c>
      <c r="K177" s="12" t="s">
        <v>596</v>
      </c>
      <c r="L177" s="12" t="s">
        <v>596</v>
      </c>
      <c r="M177" s="12" t="s">
        <v>596</v>
      </c>
      <c r="N177" s="12" t="s">
        <v>596</v>
      </c>
      <c r="O177" s="12" t="s">
        <v>596</v>
      </c>
      <c r="P177" s="12" t="s">
        <v>596</v>
      </c>
      <c r="Q177" s="12" t="s">
        <v>596</v>
      </c>
      <c r="R177" s="12" t="s">
        <v>596</v>
      </c>
      <c r="S177" s="12" t="s">
        <v>596</v>
      </c>
      <c r="T177" s="12" t="s">
        <v>596</v>
      </c>
      <c r="U177" s="12" t="s">
        <v>596</v>
      </c>
      <c r="V177" s="12" t="s">
        <v>596</v>
      </c>
      <c r="W177" s="12" t="s">
        <v>596</v>
      </c>
      <c r="X177" s="12" t="s">
        <v>596</v>
      </c>
      <c r="Y177" s="12" t="s">
        <v>596</v>
      </c>
      <c r="Z177" s="12" t="s">
        <v>596</v>
      </c>
      <c r="AA177" s="12" t="s">
        <v>596</v>
      </c>
      <c r="AB177" s="12" t="s">
        <v>596</v>
      </c>
      <c r="AC177" s="12" t="s">
        <v>596</v>
      </c>
      <c r="AD177" s="12" t="s">
        <v>596</v>
      </c>
      <c r="AE177" s="12" t="s">
        <v>596</v>
      </c>
      <c r="AF177" s="12" t="s">
        <v>596</v>
      </c>
      <c r="AG177" s="12" t="s">
        <v>596</v>
      </c>
      <c r="AH177" s="12" t="s">
        <v>596</v>
      </c>
      <c r="AI177" s="12" t="s">
        <v>596</v>
      </c>
      <c r="AJ177" s="12" t="s">
        <v>596</v>
      </c>
      <c r="AK177" s="12" t="s">
        <v>596</v>
      </c>
      <c r="AL177" s="12" t="s">
        <v>596</v>
      </c>
      <c r="AM177" s="12" t="s">
        <v>596</v>
      </c>
      <c r="AN177" s="12" t="s">
        <v>597</v>
      </c>
      <c r="AO177" s="12" t="s">
        <v>597</v>
      </c>
      <c r="AP177" s="12" t="s">
        <v>597</v>
      </c>
      <c r="AQ177" s="12" t="s">
        <v>597</v>
      </c>
      <c r="AR177" s="12" t="s">
        <v>597</v>
      </c>
      <c r="AS177" s="12" t="s">
        <v>597</v>
      </c>
      <c r="AT177" s="12" t="s">
        <v>597</v>
      </c>
      <c r="AU177" s="12" t="s">
        <v>597</v>
      </c>
      <c r="AV177" s="12" t="s">
        <v>597</v>
      </c>
      <c r="AW177" s="12" t="s">
        <v>690</v>
      </c>
      <c r="AX177" s="12" t="s">
        <v>690</v>
      </c>
      <c r="AY177" s="12" t="s">
        <v>690</v>
      </c>
      <c r="AZ177" s="12" t="s">
        <v>690</v>
      </c>
      <c r="BA177" s="12" t="s">
        <v>600</v>
      </c>
      <c r="BB177" s="12" t="s">
        <v>600</v>
      </c>
      <c r="BC177" s="12" t="s">
        <v>600</v>
      </c>
      <c r="BD177" s="12" t="s">
        <v>774</v>
      </c>
      <c r="BE177" s="12" t="s">
        <v>774</v>
      </c>
      <c r="BF177" s="12" t="s">
        <v>774</v>
      </c>
      <c r="BG177" s="12" t="s">
        <v>826</v>
      </c>
      <c r="BH177" s="12" t="s">
        <v>694</v>
      </c>
      <c r="BI177" s="12" t="s">
        <v>935</v>
      </c>
      <c r="BJ177" s="12" t="s">
        <v>696</v>
      </c>
      <c r="BK177" s="12" t="s">
        <v>973</v>
      </c>
      <c r="BL177" s="12" t="s">
        <v>1142</v>
      </c>
      <c r="BM177" s="12" t="s">
        <v>829</v>
      </c>
      <c r="BN177" s="12" t="s">
        <v>830</v>
      </c>
      <c r="BO177" s="12" t="s">
        <v>1523</v>
      </c>
      <c r="BP177" s="12" t="s">
        <v>1549</v>
      </c>
      <c r="BQ177" s="12" t="s">
        <v>702</v>
      </c>
      <c r="BR177" s="12" t="s">
        <v>1588</v>
      </c>
      <c r="BS177" s="12" t="s">
        <v>1526</v>
      </c>
      <c r="BT177" s="12" t="s">
        <v>663</v>
      </c>
      <c r="BU177" s="12" t="s">
        <v>1147</v>
      </c>
      <c r="BV177" s="12" t="s">
        <v>837</v>
      </c>
      <c r="BW177" s="12" t="s">
        <v>1285</v>
      </c>
      <c r="BX177" s="12" t="s">
        <v>1416</v>
      </c>
      <c r="BY177" s="12" t="s">
        <v>2677</v>
      </c>
      <c r="BZ177" s="12" t="s">
        <v>1864</v>
      </c>
      <c r="CA177" s="12" t="s">
        <v>624</v>
      </c>
      <c r="CB177" s="12" t="s">
        <v>2002</v>
      </c>
      <c r="CC177" s="12" t="s">
        <v>2124</v>
      </c>
      <c r="CD177" s="12" t="s">
        <v>1479</v>
      </c>
      <c r="CE177" s="12" t="s">
        <v>685</v>
      </c>
      <c r="CF177" s="12" t="s">
        <v>1982</v>
      </c>
      <c r="CG177" s="12" t="s">
        <v>2060</v>
      </c>
      <c r="CH177" s="12" t="s">
        <v>3410</v>
      </c>
      <c r="CI177" s="12" t="s">
        <v>3411</v>
      </c>
      <c r="CJ177" s="12" t="s">
        <v>3412</v>
      </c>
      <c r="CK177" s="12" t="s">
        <v>958</v>
      </c>
      <c r="CL177" s="12" t="s">
        <v>3413</v>
      </c>
      <c r="CM177" s="12" t="s">
        <v>2129</v>
      </c>
      <c r="CN177" s="12" t="s">
        <v>3414</v>
      </c>
      <c r="CO177" s="12" t="s">
        <v>2452</v>
      </c>
      <c r="CP177" s="12" t="s">
        <v>3415</v>
      </c>
      <c r="CQ177" s="12" t="s">
        <v>1186</v>
      </c>
      <c r="CR177" s="12" t="s">
        <v>3416</v>
      </c>
      <c r="CS177" s="12" t="s">
        <v>3128</v>
      </c>
      <c r="CT177" s="12" t="s">
        <v>2308</v>
      </c>
    </row>
    <row r="178" spans="1:98" hidden="1" x14ac:dyDescent="0.3">
      <c r="A178" s="12" t="s">
        <v>25</v>
      </c>
      <c r="B178" s="12" t="s">
        <v>3417</v>
      </c>
      <c r="C178" s="12" t="s">
        <v>3418</v>
      </c>
      <c r="D178" s="12" t="s">
        <v>3419</v>
      </c>
      <c r="E178" s="12" t="s">
        <v>596</v>
      </c>
      <c r="F178" s="12" t="s">
        <v>596</v>
      </c>
      <c r="G178" s="12" t="s">
        <v>596</v>
      </c>
      <c r="H178" s="12" t="s">
        <v>596</v>
      </c>
      <c r="I178" s="12" t="s">
        <v>596</v>
      </c>
      <c r="J178" s="12" t="s">
        <v>596</v>
      </c>
      <c r="K178" s="12" t="s">
        <v>596</v>
      </c>
      <c r="L178" s="12" t="s">
        <v>596</v>
      </c>
      <c r="M178" s="12" t="s">
        <v>596</v>
      </c>
      <c r="N178" s="12" t="s">
        <v>596</v>
      </c>
      <c r="O178" s="12" t="s">
        <v>596</v>
      </c>
      <c r="P178" s="12" t="s">
        <v>596</v>
      </c>
      <c r="Q178" s="12" t="s">
        <v>596</v>
      </c>
      <c r="R178" s="12" t="s">
        <v>596</v>
      </c>
      <c r="S178" s="12" t="s">
        <v>596</v>
      </c>
      <c r="T178" s="12" t="s">
        <v>596</v>
      </c>
      <c r="U178" s="12" t="s">
        <v>596</v>
      </c>
      <c r="V178" s="12" t="s">
        <v>596</v>
      </c>
      <c r="W178" s="12" t="s">
        <v>596</v>
      </c>
      <c r="X178" s="12" t="s">
        <v>596</v>
      </c>
      <c r="Y178" s="12" t="s">
        <v>596</v>
      </c>
      <c r="Z178" s="12" t="s">
        <v>596</v>
      </c>
      <c r="AA178" s="12" t="s">
        <v>596</v>
      </c>
      <c r="AB178" s="12" t="s">
        <v>596</v>
      </c>
      <c r="AC178" s="12" t="s">
        <v>596</v>
      </c>
      <c r="AD178" s="12" t="s">
        <v>596</v>
      </c>
      <c r="AE178" s="12" t="s">
        <v>596</v>
      </c>
      <c r="AF178" s="12" t="s">
        <v>596</v>
      </c>
      <c r="AG178" s="12" t="s">
        <v>596</v>
      </c>
      <c r="AH178" s="12" t="s">
        <v>596</v>
      </c>
      <c r="AI178" s="12" t="s">
        <v>596</v>
      </c>
      <c r="AJ178" s="12" t="s">
        <v>596</v>
      </c>
      <c r="AK178" s="12" t="s">
        <v>596</v>
      </c>
      <c r="AL178" s="12" t="s">
        <v>596</v>
      </c>
      <c r="AM178" s="12" t="s">
        <v>596</v>
      </c>
      <c r="AN178" s="12" t="s">
        <v>597</v>
      </c>
      <c r="AO178" s="12" t="s">
        <v>597</v>
      </c>
      <c r="AP178" s="12" t="s">
        <v>869</v>
      </c>
      <c r="AQ178" s="12" t="s">
        <v>780</v>
      </c>
      <c r="AR178" s="12" t="s">
        <v>692</v>
      </c>
      <c r="AS178" s="12" t="s">
        <v>775</v>
      </c>
      <c r="AT178" s="12" t="s">
        <v>870</v>
      </c>
      <c r="AU178" s="12" t="s">
        <v>787</v>
      </c>
      <c r="AV178" s="12" t="s">
        <v>699</v>
      </c>
      <c r="AW178" s="12" t="s">
        <v>1517</v>
      </c>
      <c r="AX178" s="12" t="s">
        <v>1533</v>
      </c>
      <c r="AY178" s="12" t="s">
        <v>1296</v>
      </c>
      <c r="AZ178" s="12" t="s">
        <v>1004</v>
      </c>
      <c r="BA178" s="12" t="s">
        <v>670</v>
      </c>
      <c r="BB178" s="12" t="s">
        <v>1288</v>
      </c>
      <c r="BC178" s="12" t="s">
        <v>2157</v>
      </c>
      <c r="BD178" s="12" t="s">
        <v>632</v>
      </c>
      <c r="BE178" s="12" t="s">
        <v>3420</v>
      </c>
      <c r="BF178" s="12" t="s">
        <v>3421</v>
      </c>
      <c r="BG178" s="12" t="s">
        <v>1785</v>
      </c>
      <c r="BH178" s="12" t="s">
        <v>3422</v>
      </c>
      <c r="BI178" s="12" t="s">
        <v>3423</v>
      </c>
      <c r="BJ178" s="12" t="s">
        <v>3424</v>
      </c>
      <c r="BK178" s="12" t="s">
        <v>720</v>
      </c>
      <c r="BL178" s="12" t="s">
        <v>3425</v>
      </c>
      <c r="BM178" s="12" t="s">
        <v>3426</v>
      </c>
      <c r="BN178" s="12" t="s">
        <v>3427</v>
      </c>
      <c r="BO178" s="12" t="s">
        <v>916</v>
      </c>
      <c r="BP178" s="12" t="s">
        <v>3428</v>
      </c>
      <c r="BQ178" s="12" t="s">
        <v>2491</v>
      </c>
      <c r="BR178" s="12" t="s">
        <v>2366</v>
      </c>
      <c r="BS178" s="12" t="s">
        <v>256</v>
      </c>
      <c r="BT178" s="12" t="s">
        <v>2498</v>
      </c>
      <c r="BU178" s="12" t="s">
        <v>3429</v>
      </c>
      <c r="BV178" s="12" t="s">
        <v>3430</v>
      </c>
      <c r="BW178" s="12" t="s">
        <v>3431</v>
      </c>
      <c r="BX178" s="12" t="s">
        <v>3432</v>
      </c>
      <c r="BY178" s="12" t="s">
        <v>3433</v>
      </c>
      <c r="BZ178" s="12" t="s">
        <v>3434</v>
      </c>
      <c r="CA178" s="12" t="s">
        <v>3435</v>
      </c>
      <c r="CB178" s="12" t="s">
        <v>3436</v>
      </c>
      <c r="CC178" s="12" t="s">
        <v>3437</v>
      </c>
      <c r="CD178" s="12" t="s">
        <v>3437</v>
      </c>
      <c r="CE178" s="12" t="s">
        <v>3438</v>
      </c>
      <c r="CF178" s="12" t="s">
        <v>3439</v>
      </c>
      <c r="CG178" s="12" t="s">
        <v>3440</v>
      </c>
      <c r="CH178" s="12" t="s">
        <v>3441</v>
      </c>
      <c r="CI178" s="12" t="s">
        <v>3442</v>
      </c>
      <c r="CJ178" s="12" t="s">
        <v>3443</v>
      </c>
      <c r="CK178" s="12" t="s">
        <v>3444</v>
      </c>
      <c r="CL178" s="12" t="s">
        <v>3445</v>
      </c>
      <c r="CM178" s="12" t="s">
        <v>3446</v>
      </c>
      <c r="CN178" s="12" t="s">
        <v>3447</v>
      </c>
      <c r="CO178" s="12" t="s">
        <v>3448</v>
      </c>
      <c r="CP178" s="12" t="s">
        <v>3449</v>
      </c>
      <c r="CQ178" s="12" t="s">
        <v>3450</v>
      </c>
      <c r="CR178" s="12" t="s">
        <v>3451</v>
      </c>
      <c r="CS178" s="12" t="s">
        <v>3452</v>
      </c>
      <c r="CT178" s="12" t="s">
        <v>3453</v>
      </c>
    </row>
    <row r="179" spans="1:98" hidden="1" x14ac:dyDescent="0.3">
      <c r="A179" s="12" t="s">
        <v>25</v>
      </c>
      <c r="B179" s="12" t="s">
        <v>3454</v>
      </c>
      <c r="C179" s="12" t="s">
        <v>2742</v>
      </c>
      <c r="D179" s="12" t="s">
        <v>3455</v>
      </c>
      <c r="E179" s="12" t="s">
        <v>596</v>
      </c>
      <c r="F179" s="12" t="s">
        <v>596</v>
      </c>
      <c r="G179" s="12" t="s">
        <v>596</v>
      </c>
      <c r="H179" s="12" t="s">
        <v>596</v>
      </c>
      <c r="I179" s="12" t="s">
        <v>596</v>
      </c>
      <c r="J179" s="12" t="s">
        <v>596</v>
      </c>
      <c r="K179" s="12" t="s">
        <v>596</v>
      </c>
      <c r="L179" s="12" t="s">
        <v>596</v>
      </c>
      <c r="M179" s="12" t="s">
        <v>596</v>
      </c>
      <c r="N179" s="12" t="s">
        <v>596</v>
      </c>
      <c r="O179" s="12" t="s">
        <v>596</v>
      </c>
      <c r="P179" s="12" t="s">
        <v>596</v>
      </c>
      <c r="Q179" s="12" t="s">
        <v>596</v>
      </c>
      <c r="R179" s="12" t="s">
        <v>596</v>
      </c>
      <c r="S179" s="12" t="s">
        <v>596</v>
      </c>
      <c r="T179" s="12" t="s">
        <v>596</v>
      </c>
      <c r="U179" s="12" t="s">
        <v>596</v>
      </c>
      <c r="V179" s="12" t="s">
        <v>596</v>
      </c>
      <c r="W179" s="12" t="s">
        <v>596</v>
      </c>
      <c r="X179" s="12" t="s">
        <v>596</v>
      </c>
      <c r="Y179" s="12" t="s">
        <v>596</v>
      </c>
      <c r="Z179" s="12" t="s">
        <v>596</v>
      </c>
      <c r="AA179" s="12" t="s">
        <v>596</v>
      </c>
      <c r="AB179" s="12" t="s">
        <v>596</v>
      </c>
      <c r="AC179" s="12" t="s">
        <v>596</v>
      </c>
      <c r="AD179" s="12" t="s">
        <v>596</v>
      </c>
      <c r="AE179" s="12" t="s">
        <v>596</v>
      </c>
      <c r="AF179" s="12" t="s">
        <v>596</v>
      </c>
      <c r="AG179" s="12" t="s">
        <v>596</v>
      </c>
      <c r="AH179" s="12" t="s">
        <v>596</v>
      </c>
      <c r="AI179" s="12" t="s">
        <v>596</v>
      </c>
      <c r="AJ179" s="12" t="s">
        <v>596</v>
      </c>
      <c r="AK179" s="12" t="s">
        <v>596</v>
      </c>
      <c r="AL179" s="12" t="s">
        <v>641</v>
      </c>
      <c r="AM179" s="12" t="s">
        <v>641</v>
      </c>
      <c r="AN179" s="12" t="s">
        <v>598</v>
      </c>
      <c r="AO179" s="12" t="s">
        <v>598</v>
      </c>
      <c r="AP179" s="12" t="s">
        <v>598</v>
      </c>
      <c r="AQ179" s="12" t="s">
        <v>869</v>
      </c>
      <c r="AR179" s="12" t="s">
        <v>869</v>
      </c>
      <c r="AS179" s="12" t="s">
        <v>869</v>
      </c>
      <c r="AT179" s="12" t="s">
        <v>643</v>
      </c>
      <c r="AU179" s="12" t="s">
        <v>780</v>
      </c>
      <c r="AV179" s="12" t="s">
        <v>602</v>
      </c>
      <c r="AW179" s="12" t="s">
        <v>602</v>
      </c>
      <c r="AX179" s="12" t="s">
        <v>602</v>
      </c>
      <c r="AY179" s="12" t="s">
        <v>602</v>
      </c>
      <c r="AZ179" s="12" t="s">
        <v>602</v>
      </c>
      <c r="BA179" s="12" t="s">
        <v>826</v>
      </c>
      <c r="BB179" s="12" t="s">
        <v>826</v>
      </c>
      <c r="BC179" s="12" t="s">
        <v>826</v>
      </c>
      <c r="BD179" s="12" t="s">
        <v>692</v>
      </c>
      <c r="BE179" s="12" t="s">
        <v>692</v>
      </c>
      <c r="BF179" s="12" t="s">
        <v>604</v>
      </c>
      <c r="BG179" s="12" t="s">
        <v>604</v>
      </c>
      <c r="BH179" s="12" t="s">
        <v>605</v>
      </c>
      <c r="BI179" s="12" t="s">
        <v>736</v>
      </c>
      <c r="BJ179" s="12" t="s">
        <v>696</v>
      </c>
      <c r="BK179" s="12" t="s">
        <v>696</v>
      </c>
      <c r="BL179" s="12" t="s">
        <v>827</v>
      </c>
      <c r="BM179" s="12" t="s">
        <v>649</v>
      </c>
      <c r="BN179" s="12" t="s">
        <v>991</v>
      </c>
      <c r="BO179" s="12" t="s">
        <v>608</v>
      </c>
      <c r="BP179" s="12" t="s">
        <v>878</v>
      </c>
      <c r="BQ179" s="12" t="s">
        <v>1226</v>
      </c>
      <c r="BR179" s="12" t="s">
        <v>1065</v>
      </c>
      <c r="BS179" s="12" t="s">
        <v>1203</v>
      </c>
      <c r="BT179" s="12" t="s">
        <v>1505</v>
      </c>
      <c r="BU179" s="12" t="s">
        <v>1752</v>
      </c>
      <c r="BV179" s="12" t="s">
        <v>2857</v>
      </c>
      <c r="BW179" s="12" t="s">
        <v>893</v>
      </c>
      <c r="BX179" s="12" t="s">
        <v>1045</v>
      </c>
      <c r="BY179" s="12" t="s">
        <v>1529</v>
      </c>
      <c r="BZ179" s="12" t="s">
        <v>664</v>
      </c>
      <c r="CA179" s="12" t="s">
        <v>1116</v>
      </c>
      <c r="CB179" s="12" t="s">
        <v>1383</v>
      </c>
      <c r="CC179" s="12" t="s">
        <v>2079</v>
      </c>
      <c r="CD179" s="12" t="s">
        <v>1148</v>
      </c>
      <c r="CE179" s="12" t="s">
        <v>1387</v>
      </c>
      <c r="CF179" s="12" t="s">
        <v>622</v>
      </c>
      <c r="CG179" s="12" t="s">
        <v>1060</v>
      </c>
      <c r="CH179" s="12" t="s">
        <v>2124</v>
      </c>
      <c r="CI179" s="12" t="s">
        <v>2744</v>
      </c>
      <c r="CJ179" s="12" t="s">
        <v>1774</v>
      </c>
      <c r="CK179" s="12" t="s">
        <v>1693</v>
      </c>
      <c r="CL179" s="12" t="s">
        <v>966</v>
      </c>
      <c r="CM179" s="12" t="s">
        <v>3456</v>
      </c>
      <c r="CN179" s="12" t="s">
        <v>3457</v>
      </c>
      <c r="CO179" s="12" t="s">
        <v>1486</v>
      </c>
      <c r="CP179" s="12" t="s">
        <v>2704</v>
      </c>
      <c r="CQ179" s="12" t="s">
        <v>3458</v>
      </c>
      <c r="CR179" s="12" t="s">
        <v>3459</v>
      </c>
      <c r="CS179" s="12" t="s">
        <v>3460</v>
      </c>
      <c r="CT179" s="12" t="s">
        <v>2777</v>
      </c>
    </row>
    <row r="180" spans="1:98" hidden="1" x14ac:dyDescent="0.3">
      <c r="A180" s="12" t="s">
        <v>25</v>
      </c>
      <c r="B180" s="12" t="s">
        <v>3461</v>
      </c>
      <c r="C180" s="12" t="s">
        <v>3462</v>
      </c>
      <c r="D180" s="12" t="s">
        <v>3463</v>
      </c>
      <c r="E180" s="12" t="s">
        <v>596</v>
      </c>
      <c r="F180" s="12" t="s">
        <v>596</v>
      </c>
      <c r="G180" s="12" t="s">
        <v>596</v>
      </c>
      <c r="H180" s="12" t="s">
        <v>596</v>
      </c>
      <c r="I180" s="12" t="s">
        <v>596</v>
      </c>
      <c r="J180" s="12" t="s">
        <v>596</v>
      </c>
      <c r="K180" s="12" t="s">
        <v>596</v>
      </c>
      <c r="L180" s="12" t="s">
        <v>596</v>
      </c>
      <c r="M180" s="12" t="s">
        <v>596</v>
      </c>
      <c r="N180" s="12" t="s">
        <v>596</v>
      </c>
      <c r="O180" s="12" t="s">
        <v>596</v>
      </c>
      <c r="P180" s="12" t="s">
        <v>596</v>
      </c>
      <c r="Q180" s="12" t="s">
        <v>596</v>
      </c>
      <c r="R180" s="12" t="s">
        <v>596</v>
      </c>
      <c r="S180" s="12" t="s">
        <v>596</v>
      </c>
      <c r="T180" s="12" t="s">
        <v>596</v>
      </c>
      <c r="U180" s="12" t="s">
        <v>596</v>
      </c>
      <c r="V180" s="12" t="s">
        <v>596</v>
      </c>
      <c r="W180" s="12" t="s">
        <v>596</v>
      </c>
      <c r="X180" s="12" t="s">
        <v>596</v>
      </c>
      <c r="Y180" s="12" t="s">
        <v>596</v>
      </c>
      <c r="Z180" s="12" t="s">
        <v>596</v>
      </c>
      <c r="AA180" s="12" t="s">
        <v>596</v>
      </c>
      <c r="AB180" s="12" t="s">
        <v>596</v>
      </c>
      <c r="AC180" s="12" t="s">
        <v>596</v>
      </c>
      <c r="AD180" s="12" t="s">
        <v>596</v>
      </c>
      <c r="AE180" s="12" t="s">
        <v>596</v>
      </c>
      <c r="AF180" s="12" t="s">
        <v>596</v>
      </c>
      <c r="AG180" s="12" t="s">
        <v>596</v>
      </c>
      <c r="AH180" s="12" t="s">
        <v>596</v>
      </c>
      <c r="AI180" s="12" t="s">
        <v>596</v>
      </c>
      <c r="AJ180" s="12" t="s">
        <v>596</v>
      </c>
      <c r="AK180" s="12" t="s">
        <v>596</v>
      </c>
      <c r="AL180" s="12" t="s">
        <v>596</v>
      </c>
      <c r="AM180" s="12" t="s">
        <v>596</v>
      </c>
      <c r="AN180" s="12" t="s">
        <v>641</v>
      </c>
      <c r="AO180" s="12" t="s">
        <v>641</v>
      </c>
      <c r="AP180" s="12" t="s">
        <v>641</v>
      </c>
      <c r="AQ180" s="12" t="s">
        <v>598</v>
      </c>
      <c r="AR180" s="12" t="s">
        <v>598</v>
      </c>
      <c r="AS180" s="12" t="s">
        <v>598</v>
      </c>
      <c r="AT180" s="12" t="s">
        <v>599</v>
      </c>
      <c r="AU180" s="12" t="s">
        <v>599</v>
      </c>
      <c r="AV180" s="12" t="s">
        <v>599</v>
      </c>
      <c r="AW180" s="12" t="s">
        <v>869</v>
      </c>
      <c r="AX180" s="12" t="s">
        <v>869</v>
      </c>
      <c r="AY180" s="12" t="s">
        <v>869</v>
      </c>
      <c r="AZ180" s="12" t="s">
        <v>869</v>
      </c>
      <c r="BA180" s="12" t="s">
        <v>602</v>
      </c>
      <c r="BB180" s="12" t="s">
        <v>692</v>
      </c>
      <c r="BC180" s="12" t="s">
        <v>693</v>
      </c>
      <c r="BD180" s="12" t="s">
        <v>887</v>
      </c>
      <c r="BE180" s="12" t="s">
        <v>784</v>
      </c>
      <c r="BF180" s="12" t="s">
        <v>737</v>
      </c>
      <c r="BG180" s="12" t="s">
        <v>830</v>
      </c>
      <c r="BH180" s="12" t="s">
        <v>1535</v>
      </c>
      <c r="BI180" s="12" t="s">
        <v>617</v>
      </c>
      <c r="BJ180" s="12" t="s">
        <v>706</v>
      </c>
      <c r="BK180" s="12" t="s">
        <v>754</v>
      </c>
      <c r="BL180" s="12" t="s">
        <v>1446</v>
      </c>
      <c r="BM180" s="12" t="s">
        <v>3464</v>
      </c>
      <c r="BN180" s="12" t="s">
        <v>3172</v>
      </c>
      <c r="BO180" s="12" t="s">
        <v>3465</v>
      </c>
      <c r="BP180" s="12" t="s">
        <v>3466</v>
      </c>
      <c r="BQ180" s="12" t="s">
        <v>857</v>
      </c>
      <c r="BR180" s="12" t="s">
        <v>1128</v>
      </c>
      <c r="BS180" s="12" t="s">
        <v>2218</v>
      </c>
      <c r="BT180" s="12" t="s">
        <v>3467</v>
      </c>
      <c r="BU180" s="12" t="s">
        <v>3468</v>
      </c>
      <c r="BV180" s="12" t="s">
        <v>3469</v>
      </c>
      <c r="BW180" s="12" t="s">
        <v>3425</v>
      </c>
      <c r="BX180" s="12" t="s">
        <v>3470</v>
      </c>
      <c r="BY180" s="12" t="s">
        <v>911</v>
      </c>
      <c r="BZ180" s="12" t="s">
        <v>3471</v>
      </c>
      <c r="CA180" s="12" t="s">
        <v>3472</v>
      </c>
      <c r="CB180" s="12" t="s">
        <v>3473</v>
      </c>
      <c r="CC180" s="12" t="s">
        <v>3474</v>
      </c>
      <c r="CD180" s="12" t="s">
        <v>3475</v>
      </c>
      <c r="CE180" s="12" t="s">
        <v>3476</v>
      </c>
      <c r="CF180" s="12" t="s">
        <v>2916</v>
      </c>
      <c r="CG180" s="12" t="s">
        <v>3477</v>
      </c>
      <c r="CH180" s="12" t="s">
        <v>3478</v>
      </c>
      <c r="CI180" s="12" t="s">
        <v>3479</v>
      </c>
      <c r="CJ180" s="12" t="s">
        <v>3480</v>
      </c>
      <c r="CK180" s="12" t="s">
        <v>3481</v>
      </c>
      <c r="CL180" s="12" t="s">
        <v>3482</v>
      </c>
      <c r="CM180" s="12" t="s">
        <v>3483</v>
      </c>
      <c r="CN180" s="12" t="s">
        <v>3484</v>
      </c>
      <c r="CO180" s="12" t="s">
        <v>3485</v>
      </c>
      <c r="CP180" s="12" t="s">
        <v>3486</v>
      </c>
      <c r="CQ180" s="12" t="s">
        <v>3487</v>
      </c>
      <c r="CR180" s="12" t="s">
        <v>3488</v>
      </c>
      <c r="CS180" s="12" t="s">
        <v>3489</v>
      </c>
      <c r="CT180" s="12" t="s">
        <v>3490</v>
      </c>
    </row>
    <row r="181" spans="1:98" hidden="1" x14ac:dyDescent="0.3">
      <c r="A181" s="12" t="s">
        <v>25</v>
      </c>
      <c r="B181" s="12" t="s">
        <v>3491</v>
      </c>
      <c r="C181" s="12" t="s">
        <v>3492</v>
      </c>
      <c r="D181" s="12" t="s">
        <v>3493</v>
      </c>
      <c r="E181" s="12" t="s">
        <v>596</v>
      </c>
      <c r="F181" s="12" t="s">
        <v>596</v>
      </c>
      <c r="G181" s="12" t="s">
        <v>596</v>
      </c>
      <c r="H181" s="12" t="s">
        <v>596</v>
      </c>
      <c r="I181" s="12" t="s">
        <v>596</v>
      </c>
      <c r="J181" s="12" t="s">
        <v>596</v>
      </c>
      <c r="K181" s="12" t="s">
        <v>596</v>
      </c>
      <c r="L181" s="12" t="s">
        <v>596</v>
      </c>
      <c r="M181" s="12" t="s">
        <v>596</v>
      </c>
      <c r="N181" s="12" t="s">
        <v>596</v>
      </c>
      <c r="O181" s="12" t="s">
        <v>596</v>
      </c>
      <c r="P181" s="12" t="s">
        <v>596</v>
      </c>
      <c r="Q181" s="12" t="s">
        <v>596</v>
      </c>
      <c r="R181" s="12" t="s">
        <v>596</v>
      </c>
      <c r="S181" s="12" t="s">
        <v>596</v>
      </c>
      <c r="T181" s="12" t="s">
        <v>596</v>
      </c>
      <c r="U181" s="12" t="s">
        <v>596</v>
      </c>
      <c r="V181" s="12" t="s">
        <v>596</v>
      </c>
      <c r="W181" s="12" t="s">
        <v>596</v>
      </c>
      <c r="X181" s="12" t="s">
        <v>596</v>
      </c>
      <c r="Y181" s="12" t="s">
        <v>596</v>
      </c>
      <c r="Z181" s="12" t="s">
        <v>596</v>
      </c>
      <c r="AA181" s="12" t="s">
        <v>596</v>
      </c>
      <c r="AB181" s="12" t="s">
        <v>596</v>
      </c>
      <c r="AC181" s="12" t="s">
        <v>596</v>
      </c>
      <c r="AD181" s="12" t="s">
        <v>596</v>
      </c>
      <c r="AE181" s="12" t="s">
        <v>596</v>
      </c>
      <c r="AF181" s="12" t="s">
        <v>596</v>
      </c>
      <c r="AG181" s="12" t="s">
        <v>596</v>
      </c>
      <c r="AH181" s="12" t="s">
        <v>596</v>
      </c>
      <c r="AI181" s="12" t="s">
        <v>596</v>
      </c>
      <c r="AJ181" s="12" t="s">
        <v>596</v>
      </c>
      <c r="AK181" s="12" t="s">
        <v>596</v>
      </c>
      <c r="AL181" s="12" t="s">
        <v>596</v>
      </c>
      <c r="AM181" s="12" t="s">
        <v>596</v>
      </c>
      <c r="AN181" s="12" t="s">
        <v>596</v>
      </c>
      <c r="AO181" s="12" t="s">
        <v>596</v>
      </c>
      <c r="AP181" s="12" t="s">
        <v>596</v>
      </c>
      <c r="AQ181" s="12" t="s">
        <v>596</v>
      </c>
      <c r="AR181" s="12" t="s">
        <v>596</v>
      </c>
      <c r="AS181" s="12" t="s">
        <v>596</v>
      </c>
      <c r="AT181" s="12" t="s">
        <v>596</v>
      </c>
      <c r="AU181" s="12" t="s">
        <v>596</v>
      </c>
      <c r="AV181" s="12" t="s">
        <v>596</v>
      </c>
      <c r="AW181" s="12" t="s">
        <v>596</v>
      </c>
      <c r="AX181" s="12" t="s">
        <v>596</v>
      </c>
      <c r="AY181" s="12" t="s">
        <v>596</v>
      </c>
      <c r="AZ181" s="12" t="s">
        <v>596</v>
      </c>
      <c r="BA181" s="12" t="s">
        <v>597</v>
      </c>
      <c r="BB181" s="12" t="s">
        <v>773</v>
      </c>
      <c r="BC181" s="12" t="s">
        <v>601</v>
      </c>
      <c r="BD181" s="12" t="s">
        <v>931</v>
      </c>
      <c r="BE181" s="12" t="s">
        <v>989</v>
      </c>
      <c r="BF181" s="12" t="s">
        <v>1277</v>
      </c>
      <c r="BG181" s="12" t="s">
        <v>649</v>
      </c>
      <c r="BH181" s="12" t="s">
        <v>992</v>
      </c>
      <c r="BI181" s="12" t="s">
        <v>995</v>
      </c>
      <c r="BJ181" s="12" t="s">
        <v>1226</v>
      </c>
      <c r="BK181" s="12" t="s">
        <v>1375</v>
      </c>
      <c r="BL181" s="12" t="s">
        <v>1003</v>
      </c>
      <c r="BM181" s="12" t="s">
        <v>1626</v>
      </c>
      <c r="BN181" s="12" t="s">
        <v>1415</v>
      </c>
      <c r="BO181" s="12" t="s">
        <v>1415</v>
      </c>
      <c r="BP181" s="12" t="s">
        <v>943</v>
      </c>
      <c r="BQ181" s="12" t="s">
        <v>1723</v>
      </c>
      <c r="BR181" s="12" t="s">
        <v>1306</v>
      </c>
      <c r="BS181" s="12" t="s">
        <v>3494</v>
      </c>
      <c r="BT181" s="12" t="s">
        <v>1310</v>
      </c>
      <c r="BU181" s="12" t="s">
        <v>1699</v>
      </c>
      <c r="BV181" s="12" t="s">
        <v>1461</v>
      </c>
      <c r="BW181" s="12" t="s">
        <v>1461</v>
      </c>
      <c r="BX181" s="12" t="s">
        <v>3495</v>
      </c>
      <c r="BY181" s="12" t="s">
        <v>1805</v>
      </c>
      <c r="BZ181" s="12" t="s">
        <v>2655</v>
      </c>
      <c r="CA181" s="12" t="s">
        <v>3496</v>
      </c>
      <c r="CB181" s="12" t="s">
        <v>3176</v>
      </c>
      <c r="CC181" s="12" t="s">
        <v>3497</v>
      </c>
      <c r="CD181" s="12" t="s">
        <v>3498</v>
      </c>
      <c r="CE181" s="12" t="s">
        <v>3499</v>
      </c>
      <c r="CF181" s="12" t="s">
        <v>3500</v>
      </c>
      <c r="CG181" s="12" t="s">
        <v>2487</v>
      </c>
      <c r="CH181" s="12" t="s">
        <v>3501</v>
      </c>
      <c r="CI181" s="12" t="s">
        <v>3502</v>
      </c>
      <c r="CJ181" s="12" t="s">
        <v>3503</v>
      </c>
      <c r="CK181" s="12" t="s">
        <v>3504</v>
      </c>
      <c r="CL181" s="12" t="s">
        <v>3505</v>
      </c>
      <c r="CM181" s="12" t="s">
        <v>3506</v>
      </c>
      <c r="CN181" s="12" t="s">
        <v>3507</v>
      </c>
      <c r="CO181" s="12" t="s">
        <v>2883</v>
      </c>
      <c r="CP181" s="12" t="s">
        <v>3508</v>
      </c>
      <c r="CQ181" s="12" t="s">
        <v>3509</v>
      </c>
      <c r="CR181" s="12" t="s">
        <v>3510</v>
      </c>
      <c r="CS181" s="12" t="s">
        <v>3511</v>
      </c>
      <c r="CT181" s="12" t="s">
        <v>3512</v>
      </c>
    </row>
    <row r="182" spans="1:98" hidden="1" x14ac:dyDescent="0.3">
      <c r="A182" s="12" t="s">
        <v>25</v>
      </c>
      <c r="B182" s="12" t="s">
        <v>3513</v>
      </c>
      <c r="C182" s="12" t="s">
        <v>3514</v>
      </c>
      <c r="D182" s="12" t="s">
        <v>3515</v>
      </c>
      <c r="E182" s="12" t="s">
        <v>596</v>
      </c>
      <c r="F182" s="12" t="s">
        <v>596</v>
      </c>
      <c r="G182" s="12" t="s">
        <v>596</v>
      </c>
      <c r="H182" s="12" t="s">
        <v>596</v>
      </c>
      <c r="I182" s="12" t="s">
        <v>596</v>
      </c>
      <c r="J182" s="12" t="s">
        <v>596</v>
      </c>
      <c r="K182" s="12" t="s">
        <v>596</v>
      </c>
      <c r="L182" s="12" t="s">
        <v>596</v>
      </c>
      <c r="M182" s="12" t="s">
        <v>596</v>
      </c>
      <c r="N182" s="12" t="s">
        <v>596</v>
      </c>
      <c r="O182" s="12" t="s">
        <v>596</v>
      </c>
      <c r="P182" s="12" t="s">
        <v>596</v>
      </c>
      <c r="Q182" s="12" t="s">
        <v>596</v>
      </c>
      <c r="R182" s="12" t="s">
        <v>596</v>
      </c>
      <c r="S182" s="12" t="s">
        <v>596</v>
      </c>
      <c r="T182" s="12" t="s">
        <v>596</v>
      </c>
      <c r="U182" s="12" t="s">
        <v>596</v>
      </c>
      <c r="V182" s="12" t="s">
        <v>596</v>
      </c>
      <c r="W182" s="12" t="s">
        <v>596</v>
      </c>
      <c r="X182" s="12" t="s">
        <v>596</v>
      </c>
      <c r="Y182" s="12" t="s">
        <v>596</v>
      </c>
      <c r="Z182" s="12" t="s">
        <v>596</v>
      </c>
      <c r="AA182" s="12" t="s">
        <v>596</v>
      </c>
      <c r="AB182" s="12" t="s">
        <v>596</v>
      </c>
      <c r="AC182" s="12" t="s">
        <v>596</v>
      </c>
      <c r="AD182" s="12" t="s">
        <v>596</v>
      </c>
      <c r="AE182" s="12" t="s">
        <v>596</v>
      </c>
      <c r="AF182" s="12" t="s">
        <v>596</v>
      </c>
      <c r="AG182" s="12" t="s">
        <v>596</v>
      </c>
      <c r="AH182" s="12" t="s">
        <v>596</v>
      </c>
      <c r="AI182" s="12" t="s">
        <v>596</v>
      </c>
      <c r="AJ182" s="12" t="s">
        <v>596</v>
      </c>
      <c r="AK182" s="12" t="s">
        <v>596</v>
      </c>
      <c r="AL182" s="12" t="s">
        <v>596</v>
      </c>
      <c r="AM182" s="12" t="s">
        <v>596</v>
      </c>
      <c r="AN182" s="12" t="s">
        <v>596</v>
      </c>
      <c r="AO182" s="12" t="s">
        <v>596</v>
      </c>
      <c r="AP182" s="12" t="s">
        <v>596</v>
      </c>
      <c r="AQ182" s="12" t="s">
        <v>596</v>
      </c>
      <c r="AR182" s="12" t="s">
        <v>596</v>
      </c>
      <c r="AS182" s="12" t="s">
        <v>596</v>
      </c>
      <c r="AT182" s="12" t="s">
        <v>596</v>
      </c>
      <c r="AU182" s="12" t="s">
        <v>596</v>
      </c>
      <c r="AV182" s="12" t="s">
        <v>596</v>
      </c>
      <c r="AW182" s="12" t="s">
        <v>596</v>
      </c>
      <c r="AX182" s="12" t="s">
        <v>596</v>
      </c>
      <c r="AY182" s="12" t="s">
        <v>596</v>
      </c>
      <c r="AZ182" s="12" t="s">
        <v>596</v>
      </c>
      <c r="BA182" s="12" t="s">
        <v>596</v>
      </c>
      <c r="BB182" s="12" t="s">
        <v>596</v>
      </c>
      <c r="BC182" s="12" t="s">
        <v>596</v>
      </c>
      <c r="BD182" s="12" t="s">
        <v>596</v>
      </c>
      <c r="BE182" s="12" t="s">
        <v>596</v>
      </c>
      <c r="BF182" s="12" t="s">
        <v>596</v>
      </c>
      <c r="BG182" s="12" t="s">
        <v>596</v>
      </c>
      <c r="BH182" s="12" t="s">
        <v>596</v>
      </c>
      <c r="BI182" s="12" t="s">
        <v>596</v>
      </c>
      <c r="BJ182" s="12" t="s">
        <v>596</v>
      </c>
      <c r="BK182" s="12" t="s">
        <v>597</v>
      </c>
      <c r="BL182" s="12" t="s">
        <v>597</v>
      </c>
      <c r="BM182" s="12" t="s">
        <v>597</v>
      </c>
      <c r="BN182" s="12" t="s">
        <v>597</v>
      </c>
      <c r="BO182" s="12" t="s">
        <v>597</v>
      </c>
      <c r="BP182" s="12" t="s">
        <v>597</v>
      </c>
      <c r="BQ182" s="12" t="s">
        <v>597</v>
      </c>
      <c r="BR182" s="12" t="s">
        <v>597</v>
      </c>
      <c r="BS182" s="12" t="s">
        <v>597</v>
      </c>
      <c r="BT182" s="12" t="s">
        <v>597</v>
      </c>
      <c r="BU182" s="12" t="s">
        <v>597</v>
      </c>
      <c r="BV182" s="12" t="s">
        <v>597</v>
      </c>
      <c r="BW182" s="12" t="s">
        <v>597</v>
      </c>
      <c r="BX182" s="12" t="s">
        <v>597</v>
      </c>
      <c r="BY182" s="12" t="s">
        <v>597</v>
      </c>
      <c r="BZ182" s="12" t="s">
        <v>597</v>
      </c>
      <c r="CA182" s="12" t="s">
        <v>597</v>
      </c>
      <c r="CB182" s="12" t="s">
        <v>641</v>
      </c>
      <c r="CC182" s="12" t="s">
        <v>641</v>
      </c>
      <c r="CD182" s="12" t="s">
        <v>641</v>
      </c>
      <c r="CE182" s="12" t="s">
        <v>641</v>
      </c>
      <c r="CF182" s="12" t="s">
        <v>641</v>
      </c>
      <c r="CG182" s="12" t="s">
        <v>641</v>
      </c>
      <c r="CH182" s="12" t="s">
        <v>641</v>
      </c>
      <c r="CI182" s="12" t="s">
        <v>641</v>
      </c>
      <c r="CJ182" s="12" t="s">
        <v>641</v>
      </c>
      <c r="CK182" s="12" t="s">
        <v>641</v>
      </c>
      <c r="CL182" s="12" t="s">
        <v>600</v>
      </c>
      <c r="CM182" s="12" t="s">
        <v>600</v>
      </c>
      <c r="CN182" s="12" t="s">
        <v>600</v>
      </c>
      <c r="CO182" s="12" t="s">
        <v>600</v>
      </c>
      <c r="CP182" s="12" t="s">
        <v>600</v>
      </c>
      <c r="CQ182" s="12" t="s">
        <v>600</v>
      </c>
      <c r="CR182" s="12" t="s">
        <v>773</v>
      </c>
      <c r="CS182" s="12" t="s">
        <v>773</v>
      </c>
      <c r="CT182" s="12" t="s">
        <v>773</v>
      </c>
    </row>
    <row r="183" spans="1:98" hidden="1" x14ac:dyDescent="0.3">
      <c r="A183" s="12" t="s">
        <v>25</v>
      </c>
      <c r="B183" s="12" t="s">
        <v>3516</v>
      </c>
      <c r="C183" s="12" t="s">
        <v>3517</v>
      </c>
      <c r="D183" s="12" t="s">
        <v>3518</v>
      </c>
      <c r="E183" s="12" t="s">
        <v>596</v>
      </c>
      <c r="F183" s="12" t="s">
        <v>596</v>
      </c>
      <c r="G183" s="12" t="s">
        <v>596</v>
      </c>
      <c r="H183" s="12" t="s">
        <v>596</v>
      </c>
      <c r="I183" s="12" t="s">
        <v>596</v>
      </c>
      <c r="J183" s="12" t="s">
        <v>596</v>
      </c>
      <c r="K183" s="12" t="s">
        <v>596</v>
      </c>
      <c r="L183" s="12" t="s">
        <v>596</v>
      </c>
      <c r="M183" s="12" t="s">
        <v>596</v>
      </c>
      <c r="N183" s="12" t="s">
        <v>596</v>
      </c>
      <c r="O183" s="12" t="s">
        <v>596</v>
      </c>
      <c r="P183" s="12" t="s">
        <v>596</v>
      </c>
      <c r="Q183" s="12" t="s">
        <v>596</v>
      </c>
      <c r="R183" s="12" t="s">
        <v>596</v>
      </c>
      <c r="S183" s="12" t="s">
        <v>596</v>
      </c>
      <c r="T183" s="12" t="s">
        <v>596</v>
      </c>
      <c r="U183" s="12" t="s">
        <v>596</v>
      </c>
      <c r="V183" s="12" t="s">
        <v>596</v>
      </c>
      <c r="W183" s="12" t="s">
        <v>596</v>
      </c>
      <c r="X183" s="12" t="s">
        <v>596</v>
      </c>
      <c r="Y183" s="12" t="s">
        <v>596</v>
      </c>
      <c r="Z183" s="12" t="s">
        <v>596</v>
      </c>
      <c r="AA183" s="12" t="s">
        <v>596</v>
      </c>
      <c r="AB183" s="12" t="s">
        <v>596</v>
      </c>
      <c r="AC183" s="12" t="s">
        <v>596</v>
      </c>
      <c r="AD183" s="12" t="s">
        <v>596</v>
      </c>
      <c r="AE183" s="12" t="s">
        <v>596</v>
      </c>
      <c r="AF183" s="12" t="s">
        <v>596</v>
      </c>
      <c r="AG183" s="12" t="s">
        <v>596</v>
      </c>
      <c r="AH183" s="12" t="s">
        <v>596</v>
      </c>
      <c r="AI183" s="12" t="s">
        <v>596</v>
      </c>
      <c r="AJ183" s="12" t="s">
        <v>596</v>
      </c>
      <c r="AK183" s="12" t="s">
        <v>596</v>
      </c>
      <c r="AL183" s="12" t="s">
        <v>596</v>
      </c>
      <c r="AM183" s="12" t="s">
        <v>596</v>
      </c>
      <c r="AN183" s="12" t="s">
        <v>596</v>
      </c>
      <c r="AO183" s="12" t="s">
        <v>596</v>
      </c>
      <c r="AP183" s="12" t="s">
        <v>596</v>
      </c>
      <c r="AQ183" s="12" t="s">
        <v>596</v>
      </c>
      <c r="AR183" s="12" t="s">
        <v>596</v>
      </c>
      <c r="AS183" s="12" t="s">
        <v>596</v>
      </c>
      <c r="AT183" s="12" t="s">
        <v>596</v>
      </c>
      <c r="AU183" s="12" t="s">
        <v>596</v>
      </c>
      <c r="AV183" s="12" t="s">
        <v>596</v>
      </c>
      <c r="AW183" s="12" t="s">
        <v>596</v>
      </c>
      <c r="AX183" s="12" t="s">
        <v>596</v>
      </c>
      <c r="AY183" s="12" t="s">
        <v>597</v>
      </c>
      <c r="AZ183" s="12" t="s">
        <v>597</v>
      </c>
      <c r="BA183" s="12" t="s">
        <v>597</v>
      </c>
      <c r="BB183" s="12" t="s">
        <v>599</v>
      </c>
      <c r="BC183" s="12" t="s">
        <v>599</v>
      </c>
      <c r="BD183" s="12" t="s">
        <v>869</v>
      </c>
      <c r="BE183" s="12" t="s">
        <v>869</v>
      </c>
      <c r="BF183" s="12" t="s">
        <v>869</v>
      </c>
      <c r="BG183" s="12" t="s">
        <v>773</v>
      </c>
      <c r="BH183" s="12" t="s">
        <v>779</v>
      </c>
      <c r="BI183" s="12" t="s">
        <v>601</v>
      </c>
      <c r="BJ183" s="12" t="s">
        <v>601</v>
      </c>
      <c r="BK183" s="12" t="s">
        <v>886</v>
      </c>
      <c r="BL183" s="12" t="s">
        <v>826</v>
      </c>
      <c r="BM183" s="12" t="s">
        <v>604</v>
      </c>
      <c r="BN183" s="12" t="s">
        <v>604</v>
      </c>
      <c r="BO183" s="12" t="s">
        <v>931</v>
      </c>
      <c r="BP183" s="12" t="s">
        <v>695</v>
      </c>
      <c r="BQ183" s="12" t="s">
        <v>1064</v>
      </c>
      <c r="BR183" s="12" t="s">
        <v>827</v>
      </c>
      <c r="BS183" s="12" t="s">
        <v>787</v>
      </c>
      <c r="BT183" s="12" t="s">
        <v>650</v>
      </c>
      <c r="BU183" s="12" t="s">
        <v>651</v>
      </c>
      <c r="BV183" s="12" t="s">
        <v>888</v>
      </c>
      <c r="BW183" s="12" t="s">
        <v>992</v>
      </c>
      <c r="BX183" s="12" t="s">
        <v>873</v>
      </c>
      <c r="BY183" s="12" t="s">
        <v>889</v>
      </c>
      <c r="BZ183" s="12" t="s">
        <v>877</v>
      </c>
      <c r="CA183" s="12" t="s">
        <v>655</v>
      </c>
      <c r="CB183" s="12" t="s">
        <v>740</v>
      </c>
      <c r="CC183" s="12" t="s">
        <v>829</v>
      </c>
      <c r="CD183" s="12" t="s">
        <v>1436</v>
      </c>
      <c r="CE183" s="12" t="s">
        <v>1768</v>
      </c>
      <c r="CF183" s="12" t="s">
        <v>1373</v>
      </c>
      <c r="CG183" s="12" t="s">
        <v>741</v>
      </c>
      <c r="CH183" s="12" t="s">
        <v>891</v>
      </c>
      <c r="CI183" s="12" t="s">
        <v>1533</v>
      </c>
      <c r="CJ183" s="12" t="s">
        <v>1751</v>
      </c>
      <c r="CK183" s="12" t="s">
        <v>2107</v>
      </c>
      <c r="CL183" s="12" t="s">
        <v>613</v>
      </c>
      <c r="CM183" s="12" t="s">
        <v>2378</v>
      </c>
      <c r="CN183" s="12" t="s">
        <v>1998</v>
      </c>
      <c r="CO183" s="12" t="s">
        <v>1622</v>
      </c>
      <c r="CP183" s="12" t="s">
        <v>1905</v>
      </c>
      <c r="CQ183" s="12" t="s">
        <v>1905</v>
      </c>
      <c r="CR183" s="12" t="s">
        <v>2046</v>
      </c>
      <c r="CS183" s="12" t="s">
        <v>2046</v>
      </c>
      <c r="CT183" s="12" t="s">
        <v>661</v>
      </c>
    </row>
    <row r="184" spans="1:98" hidden="1" x14ac:dyDescent="0.3">
      <c r="A184" s="12" t="s">
        <v>25</v>
      </c>
      <c r="B184" s="12" t="s">
        <v>3519</v>
      </c>
      <c r="C184" s="12" t="s">
        <v>3520</v>
      </c>
      <c r="D184" s="12" t="s">
        <v>3521</v>
      </c>
      <c r="E184" s="12" t="s">
        <v>596</v>
      </c>
      <c r="F184" s="12" t="s">
        <v>596</v>
      </c>
      <c r="G184" s="12" t="s">
        <v>596</v>
      </c>
      <c r="H184" s="12" t="s">
        <v>596</v>
      </c>
      <c r="I184" s="12" t="s">
        <v>596</v>
      </c>
      <c r="J184" s="12" t="s">
        <v>596</v>
      </c>
      <c r="K184" s="12" t="s">
        <v>596</v>
      </c>
      <c r="L184" s="12" t="s">
        <v>596</v>
      </c>
      <c r="M184" s="12" t="s">
        <v>596</v>
      </c>
      <c r="N184" s="12" t="s">
        <v>596</v>
      </c>
      <c r="O184" s="12" t="s">
        <v>596</v>
      </c>
      <c r="P184" s="12" t="s">
        <v>596</v>
      </c>
      <c r="Q184" s="12" t="s">
        <v>596</v>
      </c>
      <c r="R184" s="12" t="s">
        <v>596</v>
      </c>
      <c r="S184" s="12" t="s">
        <v>596</v>
      </c>
      <c r="T184" s="12" t="s">
        <v>596</v>
      </c>
      <c r="U184" s="12" t="s">
        <v>596</v>
      </c>
      <c r="V184" s="12" t="s">
        <v>596</v>
      </c>
      <c r="W184" s="12" t="s">
        <v>596</v>
      </c>
      <c r="X184" s="12" t="s">
        <v>596</v>
      </c>
      <c r="Y184" s="12" t="s">
        <v>596</v>
      </c>
      <c r="Z184" s="12" t="s">
        <v>596</v>
      </c>
      <c r="AA184" s="12" t="s">
        <v>596</v>
      </c>
      <c r="AB184" s="12" t="s">
        <v>596</v>
      </c>
      <c r="AC184" s="12" t="s">
        <v>596</v>
      </c>
      <c r="AD184" s="12" t="s">
        <v>596</v>
      </c>
      <c r="AE184" s="12" t="s">
        <v>596</v>
      </c>
      <c r="AF184" s="12" t="s">
        <v>596</v>
      </c>
      <c r="AG184" s="12" t="s">
        <v>596</v>
      </c>
      <c r="AH184" s="12" t="s">
        <v>596</v>
      </c>
      <c r="AI184" s="12" t="s">
        <v>596</v>
      </c>
      <c r="AJ184" s="12" t="s">
        <v>596</v>
      </c>
      <c r="AK184" s="12" t="s">
        <v>596</v>
      </c>
      <c r="AL184" s="12" t="s">
        <v>596</v>
      </c>
      <c r="AM184" s="12" t="s">
        <v>596</v>
      </c>
      <c r="AN184" s="12" t="s">
        <v>596</v>
      </c>
      <c r="AO184" s="12" t="s">
        <v>596</v>
      </c>
      <c r="AP184" s="12" t="s">
        <v>596</v>
      </c>
      <c r="AQ184" s="12" t="s">
        <v>596</v>
      </c>
      <c r="AR184" s="12" t="s">
        <v>596</v>
      </c>
      <c r="AS184" s="12" t="s">
        <v>596</v>
      </c>
      <c r="AT184" s="12" t="s">
        <v>596</v>
      </c>
      <c r="AU184" s="12" t="s">
        <v>596</v>
      </c>
      <c r="AV184" s="12" t="s">
        <v>596</v>
      </c>
      <c r="AW184" s="12" t="s">
        <v>597</v>
      </c>
      <c r="AX184" s="12" t="s">
        <v>597</v>
      </c>
      <c r="AY184" s="12" t="s">
        <v>869</v>
      </c>
      <c r="AZ184" s="12" t="s">
        <v>600</v>
      </c>
      <c r="BA184" s="12" t="s">
        <v>601</v>
      </c>
      <c r="BB184" s="12" t="s">
        <v>601</v>
      </c>
      <c r="BC184" s="12" t="s">
        <v>780</v>
      </c>
      <c r="BD184" s="12" t="s">
        <v>887</v>
      </c>
      <c r="BE184" s="12" t="s">
        <v>646</v>
      </c>
      <c r="BF184" s="12" t="s">
        <v>1277</v>
      </c>
      <c r="BG184" s="12" t="s">
        <v>995</v>
      </c>
      <c r="BH184" s="12" t="s">
        <v>1435</v>
      </c>
      <c r="BI184" s="12" t="s">
        <v>1904</v>
      </c>
      <c r="BJ184" s="12" t="s">
        <v>2184</v>
      </c>
      <c r="BK184" s="12" t="s">
        <v>2184</v>
      </c>
      <c r="BL184" s="12" t="s">
        <v>1414</v>
      </c>
      <c r="BM184" s="12" t="s">
        <v>2078</v>
      </c>
      <c r="BN184" s="12" t="s">
        <v>1712</v>
      </c>
      <c r="BO184" s="12" t="s">
        <v>672</v>
      </c>
      <c r="BP184" s="12" t="s">
        <v>1686</v>
      </c>
      <c r="BQ184" s="12" t="s">
        <v>1727</v>
      </c>
      <c r="BR184" s="12" t="s">
        <v>1395</v>
      </c>
      <c r="BS184" s="12" t="s">
        <v>3402</v>
      </c>
      <c r="BT184" s="12" t="s">
        <v>3522</v>
      </c>
      <c r="BU184" s="12" t="s">
        <v>1694</v>
      </c>
      <c r="BV184" s="12" t="s">
        <v>2159</v>
      </c>
      <c r="BW184" s="12" t="s">
        <v>3523</v>
      </c>
      <c r="BX184" s="12" t="s">
        <v>2775</v>
      </c>
      <c r="BY184" s="12" t="s">
        <v>2383</v>
      </c>
      <c r="BZ184" s="12" t="s">
        <v>3424</v>
      </c>
      <c r="CA184" s="12" t="s">
        <v>2537</v>
      </c>
      <c r="CB184" s="12" t="s">
        <v>3524</v>
      </c>
      <c r="CC184" s="12" t="s">
        <v>3525</v>
      </c>
      <c r="CD184" s="12" t="s">
        <v>3526</v>
      </c>
      <c r="CE184" s="12" t="s">
        <v>3527</v>
      </c>
      <c r="CF184" s="12" t="s">
        <v>3528</v>
      </c>
      <c r="CG184" s="12" t="s">
        <v>3529</v>
      </c>
      <c r="CH184" s="12" t="s">
        <v>3530</v>
      </c>
      <c r="CI184" s="12" t="s">
        <v>3531</v>
      </c>
      <c r="CJ184" s="12" t="s">
        <v>3532</v>
      </c>
      <c r="CK184" s="12" t="s">
        <v>3533</v>
      </c>
      <c r="CL184" s="12" t="s">
        <v>3534</v>
      </c>
      <c r="CM184" s="12" t="s">
        <v>3535</v>
      </c>
      <c r="CN184" s="12" t="s">
        <v>3536</v>
      </c>
      <c r="CO184" s="12" t="s">
        <v>3537</v>
      </c>
      <c r="CP184" s="12" t="s">
        <v>3538</v>
      </c>
      <c r="CQ184" s="12" t="s">
        <v>3539</v>
      </c>
      <c r="CR184" s="12" t="s">
        <v>365</v>
      </c>
      <c r="CS184" s="12" t="s">
        <v>3540</v>
      </c>
      <c r="CT184" s="12" t="s">
        <v>3541</v>
      </c>
    </row>
    <row r="185" spans="1:98" hidden="1" x14ac:dyDescent="0.3">
      <c r="A185" s="12" t="s">
        <v>25</v>
      </c>
      <c r="B185" s="12" t="s">
        <v>3542</v>
      </c>
      <c r="C185" s="12" t="s">
        <v>3543</v>
      </c>
      <c r="D185" s="12" t="s">
        <v>3544</v>
      </c>
      <c r="E185" s="12" t="s">
        <v>596</v>
      </c>
      <c r="F185" s="12" t="s">
        <v>596</v>
      </c>
      <c r="G185" s="12" t="s">
        <v>596</v>
      </c>
      <c r="H185" s="12" t="s">
        <v>596</v>
      </c>
      <c r="I185" s="12" t="s">
        <v>596</v>
      </c>
      <c r="J185" s="12" t="s">
        <v>596</v>
      </c>
      <c r="K185" s="12" t="s">
        <v>596</v>
      </c>
      <c r="L185" s="12" t="s">
        <v>596</v>
      </c>
      <c r="M185" s="12" t="s">
        <v>597</v>
      </c>
      <c r="N185" s="12" t="s">
        <v>597</v>
      </c>
      <c r="O185" s="12" t="s">
        <v>597</v>
      </c>
      <c r="P185" s="12" t="s">
        <v>641</v>
      </c>
      <c r="Q185" s="12" t="s">
        <v>641</v>
      </c>
      <c r="R185" s="12" t="s">
        <v>641</v>
      </c>
      <c r="S185" s="12" t="s">
        <v>641</v>
      </c>
      <c r="T185" s="12" t="s">
        <v>641</v>
      </c>
      <c r="U185" s="12" t="s">
        <v>690</v>
      </c>
      <c r="V185" s="12" t="s">
        <v>690</v>
      </c>
      <c r="W185" s="12" t="s">
        <v>690</v>
      </c>
      <c r="X185" s="12" t="s">
        <v>690</v>
      </c>
      <c r="Y185" s="12" t="s">
        <v>690</v>
      </c>
      <c r="Z185" s="12" t="s">
        <v>690</v>
      </c>
      <c r="AA185" s="12" t="s">
        <v>690</v>
      </c>
      <c r="AB185" s="12" t="s">
        <v>690</v>
      </c>
      <c r="AC185" s="12" t="s">
        <v>690</v>
      </c>
      <c r="AD185" s="12" t="s">
        <v>690</v>
      </c>
      <c r="AE185" s="12" t="s">
        <v>690</v>
      </c>
      <c r="AF185" s="12" t="s">
        <v>690</v>
      </c>
      <c r="AG185" s="12" t="s">
        <v>690</v>
      </c>
      <c r="AH185" s="12" t="s">
        <v>690</v>
      </c>
      <c r="AI185" s="12" t="s">
        <v>690</v>
      </c>
      <c r="AJ185" s="12" t="s">
        <v>690</v>
      </c>
      <c r="AK185" s="12" t="s">
        <v>690</v>
      </c>
      <c r="AL185" s="12" t="s">
        <v>690</v>
      </c>
      <c r="AM185" s="12" t="s">
        <v>690</v>
      </c>
      <c r="AN185" s="12" t="s">
        <v>690</v>
      </c>
      <c r="AO185" s="12" t="s">
        <v>690</v>
      </c>
      <c r="AP185" s="12" t="s">
        <v>690</v>
      </c>
      <c r="AQ185" s="12" t="s">
        <v>690</v>
      </c>
      <c r="AR185" s="12" t="s">
        <v>690</v>
      </c>
      <c r="AS185" s="12" t="s">
        <v>690</v>
      </c>
      <c r="AT185" s="12" t="s">
        <v>690</v>
      </c>
      <c r="AU185" s="12" t="s">
        <v>690</v>
      </c>
      <c r="AV185" s="12" t="s">
        <v>690</v>
      </c>
      <c r="AW185" s="12" t="s">
        <v>599</v>
      </c>
      <c r="AX185" s="12" t="s">
        <v>869</v>
      </c>
      <c r="AY185" s="12" t="s">
        <v>642</v>
      </c>
      <c r="AZ185" s="12" t="s">
        <v>693</v>
      </c>
      <c r="BA185" s="12" t="s">
        <v>645</v>
      </c>
      <c r="BB185" s="12" t="s">
        <v>1009</v>
      </c>
      <c r="BC185" s="12" t="s">
        <v>827</v>
      </c>
      <c r="BD185" s="12" t="s">
        <v>651</v>
      </c>
      <c r="BE185" s="12" t="s">
        <v>997</v>
      </c>
      <c r="BF185" s="12" t="s">
        <v>1043</v>
      </c>
      <c r="BG185" s="12" t="s">
        <v>2032</v>
      </c>
      <c r="BH185" s="12" t="s">
        <v>1380</v>
      </c>
      <c r="BI185" s="12" t="s">
        <v>1998</v>
      </c>
      <c r="BJ185" s="12" t="s">
        <v>1507</v>
      </c>
      <c r="BK185" s="12" t="s">
        <v>703</v>
      </c>
      <c r="BL185" s="12" t="s">
        <v>894</v>
      </c>
      <c r="BM185" s="12" t="s">
        <v>1709</v>
      </c>
      <c r="BN185" s="12" t="s">
        <v>3545</v>
      </c>
      <c r="BO185" s="12" t="s">
        <v>2087</v>
      </c>
      <c r="BP185" s="12" t="s">
        <v>2007</v>
      </c>
      <c r="BQ185" s="12" t="s">
        <v>3546</v>
      </c>
      <c r="BR185" s="12" t="s">
        <v>1184</v>
      </c>
      <c r="BS185" s="12" t="s">
        <v>1460</v>
      </c>
      <c r="BT185" s="12" t="s">
        <v>2476</v>
      </c>
      <c r="BU185" s="12" t="s">
        <v>1333</v>
      </c>
      <c r="BV185" s="12" t="s">
        <v>3547</v>
      </c>
      <c r="BW185" s="12" t="s">
        <v>3548</v>
      </c>
      <c r="BX185" s="12" t="s">
        <v>3549</v>
      </c>
      <c r="BY185" s="12" t="s">
        <v>3550</v>
      </c>
      <c r="BZ185" s="12" t="s">
        <v>3551</v>
      </c>
      <c r="CA185" s="12" t="s">
        <v>3552</v>
      </c>
      <c r="CB185" s="12" t="s">
        <v>3553</v>
      </c>
      <c r="CC185" s="12" t="s">
        <v>3554</v>
      </c>
      <c r="CD185" s="12" t="s">
        <v>3555</v>
      </c>
      <c r="CE185" s="12" t="s">
        <v>3556</v>
      </c>
      <c r="CF185" s="12" t="s">
        <v>3557</v>
      </c>
      <c r="CG185" s="12" t="s">
        <v>3558</v>
      </c>
      <c r="CH185" s="12" t="s">
        <v>3559</v>
      </c>
      <c r="CI185" s="12" t="s">
        <v>3560</v>
      </c>
      <c r="CJ185" s="12" t="s">
        <v>3561</v>
      </c>
      <c r="CK185" s="12" t="s">
        <v>3562</v>
      </c>
      <c r="CL185" s="12" t="s">
        <v>3563</v>
      </c>
      <c r="CM185" s="12" t="s">
        <v>3564</v>
      </c>
      <c r="CN185" s="12" t="s">
        <v>3565</v>
      </c>
      <c r="CO185" s="12" t="s">
        <v>3566</v>
      </c>
      <c r="CP185" s="12" t="s">
        <v>3567</v>
      </c>
      <c r="CQ185" s="12" t="s">
        <v>3568</v>
      </c>
      <c r="CR185" s="12" t="s">
        <v>3569</v>
      </c>
      <c r="CS185" s="12" t="s">
        <v>3570</v>
      </c>
      <c r="CT185" s="12" t="s">
        <v>3571</v>
      </c>
    </row>
    <row r="186" spans="1:98" hidden="1" x14ac:dyDescent="0.3">
      <c r="A186" s="12" t="s">
        <v>25</v>
      </c>
      <c r="B186" s="12" t="s">
        <v>3572</v>
      </c>
      <c r="C186" s="12" t="s">
        <v>3573</v>
      </c>
      <c r="D186" s="12" t="s">
        <v>3574</v>
      </c>
      <c r="E186" s="12" t="s">
        <v>596</v>
      </c>
      <c r="F186" s="12" t="s">
        <v>596</v>
      </c>
      <c r="G186" s="12" t="s">
        <v>596</v>
      </c>
      <c r="H186" s="12" t="s">
        <v>596</v>
      </c>
      <c r="I186" s="12" t="s">
        <v>596</v>
      </c>
      <c r="J186" s="12" t="s">
        <v>596</v>
      </c>
      <c r="K186" s="12" t="s">
        <v>596</v>
      </c>
      <c r="L186" s="12" t="s">
        <v>596</v>
      </c>
      <c r="M186" s="12" t="s">
        <v>596</v>
      </c>
      <c r="N186" s="12" t="s">
        <v>596</v>
      </c>
      <c r="O186" s="12" t="s">
        <v>596</v>
      </c>
      <c r="P186" s="12" t="s">
        <v>596</v>
      </c>
      <c r="Q186" s="12" t="s">
        <v>596</v>
      </c>
      <c r="R186" s="12" t="s">
        <v>596</v>
      </c>
      <c r="S186" s="12" t="s">
        <v>596</v>
      </c>
      <c r="T186" s="12" t="s">
        <v>596</v>
      </c>
      <c r="U186" s="12" t="s">
        <v>596</v>
      </c>
      <c r="V186" s="12" t="s">
        <v>596</v>
      </c>
      <c r="W186" s="12" t="s">
        <v>596</v>
      </c>
      <c r="X186" s="12" t="s">
        <v>596</v>
      </c>
      <c r="Y186" s="12" t="s">
        <v>596</v>
      </c>
      <c r="Z186" s="12" t="s">
        <v>596</v>
      </c>
      <c r="AA186" s="12" t="s">
        <v>596</v>
      </c>
      <c r="AB186" s="12" t="s">
        <v>596</v>
      </c>
      <c r="AC186" s="12" t="s">
        <v>596</v>
      </c>
      <c r="AD186" s="12" t="s">
        <v>596</v>
      </c>
      <c r="AE186" s="12" t="s">
        <v>596</v>
      </c>
      <c r="AF186" s="12" t="s">
        <v>596</v>
      </c>
      <c r="AG186" s="12" t="s">
        <v>596</v>
      </c>
      <c r="AH186" s="12" t="s">
        <v>596</v>
      </c>
      <c r="AI186" s="12" t="s">
        <v>596</v>
      </c>
      <c r="AJ186" s="12" t="s">
        <v>596</v>
      </c>
      <c r="AK186" s="12" t="s">
        <v>596</v>
      </c>
      <c r="AL186" s="12" t="s">
        <v>596</v>
      </c>
      <c r="AM186" s="12" t="s">
        <v>596</v>
      </c>
      <c r="AN186" s="12" t="s">
        <v>596</v>
      </c>
      <c r="AO186" s="12" t="s">
        <v>596</v>
      </c>
      <c r="AP186" s="12" t="s">
        <v>596</v>
      </c>
      <c r="AQ186" s="12" t="s">
        <v>596</v>
      </c>
      <c r="AR186" s="12" t="s">
        <v>596</v>
      </c>
      <c r="AS186" s="12" t="s">
        <v>596</v>
      </c>
      <c r="AT186" s="12" t="s">
        <v>596</v>
      </c>
      <c r="AU186" s="12" t="s">
        <v>597</v>
      </c>
      <c r="AV186" s="12" t="s">
        <v>597</v>
      </c>
      <c r="AW186" s="12" t="s">
        <v>599</v>
      </c>
      <c r="AX186" s="12" t="s">
        <v>599</v>
      </c>
      <c r="AY186" s="12" t="s">
        <v>601</v>
      </c>
      <c r="AZ186" s="12" t="s">
        <v>602</v>
      </c>
      <c r="BA186" s="12" t="s">
        <v>604</v>
      </c>
      <c r="BB186" s="12" t="s">
        <v>784</v>
      </c>
      <c r="BC186" s="12" t="s">
        <v>1009</v>
      </c>
      <c r="BD186" s="12" t="s">
        <v>788</v>
      </c>
      <c r="BE186" s="12" t="s">
        <v>880</v>
      </c>
      <c r="BF186" s="12" t="s">
        <v>1436</v>
      </c>
      <c r="BG186" s="12" t="s">
        <v>1549</v>
      </c>
      <c r="BH186" s="12" t="s">
        <v>1642</v>
      </c>
      <c r="BI186" s="12" t="s">
        <v>1835</v>
      </c>
      <c r="BJ186" s="12" t="s">
        <v>1013</v>
      </c>
      <c r="BK186" s="12" t="s">
        <v>1551</v>
      </c>
      <c r="BL186" s="12" t="s">
        <v>2085</v>
      </c>
      <c r="BM186" s="12" t="s">
        <v>684</v>
      </c>
      <c r="BN186" s="12" t="s">
        <v>2056</v>
      </c>
      <c r="BO186" s="12" t="s">
        <v>1310</v>
      </c>
      <c r="BP186" s="12" t="s">
        <v>3575</v>
      </c>
      <c r="BQ186" s="12" t="s">
        <v>3421</v>
      </c>
      <c r="BR186" s="12" t="s">
        <v>3576</v>
      </c>
      <c r="BS186" s="12" t="s">
        <v>3577</v>
      </c>
      <c r="BT186" s="12" t="s">
        <v>3578</v>
      </c>
      <c r="BU186" s="12" t="s">
        <v>3579</v>
      </c>
      <c r="BV186" s="12" t="s">
        <v>3548</v>
      </c>
      <c r="BW186" s="12" t="s">
        <v>1336</v>
      </c>
      <c r="BX186" s="12" t="s">
        <v>3580</v>
      </c>
      <c r="BY186" s="12" t="s">
        <v>3581</v>
      </c>
      <c r="BZ186" s="12" t="s">
        <v>3582</v>
      </c>
      <c r="CA186" s="12" t="s">
        <v>3583</v>
      </c>
      <c r="CB186" s="12" t="s">
        <v>3584</v>
      </c>
      <c r="CC186" s="12" t="s">
        <v>3585</v>
      </c>
      <c r="CD186" s="12" t="s">
        <v>3586</v>
      </c>
      <c r="CE186" s="12" t="s">
        <v>3587</v>
      </c>
      <c r="CF186" s="12" t="s">
        <v>3588</v>
      </c>
      <c r="CG186" s="12" t="s">
        <v>3589</v>
      </c>
      <c r="CH186" s="12" t="s">
        <v>3590</v>
      </c>
      <c r="CI186" s="12" t="s">
        <v>3591</v>
      </c>
      <c r="CJ186" s="12" t="s">
        <v>3592</v>
      </c>
      <c r="CK186" s="12" t="s">
        <v>3593</v>
      </c>
      <c r="CL186" s="12" t="s">
        <v>3594</v>
      </c>
      <c r="CM186" s="12" t="s">
        <v>3595</v>
      </c>
      <c r="CN186" s="12" t="s">
        <v>3596</v>
      </c>
      <c r="CO186" s="12" t="s">
        <v>3597</v>
      </c>
      <c r="CP186" s="12" t="s">
        <v>3598</v>
      </c>
      <c r="CQ186" s="12" t="s">
        <v>3599</v>
      </c>
      <c r="CR186" s="12" t="s">
        <v>3600</v>
      </c>
      <c r="CS186" s="12" t="s">
        <v>3601</v>
      </c>
      <c r="CT186" s="12" t="s">
        <v>3602</v>
      </c>
    </row>
    <row r="187" spans="1:98" hidden="1" x14ac:dyDescent="0.3">
      <c r="A187" s="12" t="s">
        <v>25</v>
      </c>
      <c r="B187" s="12" t="s">
        <v>3603</v>
      </c>
      <c r="C187" s="12" t="s">
        <v>3604</v>
      </c>
      <c r="D187" s="12" t="s">
        <v>3605</v>
      </c>
      <c r="E187" s="12" t="s">
        <v>596</v>
      </c>
      <c r="F187" s="12" t="s">
        <v>596</v>
      </c>
      <c r="G187" s="12" t="s">
        <v>596</v>
      </c>
      <c r="H187" s="12" t="s">
        <v>596</v>
      </c>
      <c r="I187" s="12" t="s">
        <v>596</v>
      </c>
      <c r="J187" s="12" t="s">
        <v>596</v>
      </c>
      <c r="K187" s="12" t="s">
        <v>596</v>
      </c>
      <c r="L187" s="12" t="s">
        <v>596</v>
      </c>
      <c r="M187" s="12" t="s">
        <v>596</v>
      </c>
      <c r="N187" s="12" t="s">
        <v>596</v>
      </c>
      <c r="O187" s="12" t="s">
        <v>596</v>
      </c>
      <c r="P187" s="12" t="s">
        <v>596</v>
      </c>
      <c r="Q187" s="12" t="s">
        <v>596</v>
      </c>
      <c r="R187" s="12" t="s">
        <v>596</v>
      </c>
      <c r="S187" s="12" t="s">
        <v>596</v>
      </c>
      <c r="T187" s="12" t="s">
        <v>596</v>
      </c>
      <c r="U187" s="12" t="s">
        <v>596</v>
      </c>
      <c r="V187" s="12" t="s">
        <v>596</v>
      </c>
      <c r="W187" s="12" t="s">
        <v>596</v>
      </c>
      <c r="X187" s="12" t="s">
        <v>596</v>
      </c>
      <c r="Y187" s="12" t="s">
        <v>596</v>
      </c>
      <c r="Z187" s="12" t="s">
        <v>596</v>
      </c>
      <c r="AA187" s="12" t="s">
        <v>596</v>
      </c>
      <c r="AB187" s="12" t="s">
        <v>596</v>
      </c>
      <c r="AC187" s="12" t="s">
        <v>596</v>
      </c>
      <c r="AD187" s="12" t="s">
        <v>596</v>
      </c>
      <c r="AE187" s="12" t="s">
        <v>596</v>
      </c>
      <c r="AF187" s="12" t="s">
        <v>596</v>
      </c>
      <c r="AG187" s="12" t="s">
        <v>596</v>
      </c>
      <c r="AH187" s="12" t="s">
        <v>596</v>
      </c>
      <c r="AI187" s="12" t="s">
        <v>596</v>
      </c>
      <c r="AJ187" s="12" t="s">
        <v>596</v>
      </c>
      <c r="AK187" s="12" t="s">
        <v>596</v>
      </c>
      <c r="AL187" s="12" t="s">
        <v>596</v>
      </c>
      <c r="AM187" s="12" t="s">
        <v>596</v>
      </c>
      <c r="AN187" s="12" t="s">
        <v>596</v>
      </c>
      <c r="AO187" s="12" t="s">
        <v>596</v>
      </c>
      <c r="AP187" s="12" t="s">
        <v>596</v>
      </c>
      <c r="AQ187" s="12" t="s">
        <v>596</v>
      </c>
      <c r="AR187" s="12" t="s">
        <v>596</v>
      </c>
      <c r="AS187" s="12" t="s">
        <v>641</v>
      </c>
      <c r="AT187" s="12" t="s">
        <v>641</v>
      </c>
      <c r="AU187" s="12" t="s">
        <v>599</v>
      </c>
      <c r="AV187" s="12" t="s">
        <v>773</v>
      </c>
      <c r="AW187" s="12" t="s">
        <v>886</v>
      </c>
      <c r="AX187" s="12" t="s">
        <v>693</v>
      </c>
      <c r="AY187" s="12" t="s">
        <v>2036</v>
      </c>
      <c r="AZ187" s="12" t="s">
        <v>2036</v>
      </c>
      <c r="BA187" s="12" t="s">
        <v>1064</v>
      </c>
      <c r="BB187" s="12" t="s">
        <v>650</v>
      </c>
      <c r="BC187" s="12" t="s">
        <v>650</v>
      </c>
      <c r="BD187" s="12" t="s">
        <v>890</v>
      </c>
      <c r="BE187" s="12" t="s">
        <v>1000</v>
      </c>
      <c r="BF187" s="12" t="s">
        <v>1834</v>
      </c>
      <c r="BG187" s="12" t="s">
        <v>1383</v>
      </c>
      <c r="BH187" s="12" t="s">
        <v>3606</v>
      </c>
      <c r="BI187" s="12" t="s">
        <v>3606</v>
      </c>
      <c r="BJ187" s="12" t="s">
        <v>2874</v>
      </c>
      <c r="BK187" s="12" t="s">
        <v>2720</v>
      </c>
      <c r="BL187" s="12" t="s">
        <v>3607</v>
      </c>
      <c r="BM187" s="12" t="s">
        <v>2220</v>
      </c>
      <c r="BN187" s="12" t="s">
        <v>3608</v>
      </c>
      <c r="BO187" s="12" t="s">
        <v>3609</v>
      </c>
      <c r="BP187" s="12" t="s">
        <v>3610</v>
      </c>
      <c r="BQ187" s="12" t="s">
        <v>3611</v>
      </c>
      <c r="BR187" s="12" t="s">
        <v>3612</v>
      </c>
      <c r="BS187" s="12" t="s">
        <v>3613</v>
      </c>
      <c r="BT187" s="12" t="s">
        <v>3614</v>
      </c>
      <c r="BU187" s="12" t="s">
        <v>3615</v>
      </c>
      <c r="BV187" s="12" t="s">
        <v>3616</v>
      </c>
      <c r="BW187" s="12" t="s">
        <v>3617</v>
      </c>
      <c r="BX187" s="12" t="s">
        <v>3618</v>
      </c>
      <c r="BY187" s="12" t="s">
        <v>3619</v>
      </c>
      <c r="BZ187" s="12" t="s">
        <v>3620</v>
      </c>
      <c r="CA187" s="12" t="s">
        <v>3621</v>
      </c>
      <c r="CB187" s="12" t="s">
        <v>3622</v>
      </c>
      <c r="CC187" s="12" t="s">
        <v>3623</v>
      </c>
      <c r="CD187" s="12" t="s">
        <v>3624</v>
      </c>
      <c r="CE187" s="12" t="s">
        <v>3625</v>
      </c>
      <c r="CF187" s="12" t="s">
        <v>3626</v>
      </c>
      <c r="CG187" s="12" t="s">
        <v>3627</v>
      </c>
      <c r="CH187" s="12" t="s">
        <v>3628</v>
      </c>
      <c r="CI187" s="12" t="s">
        <v>3629</v>
      </c>
      <c r="CJ187" s="12" t="s">
        <v>3630</v>
      </c>
      <c r="CK187" s="12" t="s">
        <v>3631</v>
      </c>
      <c r="CL187" s="12" t="s">
        <v>3632</v>
      </c>
      <c r="CM187" s="12" t="s">
        <v>3633</v>
      </c>
      <c r="CN187" s="12" t="s">
        <v>3634</v>
      </c>
      <c r="CO187" s="12" t="s">
        <v>3635</v>
      </c>
      <c r="CP187" s="12" t="s">
        <v>3636</v>
      </c>
      <c r="CQ187" s="12" t="s">
        <v>3637</v>
      </c>
      <c r="CR187" s="12" t="s">
        <v>3638</v>
      </c>
      <c r="CS187" s="12" t="s">
        <v>3639</v>
      </c>
      <c r="CT187" s="12" t="s">
        <v>3640</v>
      </c>
    </row>
    <row r="188" spans="1:98" hidden="1" x14ac:dyDescent="0.3">
      <c r="A188" s="12" t="s">
        <v>25</v>
      </c>
      <c r="B188" s="12" t="s">
        <v>3641</v>
      </c>
      <c r="C188" s="12" t="s">
        <v>3642</v>
      </c>
      <c r="D188" s="12" t="s">
        <v>3643</v>
      </c>
      <c r="E188" s="12" t="s">
        <v>596</v>
      </c>
      <c r="F188" s="12" t="s">
        <v>596</v>
      </c>
      <c r="G188" s="12" t="s">
        <v>596</v>
      </c>
      <c r="H188" s="12" t="s">
        <v>596</v>
      </c>
      <c r="I188" s="12" t="s">
        <v>596</v>
      </c>
      <c r="J188" s="12" t="s">
        <v>596</v>
      </c>
      <c r="K188" s="12" t="s">
        <v>596</v>
      </c>
      <c r="L188" s="12" t="s">
        <v>596</v>
      </c>
      <c r="M188" s="12" t="s">
        <v>596</v>
      </c>
      <c r="N188" s="12" t="s">
        <v>596</v>
      </c>
      <c r="O188" s="12" t="s">
        <v>596</v>
      </c>
      <c r="P188" s="12" t="s">
        <v>596</v>
      </c>
      <c r="Q188" s="12" t="s">
        <v>596</v>
      </c>
      <c r="R188" s="12" t="s">
        <v>596</v>
      </c>
      <c r="S188" s="12" t="s">
        <v>596</v>
      </c>
      <c r="T188" s="12" t="s">
        <v>596</v>
      </c>
      <c r="U188" s="12" t="s">
        <v>596</v>
      </c>
      <c r="V188" s="12" t="s">
        <v>596</v>
      </c>
      <c r="W188" s="12" t="s">
        <v>596</v>
      </c>
      <c r="X188" s="12" t="s">
        <v>596</v>
      </c>
      <c r="Y188" s="12" t="s">
        <v>596</v>
      </c>
      <c r="Z188" s="12" t="s">
        <v>596</v>
      </c>
      <c r="AA188" s="12" t="s">
        <v>596</v>
      </c>
      <c r="AB188" s="12" t="s">
        <v>596</v>
      </c>
      <c r="AC188" s="12" t="s">
        <v>596</v>
      </c>
      <c r="AD188" s="12" t="s">
        <v>596</v>
      </c>
      <c r="AE188" s="12" t="s">
        <v>596</v>
      </c>
      <c r="AF188" s="12" t="s">
        <v>596</v>
      </c>
      <c r="AG188" s="12" t="s">
        <v>596</v>
      </c>
      <c r="AH188" s="12" t="s">
        <v>596</v>
      </c>
      <c r="AI188" s="12" t="s">
        <v>596</v>
      </c>
      <c r="AJ188" s="12" t="s">
        <v>596</v>
      </c>
      <c r="AK188" s="12" t="s">
        <v>596</v>
      </c>
      <c r="AL188" s="12" t="s">
        <v>596</v>
      </c>
      <c r="AM188" s="12" t="s">
        <v>596</v>
      </c>
      <c r="AN188" s="12" t="s">
        <v>596</v>
      </c>
      <c r="AO188" s="12" t="s">
        <v>596</v>
      </c>
      <c r="AP188" s="12" t="s">
        <v>596</v>
      </c>
      <c r="AQ188" s="12" t="s">
        <v>597</v>
      </c>
      <c r="AR188" s="12" t="s">
        <v>690</v>
      </c>
      <c r="AS188" s="12" t="s">
        <v>690</v>
      </c>
      <c r="AT188" s="12" t="s">
        <v>600</v>
      </c>
      <c r="AU188" s="12" t="s">
        <v>773</v>
      </c>
      <c r="AV188" s="12" t="s">
        <v>773</v>
      </c>
      <c r="AW188" s="12" t="s">
        <v>773</v>
      </c>
      <c r="AX188" s="12" t="s">
        <v>773</v>
      </c>
      <c r="AY188" s="12" t="s">
        <v>780</v>
      </c>
      <c r="AZ188" s="12" t="s">
        <v>826</v>
      </c>
      <c r="BA188" s="12" t="s">
        <v>605</v>
      </c>
      <c r="BB188" s="12" t="s">
        <v>1512</v>
      </c>
      <c r="BC188" s="12" t="s">
        <v>1512</v>
      </c>
      <c r="BD188" s="12" t="s">
        <v>1629</v>
      </c>
      <c r="BE188" s="12" t="s">
        <v>977</v>
      </c>
      <c r="BF188" s="12" t="s">
        <v>3041</v>
      </c>
      <c r="BG188" s="12" t="s">
        <v>752</v>
      </c>
      <c r="BH188" s="12" t="s">
        <v>752</v>
      </c>
      <c r="BI188" s="12" t="s">
        <v>1718</v>
      </c>
      <c r="BJ188" s="12" t="s">
        <v>1051</v>
      </c>
      <c r="BK188" s="12" t="s">
        <v>1862</v>
      </c>
      <c r="BL188" s="12" t="s">
        <v>1052</v>
      </c>
      <c r="BM188" s="12" t="s">
        <v>677</v>
      </c>
      <c r="BN188" s="12" t="s">
        <v>754</v>
      </c>
      <c r="BO188" s="12" t="s">
        <v>2084</v>
      </c>
      <c r="BP188" s="12" t="s">
        <v>1644</v>
      </c>
      <c r="BQ188" s="12" t="s">
        <v>1391</v>
      </c>
      <c r="BR188" s="12" t="s">
        <v>681</v>
      </c>
      <c r="BS188" s="12" t="s">
        <v>1732</v>
      </c>
      <c r="BT188" s="12" t="s">
        <v>684</v>
      </c>
      <c r="BU188" s="12" t="s">
        <v>3644</v>
      </c>
      <c r="BV188" s="12" t="s">
        <v>949</v>
      </c>
      <c r="BW188" s="12" t="s">
        <v>950</v>
      </c>
      <c r="BX188" s="12" t="s">
        <v>2534</v>
      </c>
      <c r="BY188" s="12" t="s">
        <v>1460</v>
      </c>
      <c r="BZ188" s="12" t="s">
        <v>3645</v>
      </c>
      <c r="CA188" s="12" t="s">
        <v>3646</v>
      </c>
      <c r="CB188" s="12" t="s">
        <v>2225</v>
      </c>
      <c r="CC188" s="12" t="s">
        <v>3647</v>
      </c>
      <c r="CD188" s="12" t="s">
        <v>3648</v>
      </c>
      <c r="CE188" s="12" t="s">
        <v>3649</v>
      </c>
      <c r="CF188" s="12" t="s">
        <v>3650</v>
      </c>
      <c r="CG188" s="12" t="s">
        <v>3651</v>
      </c>
      <c r="CH188" s="12" t="s">
        <v>2170</v>
      </c>
      <c r="CI188" s="12" t="s">
        <v>3652</v>
      </c>
      <c r="CJ188" s="12" t="s">
        <v>3653</v>
      </c>
      <c r="CK188" s="12" t="s">
        <v>3654</v>
      </c>
      <c r="CL188" s="12" t="s">
        <v>3655</v>
      </c>
      <c r="CM188" s="12" t="s">
        <v>3656</v>
      </c>
      <c r="CN188" s="12" t="s">
        <v>3657</v>
      </c>
      <c r="CO188" s="12" t="s">
        <v>3658</v>
      </c>
      <c r="CP188" s="12" t="s">
        <v>3659</v>
      </c>
      <c r="CQ188" s="12" t="s">
        <v>3660</v>
      </c>
      <c r="CR188" s="12" t="s">
        <v>3661</v>
      </c>
      <c r="CS188" s="12" t="s">
        <v>3662</v>
      </c>
      <c r="CT188" s="12" t="s">
        <v>3663</v>
      </c>
    </row>
    <row r="189" spans="1:98" hidden="1" x14ac:dyDescent="0.3">
      <c r="A189" s="12" t="s">
        <v>25</v>
      </c>
      <c r="B189" s="12" t="s">
        <v>3664</v>
      </c>
      <c r="C189" s="12" t="s">
        <v>3665</v>
      </c>
      <c r="D189" s="12" t="s">
        <v>3666</v>
      </c>
      <c r="E189" s="12" t="s">
        <v>596</v>
      </c>
      <c r="F189" s="12" t="s">
        <v>596</v>
      </c>
      <c r="G189" s="12" t="s">
        <v>596</v>
      </c>
      <c r="H189" s="12" t="s">
        <v>596</v>
      </c>
      <c r="I189" s="12" t="s">
        <v>596</v>
      </c>
      <c r="J189" s="12" t="s">
        <v>596</v>
      </c>
      <c r="K189" s="12" t="s">
        <v>596</v>
      </c>
      <c r="L189" s="12" t="s">
        <v>596</v>
      </c>
      <c r="M189" s="12" t="s">
        <v>596</v>
      </c>
      <c r="N189" s="12" t="s">
        <v>596</v>
      </c>
      <c r="O189" s="12" t="s">
        <v>596</v>
      </c>
      <c r="P189" s="12" t="s">
        <v>596</v>
      </c>
      <c r="Q189" s="12" t="s">
        <v>596</v>
      </c>
      <c r="R189" s="12" t="s">
        <v>596</v>
      </c>
      <c r="S189" s="12" t="s">
        <v>596</v>
      </c>
      <c r="T189" s="12" t="s">
        <v>596</v>
      </c>
      <c r="U189" s="12" t="s">
        <v>596</v>
      </c>
      <c r="V189" s="12" t="s">
        <v>596</v>
      </c>
      <c r="W189" s="12" t="s">
        <v>596</v>
      </c>
      <c r="X189" s="12" t="s">
        <v>596</v>
      </c>
      <c r="Y189" s="12" t="s">
        <v>596</v>
      </c>
      <c r="Z189" s="12" t="s">
        <v>596</v>
      </c>
      <c r="AA189" s="12" t="s">
        <v>596</v>
      </c>
      <c r="AB189" s="12" t="s">
        <v>596</v>
      </c>
      <c r="AC189" s="12" t="s">
        <v>596</v>
      </c>
      <c r="AD189" s="12" t="s">
        <v>596</v>
      </c>
      <c r="AE189" s="12" t="s">
        <v>596</v>
      </c>
      <c r="AF189" s="12" t="s">
        <v>596</v>
      </c>
      <c r="AG189" s="12" t="s">
        <v>596</v>
      </c>
      <c r="AH189" s="12" t="s">
        <v>596</v>
      </c>
      <c r="AI189" s="12" t="s">
        <v>596</v>
      </c>
      <c r="AJ189" s="12" t="s">
        <v>596</v>
      </c>
      <c r="AK189" s="12" t="s">
        <v>596</v>
      </c>
      <c r="AL189" s="12" t="s">
        <v>596</v>
      </c>
      <c r="AM189" s="12" t="s">
        <v>596</v>
      </c>
      <c r="AN189" s="12" t="s">
        <v>597</v>
      </c>
      <c r="AO189" s="12" t="s">
        <v>597</v>
      </c>
      <c r="AP189" s="12" t="s">
        <v>690</v>
      </c>
      <c r="AQ189" s="12" t="s">
        <v>690</v>
      </c>
      <c r="AR189" s="12" t="s">
        <v>690</v>
      </c>
      <c r="AS189" s="12" t="s">
        <v>690</v>
      </c>
      <c r="AT189" s="12" t="s">
        <v>690</v>
      </c>
      <c r="AU189" s="12" t="s">
        <v>598</v>
      </c>
      <c r="AV189" s="12" t="s">
        <v>869</v>
      </c>
      <c r="AW189" s="12" t="s">
        <v>779</v>
      </c>
      <c r="AX189" s="12" t="s">
        <v>779</v>
      </c>
      <c r="AY189" s="12" t="s">
        <v>780</v>
      </c>
      <c r="AZ189" s="12" t="s">
        <v>780</v>
      </c>
      <c r="BA189" s="12" t="s">
        <v>775</v>
      </c>
      <c r="BB189" s="12" t="s">
        <v>786</v>
      </c>
      <c r="BC189" s="12" t="s">
        <v>1009</v>
      </c>
      <c r="BD189" s="12" t="s">
        <v>654</v>
      </c>
      <c r="BE189" s="12" t="s">
        <v>656</v>
      </c>
      <c r="BF189" s="12" t="s">
        <v>1065</v>
      </c>
      <c r="BG189" s="12" t="s">
        <v>792</v>
      </c>
      <c r="BH189" s="12" t="s">
        <v>939</v>
      </c>
      <c r="BI189" s="12" t="s">
        <v>1624</v>
      </c>
      <c r="BJ189" s="12" t="s">
        <v>664</v>
      </c>
      <c r="BK189" s="12" t="s">
        <v>746</v>
      </c>
      <c r="BL189" s="12" t="s">
        <v>619</v>
      </c>
      <c r="BM189" s="12" t="s">
        <v>673</v>
      </c>
      <c r="BN189" s="12" t="s">
        <v>1423</v>
      </c>
      <c r="BO189" s="12" t="s">
        <v>3667</v>
      </c>
      <c r="BP189" s="12" t="s">
        <v>630</v>
      </c>
      <c r="BQ189" s="12" t="s">
        <v>899</v>
      </c>
      <c r="BR189" s="12" t="s">
        <v>3668</v>
      </c>
      <c r="BS189" s="12" t="s">
        <v>3669</v>
      </c>
      <c r="BT189" s="12" t="s">
        <v>3670</v>
      </c>
      <c r="BU189" s="12" t="s">
        <v>3671</v>
      </c>
      <c r="BV189" s="12" t="s">
        <v>2669</v>
      </c>
      <c r="BW189" s="12" t="s">
        <v>3342</v>
      </c>
      <c r="BX189" s="12" t="s">
        <v>1654</v>
      </c>
      <c r="BY189" s="12" t="s">
        <v>3672</v>
      </c>
      <c r="BZ189" s="12" t="s">
        <v>3673</v>
      </c>
      <c r="CA189" s="12" t="s">
        <v>3674</v>
      </c>
      <c r="CB189" s="12" t="s">
        <v>3675</v>
      </c>
      <c r="CC189" s="12" t="s">
        <v>3676</v>
      </c>
      <c r="CD189" s="12" t="s">
        <v>3677</v>
      </c>
      <c r="CE189" s="12" t="s">
        <v>3678</v>
      </c>
      <c r="CF189" s="12" t="s">
        <v>3679</v>
      </c>
      <c r="CG189" s="12" t="s">
        <v>3680</v>
      </c>
      <c r="CH189" s="12" t="s">
        <v>3681</v>
      </c>
      <c r="CI189" s="12" t="s">
        <v>2541</v>
      </c>
      <c r="CJ189" s="12" t="s">
        <v>2332</v>
      </c>
      <c r="CK189" s="12" t="s">
        <v>3682</v>
      </c>
      <c r="CL189" s="12" t="s">
        <v>3683</v>
      </c>
      <c r="CM189" s="12" t="s">
        <v>3684</v>
      </c>
      <c r="CN189" s="12" t="s">
        <v>3486</v>
      </c>
      <c r="CO189" s="12" t="s">
        <v>3685</v>
      </c>
      <c r="CP189" s="12" t="s">
        <v>3686</v>
      </c>
      <c r="CQ189" s="12" t="s">
        <v>3687</v>
      </c>
      <c r="CR189" s="12" t="s">
        <v>3688</v>
      </c>
      <c r="CS189" s="12" t="s">
        <v>3689</v>
      </c>
      <c r="CT189" s="12" t="s">
        <v>3690</v>
      </c>
    </row>
    <row r="190" spans="1:98" hidden="1" x14ac:dyDescent="0.3">
      <c r="A190" s="12" t="s">
        <v>25</v>
      </c>
      <c r="B190" s="12" t="s">
        <v>3691</v>
      </c>
      <c r="C190" s="12" t="s">
        <v>3692</v>
      </c>
      <c r="D190" s="12" t="s">
        <v>3693</v>
      </c>
      <c r="E190" s="12" t="s">
        <v>596</v>
      </c>
      <c r="F190" s="12" t="s">
        <v>596</v>
      </c>
      <c r="G190" s="12" t="s">
        <v>596</v>
      </c>
      <c r="H190" s="12" t="s">
        <v>596</v>
      </c>
      <c r="I190" s="12" t="s">
        <v>596</v>
      </c>
      <c r="J190" s="12" t="s">
        <v>596</v>
      </c>
      <c r="K190" s="12" t="s">
        <v>596</v>
      </c>
      <c r="L190" s="12" t="s">
        <v>596</v>
      </c>
      <c r="M190" s="12" t="s">
        <v>596</v>
      </c>
      <c r="N190" s="12" t="s">
        <v>641</v>
      </c>
      <c r="O190" s="12" t="s">
        <v>641</v>
      </c>
      <c r="P190" s="12" t="s">
        <v>641</v>
      </c>
      <c r="Q190" s="12" t="s">
        <v>641</v>
      </c>
      <c r="R190" s="12" t="s">
        <v>641</v>
      </c>
      <c r="S190" s="12" t="s">
        <v>641</v>
      </c>
      <c r="T190" s="12" t="s">
        <v>641</v>
      </c>
      <c r="U190" s="12" t="s">
        <v>641</v>
      </c>
      <c r="V190" s="12" t="s">
        <v>641</v>
      </c>
      <c r="W190" s="12" t="s">
        <v>641</v>
      </c>
      <c r="X190" s="12" t="s">
        <v>641</v>
      </c>
      <c r="Y190" s="12" t="s">
        <v>641</v>
      </c>
      <c r="Z190" s="12" t="s">
        <v>641</v>
      </c>
      <c r="AA190" s="12" t="s">
        <v>641</v>
      </c>
      <c r="AB190" s="12" t="s">
        <v>641</v>
      </c>
      <c r="AC190" s="12" t="s">
        <v>641</v>
      </c>
      <c r="AD190" s="12" t="s">
        <v>641</v>
      </c>
      <c r="AE190" s="12" t="s">
        <v>641</v>
      </c>
      <c r="AF190" s="12" t="s">
        <v>641</v>
      </c>
      <c r="AG190" s="12" t="s">
        <v>641</v>
      </c>
      <c r="AH190" s="12" t="s">
        <v>641</v>
      </c>
      <c r="AI190" s="12" t="s">
        <v>641</v>
      </c>
      <c r="AJ190" s="12" t="s">
        <v>641</v>
      </c>
      <c r="AK190" s="12" t="s">
        <v>641</v>
      </c>
      <c r="AL190" s="12" t="s">
        <v>641</v>
      </c>
      <c r="AM190" s="12" t="s">
        <v>641</v>
      </c>
      <c r="AN190" s="12" t="s">
        <v>641</v>
      </c>
      <c r="AO190" s="12" t="s">
        <v>641</v>
      </c>
      <c r="AP190" s="12" t="s">
        <v>641</v>
      </c>
      <c r="AQ190" s="12" t="s">
        <v>641</v>
      </c>
      <c r="AR190" s="12" t="s">
        <v>641</v>
      </c>
      <c r="AS190" s="12" t="s">
        <v>690</v>
      </c>
      <c r="AT190" s="12" t="s">
        <v>690</v>
      </c>
      <c r="AU190" s="12" t="s">
        <v>690</v>
      </c>
      <c r="AV190" s="12" t="s">
        <v>598</v>
      </c>
      <c r="AW190" s="12" t="s">
        <v>886</v>
      </c>
      <c r="AX190" s="12" t="s">
        <v>886</v>
      </c>
      <c r="AY190" s="12" t="s">
        <v>691</v>
      </c>
      <c r="AZ190" s="12" t="s">
        <v>691</v>
      </c>
      <c r="BA190" s="12" t="s">
        <v>693</v>
      </c>
      <c r="BB190" s="12" t="s">
        <v>693</v>
      </c>
      <c r="BC190" s="12" t="s">
        <v>887</v>
      </c>
      <c r="BD190" s="12" t="s">
        <v>786</v>
      </c>
      <c r="BE190" s="12" t="s">
        <v>650</v>
      </c>
      <c r="BF190" s="12" t="s">
        <v>1198</v>
      </c>
      <c r="BG190" s="12" t="s">
        <v>700</v>
      </c>
      <c r="BH190" s="12" t="s">
        <v>1371</v>
      </c>
      <c r="BI190" s="12" t="s">
        <v>1533</v>
      </c>
      <c r="BJ190" s="12" t="s">
        <v>2378</v>
      </c>
      <c r="BK190" s="12" t="s">
        <v>1509</v>
      </c>
      <c r="BL190" s="12" t="s">
        <v>1442</v>
      </c>
      <c r="BM190" s="12" t="s">
        <v>619</v>
      </c>
      <c r="BN190" s="12" t="s">
        <v>985</v>
      </c>
      <c r="BO190" s="12" t="s">
        <v>1053</v>
      </c>
      <c r="BP190" s="12" t="s">
        <v>1445</v>
      </c>
      <c r="BQ190" s="12" t="s">
        <v>629</v>
      </c>
      <c r="BR190" s="12" t="s">
        <v>1021</v>
      </c>
      <c r="BS190" s="12" t="s">
        <v>2151</v>
      </c>
      <c r="BT190" s="12" t="s">
        <v>2219</v>
      </c>
      <c r="BU190" s="12" t="s">
        <v>3694</v>
      </c>
      <c r="BV190" s="12" t="s">
        <v>3067</v>
      </c>
      <c r="BW190" s="12" t="s">
        <v>3695</v>
      </c>
      <c r="BX190" s="12" t="s">
        <v>3696</v>
      </c>
      <c r="BY190" s="12" t="s">
        <v>2176</v>
      </c>
      <c r="BZ190" s="12" t="s">
        <v>3697</v>
      </c>
      <c r="CA190" s="12" t="s">
        <v>3230</v>
      </c>
      <c r="CB190" s="12" t="s">
        <v>3698</v>
      </c>
      <c r="CC190" s="12" t="s">
        <v>3270</v>
      </c>
      <c r="CD190" s="12" t="s">
        <v>3699</v>
      </c>
      <c r="CE190" s="12" t="s">
        <v>3700</v>
      </c>
      <c r="CF190" s="12" t="s">
        <v>3701</v>
      </c>
      <c r="CG190" s="12" t="s">
        <v>3702</v>
      </c>
      <c r="CH190" s="12" t="s">
        <v>3703</v>
      </c>
      <c r="CI190" s="12" t="s">
        <v>3704</v>
      </c>
      <c r="CJ190" s="12" t="s">
        <v>3705</v>
      </c>
      <c r="CK190" s="12" t="s">
        <v>3706</v>
      </c>
      <c r="CL190" s="12" t="s">
        <v>3707</v>
      </c>
      <c r="CM190" s="12" t="s">
        <v>3708</v>
      </c>
      <c r="CN190" s="12" t="s">
        <v>3709</v>
      </c>
      <c r="CO190" s="12" t="s">
        <v>3710</v>
      </c>
      <c r="CP190" s="12" t="s">
        <v>3711</v>
      </c>
      <c r="CQ190" s="12" t="s">
        <v>3712</v>
      </c>
      <c r="CR190" s="12" t="s">
        <v>3713</v>
      </c>
      <c r="CS190" s="12" t="s">
        <v>3714</v>
      </c>
      <c r="CT190" s="12" t="s">
        <v>3715</v>
      </c>
    </row>
    <row r="191" spans="1:98" hidden="1" x14ac:dyDescent="0.3">
      <c r="A191" s="12" t="s">
        <v>25</v>
      </c>
      <c r="B191" s="12" t="s">
        <v>3716</v>
      </c>
      <c r="C191" s="12" t="s">
        <v>3717</v>
      </c>
      <c r="D191" s="12" t="s">
        <v>3718</v>
      </c>
      <c r="E191" s="12" t="s">
        <v>596</v>
      </c>
      <c r="F191" s="12" t="s">
        <v>596</v>
      </c>
      <c r="G191" s="12" t="s">
        <v>596</v>
      </c>
      <c r="H191" s="12" t="s">
        <v>596</v>
      </c>
      <c r="I191" s="12" t="s">
        <v>596</v>
      </c>
      <c r="J191" s="12" t="s">
        <v>596</v>
      </c>
      <c r="K191" s="12" t="s">
        <v>596</v>
      </c>
      <c r="L191" s="12" t="s">
        <v>596</v>
      </c>
      <c r="M191" s="12" t="s">
        <v>596</v>
      </c>
      <c r="N191" s="12" t="s">
        <v>596</v>
      </c>
      <c r="O191" s="12" t="s">
        <v>596</v>
      </c>
      <c r="P191" s="12" t="s">
        <v>596</v>
      </c>
      <c r="Q191" s="12" t="s">
        <v>596</v>
      </c>
      <c r="R191" s="12" t="s">
        <v>596</v>
      </c>
      <c r="S191" s="12" t="s">
        <v>596</v>
      </c>
      <c r="T191" s="12" t="s">
        <v>596</v>
      </c>
      <c r="U191" s="12" t="s">
        <v>596</v>
      </c>
      <c r="V191" s="12" t="s">
        <v>596</v>
      </c>
      <c r="W191" s="12" t="s">
        <v>596</v>
      </c>
      <c r="X191" s="12" t="s">
        <v>596</v>
      </c>
      <c r="Y191" s="12" t="s">
        <v>596</v>
      </c>
      <c r="Z191" s="12" t="s">
        <v>596</v>
      </c>
      <c r="AA191" s="12" t="s">
        <v>596</v>
      </c>
      <c r="AB191" s="12" t="s">
        <v>596</v>
      </c>
      <c r="AC191" s="12" t="s">
        <v>596</v>
      </c>
      <c r="AD191" s="12" t="s">
        <v>596</v>
      </c>
      <c r="AE191" s="12" t="s">
        <v>596</v>
      </c>
      <c r="AF191" s="12" t="s">
        <v>596</v>
      </c>
      <c r="AG191" s="12" t="s">
        <v>596</v>
      </c>
      <c r="AH191" s="12" t="s">
        <v>596</v>
      </c>
      <c r="AI191" s="12" t="s">
        <v>596</v>
      </c>
      <c r="AJ191" s="12" t="s">
        <v>596</v>
      </c>
      <c r="AK191" s="12" t="s">
        <v>596</v>
      </c>
      <c r="AL191" s="12" t="s">
        <v>596</v>
      </c>
      <c r="AM191" s="12" t="s">
        <v>596</v>
      </c>
      <c r="AN191" s="12" t="s">
        <v>596</v>
      </c>
      <c r="AO191" s="12" t="s">
        <v>596</v>
      </c>
      <c r="AP191" s="12" t="s">
        <v>596</v>
      </c>
      <c r="AQ191" s="12" t="s">
        <v>596</v>
      </c>
      <c r="AR191" s="12" t="s">
        <v>596</v>
      </c>
      <c r="AS191" s="12" t="s">
        <v>596</v>
      </c>
      <c r="AT191" s="12" t="s">
        <v>596</v>
      </c>
      <c r="AU191" s="12" t="s">
        <v>596</v>
      </c>
      <c r="AV191" s="12" t="s">
        <v>596</v>
      </c>
      <c r="AW191" s="12" t="s">
        <v>596</v>
      </c>
      <c r="AX191" s="12" t="s">
        <v>596</v>
      </c>
      <c r="AY191" s="12" t="s">
        <v>596</v>
      </c>
      <c r="AZ191" s="12" t="s">
        <v>596</v>
      </c>
      <c r="BA191" s="12" t="s">
        <v>596</v>
      </c>
      <c r="BB191" s="12" t="s">
        <v>596</v>
      </c>
      <c r="BC191" s="12" t="s">
        <v>596</v>
      </c>
      <c r="BD191" s="12" t="s">
        <v>596</v>
      </c>
      <c r="BE191" s="12" t="s">
        <v>597</v>
      </c>
      <c r="BF191" s="12" t="s">
        <v>597</v>
      </c>
      <c r="BG191" s="12" t="s">
        <v>599</v>
      </c>
      <c r="BH191" s="12" t="s">
        <v>600</v>
      </c>
      <c r="BI191" s="12" t="s">
        <v>773</v>
      </c>
      <c r="BJ191" s="12" t="s">
        <v>773</v>
      </c>
      <c r="BK191" s="12" t="s">
        <v>691</v>
      </c>
      <c r="BL191" s="12" t="s">
        <v>691</v>
      </c>
      <c r="BM191" s="12" t="s">
        <v>692</v>
      </c>
      <c r="BN191" s="12" t="s">
        <v>989</v>
      </c>
      <c r="BO191" s="12" t="s">
        <v>606</v>
      </c>
      <c r="BP191" s="12" t="s">
        <v>1064</v>
      </c>
      <c r="BQ191" s="12" t="s">
        <v>972</v>
      </c>
      <c r="BR191" s="12" t="s">
        <v>697</v>
      </c>
      <c r="BS191" s="12" t="s">
        <v>698</v>
      </c>
      <c r="BT191" s="12" t="s">
        <v>652</v>
      </c>
      <c r="BU191" s="12" t="s">
        <v>652</v>
      </c>
      <c r="BV191" s="12" t="s">
        <v>738</v>
      </c>
      <c r="BW191" s="12" t="s">
        <v>994</v>
      </c>
      <c r="BX191" s="12" t="s">
        <v>608</v>
      </c>
      <c r="BY191" s="12" t="s">
        <v>654</v>
      </c>
      <c r="BZ191" s="12" t="s">
        <v>881</v>
      </c>
      <c r="CA191" s="12" t="s">
        <v>655</v>
      </c>
      <c r="CB191" s="12" t="s">
        <v>882</v>
      </c>
      <c r="CC191" s="12" t="s">
        <v>882</v>
      </c>
      <c r="CD191" s="12" t="s">
        <v>610</v>
      </c>
      <c r="CE191" s="12" t="s">
        <v>610</v>
      </c>
      <c r="CF191" s="12" t="s">
        <v>1519</v>
      </c>
      <c r="CG191" s="12" t="s">
        <v>611</v>
      </c>
      <c r="CH191" s="12" t="s">
        <v>1294</v>
      </c>
      <c r="CI191" s="12" t="s">
        <v>1372</v>
      </c>
      <c r="CJ191" s="12" t="s">
        <v>891</v>
      </c>
      <c r="CK191" s="12" t="s">
        <v>830</v>
      </c>
      <c r="CL191" s="12" t="s">
        <v>1376</v>
      </c>
      <c r="CM191" s="12" t="s">
        <v>1839</v>
      </c>
      <c r="CN191" s="12" t="s">
        <v>938</v>
      </c>
      <c r="CO191" s="12" t="s">
        <v>1533</v>
      </c>
      <c r="CP191" s="12" t="s">
        <v>1533</v>
      </c>
      <c r="CQ191" s="12" t="s">
        <v>1832</v>
      </c>
      <c r="CR191" s="12" t="s">
        <v>2118</v>
      </c>
      <c r="CS191" s="12" t="s">
        <v>2119</v>
      </c>
      <c r="CT191" s="12" t="s">
        <v>1296</v>
      </c>
    </row>
    <row r="192" spans="1:98" hidden="1" x14ac:dyDescent="0.3">
      <c r="A192" s="12" t="s">
        <v>25</v>
      </c>
      <c r="B192" s="12" t="s">
        <v>3719</v>
      </c>
      <c r="C192" s="12" t="s">
        <v>3720</v>
      </c>
      <c r="D192" s="12" t="s">
        <v>3721</v>
      </c>
      <c r="E192" s="12" t="s">
        <v>596</v>
      </c>
      <c r="F192" s="12" t="s">
        <v>596</v>
      </c>
      <c r="G192" s="12" t="s">
        <v>596</v>
      </c>
      <c r="H192" s="12" t="s">
        <v>596</v>
      </c>
      <c r="I192" s="12" t="s">
        <v>596</v>
      </c>
      <c r="J192" s="12" t="s">
        <v>596</v>
      </c>
      <c r="K192" s="12" t="s">
        <v>596</v>
      </c>
      <c r="L192" s="12" t="s">
        <v>596</v>
      </c>
      <c r="M192" s="12" t="s">
        <v>596</v>
      </c>
      <c r="N192" s="12" t="s">
        <v>596</v>
      </c>
      <c r="O192" s="12" t="s">
        <v>596</v>
      </c>
      <c r="P192" s="12" t="s">
        <v>596</v>
      </c>
      <c r="Q192" s="12" t="s">
        <v>596</v>
      </c>
      <c r="R192" s="12" t="s">
        <v>596</v>
      </c>
      <c r="S192" s="12" t="s">
        <v>596</v>
      </c>
      <c r="T192" s="12" t="s">
        <v>596</v>
      </c>
      <c r="U192" s="12" t="s">
        <v>596</v>
      </c>
      <c r="V192" s="12" t="s">
        <v>596</v>
      </c>
      <c r="W192" s="12" t="s">
        <v>596</v>
      </c>
      <c r="X192" s="12" t="s">
        <v>596</v>
      </c>
      <c r="Y192" s="12" t="s">
        <v>596</v>
      </c>
      <c r="Z192" s="12" t="s">
        <v>596</v>
      </c>
      <c r="AA192" s="12" t="s">
        <v>596</v>
      </c>
      <c r="AB192" s="12" t="s">
        <v>596</v>
      </c>
      <c r="AC192" s="12" t="s">
        <v>596</v>
      </c>
      <c r="AD192" s="12" t="s">
        <v>596</v>
      </c>
      <c r="AE192" s="12" t="s">
        <v>596</v>
      </c>
      <c r="AF192" s="12" t="s">
        <v>596</v>
      </c>
      <c r="AG192" s="12" t="s">
        <v>596</v>
      </c>
      <c r="AH192" s="12" t="s">
        <v>596</v>
      </c>
      <c r="AI192" s="12" t="s">
        <v>596</v>
      </c>
      <c r="AJ192" s="12" t="s">
        <v>596</v>
      </c>
      <c r="AK192" s="12" t="s">
        <v>596</v>
      </c>
      <c r="AL192" s="12" t="s">
        <v>596</v>
      </c>
      <c r="AM192" s="12" t="s">
        <v>596</v>
      </c>
      <c r="AN192" s="12" t="s">
        <v>596</v>
      </c>
      <c r="AO192" s="12" t="s">
        <v>596</v>
      </c>
      <c r="AP192" s="12" t="s">
        <v>596</v>
      </c>
      <c r="AQ192" s="12" t="s">
        <v>596</v>
      </c>
      <c r="AR192" s="12" t="s">
        <v>596</v>
      </c>
      <c r="AS192" s="12" t="s">
        <v>596</v>
      </c>
      <c r="AT192" s="12" t="s">
        <v>596</v>
      </c>
      <c r="AU192" s="12" t="s">
        <v>596</v>
      </c>
      <c r="AV192" s="12" t="s">
        <v>596</v>
      </c>
      <c r="AW192" s="12" t="s">
        <v>596</v>
      </c>
      <c r="AX192" s="12" t="s">
        <v>596</v>
      </c>
      <c r="AY192" s="12" t="s">
        <v>596</v>
      </c>
      <c r="AZ192" s="12" t="s">
        <v>596</v>
      </c>
      <c r="BA192" s="12" t="s">
        <v>596</v>
      </c>
      <c r="BB192" s="12" t="s">
        <v>596</v>
      </c>
      <c r="BC192" s="12" t="s">
        <v>596</v>
      </c>
      <c r="BD192" s="12" t="s">
        <v>596</v>
      </c>
      <c r="BE192" s="12" t="s">
        <v>597</v>
      </c>
      <c r="BF192" s="12" t="s">
        <v>641</v>
      </c>
      <c r="BG192" s="12" t="s">
        <v>641</v>
      </c>
      <c r="BH192" s="12" t="s">
        <v>641</v>
      </c>
      <c r="BI192" s="12" t="s">
        <v>641</v>
      </c>
      <c r="BJ192" s="12" t="s">
        <v>641</v>
      </c>
      <c r="BK192" s="12" t="s">
        <v>641</v>
      </c>
      <c r="BL192" s="12" t="s">
        <v>641</v>
      </c>
      <c r="BM192" s="12" t="s">
        <v>641</v>
      </c>
      <c r="BN192" s="12" t="s">
        <v>690</v>
      </c>
      <c r="BO192" s="12" t="s">
        <v>690</v>
      </c>
      <c r="BP192" s="12" t="s">
        <v>690</v>
      </c>
      <c r="BQ192" s="12" t="s">
        <v>690</v>
      </c>
      <c r="BR192" s="12" t="s">
        <v>690</v>
      </c>
      <c r="BS192" s="12" t="s">
        <v>690</v>
      </c>
      <c r="BT192" s="12" t="s">
        <v>779</v>
      </c>
      <c r="BU192" s="12" t="s">
        <v>779</v>
      </c>
      <c r="BV192" s="12" t="s">
        <v>886</v>
      </c>
      <c r="BW192" s="12" t="s">
        <v>886</v>
      </c>
      <c r="BX192" s="12" t="s">
        <v>886</v>
      </c>
      <c r="BY192" s="12" t="s">
        <v>886</v>
      </c>
      <c r="BZ192" s="12" t="s">
        <v>774</v>
      </c>
      <c r="CA192" s="12" t="s">
        <v>774</v>
      </c>
      <c r="CB192" s="12" t="s">
        <v>774</v>
      </c>
      <c r="CC192" s="12" t="s">
        <v>774</v>
      </c>
      <c r="CD192" s="12" t="s">
        <v>774</v>
      </c>
      <c r="CE192" s="12" t="s">
        <v>774</v>
      </c>
      <c r="CF192" s="12" t="s">
        <v>780</v>
      </c>
      <c r="CG192" s="12" t="s">
        <v>780</v>
      </c>
      <c r="CH192" s="12" t="s">
        <v>780</v>
      </c>
      <c r="CI192" s="12" t="s">
        <v>780</v>
      </c>
      <c r="CJ192" s="12" t="s">
        <v>780</v>
      </c>
      <c r="CK192" s="12" t="s">
        <v>780</v>
      </c>
      <c r="CL192" s="12" t="s">
        <v>780</v>
      </c>
      <c r="CM192" s="12" t="s">
        <v>780</v>
      </c>
      <c r="CN192" s="12" t="s">
        <v>780</v>
      </c>
      <c r="CO192" s="12" t="s">
        <v>780</v>
      </c>
      <c r="CP192" s="12" t="s">
        <v>780</v>
      </c>
      <c r="CQ192" s="12" t="s">
        <v>780</v>
      </c>
      <c r="CR192" s="12" t="s">
        <v>780</v>
      </c>
      <c r="CS192" s="12" t="s">
        <v>780</v>
      </c>
      <c r="CT192" s="12" t="s">
        <v>780</v>
      </c>
    </row>
    <row r="193" spans="1:98" hidden="1" x14ac:dyDescent="0.3">
      <c r="A193" s="12" t="s">
        <v>25</v>
      </c>
      <c r="B193" s="12" t="s">
        <v>3722</v>
      </c>
      <c r="C193" s="12" t="s">
        <v>3723</v>
      </c>
      <c r="D193" s="12" t="s">
        <v>3724</v>
      </c>
      <c r="E193" s="12" t="s">
        <v>596</v>
      </c>
      <c r="F193" s="12" t="s">
        <v>596</v>
      </c>
      <c r="G193" s="12" t="s">
        <v>596</v>
      </c>
      <c r="H193" s="12" t="s">
        <v>596</v>
      </c>
      <c r="I193" s="12" t="s">
        <v>596</v>
      </c>
      <c r="J193" s="12" t="s">
        <v>596</v>
      </c>
      <c r="K193" s="12" t="s">
        <v>596</v>
      </c>
      <c r="L193" s="12" t="s">
        <v>596</v>
      </c>
      <c r="M193" s="12" t="s">
        <v>596</v>
      </c>
      <c r="N193" s="12" t="s">
        <v>596</v>
      </c>
      <c r="O193" s="12" t="s">
        <v>596</v>
      </c>
      <c r="P193" s="12" t="s">
        <v>596</v>
      </c>
      <c r="Q193" s="12" t="s">
        <v>596</v>
      </c>
      <c r="R193" s="12" t="s">
        <v>596</v>
      </c>
      <c r="S193" s="12" t="s">
        <v>596</v>
      </c>
      <c r="T193" s="12" t="s">
        <v>596</v>
      </c>
      <c r="U193" s="12" t="s">
        <v>596</v>
      </c>
      <c r="V193" s="12" t="s">
        <v>596</v>
      </c>
      <c r="W193" s="12" t="s">
        <v>596</v>
      </c>
      <c r="X193" s="12" t="s">
        <v>596</v>
      </c>
      <c r="Y193" s="12" t="s">
        <v>596</v>
      </c>
      <c r="Z193" s="12" t="s">
        <v>596</v>
      </c>
      <c r="AA193" s="12" t="s">
        <v>596</v>
      </c>
      <c r="AB193" s="12" t="s">
        <v>596</v>
      </c>
      <c r="AC193" s="12" t="s">
        <v>596</v>
      </c>
      <c r="AD193" s="12" t="s">
        <v>596</v>
      </c>
      <c r="AE193" s="12" t="s">
        <v>596</v>
      </c>
      <c r="AF193" s="12" t="s">
        <v>596</v>
      </c>
      <c r="AG193" s="12" t="s">
        <v>596</v>
      </c>
      <c r="AH193" s="12" t="s">
        <v>596</v>
      </c>
      <c r="AI193" s="12" t="s">
        <v>596</v>
      </c>
      <c r="AJ193" s="12" t="s">
        <v>596</v>
      </c>
      <c r="AK193" s="12" t="s">
        <v>596</v>
      </c>
      <c r="AL193" s="12" t="s">
        <v>596</v>
      </c>
      <c r="AM193" s="12" t="s">
        <v>596</v>
      </c>
      <c r="AN193" s="12" t="s">
        <v>596</v>
      </c>
      <c r="AO193" s="12" t="s">
        <v>596</v>
      </c>
      <c r="AP193" s="12" t="s">
        <v>596</v>
      </c>
      <c r="AQ193" s="12" t="s">
        <v>596</v>
      </c>
      <c r="AR193" s="12" t="s">
        <v>596</v>
      </c>
      <c r="AS193" s="12" t="s">
        <v>596</v>
      </c>
      <c r="AT193" s="12" t="s">
        <v>596</v>
      </c>
      <c r="AU193" s="12" t="s">
        <v>596</v>
      </c>
      <c r="AV193" s="12" t="s">
        <v>596</v>
      </c>
      <c r="AW193" s="12" t="s">
        <v>596</v>
      </c>
      <c r="AX193" s="12" t="s">
        <v>596</v>
      </c>
      <c r="AY193" s="12" t="s">
        <v>596</v>
      </c>
      <c r="AZ193" s="12" t="s">
        <v>596</v>
      </c>
      <c r="BA193" s="12" t="s">
        <v>596</v>
      </c>
      <c r="BB193" s="12" t="s">
        <v>596</v>
      </c>
      <c r="BC193" s="12" t="s">
        <v>596</v>
      </c>
      <c r="BD193" s="12" t="s">
        <v>596</v>
      </c>
      <c r="BE193" s="12" t="s">
        <v>597</v>
      </c>
      <c r="BF193" s="12" t="s">
        <v>597</v>
      </c>
      <c r="BG193" s="12" t="s">
        <v>597</v>
      </c>
      <c r="BH193" s="12" t="s">
        <v>597</v>
      </c>
      <c r="BI193" s="12" t="s">
        <v>597</v>
      </c>
      <c r="BJ193" s="12" t="s">
        <v>597</v>
      </c>
      <c r="BK193" s="12" t="s">
        <v>597</v>
      </c>
      <c r="BL193" s="12" t="s">
        <v>597</v>
      </c>
      <c r="BM193" s="12" t="s">
        <v>597</v>
      </c>
      <c r="BN193" s="12" t="s">
        <v>597</v>
      </c>
      <c r="BO193" s="12" t="s">
        <v>597</v>
      </c>
      <c r="BP193" s="12" t="s">
        <v>597</v>
      </c>
      <c r="BQ193" s="12" t="s">
        <v>597</v>
      </c>
      <c r="BR193" s="12" t="s">
        <v>597</v>
      </c>
      <c r="BS193" s="12" t="s">
        <v>597</v>
      </c>
      <c r="BT193" s="12" t="s">
        <v>597</v>
      </c>
      <c r="BU193" s="12" t="s">
        <v>597</v>
      </c>
      <c r="BV193" s="12" t="s">
        <v>597</v>
      </c>
      <c r="BW193" s="12" t="s">
        <v>597</v>
      </c>
      <c r="BX193" s="12" t="s">
        <v>641</v>
      </c>
      <c r="BY193" s="12" t="s">
        <v>690</v>
      </c>
      <c r="BZ193" s="12" t="s">
        <v>600</v>
      </c>
      <c r="CA193" s="12" t="s">
        <v>600</v>
      </c>
      <c r="CB193" s="12" t="s">
        <v>600</v>
      </c>
      <c r="CC193" s="12" t="s">
        <v>773</v>
      </c>
      <c r="CD193" s="12" t="s">
        <v>773</v>
      </c>
      <c r="CE193" s="12" t="s">
        <v>643</v>
      </c>
      <c r="CF193" s="12" t="s">
        <v>643</v>
      </c>
      <c r="CG193" s="12" t="s">
        <v>643</v>
      </c>
      <c r="CH193" s="12" t="s">
        <v>643</v>
      </c>
      <c r="CI193" s="12" t="s">
        <v>643</v>
      </c>
      <c r="CJ193" s="12" t="s">
        <v>643</v>
      </c>
      <c r="CK193" s="12" t="s">
        <v>643</v>
      </c>
      <c r="CL193" s="12" t="s">
        <v>643</v>
      </c>
      <c r="CM193" s="12" t="s">
        <v>643</v>
      </c>
      <c r="CN193" s="12" t="s">
        <v>643</v>
      </c>
      <c r="CO193" s="12" t="s">
        <v>643</v>
      </c>
      <c r="CP193" s="12" t="s">
        <v>643</v>
      </c>
      <c r="CQ193" s="12" t="s">
        <v>643</v>
      </c>
      <c r="CR193" s="12" t="s">
        <v>886</v>
      </c>
      <c r="CS193" s="12" t="s">
        <v>886</v>
      </c>
      <c r="CT193" s="12" t="s">
        <v>774</v>
      </c>
    </row>
    <row r="194" spans="1:98" hidden="1" x14ac:dyDescent="0.3">
      <c r="A194" s="12" t="s">
        <v>25</v>
      </c>
      <c r="B194" s="12" t="s">
        <v>3725</v>
      </c>
      <c r="C194" s="12" t="s">
        <v>3726</v>
      </c>
      <c r="D194" s="12" t="s">
        <v>3727</v>
      </c>
      <c r="E194" s="12" t="s">
        <v>596</v>
      </c>
      <c r="F194" s="12" t="s">
        <v>596</v>
      </c>
      <c r="G194" s="12" t="s">
        <v>596</v>
      </c>
      <c r="H194" s="12" t="s">
        <v>596</v>
      </c>
      <c r="I194" s="12" t="s">
        <v>596</v>
      </c>
      <c r="J194" s="12" t="s">
        <v>596</v>
      </c>
      <c r="K194" s="12" t="s">
        <v>596</v>
      </c>
      <c r="L194" s="12" t="s">
        <v>596</v>
      </c>
      <c r="M194" s="12" t="s">
        <v>596</v>
      </c>
      <c r="N194" s="12" t="s">
        <v>596</v>
      </c>
      <c r="O194" s="12" t="s">
        <v>596</v>
      </c>
      <c r="P194" s="12" t="s">
        <v>596</v>
      </c>
      <c r="Q194" s="12" t="s">
        <v>596</v>
      </c>
      <c r="R194" s="12" t="s">
        <v>596</v>
      </c>
      <c r="S194" s="12" t="s">
        <v>596</v>
      </c>
      <c r="T194" s="12" t="s">
        <v>596</v>
      </c>
      <c r="U194" s="12" t="s">
        <v>596</v>
      </c>
      <c r="V194" s="12" t="s">
        <v>596</v>
      </c>
      <c r="W194" s="12" t="s">
        <v>596</v>
      </c>
      <c r="X194" s="12" t="s">
        <v>596</v>
      </c>
      <c r="Y194" s="12" t="s">
        <v>596</v>
      </c>
      <c r="Z194" s="12" t="s">
        <v>596</v>
      </c>
      <c r="AA194" s="12" t="s">
        <v>596</v>
      </c>
      <c r="AB194" s="12" t="s">
        <v>596</v>
      </c>
      <c r="AC194" s="12" t="s">
        <v>596</v>
      </c>
      <c r="AD194" s="12" t="s">
        <v>596</v>
      </c>
      <c r="AE194" s="12" t="s">
        <v>596</v>
      </c>
      <c r="AF194" s="12" t="s">
        <v>596</v>
      </c>
      <c r="AG194" s="12" t="s">
        <v>596</v>
      </c>
      <c r="AH194" s="12" t="s">
        <v>596</v>
      </c>
      <c r="AI194" s="12" t="s">
        <v>596</v>
      </c>
      <c r="AJ194" s="12" t="s">
        <v>596</v>
      </c>
      <c r="AK194" s="12" t="s">
        <v>596</v>
      </c>
      <c r="AL194" s="12" t="s">
        <v>596</v>
      </c>
      <c r="AM194" s="12" t="s">
        <v>596</v>
      </c>
      <c r="AN194" s="12" t="s">
        <v>596</v>
      </c>
      <c r="AO194" s="12" t="s">
        <v>597</v>
      </c>
      <c r="AP194" s="12" t="s">
        <v>597</v>
      </c>
      <c r="AQ194" s="12" t="s">
        <v>597</v>
      </c>
      <c r="AR194" s="12" t="s">
        <v>597</v>
      </c>
      <c r="AS194" s="12" t="s">
        <v>773</v>
      </c>
      <c r="AT194" s="12" t="s">
        <v>642</v>
      </c>
      <c r="AU194" s="12" t="s">
        <v>602</v>
      </c>
      <c r="AV194" s="12" t="s">
        <v>603</v>
      </c>
      <c r="AW194" s="12" t="s">
        <v>603</v>
      </c>
      <c r="AX194" s="12" t="s">
        <v>644</v>
      </c>
      <c r="AY194" s="12" t="s">
        <v>989</v>
      </c>
      <c r="AZ194" s="12" t="s">
        <v>989</v>
      </c>
      <c r="BA194" s="12" t="s">
        <v>648</v>
      </c>
      <c r="BB194" s="12" t="s">
        <v>871</v>
      </c>
      <c r="BC194" s="12" t="s">
        <v>992</v>
      </c>
      <c r="BD194" s="12" t="s">
        <v>874</v>
      </c>
      <c r="BE194" s="12" t="s">
        <v>874</v>
      </c>
      <c r="BF194" s="12" t="s">
        <v>1750</v>
      </c>
      <c r="BG194" s="12" t="s">
        <v>1226</v>
      </c>
      <c r="BH194" s="12" t="s">
        <v>1226</v>
      </c>
      <c r="BI194" s="12" t="s">
        <v>1436</v>
      </c>
      <c r="BJ194" s="12" t="s">
        <v>1436</v>
      </c>
      <c r="BK194" s="12" t="s">
        <v>938</v>
      </c>
      <c r="BL194" s="12" t="s">
        <v>938</v>
      </c>
      <c r="BM194" s="12" t="s">
        <v>1044</v>
      </c>
      <c r="BN194" s="12" t="s">
        <v>1380</v>
      </c>
      <c r="BO194" s="12" t="s">
        <v>1380</v>
      </c>
      <c r="BP194" s="12" t="s">
        <v>1905</v>
      </c>
      <c r="BQ194" s="12" t="s">
        <v>1905</v>
      </c>
      <c r="BR194" s="12" t="s">
        <v>661</v>
      </c>
      <c r="BS194" s="12" t="s">
        <v>744</v>
      </c>
      <c r="BT194" s="12" t="s">
        <v>744</v>
      </c>
      <c r="BU194" s="12" t="s">
        <v>703</v>
      </c>
      <c r="BV194" s="12" t="s">
        <v>1535</v>
      </c>
      <c r="BW194" s="12" t="s">
        <v>1535</v>
      </c>
      <c r="BX194" s="12" t="s">
        <v>1834</v>
      </c>
      <c r="BY194" s="12" t="s">
        <v>1834</v>
      </c>
      <c r="BZ194" s="12" t="s">
        <v>663</v>
      </c>
      <c r="CA194" s="12" t="s">
        <v>793</v>
      </c>
      <c r="CB194" s="12" t="s">
        <v>793</v>
      </c>
      <c r="CC194" s="12" t="s">
        <v>1755</v>
      </c>
      <c r="CD194" s="12" t="s">
        <v>1755</v>
      </c>
      <c r="CE194" s="12" t="s">
        <v>666</v>
      </c>
      <c r="CF194" s="12" t="s">
        <v>2077</v>
      </c>
      <c r="CG194" s="12" t="s">
        <v>1906</v>
      </c>
      <c r="CH194" s="12" t="s">
        <v>1906</v>
      </c>
      <c r="CI194" s="12" t="s">
        <v>1906</v>
      </c>
      <c r="CJ194" s="12" t="s">
        <v>2079</v>
      </c>
      <c r="CK194" s="12" t="s">
        <v>1330</v>
      </c>
      <c r="CL194" s="12" t="s">
        <v>1716</v>
      </c>
      <c r="CM194" s="12" t="s">
        <v>983</v>
      </c>
      <c r="CN194" s="12" t="s">
        <v>3728</v>
      </c>
      <c r="CO194" s="12" t="s">
        <v>3005</v>
      </c>
      <c r="CP194" s="12" t="s">
        <v>3545</v>
      </c>
      <c r="CQ194" s="12" t="s">
        <v>1150</v>
      </c>
      <c r="CR194" s="12" t="s">
        <v>1865</v>
      </c>
      <c r="CS194" s="12" t="s">
        <v>754</v>
      </c>
      <c r="CT194" s="12" t="s">
        <v>3729</v>
      </c>
    </row>
    <row r="195" spans="1:98" hidden="1" x14ac:dyDescent="0.3">
      <c r="A195" s="12" t="s">
        <v>25</v>
      </c>
      <c r="B195" s="12" t="s">
        <v>3730</v>
      </c>
      <c r="C195" s="12" t="s">
        <v>3731</v>
      </c>
      <c r="D195" s="12" t="s">
        <v>3732</v>
      </c>
      <c r="E195" s="12" t="s">
        <v>596</v>
      </c>
      <c r="F195" s="12" t="s">
        <v>596</v>
      </c>
      <c r="G195" s="12" t="s">
        <v>596</v>
      </c>
      <c r="H195" s="12" t="s">
        <v>596</v>
      </c>
      <c r="I195" s="12" t="s">
        <v>596</v>
      </c>
      <c r="J195" s="12" t="s">
        <v>596</v>
      </c>
      <c r="K195" s="12" t="s">
        <v>596</v>
      </c>
      <c r="L195" s="12" t="s">
        <v>596</v>
      </c>
      <c r="M195" s="12" t="s">
        <v>596</v>
      </c>
      <c r="N195" s="12" t="s">
        <v>596</v>
      </c>
      <c r="O195" s="12" t="s">
        <v>596</v>
      </c>
      <c r="P195" s="12" t="s">
        <v>596</v>
      </c>
      <c r="Q195" s="12" t="s">
        <v>596</v>
      </c>
      <c r="R195" s="12" t="s">
        <v>596</v>
      </c>
      <c r="S195" s="12" t="s">
        <v>596</v>
      </c>
      <c r="T195" s="12" t="s">
        <v>596</v>
      </c>
      <c r="U195" s="12" t="s">
        <v>596</v>
      </c>
      <c r="V195" s="12" t="s">
        <v>596</v>
      </c>
      <c r="W195" s="12" t="s">
        <v>596</v>
      </c>
      <c r="X195" s="12" t="s">
        <v>596</v>
      </c>
      <c r="Y195" s="12" t="s">
        <v>596</v>
      </c>
      <c r="Z195" s="12" t="s">
        <v>596</v>
      </c>
      <c r="AA195" s="12" t="s">
        <v>596</v>
      </c>
      <c r="AB195" s="12" t="s">
        <v>596</v>
      </c>
      <c r="AC195" s="12" t="s">
        <v>596</v>
      </c>
      <c r="AD195" s="12" t="s">
        <v>596</v>
      </c>
      <c r="AE195" s="12" t="s">
        <v>596</v>
      </c>
      <c r="AF195" s="12" t="s">
        <v>596</v>
      </c>
      <c r="AG195" s="12" t="s">
        <v>596</v>
      </c>
      <c r="AH195" s="12" t="s">
        <v>596</v>
      </c>
      <c r="AI195" s="12" t="s">
        <v>596</v>
      </c>
      <c r="AJ195" s="12" t="s">
        <v>596</v>
      </c>
      <c r="AK195" s="12" t="s">
        <v>596</v>
      </c>
      <c r="AL195" s="12" t="s">
        <v>596</v>
      </c>
      <c r="AM195" s="12" t="s">
        <v>596</v>
      </c>
      <c r="AN195" s="12" t="s">
        <v>596</v>
      </c>
      <c r="AO195" s="12" t="s">
        <v>596</v>
      </c>
      <c r="AP195" s="12" t="s">
        <v>596</v>
      </c>
      <c r="AQ195" s="12" t="s">
        <v>596</v>
      </c>
      <c r="AR195" s="12" t="s">
        <v>596</v>
      </c>
      <c r="AS195" s="12" t="s">
        <v>597</v>
      </c>
      <c r="AT195" s="12" t="s">
        <v>597</v>
      </c>
      <c r="AU195" s="12" t="s">
        <v>597</v>
      </c>
      <c r="AV195" s="12" t="s">
        <v>599</v>
      </c>
      <c r="AW195" s="12" t="s">
        <v>599</v>
      </c>
      <c r="AX195" s="12" t="s">
        <v>599</v>
      </c>
      <c r="AY195" s="12" t="s">
        <v>601</v>
      </c>
      <c r="AZ195" s="12" t="s">
        <v>780</v>
      </c>
      <c r="BA195" s="12" t="s">
        <v>693</v>
      </c>
      <c r="BB195" s="12" t="s">
        <v>603</v>
      </c>
      <c r="BC195" s="12" t="s">
        <v>786</v>
      </c>
      <c r="BD195" s="12" t="s">
        <v>995</v>
      </c>
      <c r="BE195" s="12" t="s">
        <v>880</v>
      </c>
      <c r="BF195" s="12" t="s">
        <v>880</v>
      </c>
      <c r="BG195" s="12" t="s">
        <v>1519</v>
      </c>
      <c r="BH195" s="12" t="s">
        <v>892</v>
      </c>
      <c r="BI195" s="12" t="s">
        <v>892</v>
      </c>
      <c r="BJ195" s="12" t="s">
        <v>1705</v>
      </c>
      <c r="BK195" s="12" t="s">
        <v>2077</v>
      </c>
      <c r="BL195" s="12" t="s">
        <v>1049</v>
      </c>
      <c r="BM195" s="12" t="s">
        <v>707</v>
      </c>
      <c r="BN195" s="12" t="s">
        <v>681</v>
      </c>
      <c r="BO195" s="12" t="s">
        <v>2062</v>
      </c>
      <c r="BP195" s="12" t="s">
        <v>952</v>
      </c>
      <c r="BQ195" s="12" t="s">
        <v>1185</v>
      </c>
      <c r="BR195" s="12" t="s">
        <v>3733</v>
      </c>
      <c r="BS195" s="12" t="s">
        <v>1485</v>
      </c>
      <c r="BT195" s="12" t="s">
        <v>1032</v>
      </c>
      <c r="BU195" s="12" t="s">
        <v>3174</v>
      </c>
      <c r="BV195" s="12" t="s">
        <v>3734</v>
      </c>
      <c r="BW195" s="12" t="s">
        <v>2732</v>
      </c>
      <c r="BX195" s="12" t="s">
        <v>3735</v>
      </c>
      <c r="BY195" s="12" t="s">
        <v>3736</v>
      </c>
      <c r="BZ195" s="12" t="s">
        <v>3737</v>
      </c>
      <c r="CA195" s="12" t="s">
        <v>3738</v>
      </c>
      <c r="CB195" s="12" t="s">
        <v>2484</v>
      </c>
      <c r="CC195" s="12" t="s">
        <v>3739</v>
      </c>
      <c r="CD195" s="12" t="s">
        <v>3740</v>
      </c>
      <c r="CE195" s="12" t="s">
        <v>3741</v>
      </c>
      <c r="CF195" s="12" t="s">
        <v>3742</v>
      </c>
      <c r="CG195" s="12" t="s">
        <v>3743</v>
      </c>
      <c r="CH195" s="12" t="s">
        <v>3744</v>
      </c>
      <c r="CI195" s="12" t="s">
        <v>3745</v>
      </c>
      <c r="CJ195" s="12" t="s">
        <v>3746</v>
      </c>
      <c r="CK195" s="12" t="s">
        <v>3747</v>
      </c>
      <c r="CL195" s="12" t="s">
        <v>3748</v>
      </c>
      <c r="CM195" s="12" t="s">
        <v>3749</v>
      </c>
      <c r="CN195" s="12" t="s">
        <v>3750</v>
      </c>
      <c r="CO195" s="12" t="s">
        <v>3751</v>
      </c>
      <c r="CP195" s="12" t="s">
        <v>3752</v>
      </c>
      <c r="CQ195" s="12" t="s">
        <v>3753</v>
      </c>
      <c r="CR195" s="12" t="s">
        <v>3754</v>
      </c>
      <c r="CS195" s="12" t="s">
        <v>3755</v>
      </c>
      <c r="CT195" s="12" t="s">
        <v>3756</v>
      </c>
    </row>
    <row r="196" spans="1:98" hidden="1" x14ac:dyDescent="0.3">
      <c r="A196" s="12" t="s">
        <v>25</v>
      </c>
      <c r="B196" s="12" t="s">
        <v>3757</v>
      </c>
      <c r="C196" s="12" t="s">
        <v>3758</v>
      </c>
      <c r="D196" s="12" t="s">
        <v>3759</v>
      </c>
      <c r="E196" s="12" t="s">
        <v>596</v>
      </c>
      <c r="F196" s="12" t="s">
        <v>596</v>
      </c>
      <c r="G196" s="12" t="s">
        <v>596</v>
      </c>
      <c r="H196" s="12" t="s">
        <v>596</v>
      </c>
      <c r="I196" s="12" t="s">
        <v>596</v>
      </c>
      <c r="J196" s="12" t="s">
        <v>596</v>
      </c>
      <c r="K196" s="12" t="s">
        <v>596</v>
      </c>
      <c r="L196" s="12" t="s">
        <v>596</v>
      </c>
      <c r="M196" s="12" t="s">
        <v>596</v>
      </c>
      <c r="N196" s="12" t="s">
        <v>596</v>
      </c>
      <c r="O196" s="12" t="s">
        <v>596</v>
      </c>
      <c r="P196" s="12" t="s">
        <v>596</v>
      </c>
      <c r="Q196" s="12" t="s">
        <v>596</v>
      </c>
      <c r="R196" s="12" t="s">
        <v>596</v>
      </c>
      <c r="S196" s="12" t="s">
        <v>596</v>
      </c>
      <c r="T196" s="12" t="s">
        <v>596</v>
      </c>
      <c r="U196" s="12" t="s">
        <v>596</v>
      </c>
      <c r="V196" s="12" t="s">
        <v>596</v>
      </c>
      <c r="W196" s="12" t="s">
        <v>596</v>
      </c>
      <c r="X196" s="12" t="s">
        <v>596</v>
      </c>
      <c r="Y196" s="12" t="s">
        <v>596</v>
      </c>
      <c r="Z196" s="12" t="s">
        <v>596</v>
      </c>
      <c r="AA196" s="12" t="s">
        <v>596</v>
      </c>
      <c r="AB196" s="12" t="s">
        <v>596</v>
      </c>
      <c r="AC196" s="12" t="s">
        <v>596</v>
      </c>
      <c r="AD196" s="12" t="s">
        <v>596</v>
      </c>
      <c r="AE196" s="12" t="s">
        <v>596</v>
      </c>
      <c r="AF196" s="12" t="s">
        <v>596</v>
      </c>
      <c r="AG196" s="12" t="s">
        <v>596</v>
      </c>
      <c r="AH196" s="12" t="s">
        <v>596</v>
      </c>
      <c r="AI196" s="12" t="s">
        <v>596</v>
      </c>
      <c r="AJ196" s="12" t="s">
        <v>596</v>
      </c>
      <c r="AK196" s="12" t="s">
        <v>596</v>
      </c>
      <c r="AL196" s="12" t="s">
        <v>596</v>
      </c>
      <c r="AM196" s="12" t="s">
        <v>596</v>
      </c>
      <c r="AN196" s="12" t="s">
        <v>596</v>
      </c>
      <c r="AO196" s="12" t="s">
        <v>596</v>
      </c>
      <c r="AP196" s="12" t="s">
        <v>596</v>
      </c>
      <c r="AQ196" s="12" t="s">
        <v>596</v>
      </c>
      <c r="AR196" s="12" t="s">
        <v>596</v>
      </c>
      <c r="AS196" s="12" t="s">
        <v>597</v>
      </c>
      <c r="AT196" s="12" t="s">
        <v>641</v>
      </c>
      <c r="AU196" s="12" t="s">
        <v>598</v>
      </c>
      <c r="AV196" s="12" t="s">
        <v>598</v>
      </c>
      <c r="AW196" s="12" t="s">
        <v>598</v>
      </c>
      <c r="AX196" s="12" t="s">
        <v>598</v>
      </c>
      <c r="AY196" s="12" t="s">
        <v>598</v>
      </c>
      <c r="AZ196" s="12" t="s">
        <v>598</v>
      </c>
      <c r="BA196" s="12" t="s">
        <v>598</v>
      </c>
      <c r="BB196" s="12" t="s">
        <v>598</v>
      </c>
      <c r="BC196" s="12" t="s">
        <v>598</v>
      </c>
      <c r="BD196" s="12" t="s">
        <v>642</v>
      </c>
      <c r="BE196" s="12" t="s">
        <v>642</v>
      </c>
      <c r="BF196" s="12" t="s">
        <v>605</v>
      </c>
      <c r="BG196" s="12" t="s">
        <v>605</v>
      </c>
      <c r="BH196" s="12" t="s">
        <v>694</v>
      </c>
      <c r="BI196" s="12" t="s">
        <v>784</v>
      </c>
      <c r="BJ196" s="12" t="s">
        <v>784</v>
      </c>
      <c r="BK196" s="12" t="s">
        <v>646</v>
      </c>
      <c r="BL196" s="12" t="s">
        <v>990</v>
      </c>
      <c r="BM196" s="12" t="s">
        <v>973</v>
      </c>
      <c r="BN196" s="12" t="s">
        <v>789</v>
      </c>
      <c r="BO196" s="12" t="s">
        <v>995</v>
      </c>
      <c r="BP196" s="12" t="s">
        <v>878</v>
      </c>
      <c r="BQ196" s="12" t="s">
        <v>882</v>
      </c>
      <c r="BR196" s="12" t="s">
        <v>1436</v>
      </c>
      <c r="BS196" s="12" t="s">
        <v>2052</v>
      </c>
      <c r="BT196" s="12" t="s">
        <v>2032</v>
      </c>
      <c r="BU196" s="12" t="s">
        <v>1328</v>
      </c>
      <c r="BV196" s="12" t="s">
        <v>1044</v>
      </c>
      <c r="BW196" s="12" t="s">
        <v>1856</v>
      </c>
      <c r="BX196" s="12" t="s">
        <v>1002</v>
      </c>
      <c r="BY196" s="12" t="s">
        <v>1005</v>
      </c>
      <c r="BZ196" s="12" t="s">
        <v>1588</v>
      </c>
      <c r="CA196" s="12" t="s">
        <v>1410</v>
      </c>
      <c r="CB196" s="12" t="s">
        <v>1524</v>
      </c>
      <c r="CC196" s="12" t="s">
        <v>614</v>
      </c>
      <c r="CD196" s="12" t="s">
        <v>1527</v>
      </c>
      <c r="CE196" s="12" t="s">
        <v>1508</v>
      </c>
      <c r="CF196" s="12" t="s">
        <v>835</v>
      </c>
      <c r="CG196" s="12" t="s">
        <v>1046</v>
      </c>
      <c r="CH196" s="12" t="s">
        <v>3139</v>
      </c>
      <c r="CI196" s="12" t="s">
        <v>1847</v>
      </c>
      <c r="CJ196" s="12" t="s">
        <v>617</v>
      </c>
      <c r="CK196" s="12" t="s">
        <v>1228</v>
      </c>
      <c r="CL196" s="12" t="s">
        <v>2074</v>
      </c>
      <c r="CM196" s="12" t="s">
        <v>1537</v>
      </c>
      <c r="CN196" s="12" t="s">
        <v>1764</v>
      </c>
      <c r="CO196" s="12" t="s">
        <v>619</v>
      </c>
      <c r="CP196" s="12" t="s">
        <v>668</v>
      </c>
      <c r="CQ196" s="12" t="s">
        <v>2521</v>
      </c>
      <c r="CR196" s="12" t="s">
        <v>1717</v>
      </c>
      <c r="CS196" s="12" t="s">
        <v>1863</v>
      </c>
      <c r="CT196" s="12" t="s">
        <v>756</v>
      </c>
    </row>
    <row r="197" spans="1:98" hidden="1" x14ac:dyDescent="0.3">
      <c r="A197" s="12" t="s">
        <v>25</v>
      </c>
      <c r="B197" s="12" t="s">
        <v>3760</v>
      </c>
      <c r="C197" s="12" t="s">
        <v>3761</v>
      </c>
      <c r="D197" s="12" t="s">
        <v>3762</v>
      </c>
      <c r="E197" s="12" t="s">
        <v>596</v>
      </c>
      <c r="F197" s="12" t="s">
        <v>596</v>
      </c>
      <c r="G197" s="12" t="s">
        <v>596</v>
      </c>
      <c r="H197" s="12" t="s">
        <v>596</v>
      </c>
      <c r="I197" s="12" t="s">
        <v>596</v>
      </c>
      <c r="J197" s="12" t="s">
        <v>596</v>
      </c>
      <c r="K197" s="12" t="s">
        <v>596</v>
      </c>
      <c r="L197" s="12" t="s">
        <v>596</v>
      </c>
      <c r="M197" s="12" t="s">
        <v>596</v>
      </c>
      <c r="N197" s="12" t="s">
        <v>596</v>
      </c>
      <c r="O197" s="12" t="s">
        <v>596</v>
      </c>
      <c r="P197" s="12" t="s">
        <v>596</v>
      </c>
      <c r="Q197" s="12" t="s">
        <v>596</v>
      </c>
      <c r="R197" s="12" t="s">
        <v>596</v>
      </c>
      <c r="S197" s="12" t="s">
        <v>596</v>
      </c>
      <c r="T197" s="12" t="s">
        <v>596</v>
      </c>
      <c r="U197" s="12" t="s">
        <v>596</v>
      </c>
      <c r="V197" s="12" t="s">
        <v>596</v>
      </c>
      <c r="W197" s="12" t="s">
        <v>596</v>
      </c>
      <c r="X197" s="12" t="s">
        <v>596</v>
      </c>
      <c r="Y197" s="12" t="s">
        <v>596</v>
      </c>
      <c r="Z197" s="12" t="s">
        <v>596</v>
      </c>
      <c r="AA197" s="12" t="s">
        <v>596</v>
      </c>
      <c r="AB197" s="12" t="s">
        <v>596</v>
      </c>
      <c r="AC197" s="12" t="s">
        <v>596</v>
      </c>
      <c r="AD197" s="12" t="s">
        <v>596</v>
      </c>
      <c r="AE197" s="12" t="s">
        <v>596</v>
      </c>
      <c r="AF197" s="12" t="s">
        <v>596</v>
      </c>
      <c r="AG197" s="12" t="s">
        <v>596</v>
      </c>
      <c r="AH197" s="12" t="s">
        <v>596</v>
      </c>
      <c r="AI197" s="12" t="s">
        <v>596</v>
      </c>
      <c r="AJ197" s="12" t="s">
        <v>596</v>
      </c>
      <c r="AK197" s="12" t="s">
        <v>596</v>
      </c>
      <c r="AL197" s="12" t="s">
        <v>596</v>
      </c>
      <c r="AM197" s="12" t="s">
        <v>596</v>
      </c>
      <c r="AN197" s="12" t="s">
        <v>596</v>
      </c>
      <c r="AO197" s="12" t="s">
        <v>596</v>
      </c>
      <c r="AP197" s="12" t="s">
        <v>596</v>
      </c>
      <c r="AQ197" s="12" t="s">
        <v>596</v>
      </c>
      <c r="AR197" s="12" t="s">
        <v>596</v>
      </c>
      <c r="AS197" s="12" t="s">
        <v>596</v>
      </c>
      <c r="AT197" s="12" t="s">
        <v>596</v>
      </c>
      <c r="AU197" s="12" t="s">
        <v>596</v>
      </c>
      <c r="AV197" s="12" t="s">
        <v>596</v>
      </c>
      <c r="AW197" s="12" t="s">
        <v>597</v>
      </c>
      <c r="AX197" s="12" t="s">
        <v>597</v>
      </c>
      <c r="AY197" s="12" t="s">
        <v>597</v>
      </c>
      <c r="AZ197" s="12" t="s">
        <v>597</v>
      </c>
      <c r="BA197" s="12" t="s">
        <v>599</v>
      </c>
      <c r="BB197" s="12" t="s">
        <v>643</v>
      </c>
      <c r="BC197" s="12" t="s">
        <v>692</v>
      </c>
      <c r="BD197" s="12" t="s">
        <v>935</v>
      </c>
      <c r="BE197" s="12" t="s">
        <v>936</v>
      </c>
      <c r="BF197" s="12" t="s">
        <v>696</v>
      </c>
      <c r="BG197" s="12" t="s">
        <v>649</v>
      </c>
      <c r="BH197" s="12" t="s">
        <v>888</v>
      </c>
      <c r="BI197" s="12" t="s">
        <v>1370</v>
      </c>
      <c r="BJ197" s="12" t="s">
        <v>880</v>
      </c>
      <c r="BK197" s="12" t="s">
        <v>1374</v>
      </c>
      <c r="BL197" s="12" t="s">
        <v>892</v>
      </c>
      <c r="BM197" s="12" t="s">
        <v>1410</v>
      </c>
      <c r="BN197" s="12" t="s">
        <v>834</v>
      </c>
      <c r="BO197" s="12" t="s">
        <v>1759</v>
      </c>
      <c r="BP197" s="12" t="s">
        <v>1416</v>
      </c>
      <c r="BQ197" s="12" t="s">
        <v>1416</v>
      </c>
      <c r="BR197" s="12" t="s">
        <v>1387</v>
      </c>
      <c r="BS197" s="12" t="s">
        <v>762</v>
      </c>
      <c r="BT197" s="12" t="s">
        <v>3763</v>
      </c>
      <c r="BU197" s="12" t="s">
        <v>2874</v>
      </c>
      <c r="BV197" s="12" t="s">
        <v>952</v>
      </c>
      <c r="BW197" s="12" t="s">
        <v>3764</v>
      </c>
      <c r="BX197" s="12" t="s">
        <v>711</v>
      </c>
      <c r="BY197" s="12" t="s">
        <v>3765</v>
      </c>
      <c r="BZ197" s="12" t="s">
        <v>3206</v>
      </c>
      <c r="CA197" s="12" t="s">
        <v>2227</v>
      </c>
      <c r="CB197" s="12" t="s">
        <v>3766</v>
      </c>
      <c r="CC197" s="12" t="s">
        <v>3767</v>
      </c>
      <c r="CD197" s="12" t="s">
        <v>3768</v>
      </c>
      <c r="CE197" s="12" t="s">
        <v>3769</v>
      </c>
      <c r="CF197" s="12" t="s">
        <v>2171</v>
      </c>
      <c r="CG197" s="12" t="s">
        <v>3770</v>
      </c>
      <c r="CH197" s="12" t="s">
        <v>1561</v>
      </c>
      <c r="CI197" s="12" t="s">
        <v>3771</v>
      </c>
      <c r="CJ197" s="12" t="s">
        <v>3772</v>
      </c>
      <c r="CK197" s="12" t="s">
        <v>3773</v>
      </c>
      <c r="CL197" s="12" t="s">
        <v>3774</v>
      </c>
      <c r="CM197" s="12" t="s">
        <v>3775</v>
      </c>
      <c r="CN197" s="12" t="s">
        <v>3776</v>
      </c>
      <c r="CO197" s="12" t="s">
        <v>2329</v>
      </c>
      <c r="CP197" s="12" t="s">
        <v>3777</v>
      </c>
      <c r="CQ197" s="12" t="s">
        <v>3777</v>
      </c>
      <c r="CR197" s="12" t="s">
        <v>3777</v>
      </c>
      <c r="CS197" s="12" t="s">
        <v>3777</v>
      </c>
      <c r="CT197" s="12" t="s">
        <v>3777</v>
      </c>
    </row>
    <row r="198" spans="1:98" hidden="1" x14ac:dyDescent="0.3">
      <c r="A198" s="12" t="s">
        <v>25</v>
      </c>
      <c r="B198" s="12" t="s">
        <v>3778</v>
      </c>
      <c r="C198" s="12" t="s">
        <v>3779</v>
      </c>
      <c r="D198" s="12" t="s">
        <v>3780</v>
      </c>
      <c r="E198" s="12" t="s">
        <v>596</v>
      </c>
      <c r="F198" s="12" t="s">
        <v>596</v>
      </c>
      <c r="G198" s="12" t="s">
        <v>596</v>
      </c>
      <c r="H198" s="12" t="s">
        <v>596</v>
      </c>
      <c r="I198" s="12" t="s">
        <v>596</v>
      </c>
      <c r="J198" s="12" t="s">
        <v>596</v>
      </c>
      <c r="K198" s="12" t="s">
        <v>596</v>
      </c>
      <c r="L198" s="12" t="s">
        <v>596</v>
      </c>
      <c r="M198" s="12" t="s">
        <v>596</v>
      </c>
      <c r="N198" s="12" t="s">
        <v>596</v>
      </c>
      <c r="O198" s="12" t="s">
        <v>596</v>
      </c>
      <c r="P198" s="12" t="s">
        <v>596</v>
      </c>
      <c r="Q198" s="12" t="s">
        <v>596</v>
      </c>
      <c r="R198" s="12" t="s">
        <v>596</v>
      </c>
      <c r="S198" s="12" t="s">
        <v>596</v>
      </c>
      <c r="T198" s="12" t="s">
        <v>596</v>
      </c>
      <c r="U198" s="12" t="s">
        <v>596</v>
      </c>
      <c r="V198" s="12" t="s">
        <v>596</v>
      </c>
      <c r="W198" s="12" t="s">
        <v>596</v>
      </c>
      <c r="X198" s="12" t="s">
        <v>596</v>
      </c>
      <c r="Y198" s="12" t="s">
        <v>596</v>
      </c>
      <c r="Z198" s="12" t="s">
        <v>596</v>
      </c>
      <c r="AA198" s="12" t="s">
        <v>596</v>
      </c>
      <c r="AB198" s="12" t="s">
        <v>596</v>
      </c>
      <c r="AC198" s="12" t="s">
        <v>596</v>
      </c>
      <c r="AD198" s="12" t="s">
        <v>596</v>
      </c>
      <c r="AE198" s="12" t="s">
        <v>596</v>
      </c>
      <c r="AF198" s="12" t="s">
        <v>596</v>
      </c>
      <c r="AG198" s="12" t="s">
        <v>596</v>
      </c>
      <c r="AH198" s="12" t="s">
        <v>596</v>
      </c>
      <c r="AI198" s="12" t="s">
        <v>596</v>
      </c>
      <c r="AJ198" s="12" t="s">
        <v>596</v>
      </c>
      <c r="AK198" s="12" t="s">
        <v>596</v>
      </c>
      <c r="AL198" s="12" t="s">
        <v>596</v>
      </c>
      <c r="AM198" s="12" t="s">
        <v>596</v>
      </c>
      <c r="AN198" s="12" t="s">
        <v>596</v>
      </c>
      <c r="AO198" s="12" t="s">
        <v>596</v>
      </c>
      <c r="AP198" s="12" t="s">
        <v>596</v>
      </c>
      <c r="AQ198" s="12" t="s">
        <v>596</v>
      </c>
      <c r="AR198" s="12" t="s">
        <v>596</v>
      </c>
      <c r="AS198" s="12" t="s">
        <v>596</v>
      </c>
      <c r="AT198" s="12" t="s">
        <v>596</v>
      </c>
      <c r="AU198" s="12" t="s">
        <v>596</v>
      </c>
      <c r="AV198" s="12" t="s">
        <v>596</v>
      </c>
      <c r="AW198" s="12" t="s">
        <v>596</v>
      </c>
      <c r="AX198" s="12" t="s">
        <v>596</v>
      </c>
      <c r="AY198" s="12" t="s">
        <v>596</v>
      </c>
      <c r="AZ198" s="12" t="s">
        <v>596</v>
      </c>
      <c r="BA198" s="12" t="s">
        <v>596</v>
      </c>
      <c r="BB198" s="12" t="s">
        <v>596</v>
      </c>
      <c r="BC198" s="12" t="s">
        <v>596</v>
      </c>
      <c r="BD198" s="12" t="s">
        <v>596</v>
      </c>
      <c r="BE198" s="12" t="s">
        <v>641</v>
      </c>
      <c r="BF198" s="12" t="s">
        <v>641</v>
      </c>
      <c r="BG198" s="12" t="s">
        <v>690</v>
      </c>
      <c r="BH198" s="12" t="s">
        <v>598</v>
      </c>
      <c r="BI198" s="12" t="s">
        <v>598</v>
      </c>
      <c r="BJ198" s="12" t="s">
        <v>869</v>
      </c>
      <c r="BK198" s="12" t="s">
        <v>600</v>
      </c>
      <c r="BL198" s="12" t="s">
        <v>600</v>
      </c>
      <c r="BM198" s="12" t="s">
        <v>600</v>
      </c>
      <c r="BN198" s="12" t="s">
        <v>600</v>
      </c>
      <c r="BO198" s="12" t="s">
        <v>600</v>
      </c>
      <c r="BP198" s="12" t="s">
        <v>600</v>
      </c>
      <c r="BQ198" s="12" t="s">
        <v>600</v>
      </c>
      <c r="BR198" s="12" t="s">
        <v>600</v>
      </c>
      <c r="BS198" s="12" t="s">
        <v>773</v>
      </c>
      <c r="BT198" s="12" t="s">
        <v>773</v>
      </c>
      <c r="BU198" s="12" t="s">
        <v>773</v>
      </c>
      <c r="BV198" s="12" t="s">
        <v>642</v>
      </c>
      <c r="BW198" s="12" t="s">
        <v>642</v>
      </c>
      <c r="BX198" s="12" t="s">
        <v>642</v>
      </c>
      <c r="BY198" s="12" t="s">
        <v>642</v>
      </c>
      <c r="BZ198" s="12" t="s">
        <v>642</v>
      </c>
      <c r="CA198" s="12" t="s">
        <v>642</v>
      </c>
      <c r="CB198" s="12" t="s">
        <v>601</v>
      </c>
      <c r="CC198" s="12" t="s">
        <v>601</v>
      </c>
      <c r="CD198" s="12" t="s">
        <v>601</v>
      </c>
      <c r="CE198" s="12" t="s">
        <v>601</v>
      </c>
      <c r="CF198" s="12" t="s">
        <v>601</v>
      </c>
      <c r="CG198" s="12" t="s">
        <v>601</v>
      </c>
      <c r="CH198" s="12" t="s">
        <v>601</v>
      </c>
      <c r="CI198" s="12" t="s">
        <v>601</v>
      </c>
      <c r="CJ198" s="12" t="s">
        <v>601</v>
      </c>
      <c r="CK198" s="12" t="s">
        <v>601</v>
      </c>
      <c r="CL198" s="12" t="s">
        <v>601</v>
      </c>
      <c r="CM198" s="12" t="s">
        <v>601</v>
      </c>
      <c r="CN198" s="12" t="s">
        <v>601</v>
      </c>
      <c r="CO198" s="12" t="s">
        <v>601</v>
      </c>
      <c r="CP198" s="12" t="s">
        <v>601</v>
      </c>
      <c r="CQ198" s="12" t="s">
        <v>601</v>
      </c>
      <c r="CR198" s="12" t="s">
        <v>601</v>
      </c>
      <c r="CS198" s="12" t="s">
        <v>601</v>
      </c>
      <c r="CT198" s="12" t="s">
        <v>601</v>
      </c>
    </row>
    <row r="199" spans="1:98" hidden="1" x14ac:dyDescent="0.3">
      <c r="A199" s="12" t="s">
        <v>25</v>
      </c>
      <c r="B199" s="12" t="s">
        <v>3781</v>
      </c>
      <c r="C199" s="12" t="s">
        <v>3782</v>
      </c>
      <c r="D199" s="12" t="s">
        <v>3783</v>
      </c>
      <c r="E199" s="12" t="s">
        <v>596</v>
      </c>
      <c r="F199" s="12" t="s">
        <v>597</v>
      </c>
      <c r="G199" s="12" t="s">
        <v>690</v>
      </c>
      <c r="H199" s="12" t="s">
        <v>690</v>
      </c>
      <c r="I199" s="12" t="s">
        <v>598</v>
      </c>
      <c r="J199" s="12" t="s">
        <v>599</v>
      </c>
      <c r="K199" s="12" t="s">
        <v>600</v>
      </c>
      <c r="L199" s="12" t="s">
        <v>600</v>
      </c>
      <c r="M199" s="12" t="s">
        <v>642</v>
      </c>
      <c r="N199" s="12" t="s">
        <v>886</v>
      </c>
      <c r="O199" s="12" t="s">
        <v>602</v>
      </c>
      <c r="P199" s="12" t="s">
        <v>826</v>
      </c>
      <c r="Q199" s="12" t="s">
        <v>826</v>
      </c>
      <c r="R199" s="12" t="s">
        <v>605</v>
      </c>
      <c r="S199" s="12" t="s">
        <v>887</v>
      </c>
      <c r="T199" s="12" t="s">
        <v>887</v>
      </c>
      <c r="U199" s="12" t="s">
        <v>2036</v>
      </c>
      <c r="V199" s="12" t="s">
        <v>645</v>
      </c>
      <c r="W199" s="12" t="s">
        <v>606</v>
      </c>
      <c r="X199" s="12" t="s">
        <v>786</v>
      </c>
      <c r="Y199" s="12" t="s">
        <v>990</v>
      </c>
      <c r="Z199" s="12" t="s">
        <v>972</v>
      </c>
      <c r="AA199" s="12" t="s">
        <v>1431</v>
      </c>
      <c r="AB199" s="12" t="s">
        <v>973</v>
      </c>
      <c r="AC199" s="12" t="s">
        <v>993</v>
      </c>
      <c r="AD199" s="12" t="s">
        <v>738</v>
      </c>
      <c r="AE199" s="12" t="s">
        <v>873</v>
      </c>
      <c r="AF199" s="12" t="s">
        <v>1202</v>
      </c>
      <c r="AG199" s="12" t="s">
        <v>608</v>
      </c>
      <c r="AH199" s="12" t="s">
        <v>608</v>
      </c>
      <c r="AI199" s="12" t="s">
        <v>1142</v>
      </c>
      <c r="AJ199" s="12" t="s">
        <v>1142</v>
      </c>
      <c r="AK199" s="12" t="s">
        <v>654</v>
      </c>
      <c r="AL199" s="12" t="s">
        <v>654</v>
      </c>
      <c r="AM199" s="12" t="s">
        <v>875</v>
      </c>
      <c r="AN199" s="12" t="s">
        <v>876</v>
      </c>
      <c r="AO199" s="12" t="s">
        <v>876</v>
      </c>
      <c r="AP199" s="12" t="s">
        <v>876</v>
      </c>
      <c r="AQ199" s="12" t="s">
        <v>881</v>
      </c>
      <c r="AR199" s="12" t="s">
        <v>1682</v>
      </c>
      <c r="AS199" s="12" t="s">
        <v>1517</v>
      </c>
      <c r="AT199" s="12" t="s">
        <v>610</v>
      </c>
      <c r="AU199" s="12" t="s">
        <v>610</v>
      </c>
      <c r="AV199" s="12" t="s">
        <v>1435</v>
      </c>
      <c r="AW199" s="12" t="s">
        <v>2052</v>
      </c>
      <c r="AX199" s="12" t="s">
        <v>1376</v>
      </c>
      <c r="AY199" s="12" t="s">
        <v>1832</v>
      </c>
      <c r="AZ199" s="12" t="s">
        <v>1832</v>
      </c>
      <c r="BA199" s="12" t="s">
        <v>831</v>
      </c>
      <c r="BB199" s="12" t="s">
        <v>2120</v>
      </c>
      <c r="BC199" s="12" t="s">
        <v>2120</v>
      </c>
      <c r="BD199" s="12" t="s">
        <v>1003</v>
      </c>
      <c r="BE199" s="12" t="s">
        <v>660</v>
      </c>
      <c r="BF199" s="12" t="s">
        <v>1524</v>
      </c>
      <c r="BG199" s="12" t="s">
        <v>662</v>
      </c>
      <c r="BH199" s="12" t="s">
        <v>793</v>
      </c>
      <c r="BI199" s="12" t="s">
        <v>1626</v>
      </c>
      <c r="BJ199" s="12" t="s">
        <v>1415</v>
      </c>
      <c r="BK199" s="12" t="s">
        <v>3784</v>
      </c>
      <c r="BL199" s="12" t="s">
        <v>3785</v>
      </c>
      <c r="BM199" s="12" t="s">
        <v>3728</v>
      </c>
      <c r="BN199" s="12" t="s">
        <v>1443</v>
      </c>
      <c r="BO199" s="12" t="s">
        <v>1723</v>
      </c>
      <c r="BP199" s="12" t="s">
        <v>2005</v>
      </c>
      <c r="BQ199" s="12" t="s">
        <v>2873</v>
      </c>
      <c r="BR199" s="12" t="s">
        <v>2344</v>
      </c>
      <c r="BS199" s="12" t="s">
        <v>1911</v>
      </c>
      <c r="BT199" s="12" t="s">
        <v>2023</v>
      </c>
      <c r="BU199" s="12" t="s">
        <v>1984</v>
      </c>
      <c r="BV199" s="12" t="s">
        <v>1119</v>
      </c>
      <c r="BW199" s="12" t="s">
        <v>1917</v>
      </c>
      <c r="BX199" s="12" t="s">
        <v>3786</v>
      </c>
      <c r="BY199" s="12" t="s">
        <v>3787</v>
      </c>
      <c r="BZ199" s="12" t="s">
        <v>2247</v>
      </c>
      <c r="CA199" s="12" t="s">
        <v>1319</v>
      </c>
      <c r="CB199" s="12" t="s">
        <v>3788</v>
      </c>
      <c r="CC199" s="12" t="s">
        <v>3789</v>
      </c>
      <c r="CD199" s="12" t="s">
        <v>3790</v>
      </c>
      <c r="CE199" s="12" t="s">
        <v>3791</v>
      </c>
      <c r="CF199" s="12" t="s">
        <v>3792</v>
      </c>
      <c r="CG199" s="12" t="s">
        <v>3793</v>
      </c>
      <c r="CH199" s="12" t="s">
        <v>3794</v>
      </c>
      <c r="CI199" s="12" t="s">
        <v>3795</v>
      </c>
      <c r="CJ199" s="12" t="s">
        <v>3796</v>
      </c>
      <c r="CK199" s="12" t="s">
        <v>3797</v>
      </c>
      <c r="CL199" s="12" t="s">
        <v>3798</v>
      </c>
      <c r="CM199" s="12" t="s">
        <v>3799</v>
      </c>
      <c r="CN199" s="12" t="s">
        <v>3800</v>
      </c>
      <c r="CO199" s="12" t="s">
        <v>3801</v>
      </c>
      <c r="CP199" s="12" t="s">
        <v>3802</v>
      </c>
      <c r="CQ199" s="12" t="s">
        <v>3803</v>
      </c>
      <c r="CR199" s="12" t="s">
        <v>3804</v>
      </c>
      <c r="CS199" s="12" t="s">
        <v>3805</v>
      </c>
      <c r="CT199" s="12" t="s">
        <v>3806</v>
      </c>
    </row>
    <row r="200" spans="1:98" hidden="1" x14ac:dyDescent="0.3">
      <c r="A200" s="12" t="s">
        <v>25</v>
      </c>
      <c r="B200" s="12" t="s">
        <v>3807</v>
      </c>
      <c r="C200" s="12" t="s">
        <v>3808</v>
      </c>
      <c r="D200" s="12" t="s">
        <v>3809</v>
      </c>
      <c r="E200" s="12" t="s">
        <v>596</v>
      </c>
      <c r="F200" s="12" t="s">
        <v>596</v>
      </c>
      <c r="G200" s="12" t="s">
        <v>596</v>
      </c>
      <c r="H200" s="12" t="s">
        <v>596</v>
      </c>
      <c r="I200" s="12" t="s">
        <v>596</v>
      </c>
      <c r="J200" s="12" t="s">
        <v>596</v>
      </c>
      <c r="K200" s="12" t="s">
        <v>596</v>
      </c>
      <c r="L200" s="12" t="s">
        <v>596</v>
      </c>
      <c r="M200" s="12" t="s">
        <v>596</v>
      </c>
      <c r="N200" s="12" t="s">
        <v>596</v>
      </c>
      <c r="O200" s="12" t="s">
        <v>596</v>
      </c>
      <c r="P200" s="12" t="s">
        <v>596</v>
      </c>
      <c r="Q200" s="12" t="s">
        <v>596</v>
      </c>
      <c r="R200" s="12" t="s">
        <v>596</v>
      </c>
      <c r="S200" s="12" t="s">
        <v>596</v>
      </c>
      <c r="T200" s="12" t="s">
        <v>596</v>
      </c>
      <c r="U200" s="12" t="s">
        <v>596</v>
      </c>
      <c r="V200" s="12" t="s">
        <v>596</v>
      </c>
      <c r="W200" s="12" t="s">
        <v>596</v>
      </c>
      <c r="X200" s="12" t="s">
        <v>596</v>
      </c>
      <c r="Y200" s="12" t="s">
        <v>596</v>
      </c>
      <c r="Z200" s="12" t="s">
        <v>596</v>
      </c>
      <c r="AA200" s="12" t="s">
        <v>596</v>
      </c>
      <c r="AB200" s="12" t="s">
        <v>596</v>
      </c>
      <c r="AC200" s="12" t="s">
        <v>596</v>
      </c>
      <c r="AD200" s="12" t="s">
        <v>596</v>
      </c>
      <c r="AE200" s="12" t="s">
        <v>596</v>
      </c>
      <c r="AF200" s="12" t="s">
        <v>596</v>
      </c>
      <c r="AG200" s="12" t="s">
        <v>596</v>
      </c>
      <c r="AH200" s="12" t="s">
        <v>596</v>
      </c>
      <c r="AI200" s="12" t="s">
        <v>596</v>
      </c>
      <c r="AJ200" s="12" t="s">
        <v>596</v>
      </c>
      <c r="AK200" s="12" t="s">
        <v>596</v>
      </c>
      <c r="AL200" s="12" t="s">
        <v>596</v>
      </c>
      <c r="AM200" s="12" t="s">
        <v>596</v>
      </c>
      <c r="AN200" s="12" t="s">
        <v>596</v>
      </c>
      <c r="AO200" s="12" t="s">
        <v>596</v>
      </c>
      <c r="AP200" s="12" t="s">
        <v>596</v>
      </c>
      <c r="AQ200" s="12" t="s">
        <v>596</v>
      </c>
      <c r="AR200" s="12" t="s">
        <v>596</v>
      </c>
      <c r="AS200" s="12" t="s">
        <v>596</v>
      </c>
      <c r="AT200" s="12" t="s">
        <v>596</v>
      </c>
      <c r="AU200" s="12" t="s">
        <v>596</v>
      </c>
      <c r="AV200" s="12" t="s">
        <v>596</v>
      </c>
      <c r="AW200" s="12" t="s">
        <v>597</v>
      </c>
      <c r="AX200" s="12" t="s">
        <v>597</v>
      </c>
      <c r="AY200" s="12" t="s">
        <v>690</v>
      </c>
      <c r="AZ200" s="12" t="s">
        <v>690</v>
      </c>
      <c r="BA200" s="12" t="s">
        <v>600</v>
      </c>
      <c r="BB200" s="12" t="s">
        <v>642</v>
      </c>
      <c r="BC200" s="12" t="s">
        <v>602</v>
      </c>
      <c r="BD200" s="12" t="s">
        <v>870</v>
      </c>
      <c r="BE200" s="12" t="s">
        <v>1114</v>
      </c>
      <c r="BF200" s="12" t="s">
        <v>697</v>
      </c>
      <c r="BG200" s="12" t="s">
        <v>1198</v>
      </c>
      <c r="BH200" s="12" t="s">
        <v>993</v>
      </c>
      <c r="BI200" s="12" t="s">
        <v>882</v>
      </c>
      <c r="BJ200" s="12" t="s">
        <v>656</v>
      </c>
      <c r="BK200" s="12" t="s">
        <v>1375</v>
      </c>
      <c r="BL200" s="12" t="s">
        <v>2120</v>
      </c>
      <c r="BM200" s="12" t="s">
        <v>1550</v>
      </c>
      <c r="BN200" s="12" t="s">
        <v>658</v>
      </c>
      <c r="BO200" s="12" t="s">
        <v>2533</v>
      </c>
      <c r="BP200" s="12" t="s">
        <v>3061</v>
      </c>
      <c r="BQ200" s="12" t="s">
        <v>1524</v>
      </c>
      <c r="BR200" s="12" t="s">
        <v>2239</v>
      </c>
      <c r="BS200" s="12" t="s">
        <v>1756</v>
      </c>
      <c r="BT200" s="12" t="s">
        <v>1228</v>
      </c>
      <c r="BU200" s="12" t="s">
        <v>2075</v>
      </c>
      <c r="BV200" s="12" t="s">
        <v>2078</v>
      </c>
      <c r="BW200" s="12" t="s">
        <v>670</v>
      </c>
      <c r="BX200" s="12" t="s">
        <v>1716</v>
      </c>
      <c r="BY200" s="12" t="s">
        <v>2471</v>
      </c>
      <c r="BZ200" s="12" t="s">
        <v>3810</v>
      </c>
      <c r="CA200" s="12" t="s">
        <v>1388</v>
      </c>
      <c r="CB200" s="12" t="s">
        <v>2099</v>
      </c>
      <c r="CC200" s="12" t="s">
        <v>1424</v>
      </c>
      <c r="CD200" s="12" t="s">
        <v>1909</v>
      </c>
      <c r="CE200" s="12" t="s">
        <v>3006</v>
      </c>
      <c r="CF200" s="12" t="s">
        <v>2253</v>
      </c>
      <c r="CG200" s="12" t="s">
        <v>2859</v>
      </c>
      <c r="CH200" s="12" t="s">
        <v>3811</v>
      </c>
      <c r="CI200" s="12" t="s">
        <v>1017</v>
      </c>
      <c r="CJ200" s="12" t="s">
        <v>950</v>
      </c>
      <c r="CK200" s="12" t="s">
        <v>3812</v>
      </c>
      <c r="CL200" s="12" t="s">
        <v>2305</v>
      </c>
      <c r="CM200" s="12" t="s">
        <v>3786</v>
      </c>
      <c r="CN200" s="12" t="s">
        <v>3813</v>
      </c>
      <c r="CO200" s="12" t="s">
        <v>2160</v>
      </c>
      <c r="CP200" s="12" t="s">
        <v>2381</v>
      </c>
      <c r="CQ200" s="12" t="s">
        <v>3814</v>
      </c>
      <c r="CR200" s="12" t="s">
        <v>3815</v>
      </c>
      <c r="CS200" s="12" t="s">
        <v>3645</v>
      </c>
      <c r="CT200" s="12" t="s">
        <v>1794</v>
      </c>
    </row>
    <row r="201" spans="1:98" hidden="1" x14ac:dyDescent="0.3">
      <c r="A201" s="12" t="s">
        <v>25</v>
      </c>
      <c r="B201" s="12" t="s">
        <v>3816</v>
      </c>
      <c r="C201" s="12" t="s">
        <v>3817</v>
      </c>
      <c r="D201" s="12" t="s">
        <v>3818</v>
      </c>
      <c r="E201" s="12" t="s">
        <v>596</v>
      </c>
      <c r="F201" s="12" t="s">
        <v>596</v>
      </c>
      <c r="G201" s="12" t="s">
        <v>596</v>
      </c>
      <c r="H201" s="12" t="s">
        <v>596</v>
      </c>
      <c r="I201" s="12" t="s">
        <v>596</v>
      </c>
      <c r="J201" s="12" t="s">
        <v>596</v>
      </c>
      <c r="K201" s="12" t="s">
        <v>596</v>
      </c>
      <c r="L201" s="12" t="s">
        <v>596</v>
      </c>
      <c r="M201" s="12" t="s">
        <v>596</v>
      </c>
      <c r="N201" s="12" t="s">
        <v>596</v>
      </c>
      <c r="O201" s="12" t="s">
        <v>596</v>
      </c>
      <c r="P201" s="12" t="s">
        <v>596</v>
      </c>
      <c r="Q201" s="12" t="s">
        <v>596</v>
      </c>
      <c r="R201" s="12" t="s">
        <v>596</v>
      </c>
      <c r="S201" s="12" t="s">
        <v>596</v>
      </c>
      <c r="T201" s="12" t="s">
        <v>596</v>
      </c>
      <c r="U201" s="12" t="s">
        <v>596</v>
      </c>
      <c r="V201" s="12" t="s">
        <v>596</v>
      </c>
      <c r="W201" s="12" t="s">
        <v>596</v>
      </c>
      <c r="X201" s="12" t="s">
        <v>596</v>
      </c>
      <c r="Y201" s="12" t="s">
        <v>596</v>
      </c>
      <c r="Z201" s="12" t="s">
        <v>596</v>
      </c>
      <c r="AA201" s="12" t="s">
        <v>596</v>
      </c>
      <c r="AB201" s="12" t="s">
        <v>596</v>
      </c>
      <c r="AC201" s="12" t="s">
        <v>596</v>
      </c>
      <c r="AD201" s="12" t="s">
        <v>596</v>
      </c>
      <c r="AE201" s="12" t="s">
        <v>596</v>
      </c>
      <c r="AF201" s="12" t="s">
        <v>596</v>
      </c>
      <c r="AG201" s="12" t="s">
        <v>596</v>
      </c>
      <c r="AH201" s="12" t="s">
        <v>596</v>
      </c>
      <c r="AI201" s="12" t="s">
        <v>596</v>
      </c>
      <c r="AJ201" s="12" t="s">
        <v>596</v>
      </c>
      <c r="AK201" s="12" t="s">
        <v>596</v>
      </c>
      <c r="AL201" s="12" t="s">
        <v>596</v>
      </c>
      <c r="AM201" s="12" t="s">
        <v>596</v>
      </c>
      <c r="AN201" s="12" t="s">
        <v>596</v>
      </c>
      <c r="AO201" s="12" t="s">
        <v>596</v>
      </c>
      <c r="AP201" s="12" t="s">
        <v>596</v>
      </c>
      <c r="AQ201" s="12" t="s">
        <v>596</v>
      </c>
      <c r="AR201" s="12" t="s">
        <v>596</v>
      </c>
      <c r="AS201" s="12" t="s">
        <v>596</v>
      </c>
      <c r="AT201" s="12" t="s">
        <v>596</v>
      </c>
      <c r="AU201" s="12" t="s">
        <v>596</v>
      </c>
      <c r="AV201" s="12" t="s">
        <v>641</v>
      </c>
      <c r="AW201" s="12" t="s">
        <v>600</v>
      </c>
      <c r="AX201" s="12" t="s">
        <v>600</v>
      </c>
      <c r="AY201" s="12" t="s">
        <v>602</v>
      </c>
      <c r="AZ201" s="12" t="s">
        <v>602</v>
      </c>
      <c r="BA201" s="12" t="s">
        <v>784</v>
      </c>
      <c r="BB201" s="12" t="s">
        <v>1010</v>
      </c>
      <c r="BC201" s="12" t="s">
        <v>654</v>
      </c>
      <c r="BD201" s="12" t="s">
        <v>2031</v>
      </c>
      <c r="BE201" s="12" t="s">
        <v>1587</v>
      </c>
      <c r="BF201" s="12" t="s">
        <v>1588</v>
      </c>
      <c r="BG201" s="12" t="s">
        <v>1509</v>
      </c>
      <c r="BH201" s="12" t="s">
        <v>1283</v>
      </c>
      <c r="BI201" s="12" t="s">
        <v>1283</v>
      </c>
      <c r="BJ201" s="12" t="s">
        <v>2019</v>
      </c>
      <c r="BK201" s="12" t="s">
        <v>1631</v>
      </c>
      <c r="BL201" s="12" t="s">
        <v>669</v>
      </c>
      <c r="BM201" s="12" t="s">
        <v>1417</v>
      </c>
      <c r="BN201" s="12" t="s">
        <v>1717</v>
      </c>
      <c r="BO201" s="12" t="s">
        <v>1686</v>
      </c>
      <c r="BP201" s="12" t="s">
        <v>1419</v>
      </c>
      <c r="BQ201" s="12" t="s">
        <v>681</v>
      </c>
      <c r="BR201" s="12" t="s">
        <v>1645</v>
      </c>
      <c r="BS201" s="12" t="s">
        <v>1868</v>
      </c>
      <c r="BT201" s="12" t="s">
        <v>1446</v>
      </c>
      <c r="BU201" s="12" t="s">
        <v>1159</v>
      </c>
      <c r="BV201" s="12" t="s">
        <v>1911</v>
      </c>
      <c r="BW201" s="12" t="s">
        <v>1871</v>
      </c>
      <c r="BX201" s="12" t="s">
        <v>3819</v>
      </c>
      <c r="BY201" s="12" t="s">
        <v>954</v>
      </c>
      <c r="BZ201" s="12" t="s">
        <v>2305</v>
      </c>
      <c r="CA201" s="12" t="s">
        <v>3820</v>
      </c>
      <c r="CB201" s="12" t="s">
        <v>1332</v>
      </c>
      <c r="CC201" s="12" t="s">
        <v>3821</v>
      </c>
      <c r="CD201" s="12" t="s">
        <v>3049</v>
      </c>
      <c r="CE201" s="12" t="s">
        <v>3822</v>
      </c>
      <c r="CF201" s="12" t="s">
        <v>3384</v>
      </c>
      <c r="CG201" s="12" t="s">
        <v>3823</v>
      </c>
      <c r="CH201" s="12" t="s">
        <v>2135</v>
      </c>
      <c r="CI201" s="12" t="s">
        <v>1027</v>
      </c>
      <c r="CJ201" s="12" t="s">
        <v>2722</v>
      </c>
      <c r="CK201" s="12" t="s">
        <v>858</v>
      </c>
      <c r="CL201" s="12" t="s">
        <v>1030</v>
      </c>
      <c r="CM201" s="12" t="s">
        <v>2453</v>
      </c>
      <c r="CN201" s="12" t="s">
        <v>3495</v>
      </c>
      <c r="CO201" s="12" t="s">
        <v>3387</v>
      </c>
      <c r="CP201" s="12" t="s">
        <v>3824</v>
      </c>
      <c r="CQ201" s="12" t="s">
        <v>3825</v>
      </c>
      <c r="CR201" s="12" t="s">
        <v>1792</v>
      </c>
      <c r="CS201" s="12" t="s">
        <v>3388</v>
      </c>
      <c r="CT201" s="12" t="s">
        <v>1128</v>
      </c>
    </row>
    <row r="202" spans="1:98" hidden="1" x14ac:dyDescent="0.3">
      <c r="A202" s="12" t="s">
        <v>25</v>
      </c>
      <c r="B202" s="12" t="s">
        <v>3826</v>
      </c>
      <c r="C202" s="12" t="s">
        <v>3827</v>
      </c>
      <c r="D202" s="12" t="s">
        <v>3828</v>
      </c>
      <c r="E202" s="12" t="s">
        <v>596</v>
      </c>
      <c r="F202" s="12" t="s">
        <v>596</v>
      </c>
      <c r="G202" s="12" t="s">
        <v>596</v>
      </c>
      <c r="H202" s="12" t="s">
        <v>596</v>
      </c>
      <c r="I202" s="12" t="s">
        <v>596</v>
      </c>
      <c r="J202" s="12" t="s">
        <v>596</v>
      </c>
      <c r="K202" s="12" t="s">
        <v>596</v>
      </c>
      <c r="L202" s="12" t="s">
        <v>596</v>
      </c>
      <c r="M202" s="12" t="s">
        <v>596</v>
      </c>
      <c r="N202" s="12" t="s">
        <v>596</v>
      </c>
      <c r="O202" s="12" t="s">
        <v>596</v>
      </c>
      <c r="P202" s="12" t="s">
        <v>596</v>
      </c>
      <c r="Q202" s="12" t="s">
        <v>596</v>
      </c>
      <c r="R202" s="12" t="s">
        <v>596</v>
      </c>
      <c r="S202" s="12" t="s">
        <v>596</v>
      </c>
      <c r="T202" s="12" t="s">
        <v>596</v>
      </c>
      <c r="U202" s="12" t="s">
        <v>596</v>
      </c>
      <c r="V202" s="12" t="s">
        <v>596</v>
      </c>
      <c r="W202" s="12" t="s">
        <v>596</v>
      </c>
      <c r="X202" s="12" t="s">
        <v>596</v>
      </c>
      <c r="Y202" s="12" t="s">
        <v>596</v>
      </c>
      <c r="Z202" s="12" t="s">
        <v>596</v>
      </c>
      <c r="AA202" s="12" t="s">
        <v>596</v>
      </c>
      <c r="AB202" s="12" t="s">
        <v>596</v>
      </c>
      <c r="AC202" s="12" t="s">
        <v>596</v>
      </c>
      <c r="AD202" s="12" t="s">
        <v>596</v>
      </c>
      <c r="AE202" s="12" t="s">
        <v>596</v>
      </c>
      <c r="AF202" s="12" t="s">
        <v>596</v>
      </c>
      <c r="AG202" s="12" t="s">
        <v>596</v>
      </c>
      <c r="AH202" s="12" t="s">
        <v>596</v>
      </c>
      <c r="AI202" s="12" t="s">
        <v>596</v>
      </c>
      <c r="AJ202" s="12" t="s">
        <v>596</v>
      </c>
      <c r="AK202" s="12" t="s">
        <v>596</v>
      </c>
      <c r="AL202" s="12" t="s">
        <v>596</v>
      </c>
      <c r="AM202" s="12" t="s">
        <v>596</v>
      </c>
      <c r="AN202" s="12" t="s">
        <v>596</v>
      </c>
      <c r="AO202" s="12" t="s">
        <v>596</v>
      </c>
      <c r="AP202" s="12" t="s">
        <v>596</v>
      </c>
      <c r="AQ202" s="12" t="s">
        <v>596</v>
      </c>
      <c r="AR202" s="12" t="s">
        <v>596</v>
      </c>
      <c r="AS202" s="12" t="s">
        <v>596</v>
      </c>
      <c r="AT202" s="12" t="s">
        <v>596</v>
      </c>
      <c r="AU202" s="12" t="s">
        <v>596</v>
      </c>
      <c r="AV202" s="12" t="s">
        <v>596</v>
      </c>
      <c r="AW202" s="12" t="s">
        <v>596</v>
      </c>
      <c r="AX202" s="12" t="s">
        <v>596</v>
      </c>
      <c r="AY202" s="12" t="s">
        <v>596</v>
      </c>
      <c r="AZ202" s="12" t="s">
        <v>596</v>
      </c>
      <c r="BA202" s="12" t="s">
        <v>596</v>
      </c>
      <c r="BB202" s="12" t="s">
        <v>596</v>
      </c>
      <c r="BC202" s="12" t="s">
        <v>596</v>
      </c>
      <c r="BD202" s="12" t="s">
        <v>596</v>
      </c>
      <c r="BE202" s="12" t="s">
        <v>596</v>
      </c>
      <c r="BF202" s="12" t="s">
        <v>596</v>
      </c>
      <c r="BG202" s="12" t="s">
        <v>597</v>
      </c>
      <c r="BH202" s="12" t="s">
        <v>597</v>
      </c>
      <c r="BI202" s="12" t="s">
        <v>597</v>
      </c>
      <c r="BJ202" s="12" t="s">
        <v>597</v>
      </c>
      <c r="BK202" s="12" t="s">
        <v>597</v>
      </c>
      <c r="BL202" s="12" t="s">
        <v>597</v>
      </c>
      <c r="BM202" s="12" t="s">
        <v>597</v>
      </c>
      <c r="BN202" s="12" t="s">
        <v>597</v>
      </c>
      <c r="BO202" s="12" t="s">
        <v>597</v>
      </c>
      <c r="BP202" s="12" t="s">
        <v>597</v>
      </c>
      <c r="BQ202" s="12" t="s">
        <v>641</v>
      </c>
      <c r="BR202" s="12" t="s">
        <v>690</v>
      </c>
      <c r="BS202" s="12" t="s">
        <v>690</v>
      </c>
      <c r="BT202" s="12" t="s">
        <v>690</v>
      </c>
      <c r="BU202" s="12" t="s">
        <v>690</v>
      </c>
      <c r="BV202" s="12" t="s">
        <v>599</v>
      </c>
      <c r="BW202" s="12" t="s">
        <v>599</v>
      </c>
      <c r="BX202" s="12" t="s">
        <v>599</v>
      </c>
      <c r="BY202" s="12" t="s">
        <v>600</v>
      </c>
      <c r="BZ202" s="12" t="s">
        <v>600</v>
      </c>
      <c r="CA202" s="12" t="s">
        <v>600</v>
      </c>
      <c r="CB202" s="12" t="s">
        <v>600</v>
      </c>
      <c r="CC202" s="12" t="s">
        <v>773</v>
      </c>
      <c r="CD202" s="12" t="s">
        <v>643</v>
      </c>
      <c r="CE202" s="12" t="s">
        <v>643</v>
      </c>
      <c r="CF202" s="12" t="s">
        <v>603</v>
      </c>
      <c r="CG202" s="12" t="s">
        <v>603</v>
      </c>
      <c r="CH202" s="12" t="s">
        <v>775</v>
      </c>
      <c r="CI202" s="12" t="s">
        <v>698</v>
      </c>
      <c r="CJ202" s="12" t="s">
        <v>698</v>
      </c>
      <c r="CK202" s="12" t="s">
        <v>874</v>
      </c>
      <c r="CL202" s="12" t="s">
        <v>874</v>
      </c>
      <c r="CM202" s="12" t="s">
        <v>1518</v>
      </c>
      <c r="CN202" s="12" t="s">
        <v>1374</v>
      </c>
      <c r="CO202" s="12" t="s">
        <v>742</v>
      </c>
      <c r="CP202" s="12" t="s">
        <v>614</v>
      </c>
      <c r="CQ202" s="12" t="s">
        <v>2019</v>
      </c>
      <c r="CR202" s="12" t="s">
        <v>2019</v>
      </c>
      <c r="CS202" s="12" t="s">
        <v>1761</v>
      </c>
      <c r="CT202" s="12" t="s">
        <v>1761</v>
      </c>
    </row>
    <row r="203" spans="1:98" hidden="1" x14ac:dyDescent="0.3">
      <c r="A203" s="12" t="s">
        <v>25</v>
      </c>
      <c r="B203" s="12" t="s">
        <v>3829</v>
      </c>
      <c r="C203" s="12" t="s">
        <v>3830</v>
      </c>
      <c r="D203" s="12" t="s">
        <v>3831</v>
      </c>
      <c r="E203" s="12" t="s">
        <v>596</v>
      </c>
      <c r="F203" s="12" t="s">
        <v>596</v>
      </c>
      <c r="G203" s="12" t="s">
        <v>596</v>
      </c>
      <c r="H203" s="12" t="s">
        <v>596</v>
      </c>
      <c r="I203" s="12" t="s">
        <v>596</v>
      </c>
      <c r="J203" s="12" t="s">
        <v>596</v>
      </c>
      <c r="K203" s="12" t="s">
        <v>596</v>
      </c>
      <c r="L203" s="12" t="s">
        <v>596</v>
      </c>
      <c r="M203" s="12" t="s">
        <v>596</v>
      </c>
      <c r="N203" s="12" t="s">
        <v>596</v>
      </c>
      <c r="O203" s="12" t="s">
        <v>596</v>
      </c>
      <c r="P203" s="12" t="s">
        <v>596</v>
      </c>
      <c r="Q203" s="12" t="s">
        <v>596</v>
      </c>
      <c r="R203" s="12" t="s">
        <v>596</v>
      </c>
      <c r="S203" s="12" t="s">
        <v>596</v>
      </c>
      <c r="T203" s="12" t="s">
        <v>596</v>
      </c>
      <c r="U203" s="12" t="s">
        <v>596</v>
      </c>
      <c r="V203" s="12" t="s">
        <v>596</v>
      </c>
      <c r="W203" s="12" t="s">
        <v>596</v>
      </c>
      <c r="X203" s="12" t="s">
        <v>596</v>
      </c>
      <c r="Y203" s="12" t="s">
        <v>596</v>
      </c>
      <c r="Z203" s="12" t="s">
        <v>596</v>
      </c>
      <c r="AA203" s="12" t="s">
        <v>596</v>
      </c>
      <c r="AB203" s="12" t="s">
        <v>596</v>
      </c>
      <c r="AC203" s="12" t="s">
        <v>596</v>
      </c>
      <c r="AD203" s="12" t="s">
        <v>596</v>
      </c>
      <c r="AE203" s="12" t="s">
        <v>596</v>
      </c>
      <c r="AF203" s="12" t="s">
        <v>596</v>
      </c>
      <c r="AG203" s="12" t="s">
        <v>596</v>
      </c>
      <c r="AH203" s="12" t="s">
        <v>596</v>
      </c>
      <c r="AI203" s="12" t="s">
        <v>596</v>
      </c>
      <c r="AJ203" s="12" t="s">
        <v>596</v>
      </c>
      <c r="AK203" s="12" t="s">
        <v>596</v>
      </c>
      <c r="AL203" s="12" t="s">
        <v>596</v>
      </c>
      <c r="AM203" s="12" t="s">
        <v>596</v>
      </c>
      <c r="AN203" s="12" t="s">
        <v>596</v>
      </c>
      <c r="AO203" s="12" t="s">
        <v>596</v>
      </c>
      <c r="AP203" s="12" t="s">
        <v>596</v>
      </c>
      <c r="AQ203" s="12" t="s">
        <v>596</v>
      </c>
      <c r="AR203" s="12" t="s">
        <v>596</v>
      </c>
      <c r="AS203" s="12" t="s">
        <v>596</v>
      </c>
      <c r="AT203" s="12" t="s">
        <v>596</v>
      </c>
      <c r="AU203" s="12" t="s">
        <v>596</v>
      </c>
      <c r="AV203" s="12" t="s">
        <v>597</v>
      </c>
      <c r="AW203" s="12" t="s">
        <v>597</v>
      </c>
      <c r="AX203" s="12" t="s">
        <v>597</v>
      </c>
      <c r="AY203" s="12" t="s">
        <v>690</v>
      </c>
      <c r="AZ203" s="12" t="s">
        <v>690</v>
      </c>
      <c r="BA203" s="12" t="s">
        <v>600</v>
      </c>
      <c r="BB203" s="12" t="s">
        <v>886</v>
      </c>
      <c r="BC203" s="12" t="s">
        <v>691</v>
      </c>
      <c r="BD203" s="12" t="s">
        <v>605</v>
      </c>
      <c r="BE203" s="12" t="s">
        <v>646</v>
      </c>
      <c r="BF203" s="12" t="s">
        <v>648</v>
      </c>
      <c r="BG203" s="12" t="s">
        <v>871</v>
      </c>
      <c r="BH203" s="12" t="s">
        <v>871</v>
      </c>
      <c r="BI203" s="12" t="s">
        <v>1518</v>
      </c>
      <c r="BJ203" s="12" t="s">
        <v>1832</v>
      </c>
      <c r="BK203" s="12" t="s">
        <v>1998</v>
      </c>
      <c r="BL203" s="12" t="s">
        <v>2018</v>
      </c>
      <c r="BM203" s="12" t="s">
        <v>1705</v>
      </c>
      <c r="BN203" s="12" t="s">
        <v>2413</v>
      </c>
      <c r="BO203" s="12" t="s">
        <v>2103</v>
      </c>
      <c r="BP203" s="12" t="s">
        <v>3832</v>
      </c>
      <c r="BQ203" s="12" t="s">
        <v>3833</v>
      </c>
      <c r="BR203" s="12" t="s">
        <v>3414</v>
      </c>
      <c r="BS203" s="12" t="s">
        <v>3834</v>
      </c>
      <c r="BT203" s="12" t="s">
        <v>3607</v>
      </c>
      <c r="BU203" s="12" t="s">
        <v>2308</v>
      </c>
      <c r="BV203" s="12" t="s">
        <v>1792</v>
      </c>
      <c r="BW203" s="12" t="s">
        <v>2353</v>
      </c>
      <c r="BX203" s="12" t="s">
        <v>3835</v>
      </c>
      <c r="BY203" s="12" t="s">
        <v>3836</v>
      </c>
      <c r="BZ203" s="12" t="s">
        <v>1828</v>
      </c>
      <c r="CA203" s="12" t="s">
        <v>3837</v>
      </c>
      <c r="CB203" s="12" t="s">
        <v>3838</v>
      </c>
      <c r="CC203" s="12" t="s">
        <v>3839</v>
      </c>
      <c r="CD203" s="12" t="s">
        <v>3840</v>
      </c>
      <c r="CE203" s="12" t="s">
        <v>3284</v>
      </c>
      <c r="CF203" s="12" t="s">
        <v>3841</v>
      </c>
      <c r="CG203" s="12" t="s">
        <v>3842</v>
      </c>
      <c r="CH203" s="12" t="s">
        <v>3843</v>
      </c>
      <c r="CI203" s="12" t="s">
        <v>3844</v>
      </c>
      <c r="CJ203" s="12" t="s">
        <v>2878</v>
      </c>
      <c r="CK203" s="12" t="s">
        <v>3845</v>
      </c>
      <c r="CL203" s="12" t="s">
        <v>2484</v>
      </c>
      <c r="CM203" s="12" t="s">
        <v>3846</v>
      </c>
      <c r="CN203" s="12" t="s">
        <v>3183</v>
      </c>
      <c r="CO203" s="12" t="s">
        <v>3847</v>
      </c>
      <c r="CP203" s="12" t="s">
        <v>3848</v>
      </c>
      <c r="CQ203" s="12" t="s">
        <v>2390</v>
      </c>
      <c r="CR203" s="12" t="s">
        <v>3849</v>
      </c>
      <c r="CS203" s="12" t="s">
        <v>3850</v>
      </c>
      <c r="CT203" s="12" t="s">
        <v>3851</v>
      </c>
    </row>
    <row r="204" spans="1:98" hidden="1" x14ac:dyDescent="0.3">
      <c r="A204" s="12" t="s">
        <v>25</v>
      </c>
      <c r="B204" s="12" t="s">
        <v>3852</v>
      </c>
      <c r="C204" s="12" t="s">
        <v>3853</v>
      </c>
      <c r="D204" s="12" t="s">
        <v>3854</v>
      </c>
      <c r="E204" s="12" t="s">
        <v>596</v>
      </c>
      <c r="F204" s="12" t="s">
        <v>596</v>
      </c>
      <c r="G204" s="12" t="s">
        <v>596</v>
      </c>
      <c r="H204" s="12" t="s">
        <v>596</v>
      </c>
      <c r="I204" s="12" t="s">
        <v>596</v>
      </c>
      <c r="J204" s="12" t="s">
        <v>596</v>
      </c>
      <c r="K204" s="12" t="s">
        <v>596</v>
      </c>
      <c r="L204" s="12" t="s">
        <v>596</v>
      </c>
      <c r="M204" s="12" t="s">
        <v>596</v>
      </c>
      <c r="N204" s="12" t="s">
        <v>596</v>
      </c>
      <c r="O204" s="12" t="s">
        <v>597</v>
      </c>
      <c r="P204" s="12" t="s">
        <v>597</v>
      </c>
      <c r="Q204" s="12" t="s">
        <v>597</v>
      </c>
      <c r="R204" s="12" t="s">
        <v>597</v>
      </c>
      <c r="S204" s="12" t="s">
        <v>597</v>
      </c>
      <c r="T204" s="12" t="s">
        <v>597</v>
      </c>
      <c r="U204" s="12" t="s">
        <v>597</v>
      </c>
      <c r="V204" s="12" t="s">
        <v>597</v>
      </c>
      <c r="W204" s="12" t="s">
        <v>641</v>
      </c>
      <c r="X204" s="12" t="s">
        <v>641</v>
      </c>
      <c r="Y204" s="12" t="s">
        <v>641</v>
      </c>
      <c r="Z204" s="12" t="s">
        <v>641</v>
      </c>
      <c r="AA204" s="12" t="s">
        <v>641</v>
      </c>
      <c r="AB204" s="12" t="s">
        <v>641</v>
      </c>
      <c r="AC204" s="12" t="s">
        <v>641</v>
      </c>
      <c r="AD204" s="12" t="s">
        <v>641</v>
      </c>
      <c r="AE204" s="12" t="s">
        <v>641</v>
      </c>
      <c r="AF204" s="12" t="s">
        <v>641</v>
      </c>
      <c r="AG204" s="12" t="s">
        <v>641</v>
      </c>
      <c r="AH204" s="12" t="s">
        <v>641</v>
      </c>
      <c r="AI204" s="12" t="s">
        <v>641</v>
      </c>
      <c r="AJ204" s="12" t="s">
        <v>641</v>
      </c>
      <c r="AK204" s="12" t="s">
        <v>641</v>
      </c>
      <c r="AL204" s="12" t="s">
        <v>641</v>
      </c>
      <c r="AM204" s="12" t="s">
        <v>869</v>
      </c>
      <c r="AN204" s="12" t="s">
        <v>886</v>
      </c>
      <c r="AO204" s="12" t="s">
        <v>780</v>
      </c>
      <c r="AP204" s="12" t="s">
        <v>870</v>
      </c>
      <c r="AQ204" s="12" t="s">
        <v>786</v>
      </c>
      <c r="AR204" s="12" t="s">
        <v>608</v>
      </c>
      <c r="AS204" s="12" t="s">
        <v>611</v>
      </c>
      <c r="AT204" s="12" t="s">
        <v>999</v>
      </c>
      <c r="AU204" s="12" t="s">
        <v>1410</v>
      </c>
      <c r="AV204" s="12" t="s">
        <v>663</v>
      </c>
      <c r="AW204" s="12" t="s">
        <v>670</v>
      </c>
      <c r="AX204" s="12" t="s">
        <v>3855</v>
      </c>
      <c r="AY204" s="12" t="s">
        <v>763</v>
      </c>
      <c r="AZ204" s="12" t="s">
        <v>1886</v>
      </c>
      <c r="BA204" s="12" t="s">
        <v>3856</v>
      </c>
      <c r="BB204" s="12" t="s">
        <v>812</v>
      </c>
      <c r="BC204" s="12" t="s">
        <v>812</v>
      </c>
      <c r="BD204" s="12" t="s">
        <v>3857</v>
      </c>
      <c r="BE204" s="12" t="s">
        <v>3858</v>
      </c>
      <c r="BF204" s="12" t="s">
        <v>3859</v>
      </c>
      <c r="BG204" s="12" t="s">
        <v>3860</v>
      </c>
      <c r="BH204" s="12" t="s">
        <v>3861</v>
      </c>
      <c r="BI204" s="12" t="s">
        <v>3862</v>
      </c>
      <c r="BJ204" s="12" t="s">
        <v>3863</v>
      </c>
      <c r="BK204" s="12" t="s">
        <v>3864</v>
      </c>
      <c r="BL204" s="12" t="s">
        <v>3865</v>
      </c>
      <c r="BM204" s="12" t="s">
        <v>3866</v>
      </c>
      <c r="BN204" s="12" t="s">
        <v>3867</v>
      </c>
      <c r="BO204" s="12" t="s">
        <v>3868</v>
      </c>
      <c r="BP204" s="12" t="s">
        <v>3869</v>
      </c>
      <c r="BQ204" s="12" t="s">
        <v>3870</v>
      </c>
      <c r="BR204" s="12" t="s">
        <v>3871</v>
      </c>
      <c r="BS204" s="12" t="s">
        <v>3872</v>
      </c>
      <c r="BT204" s="12" t="s">
        <v>3873</v>
      </c>
      <c r="BU204" s="12" t="s">
        <v>3874</v>
      </c>
      <c r="BV204" s="12" t="s">
        <v>3875</v>
      </c>
      <c r="BW204" s="12" t="s">
        <v>3876</v>
      </c>
      <c r="BX204" s="12" t="s">
        <v>3877</v>
      </c>
      <c r="BY204" s="12" t="s">
        <v>3878</v>
      </c>
      <c r="BZ204" s="12" t="s">
        <v>3879</v>
      </c>
      <c r="CA204" s="12" t="s">
        <v>3880</v>
      </c>
      <c r="CB204" s="12" t="s">
        <v>3881</v>
      </c>
      <c r="CC204" s="12" t="s">
        <v>3882</v>
      </c>
      <c r="CD204" s="12" t="s">
        <v>3883</v>
      </c>
      <c r="CE204" s="12" t="s">
        <v>3884</v>
      </c>
      <c r="CF204" s="12" t="s">
        <v>3885</v>
      </c>
      <c r="CG204" s="12" t="s">
        <v>3886</v>
      </c>
      <c r="CH204" s="12" t="s">
        <v>3887</v>
      </c>
      <c r="CI204" s="12" t="s">
        <v>3888</v>
      </c>
      <c r="CJ204" s="12" t="s">
        <v>3889</v>
      </c>
      <c r="CK204" s="12" t="s">
        <v>3890</v>
      </c>
      <c r="CL204" s="12" t="s">
        <v>3891</v>
      </c>
      <c r="CM204" s="12" t="s">
        <v>3892</v>
      </c>
      <c r="CN204" s="12" t="s">
        <v>3893</v>
      </c>
      <c r="CO204" s="12" t="s">
        <v>3894</v>
      </c>
      <c r="CP204" s="12" t="s">
        <v>3895</v>
      </c>
      <c r="CQ204" s="12" t="s">
        <v>3896</v>
      </c>
      <c r="CR204" s="12" t="s">
        <v>3897</v>
      </c>
      <c r="CS204" s="12" t="s">
        <v>3898</v>
      </c>
      <c r="CT204" s="12" t="s">
        <v>3899</v>
      </c>
    </row>
    <row r="205" spans="1:98" hidden="1" x14ac:dyDescent="0.3">
      <c r="A205" s="12" t="s">
        <v>25</v>
      </c>
      <c r="B205" s="12" t="s">
        <v>3900</v>
      </c>
      <c r="C205" s="12" t="s">
        <v>3901</v>
      </c>
      <c r="D205" s="12" t="s">
        <v>3902</v>
      </c>
      <c r="E205" s="12" t="s">
        <v>596</v>
      </c>
      <c r="F205" s="12" t="s">
        <v>596</v>
      </c>
      <c r="G205" s="12" t="s">
        <v>596</v>
      </c>
      <c r="H205" s="12" t="s">
        <v>596</v>
      </c>
      <c r="I205" s="12" t="s">
        <v>596</v>
      </c>
      <c r="J205" s="12" t="s">
        <v>597</v>
      </c>
      <c r="K205" s="12" t="s">
        <v>597</v>
      </c>
      <c r="L205" s="12" t="s">
        <v>597</v>
      </c>
      <c r="M205" s="12" t="s">
        <v>597</v>
      </c>
      <c r="N205" s="12" t="s">
        <v>597</v>
      </c>
      <c r="O205" s="12" t="s">
        <v>597</v>
      </c>
      <c r="P205" s="12" t="s">
        <v>597</v>
      </c>
      <c r="Q205" s="12" t="s">
        <v>597</v>
      </c>
      <c r="R205" s="12" t="s">
        <v>597</v>
      </c>
      <c r="S205" s="12" t="s">
        <v>597</v>
      </c>
      <c r="T205" s="12" t="s">
        <v>597</v>
      </c>
      <c r="U205" s="12" t="s">
        <v>597</v>
      </c>
      <c r="V205" s="12" t="s">
        <v>597</v>
      </c>
      <c r="W205" s="12" t="s">
        <v>597</v>
      </c>
      <c r="X205" s="12" t="s">
        <v>597</v>
      </c>
      <c r="Y205" s="12" t="s">
        <v>597</v>
      </c>
      <c r="Z205" s="12" t="s">
        <v>597</v>
      </c>
      <c r="AA205" s="12" t="s">
        <v>597</v>
      </c>
      <c r="AB205" s="12" t="s">
        <v>597</v>
      </c>
      <c r="AC205" s="12" t="s">
        <v>597</v>
      </c>
      <c r="AD205" s="12" t="s">
        <v>597</v>
      </c>
      <c r="AE205" s="12" t="s">
        <v>597</v>
      </c>
      <c r="AF205" s="12" t="s">
        <v>597</v>
      </c>
      <c r="AG205" s="12" t="s">
        <v>597</v>
      </c>
      <c r="AH205" s="12" t="s">
        <v>597</v>
      </c>
      <c r="AI205" s="12" t="s">
        <v>597</v>
      </c>
      <c r="AJ205" s="12" t="s">
        <v>597</v>
      </c>
      <c r="AK205" s="12" t="s">
        <v>597</v>
      </c>
      <c r="AL205" s="12" t="s">
        <v>597</v>
      </c>
      <c r="AM205" s="12" t="s">
        <v>597</v>
      </c>
      <c r="AN205" s="12" t="s">
        <v>597</v>
      </c>
      <c r="AO205" s="12" t="s">
        <v>597</v>
      </c>
      <c r="AP205" s="12" t="s">
        <v>597</v>
      </c>
      <c r="AQ205" s="12" t="s">
        <v>597</v>
      </c>
      <c r="AR205" s="12" t="s">
        <v>597</v>
      </c>
      <c r="AS205" s="12" t="s">
        <v>597</v>
      </c>
      <c r="AT205" s="12" t="s">
        <v>597</v>
      </c>
      <c r="AU205" s="12" t="s">
        <v>597</v>
      </c>
      <c r="AV205" s="12" t="s">
        <v>597</v>
      </c>
      <c r="AW205" s="12" t="s">
        <v>597</v>
      </c>
      <c r="AX205" s="12" t="s">
        <v>597</v>
      </c>
      <c r="AY205" s="12" t="s">
        <v>597</v>
      </c>
      <c r="AZ205" s="12" t="s">
        <v>597</v>
      </c>
      <c r="BA205" s="12" t="s">
        <v>597</v>
      </c>
      <c r="BB205" s="12" t="s">
        <v>641</v>
      </c>
      <c r="BC205" s="12" t="s">
        <v>641</v>
      </c>
      <c r="BD205" s="12" t="s">
        <v>869</v>
      </c>
      <c r="BE205" s="12" t="s">
        <v>642</v>
      </c>
      <c r="BF205" s="12" t="s">
        <v>826</v>
      </c>
      <c r="BG205" s="12" t="s">
        <v>887</v>
      </c>
      <c r="BH205" s="12" t="s">
        <v>1114</v>
      </c>
      <c r="BI205" s="12" t="s">
        <v>648</v>
      </c>
      <c r="BJ205" s="12" t="s">
        <v>698</v>
      </c>
      <c r="BK205" s="12" t="s">
        <v>1138</v>
      </c>
      <c r="BL205" s="12" t="s">
        <v>873</v>
      </c>
      <c r="BM205" s="12" t="s">
        <v>994</v>
      </c>
      <c r="BN205" s="12" t="s">
        <v>790</v>
      </c>
      <c r="BO205" s="12" t="s">
        <v>881</v>
      </c>
      <c r="BP205" s="12" t="s">
        <v>881</v>
      </c>
      <c r="BQ205" s="12" t="s">
        <v>1682</v>
      </c>
      <c r="BR205" s="12" t="s">
        <v>1682</v>
      </c>
      <c r="BS205" s="12" t="s">
        <v>740</v>
      </c>
      <c r="BT205" s="12" t="s">
        <v>1435</v>
      </c>
      <c r="BU205" s="12" t="s">
        <v>998</v>
      </c>
      <c r="BV205" s="12" t="s">
        <v>1839</v>
      </c>
      <c r="BW205" s="12" t="s">
        <v>657</v>
      </c>
      <c r="BX205" s="12" t="s">
        <v>1327</v>
      </c>
      <c r="BY205" s="12" t="s">
        <v>1751</v>
      </c>
      <c r="BZ205" s="12" t="s">
        <v>1295</v>
      </c>
      <c r="CA205" s="12" t="s">
        <v>1296</v>
      </c>
      <c r="CB205" s="12" t="s">
        <v>2120</v>
      </c>
      <c r="CC205" s="12" t="s">
        <v>1550</v>
      </c>
      <c r="CD205" s="12" t="s">
        <v>1994</v>
      </c>
      <c r="CE205" s="12" t="s">
        <v>1856</v>
      </c>
      <c r="CF205" s="12" t="s">
        <v>1856</v>
      </c>
      <c r="CG205" s="12" t="s">
        <v>3903</v>
      </c>
      <c r="CH205" s="12" t="s">
        <v>893</v>
      </c>
      <c r="CI205" s="12" t="s">
        <v>1507</v>
      </c>
      <c r="CJ205" s="12" t="s">
        <v>1441</v>
      </c>
      <c r="CK205" s="12" t="s">
        <v>1642</v>
      </c>
      <c r="CL205" s="12" t="s">
        <v>1642</v>
      </c>
      <c r="CM205" s="12" t="s">
        <v>1527</v>
      </c>
      <c r="CN205" s="12" t="s">
        <v>1510</v>
      </c>
      <c r="CO205" s="12" t="s">
        <v>1477</v>
      </c>
      <c r="CP205" s="12" t="s">
        <v>665</v>
      </c>
      <c r="CQ205" s="12" t="s">
        <v>1536</v>
      </c>
      <c r="CR205" s="12" t="s">
        <v>1182</v>
      </c>
      <c r="CS205" s="12" t="s">
        <v>1300</v>
      </c>
      <c r="CT205" s="12" t="s">
        <v>981</v>
      </c>
    </row>
    <row r="206" spans="1:98" hidden="1" x14ac:dyDescent="0.3">
      <c r="A206" s="12" t="s">
        <v>25</v>
      </c>
      <c r="B206" s="12" t="s">
        <v>3904</v>
      </c>
      <c r="C206" s="12" t="s">
        <v>3905</v>
      </c>
      <c r="D206" s="12" t="s">
        <v>3906</v>
      </c>
      <c r="E206" s="12" t="s">
        <v>596</v>
      </c>
      <c r="F206" s="12" t="s">
        <v>596</v>
      </c>
      <c r="G206" s="12" t="s">
        <v>596</v>
      </c>
      <c r="H206" s="12" t="s">
        <v>596</v>
      </c>
      <c r="I206" s="12" t="s">
        <v>596</v>
      </c>
      <c r="J206" s="12" t="s">
        <v>596</v>
      </c>
      <c r="K206" s="12" t="s">
        <v>596</v>
      </c>
      <c r="L206" s="12" t="s">
        <v>596</v>
      </c>
      <c r="M206" s="12" t="s">
        <v>596</v>
      </c>
      <c r="N206" s="12" t="s">
        <v>596</v>
      </c>
      <c r="O206" s="12" t="s">
        <v>596</v>
      </c>
      <c r="P206" s="12" t="s">
        <v>596</v>
      </c>
      <c r="Q206" s="12" t="s">
        <v>596</v>
      </c>
      <c r="R206" s="12" t="s">
        <v>596</v>
      </c>
      <c r="S206" s="12" t="s">
        <v>596</v>
      </c>
      <c r="T206" s="12" t="s">
        <v>596</v>
      </c>
      <c r="U206" s="12" t="s">
        <v>596</v>
      </c>
      <c r="V206" s="12" t="s">
        <v>596</v>
      </c>
      <c r="W206" s="12" t="s">
        <v>596</v>
      </c>
      <c r="X206" s="12" t="s">
        <v>596</v>
      </c>
      <c r="Y206" s="12" t="s">
        <v>596</v>
      </c>
      <c r="Z206" s="12" t="s">
        <v>596</v>
      </c>
      <c r="AA206" s="12" t="s">
        <v>596</v>
      </c>
      <c r="AB206" s="12" t="s">
        <v>596</v>
      </c>
      <c r="AC206" s="12" t="s">
        <v>596</v>
      </c>
      <c r="AD206" s="12" t="s">
        <v>596</v>
      </c>
      <c r="AE206" s="12" t="s">
        <v>596</v>
      </c>
      <c r="AF206" s="12" t="s">
        <v>596</v>
      </c>
      <c r="AG206" s="12" t="s">
        <v>596</v>
      </c>
      <c r="AH206" s="12" t="s">
        <v>596</v>
      </c>
      <c r="AI206" s="12" t="s">
        <v>596</v>
      </c>
      <c r="AJ206" s="12" t="s">
        <v>596</v>
      </c>
      <c r="AK206" s="12" t="s">
        <v>596</v>
      </c>
      <c r="AL206" s="12" t="s">
        <v>596</v>
      </c>
      <c r="AM206" s="12" t="s">
        <v>596</v>
      </c>
      <c r="AN206" s="12" t="s">
        <v>596</v>
      </c>
      <c r="AO206" s="12" t="s">
        <v>596</v>
      </c>
      <c r="AP206" s="12" t="s">
        <v>596</v>
      </c>
      <c r="AQ206" s="12" t="s">
        <v>596</v>
      </c>
      <c r="AR206" s="12" t="s">
        <v>596</v>
      </c>
      <c r="AS206" s="12" t="s">
        <v>596</v>
      </c>
      <c r="AT206" s="12" t="s">
        <v>596</v>
      </c>
      <c r="AU206" s="12" t="s">
        <v>596</v>
      </c>
      <c r="AV206" s="12" t="s">
        <v>596</v>
      </c>
      <c r="AW206" s="12" t="s">
        <v>596</v>
      </c>
      <c r="AX206" s="12" t="s">
        <v>596</v>
      </c>
      <c r="AY206" s="12" t="s">
        <v>596</v>
      </c>
      <c r="AZ206" s="12" t="s">
        <v>596</v>
      </c>
      <c r="BA206" s="12" t="s">
        <v>596</v>
      </c>
      <c r="BB206" s="12" t="s">
        <v>596</v>
      </c>
      <c r="BC206" s="12" t="s">
        <v>596</v>
      </c>
      <c r="BD206" s="12" t="s">
        <v>597</v>
      </c>
      <c r="BE206" s="12" t="s">
        <v>597</v>
      </c>
      <c r="BF206" s="12" t="s">
        <v>597</v>
      </c>
      <c r="BG206" s="12" t="s">
        <v>597</v>
      </c>
      <c r="BH206" s="12" t="s">
        <v>597</v>
      </c>
      <c r="BI206" s="12" t="s">
        <v>641</v>
      </c>
      <c r="BJ206" s="12" t="s">
        <v>641</v>
      </c>
      <c r="BK206" s="12" t="s">
        <v>641</v>
      </c>
      <c r="BL206" s="12" t="s">
        <v>641</v>
      </c>
      <c r="BM206" s="12" t="s">
        <v>641</v>
      </c>
      <c r="BN206" s="12" t="s">
        <v>641</v>
      </c>
      <c r="BO206" s="12" t="s">
        <v>690</v>
      </c>
      <c r="BP206" s="12" t="s">
        <v>690</v>
      </c>
      <c r="BQ206" s="12" t="s">
        <v>690</v>
      </c>
      <c r="BR206" s="12" t="s">
        <v>690</v>
      </c>
      <c r="BS206" s="12" t="s">
        <v>599</v>
      </c>
      <c r="BT206" s="12" t="s">
        <v>869</v>
      </c>
      <c r="BU206" s="12" t="s">
        <v>869</v>
      </c>
      <c r="BV206" s="12" t="s">
        <v>600</v>
      </c>
      <c r="BW206" s="12" t="s">
        <v>600</v>
      </c>
      <c r="BX206" s="12" t="s">
        <v>773</v>
      </c>
      <c r="BY206" s="12" t="s">
        <v>642</v>
      </c>
      <c r="BZ206" s="12" t="s">
        <v>642</v>
      </c>
      <c r="CA206" s="12" t="s">
        <v>643</v>
      </c>
      <c r="CB206" s="12" t="s">
        <v>643</v>
      </c>
      <c r="CC206" s="12" t="s">
        <v>774</v>
      </c>
      <c r="CD206" s="12" t="s">
        <v>774</v>
      </c>
      <c r="CE206" s="12" t="s">
        <v>780</v>
      </c>
      <c r="CF206" s="12" t="s">
        <v>691</v>
      </c>
      <c r="CG206" s="12" t="s">
        <v>692</v>
      </c>
      <c r="CH206" s="12" t="s">
        <v>692</v>
      </c>
      <c r="CI206" s="12" t="s">
        <v>971</v>
      </c>
      <c r="CJ206" s="12" t="s">
        <v>870</v>
      </c>
      <c r="CK206" s="12" t="s">
        <v>870</v>
      </c>
      <c r="CL206" s="12" t="s">
        <v>870</v>
      </c>
      <c r="CM206" s="12" t="s">
        <v>645</v>
      </c>
      <c r="CN206" s="12" t="s">
        <v>991</v>
      </c>
      <c r="CO206" s="12" t="s">
        <v>991</v>
      </c>
      <c r="CP206" s="12" t="s">
        <v>1278</v>
      </c>
      <c r="CQ206" s="12" t="s">
        <v>1278</v>
      </c>
      <c r="CR206" s="12" t="s">
        <v>1043</v>
      </c>
      <c r="CS206" s="12" t="s">
        <v>613</v>
      </c>
      <c r="CT206" s="12" t="s">
        <v>613</v>
      </c>
    </row>
    <row r="207" spans="1:98" hidden="1" x14ac:dyDescent="0.3">
      <c r="A207" s="12" t="s">
        <v>25</v>
      </c>
      <c r="B207" s="12" t="s">
        <v>3907</v>
      </c>
      <c r="C207" s="12" t="s">
        <v>3908</v>
      </c>
      <c r="D207" s="12" t="s">
        <v>3909</v>
      </c>
      <c r="E207" s="12" t="s">
        <v>596</v>
      </c>
      <c r="F207" s="12" t="s">
        <v>596</v>
      </c>
      <c r="G207" s="12" t="s">
        <v>596</v>
      </c>
      <c r="H207" s="12" t="s">
        <v>596</v>
      </c>
      <c r="I207" s="12" t="s">
        <v>596</v>
      </c>
      <c r="J207" s="12" t="s">
        <v>596</v>
      </c>
      <c r="K207" s="12" t="s">
        <v>596</v>
      </c>
      <c r="L207" s="12" t="s">
        <v>596</v>
      </c>
      <c r="M207" s="12" t="s">
        <v>596</v>
      </c>
      <c r="N207" s="12" t="s">
        <v>596</v>
      </c>
      <c r="O207" s="12" t="s">
        <v>596</v>
      </c>
      <c r="P207" s="12" t="s">
        <v>596</v>
      </c>
      <c r="Q207" s="12" t="s">
        <v>596</v>
      </c>
      <c r="R207" s="12" t="s">
        <v>596</v>
      </c>
      <c r="S207" s="12" t="s">
        <v>596</v>
      </c>
      <c r="T207" s="12" t="s">
        <v>596</v>
      </c>
      <c r="U207" s="12" t="s">
        <v>596</v>
      </c>
      <c r="V207" s="12" t="s">
        <v>596</v>
      </c>
      <c r="W207" s="12" t="s">
        <v>596</v>
      </c>
      <c r="X207" s="12" t="s">
        <v>596</v>
      </c>
      <c r="Y207" s="12" t="s">
        <v>596</v>
      </c>
      <c r="Z207" s="12" t="s">
        <v>596</v>
      </c>
      <c r="AA207" s="12" t="s">
        <v>596</v>
      </c>
      <c r="AB207" s="12" t="s">
        <v>596</v>
      </c>
      <c r="AC207" s="12" t="s">
        <v>596</v>
      </c>
      <c r="AD207" s="12" t="s">
        <v>596</v>
      </c>
      <c r="AE207" s="12" t="s">
        <v>596</v>
      </c>
      <c r="AF207" s="12" t="s">
        <v>596</v>
      </c>
      <c r="AG207" s="12" t="s">
        <v>596</v>
      </c>
      <c r="AH207" s="12" t="s">
        <v>596</v>
      </c>
      <c r="AI207" s="12" t="s">
        <v>596</v>
      </c>
      <c r="AJ207" s="12" t="s">
        <v>596</v>
      </c>
      <c r="AK207" s="12" t="s">
        <v>596</v>
      </c>
      <c r="AL207" s="12" t="s">
        <v>596</v>
      </c>
      <c r="AM207" s="12" t="s">
        <v>596</v>
      </c>
      <c r="AN207" s="12" t="s">
        <v>596</v>
      </c>
      <c r="AO207" s="12" t="s">
        <v>596</v>
      </c>
      <c r="AP207" s="12" t="s">
        <v>596</v>
      </c>
      <c r="AQ207" s="12" t="s">
        <v>596</v>
      </c>
      <c r="AR207" s="12" t="s">
        <v>596</v>
      </c>
      <c r="AS207" s="12" t="s">
        <v>596</v>
      </c>
      <c r="AT207" s="12" t="s">
        <v>596</v>
      </c>
      <c r="AU207" s="12" t="s">
        <v>596</v>
      </c>
      <c r="AV207" s="12" t="s">
        <v>596</v>
      </c>
      <c r="AW207" s="12" t="s">
        <v>596</v>
      </c>
      <c r="AX207" s="12" t="s">
        <v>596</v>
      </c>
      <c r="AY207" s="12" t="s">
        <v>596</v>
      </c>
      <c r="AZ207" s="12" t="s">
        <v>596</v>
      </c>
      <c r="BA207" s="12" t="s">
        <v>596</v>
      </c>
      <c r="BB207" s="12" t="s">
        <v>596</v>
      </c>
      <c r="BC207" s="12" t="s">
        <v>596</v>
      </c>
      <c r="BD207" s="12" t="s">
        <v>596</v>
      </c>
      <c r="BE207" s="12" t="s">
        <v>597</v>
      </c>
      <c r="BF207" s="12" t="s">
        <v>597</v>
      </c>
      <c r="BG207" s="12" t="s">
        <v>597</v>
      </c>
      <c r="BH207" s="12" t="s">
        <v>597</v>
      </c>
      <c r="BI207" s="12" t="s">
        <v>597</v>
      </c>
      <c r="BJ207" s="12" t="s">
        <v>597</v>
      </c>
      <c r="BK207" s="12" t="s">
        <v>598</v>
      </c>
      <c r="BL207" s="12" t="s">
        <v>598</v>
      </c>
      <c r="BM207" s="12" t="s">
        <v>599</v>
      </c>
      <c r="BN207" s="12" t="s">
        <v>599</v>
      </c>
      <c r="BO207" s="12" t="s">
        <v>600</v>
      </c>
      <c r="BP207" s="12" t="s">
        <v>773</v>
      </c>
      <c r="BQ207" s="12" t="s">
        <v>773</v>
      </c>
      <c r="BR207" s="12" t="s">
        <v>773</v>
      </c>
      <c r="BS207" s="12" t="s">
        <v>773</v>
      </c>
      <c r="BT207" s="12" t="s">
        <v>773</v>
      </c>
      <c r="BU207" s="12" t="s">
        <v>773</v>
      </c>
      <c r="BV207" s="12" t="s">
        <v>779</v>
      </c>
      <c r="BW207" s="12" t="s">
        <v>642</v>
      </c>
      <c r="BX207" s="12" t="s">
        <v>642</v>
      </c>
      <c r="BY207" s="12" t="s">
        <v>642</v>
      </c>
      <c r="BZ207" s="12" t="s">
        <v>642</v>
      </c>
      <c r="CA207" s="12" t="s">
        <v>642</v>
      </c>
      <c r="CB207" s="12" t="s">
        <v>642</v>
      </c>
      <c r="CC207" s="12" t="s">
        <v>642</v>
      </c>
      <c r="CD207" s="12" t="s">
        <v>642</v>
      </c>
      <c r="CE207" s="12" t="s">
        <v>642</v>
      </c>
      <c r="CF207" s="12" t="s">
        <v>642</v>
      </c>
      <c r="CG207" s="12" t="s">
        <v>642</v>
      </c>
      <c r="CH207" s="12" t="s">
        <v>642</v>
      </c>
      <c r="CI207" s="12" t="s">
        <v>642</v>
      </c>
      <c r="CJ207" s="12" t="s">
        <v>642</v>
      </c>
      <c r="CK207" s="12" t="s">
        <v>642</v>
      </c>
      <c r="CL207" s="12" t="s">
        <v>642</v>
      </c>
      <c r="CM207" s="12" t="s">
        <v>642</v>
      </c>
      <c r="CN207" s="12" t="s">
        <v>642</v>
      </c>
      <c r="CO207" s="12" t="s">
        <v>642</v>
      </c>
      <c r="CP207" s="12" t="s">
        <v>642</v>
      </c>
      <c r="CQ207" s="12" t="s">
        <v>642</v>
      </c>
      <c r="CR207" s="12" t="s">
        <v>642</v>
      </c>
      <c r="CS207" s="12" t="s">
        <v>642</v>
      </c>
      <c r="CT207" s="12" t="s">
        <v>642</v>
      </c>
    </row>
    <row r="208" spans="1:98" hidden="1" x14ac:dyDescent="0.3">
      <c r="A208" s="12" t="s">
        <v>25</v>
      </c>
      <c r="B208" s="12" t="s">
        <v>3910</v>
      </c>
      <c r="C208" s="12" t="s">
        <v>3911</v>
      </c>
      <c r="D208" s="12" t="s">
        <v>3912</v>
      </c>
      <c r="E208" s="12" t="s">
        <v>596</v>
      </c>
      <c r="F208" s="12" t="s">
        <v>596</v>
      </c>
      <c r="G208" s="12" t="s">
        <v>596</v>
      </c>
      <c r="H208" s="12" t="s">
        <v>596</v>
      </c>
      <c r="I208" s="12" t="s">
        <v>596</v>
      </c>
      <c r="J208" s="12" t="s">
        <v>596</v>
      </c>
      <c r="K208" s="12" t="s">
        <v>596</v>
      </c>
      <c r="L208" s="12" t="s">
        <v>596</v>
      </c>
      <c r="M208" s="12" t="s">
        <v>596</v>
      </c>
      <c r="N208" s="12" t="s">
        <v>597</v>
      </c>
      <c r="O208" s="12" t="s">
        <v>597</v>
      </c>
      <c r="P208" s="12" t="s">
        <v>597</v>
      </c>
      <c r="Q208" s="12" t="s">
        <v>597</v>
      </c>
      <c r="R208" s="12" t="s">
        <v>597</v>
      </c>
      <c r="S208" s="12" t="s">
        <v>597</v>
      </c>
      <c r="T208" s="12" t="s">
        <v>597</v>
      </c>
      <c r="U208" s="12" t="s">
        <v>597</v>
      </c>
      <c r="V208" s="12" t="s">
        <v>597</v>
      </c>
      <c r="W208" s="12" t="s">
        <v>597</v>
      </c>
      <c r="X208" s="12" t="s">
        <v>597</v>
      </c>
      <c r="Y208" s="12" t="s">
        <v>597</v>
      </c>
      <c r="Z208" s="12" t="s">
        <v>597</v>
      </c>
      <c r="AA208" s="12" t="s">
        <v>597</v>
      </c>
      <c r="AB208" s="12" t="s">
        <v>597</v>
      </c>
      <c r="AC208" s="12" t="s">
        <v>597</v>
      </c>
      <c r="AD208" s="12" t="s">
        <v>597</v>
      </c>
      <c r="AE208" s="12" t="s">
        <v>597</v>
      </c>
      <c r="AF208" s="12" t="s">
        <v>597</v>
      </c>
      <c r="AG208" s="12" t="s">
        <v>597</v>
      </c>
      <c r="AH208" s="12" t="s">
        <v>597</v>
      </c>
      <c r="AI208" s="12" t="s">
        <v>597</v>
      </c>
      <c r="AJ208" s="12" t="s">
        <v>597</v>
      </c>
      <c r="AK208" s="12" t="s">
        <v>597</v>
      </c>
      <c r="AL208" s="12" t="s">
        <v>597</v>
      </c>
      <c r="AM208" s="12" t="s">
        <v>597</v>
      </c>
      <c r="AN208" s="12" t="s">
        <v>641</v>
      </c>
      <c r="AO208" s="12" t="s">
        <v>600</v>
      </c>
      <c r="AP208" s="12" t="s">
        <v>600</v>
      </c>
      <c r="AQ208" s="12" t="s">
        <v>643</v>
      </c>
      <c r="AR208" s="12" t="s">
        <v>774</v>
      </c>
      <c r="AS208" s="12" t="s">
        <v>780</v>
      </c>
      <c r="AT208" s="12" t="s">
        <v>603</v>
      </c>
      <c r="AU208" s="12" t="s">
        <v>935</v>
      </c>
      <c r="AV208" s="12" t="s">
        <v>609</v>
      </c>
      <c r="AW208" s="12" t="s">
        <v>1750</v>
      </c>
      <c r="AX208" s="12" t="s">
        <v>2107</v>
      </c>
      <c r="AY208" s="12" t="s">
        <v>1506</v>
      </c>
      <c r="AZ208" s="12" t="s">
        <v>2048</v>
      </c>
      <c r="BA208" s="12" t="s">
        <v>1013</v>
      </c>
      <c r="BB208" s="12" t="s">
        <v>3855</v>
      </c>
      <c r="BC208" s="12" t="s">
        <v>2124</v>
      </c>
      <c r="BD208" s="12" t="s">
        <v>2243</v>
      </c>
      <c r="BE208" s="12" t="s">
        <v>2448</v>
      </c>
      <c r="BF208" s="12" t="s">
        <v>3913</v>
      </c>
      <c r="BG208" s="12" t="s">
        <v>3914</v>
      </c>
      <c r="BH208" s="12" t="s">
        <v>2702</v>
      </c>
      <c r="BI208" s="12" t="s">
        <v>636</v>
      </c>
      <c r="BJ208" s="12" t="s">
        <v>3915</v>
      </c>
      <c r="BK208" s="12" t="s">
        <v>3916</v>
      </c>
      <c r="BL208" s="12" t="s">
        <v>2707</v>
      </c>
      <c r="BM208" s="12" t="s">
        <v>3284</v>
      </c>
      <c r="BN208" s="12" t="s">
        <v>2312</v>
      </c>
      <c r="BO208" s="12" t="s">
        <v>3917</v>
      </c>
      <c r="BP208" s="12" t="s">
        <v>3918</v>
      </c>
      <c r="BQ208" s="12" t="s">
        <v>1593</v>
      </c>
      <c r="BR208" s="12" t="s">
        <v>3919</v>
      </c>
      <c r="BS208" s="12" t="s">
        <v>2881</v>
      </c>
      <c r="BT208" s="12" t="s">
        <v>3920</v>
      </c>
      <c r="BU208" s="12" t="s">
        <v>3921</v>
      </c>
      <c r="BV208" s="12" t="s">
        <v>3922</v>
      </c>
      <c r="BW208" s="12" t="s">
        <v>3923</v>
      </c>
      <c r="BX208" s="12" t="s">
        <v>3924</v>
      </c>
      <c r="BY208" s="12" t="s">
        <v>3925</v>
      </c>
      <c r="BZ208" s="12" t="s">
        <v>3926</v>
      </c>
      <c r="CA208" s="12" t="s">
        <v>3927</v>
      </c>
      <c r="CB208" s="12" t="s">
        <v>3928</v>
      </c>
      <c r="CC208" s="12" t="s">
        <v>3929</v>
      </c>
      <c r="CD208" s="12" t="s">
        <v>3930</v>
      </c>
      <c r="CE208" s="12" t="s">
        <v>3931</v>
      </c>
      <c r="CF208" s="12" t="s">
        <v>3932</v>
      </c>
      <c r="CG208" s="12" t="s">
        <v>3933</v>
      </c>
      <c r="CH208" s="12" t="s">
        <v>3934</v>
      </c>
      <c r="CI208" s="12" t="s">
        <v>3935</v>
      </c>
      <c r="CJ208" s="12" t="s">
        <v>3936</v>
      </c>
      <c r="CK208" s="12" t="s">
        <v>3937</v>
      </c>
      <c r="CL208" s="12" t="s">
        <v>3938</v>
      </c>
      <c r="CM208" s="12" t="s">
        <v>3939</v>
      </c>
      <c r="CN208" s="12" t="s">
        <v>3940</v>
      </c>
      <c r="CO208" s="12" t="s">
        <v>3941</v>
      </c>
      <c r="CP208" s="12" t="s">
        <v>3942</v>
      </c>
      <c r="CQ208" s="12" t="s">
        <v>3943</v>
      </c>
      <c r="CR208" s="12" t="s">
        <v>3944</v>
      </c>
      <c r="CS208" s="12" t="s">
        <v>3945</v>
      </c>
      <c r="CT208" s="12" t="s">
        <v>3946</v>
      </c>
    </row>
    <row r="209" spans="1:98" hidden="1" x14ac:dyDescent="0.3">
      <c r="A209" s="12" t="s">
        <v>25</v>
      </c>
      <c r="B209" s="12" t="s">
        <v>3947</v>
      </c>
      <c r="C209" s="12" t="s">
        <v>3948</v>
      </c>
      <c r="D209" s="12" t="s">
        <v>3949</v>
      </c>
      <c r="E209" s="12" t="s">
        <v>596</v>
      </c>
      <c r="F209" s="12" t="s">
        <v>596</v>
      </c>
      <c r="G209" s="12" t="s">
        <v>596</v>
      </c>
      <c r="H209" s="12" t="s">
        <v>596</v>
      </c>
      <c r="I209" s="12" t="s">
        <v>596</v>
      </c>
      <c r="J209" s="12" t="s">
        <v>596</v>
      </c>
      <c r="K209" s="12" t="s">
        <v>596</v>
      </c>
      <c r="L209" s="12" t="s">
        <v>596</v>
      </c>
      <c r="M209" s="12" t="s">
        <v>596</v>
      </c>
      <c r="N209" s="12" t="s">
        <v>596</v>
      </c>
      <c r="O209" s="12" t="s">
        <v>596</v>
      </c>
      <c r="P209" s="12" t="s">
        <v>596</v>
      </c>
      <c r="Q209" s="12" t="s">
        <v>596</v>
      </c>
      <c r="R209" s="12" t="s">
        <v>596</v>
      </c>
      <c r="S209" s="12" t="s">
        <v>596</v>
      </c>
      <c r="T209" s="12" t="s">
        <v>596</v>
      </c>
      <c r="U209" s="12" t="s">
        <v>596</v>
      </c>
      <c r="V209" s="12" t="s">
        <v>596</v>
      </c>
      <c r="W209" s="12" t="s">
        <v>596</v>
      </c>
      <c r="X209" s="12" t="s">
        <v>596</v>
      </c>
      <c r="Y209" s="12" t="s">
        <v>596</v>
      </c>
      <c r="Z209" s="12" t="s">
        <v>596</v>
      </c>
      <c r="AA209" s="12" t="s">
        <v>596</v>
      </c>
      <c r="AB209" s="12" t="s">
        <v>596</v>
      </c>
      <c r="AC209" s="12" t="s">
        <v>596</v>
      </c>
      <c r="AD209" s="12" t="s">
        <v>596</v>
      </c>
      <c r="AE209" s="12" t="s">
        <v>596</v>
      </c>
      <c r="AF209" s="12" t="s">
        <v>596</v>
      </c>
      <c r="AG209" s="12" t="s">
        <v>596</v>
      </c>
      <c r="AH209" s="12" t="s">
        <v>596</v>
      </c>
      <c r="AI209" s="12" t="s">
        <v>596</v>
      </c>
      <c r="AJ209" s="12" t="s">
        <v>596</v>
      </c>
      <c r="AK209" s="12" t="s">
        <v>596</v>
      </c>
      <c r="AL209" s="12" t="s">
        <v>596</v>
      </c>
      <c r="AM209" s="12" t="s">
        <v>597</v>
      </c>
      <c r="AN209" s="12" t="s">
        <v>597</v>
      </c>
      <c r="AO209" s="12" t="s">
        <v>773</v>
      </c>
      <c r="AP209" s="12" t="s">
        <v>773</v>
      </c>
      <c r="AQ209" s="12" t="s">
        <v>826</v>
      </c>
      <c r="AR209" s="12" t="s">
        <v>931</v>
      </c>
      <c r="AS209" s="12" t="s">
        <v>647</v>
      </c>
      <c r="AT209" s="12" t="s">
        <v>787</v>
      </c>
      <c r="AU209" s="12" t="s">
        <v>700</v>
      </c>
      <c r="AV209" s="12" t="s">
        <v>1371</v>
      </c>
      <c r="AW209" s="12" t="s">
        <v>1144</v>
      </c>
      <c r="AX209" s="12" t="s">
        <v>1282</v>
      </c>
      <c r="AY209" s="12" t="s">
        <v>977</v>
      </c>
      <c r="AZ209" s="12" t="s">
        <v>3950</v>
      </c>
      <c r="BA209" s="12" t="s">
        <v>1721</v>
      </c>
      <c r="BB209" s="12" t="s">
        <v>2013</v>
      </c>
      <c r="BC209" s="12" t="s">
        <v>2013</v>
      </c>
      <c r="BD209" s="12" t="s">
        <v>3951</v>
      </c>
      <c r="BE209" s="12" t="s">
        <v>3952</v>
      </c>
      <c r="BF209" s="12" t="s">
        <v>3766</v>
      </c>
      <c r="BG209" s="12" t="s">
        <v>3766</v>
      </c>
      <c r="BH209" s="12" t="s">
        <v>3953</v>
      </c>
      <c r="BI209" s="12" t="s">
        <v>3954</v>
      </c>
      <c r="BJ209" s="12" t="s">
        <v>3955</v>
      </c>
      <c r="BK209" s="12" t="s">
        <v>3956</v>
      </c>
      <c r="BL209" s="12" t="s">
        <v>2793</v>
      </c>
      <c r="BM209" s="12" t="s">
        <v>3957</v>
      </c>
      <c r="BN209" s="12" t="s">
        <v>3958</v>
      </c>
      <c r="BO209" s="12" t="s">
        <v>3959</v>
      </c>
      <c r="BP209" s="12" t="s">
        <v>3960</v>
      </c>
      <c r="BQ209" s="12" t="s">
        <v>3961</v>
      </c>
      <c r="BR209" s="12" t="s">
        <v>3962</v>
      </c>
      <c r="BS209" s="12" t="s">
        <v>3963</v>
      </c>
      <c r="BT209" s="12" t="s">
        <v>3964</v>
      </c>
      <c r="BU209" s="12" t="s">
        <v>3965</v>
      </c>
      <c r="BV209" s="12" t="s">
        <v>3966</v>
      </c>
      <c r="BW209" s="12" t="s">
        <v>3967</v>
      </c>
      <c r="BX209" s="12" t="s">
        <v>3968</v>
      </c>
      <c r="BY209" s="12" t="s">
        <v>3969</v>
      </c>
      <c r="BZ209" s="12" t="s">
        <v>3970</v>
      </c>
      <c r="CA209" s="12" t="s">
        <v>3971</v>
      </c>
      <c r="CB209" s="12" t="s">
        <v>3972</v>
      </c>
      <c r="CC209" s="12" t="s">
        <v>3973</v>
      </c>
      <c r="CD209" s="12" t="s">
        <v>3974</v>
      </c>
      <c r="CE209" s="12" t="s">
        <v>3975</v>
      </c>
      <c r="CF209" s="12" t="s">
        <v>3976</v>
      </c>
      <c r="CG209" s="12" t="s">
        <v>3977</v>
      </c>
      <c r="CH209" s="12" t="s">
        <v>3978</v>
      </c>
      <c r="CI209" s="12" t="s">
        <v>3979</v>
      </c>
      <c r="CJ209" s="12" t="s">
        <v>3980</v>
      </c>
      <c r="CK209" s="12" t="s">
        <v>3981</v>
      </c>
      <c r="CL209" s="12" t="s">
        <v>3982</v>
      </c>
      <c r="CM209" s="12" t="s">
        <v>3983</v>
      </c>
      <c r="CN209" s="12" t="s">
        <v>3984</v>
      </c>
      <c r="CO209" s="12" t="s">
        <v>3985</v>
      </c>
      <c r="CP209" s="12" t="s">
        <v>3986</v>
      </c>
      <c r="CQ209" s="12" t="s">
        <v>3987</v>
      </c>
      <c r="CR209" s="12" t="s">
        <v>3988</v>
      </c>
      <c r="CS209" s="12" t="s">
        <v>3989</v>
      </c>
      <c r="CT209" s="12" t="s">
        <v>3990</v>
      </c>
    </row>
    <row r="210" spans="1:98" hidden="1" x14ac:dyDescent="0.3">
      <c r="A210" s="12" t="s">
        <v>25</v>
      </c>
      <c r="B210" s="12" t="s">
        <v>3991</v>
      </c>
      <c r="C210" s="12" t="s">
        <v>3992</v>
      </c>
      <c r="D210" s="12" t="s">
        <v>3993</v>
      </c>
      <c r="E210" s="12" t="s">
        <v>597</v>
      </c>
      <c r="F210" s="12" t="s">
        <v>597</v>
      </c>
      <c r="G210" s="12" t="s">
        <v>690</v>
      </c>
      <c r="H210" s="12" t="s">
        <v>690</v>
      </c>
      <c r="I210" s="12" t="s">
        <v>598</v>
      </c>
      <c r="J210" s="12" t="s">
        <v>599</v>
      </c>
      <c r="K210" s="12" t="s">
        <v>773</v>
      </c>
      <c r="L210" s="12" t="s">
        <v>773</v>
      </c>
      <c r="M210" s="12" t="s">
        <v>779</v>
      </c>
      <c r="N210" s="12" t="s">
        <v>642</v>
      </c>
      <c r="O210" s="12" t="s">
        <v>642</v>
      </c>
      <c r="P210" s="12" t="s">
        <v>642</v>
      </c>
      <c r="Q210" s="12" t="s">
        <v>642</v>
      </c>
      <c r="R210" s="12" t="s">
        <v>601</v>
      </c>
      <c r="S210" s="12" t="s">
        <v>601</v>
      </c>
      <c r="T210" s="12" t="s">
        <v>602</v>
      </c>
      <c r="U210" s="12" t="s">
        <v>602</v>
      </c>
      <c r="V210" s="12" t="s">
        <v>691</v>
      </c>
      <c r="W210" s="12" t="s">
        <v>826</v>
      </c>
      <c r="X210" s="12" t="s">
        <v>826</v>
      </c>
      <c r="Y210" s="12" t="s">
        <v>826</v>
      </c>
      <c r="Z210" s="12" t="s">
        <v>826</v>
      </c>
      <c r="AA210" s="12" t="s">
        <v>826</v>
      </c>
      <c r="AB210" s="12" t="s">
        <v>826</v>
      </c>
      <c r="AC210" s="12" t="s">
        <v>826</v>
      </c>
      <c r="AD210" s="12" t="s">
        <v>693</v>
      </c>
      <c r="AE210" s="12" t="s">
        <v>604</v>
      </c>
      <c r="AF210" s="12" t="s">
        <v>604</v>
      </c>
      <c r="AG210" s="12" t="s">
        <v>644</v>
      </c>
      <c r="AH210" s="12" t="s">
        <v>605</v>
      </c>
      <c r="AI210" s="12" t="s">
        <v>694</v>
      </c>
      <c r="AJ210" s="12" t="s">
        <v>694</v>
      </c>
      <c r="AK210" s="12" t="s">
        <v>887</v>
      </c>
      <c r="AL210" s="12" t="s">
        <v>2036</v>
      </c>
      <c r="AM210" s="12" t="s">
        <v>784</v>
      </c>
      <c r="AN210" s="12" t="s">
        <v>870</v>
      </c>
      <c r="AO210" s="12" t="s">
        <v>870</v>
      </c>
      <c r="AP210" s="12" t="s">
        <v>785</v>
      </c>
      <c r="AQ210" s="12" t="s">
        <v>736</v>
      </c>
      <c r="AR210" s="12" t="s">
        <v>606</v>
      </c>
      <c r="AS210" s="12" t="s">
        <v>1064</v>
      </c>
      <c r="AT210" s="12" t="s">
        <v>647</v>
      </c>
      <c r="AU210" s="12" t="s">
        <v>647</v>
      </c>
      <c r="AV210" s="12" t="s">
        <v>1114</v>
      </c>
      <c r="AW210" s="12" t="s">
        <v>786</v>
      </c>
      <c r="AX210" s="12" t="s">
        <v>786</v>
      </c>
      <c r="AY210" s="12" t="s">
        <v>786</v>
      </c>
      <c r="AZ210" s="12" t="s">
        <v>786</v>
      </c>
      <c r="BA210" s="12" t="s">
        <v>990</v>
      </c>
      <c r="BB210" s="12" t="s">
        <v>696</v>
      </c>
      <c r="BC210" s="12" t="s">
        <v>1009</v>
      </c>
      <c r="BD210" s="12" t="s">
        <v>972</v>
      </c>
      <c r="BE210" s="12" t="s">
        <v>737</v>
      </c>
      <c r="BF210" s="12" t="s">
        <v>650</v>
      </c>
      <c r="BG210" s="12" t="s">
        <v>973</v>
      </c>
      <c r="BH210" s="12" t="s">
        <v>873</v>
      </c>
      <c r="BI210" s="12" t="s">
        <v>879</v>
      </c>
      <c r="BJ210" s="12" t="s">
        <v>1517</v>
      </c>
      <c r="BK210" s="12" t="s">
        <v>1374</v>
      </c>
      <c r="BL210" s="12" t="s">
        <v>2118</v>
      </c>
      <c r="BM210" s="12" t="s">
        <v>1000</v>
      </c>
      <c r="BN210" s="12" t="s">
        <v>1002</v>
      </c>
      <c r="BO210" s="12" t="s">
        <v>1753</v>
      </c>
      <c r="BP210" s="12" t="s">
        <v>833</v>
      </c>
      <c r="BQ210" s="12" t="s">
        <v>1529</v>
      </c>
      <c r="BR210" s="12" t="s">
        <v>745</v>
      </c>
      <c r="BS210" s="12" t="s">
        <v>1846</v>
      </c>
      <c r="BT210" s="12" t="s">
        <v>1116</v>
      </c>
      <c r="BU210" s="12" t="s">
        <v>1442</v>
      </c>
      <c r="BV210" s="12" t="s">
        <v>1760</v>
      </c>
      <c r="BW210" s="12" t="s">
        <v>837</v>
      </c>
      <c r="BX210" s="12" t="s">
        <v>2076</v>
      </c>
      <c r="BY210" s="12" t="s">
        <v>2590</v>
      </c>
      <c r="BZ210" s="12" t="s">
        <v>1013</v>
      </c>
      <c r="CA210" s="12" t="s">
        <v>2078</v>
      </c>
      <c r="CB210" s="12" t="s">
        <v>1999</v>
      </c>
      <c r="CC210" s="12" t="s">
        <v>749</v>
      </c>
      <c r="CD210" s="12" t="s">
        <v>3994</v>
      </c>
      <c r="CE210" s="12" t="s">
        <v>1709</v>
      </c>
      <c r="CF210" s="12" t="s">
        <v>2207</v>
      </c>
      <c r="CG210" s="12" t="s">
        <v>3784</v>
      </c>
      <c r="CH210" s="12" t="s">
        <v>2520</v>
      </c>
      <c r="CI210" s="12" t="s">
        <v>1711</v>
      </c>
      <c r="CJ210" s="12" t="s">
        <v>1711</v>
      </c>
      <c r="CK210" s="12" t="s">
        <v>1712</v>
      </c>
      <c r="CL210" s="12" t="s">
        <v>1712</v>
      </c>
      <c r="CM210" s="12" t="s">
        <v>1712</v>
      </c>
      <c r="CN210" s="12" t="s">
        <v>3144</v>
      </c>
      <c r="CO210" s="12" t="s">
        <v>981</v>
      </c>
      <c r="CP210" s="12" t="s">
        <v>1386</v>
      </c>
      <c r="CQ210" s="12" t="s">
        <v>1551</v>
      </c>
      <c r="CR210" s="12" t="s">
        <v>1716</v>
      </c>
      <c r="CS210" s="12" t="s">
        <v>2908</v>
      </c>
      <c r="CT210" s="12" t="s">
        <v>751</v>
      </c>
    </row>
    <row r="211" spans="1:98" hidden="1" x14ac:dyDescent="0.3">
      <c r="A211" s="12" t="s">
        <v>25</v>
      </c>
      <c r="B211" s="12" t="s">
        <v>3995</v>
      </c>
      <c r="C211" s="12" t="s">
        <v>3996</v>
      </c>
      <c r="D211" s="12" t="s">
        <v>3997</v>
      </c>
      <c r="E211" s="12" t="s">
        <v>596</v>
      </c>
      <c r="F211" s="12" t="s">
        <v>596</v>
      </c>
      <c r="G211" s="12" t="s">
        <v>596</v>
      </c>
      <c r="H211" s="12" t="s">
        <v>596</v>
      </c>
      <c r="I211" s="12" t="s">
        <v>596</v>
      </c>
      <c r="J211" s="12" t="s">
        <v>596</v>
      </c>
      <c r="K211" s="12" t="s">
        <v>596</v>
      </c>
      <c r="L211" s="12" t="s">
        <v>596</v>
      </c>
      <c r="M211" s="12" t="s">
        <v>596</v>
      </c>
      <c r="N211" s="12" t="s">
        <v>596</v>
      </c>
      <c r="O211" s="12" t="s">
        <v>596</v>
      </c>
      <c r="P211" s="12" t="s">
        <v>596</v>
      </c>
      <c r="Q211" s="12" t="s">
        <v>596</v>
      </c>
      <c r="R211" s="12" t="s">
        <v>596</v>
      </c>
      <c r="S211" s="12" t="s">
        <v>596</v>
      </c>
      <c r="T211" s="12" t="s">
        <v>596</v>
      </c>
      <c r="U211" s="12" t="s">
        <v>596</v>
      </c>
      <c r="V211" s="12" t="s">
        <v>596</v>
      </c>
      <c r="W211" s="12" t="s">
        <v>596</v>
      </c>
      <c r="X211" s="12" t="s">
        <v>596</v>
      </c>
      <c r="Y211" s="12" t="s">
        <v>596</v>
      </c>
      <c r="Z211" s="12" t="s">
        <v>596</v>
      </c>
      <c r="AA211" s="12" t="s">
        <v>596</v>
      </c>
      <c r="AB211" s="12" t="s">
        <v>596</v>
      </c>
      <c r="AC211" s="12" t="s">
        <v>596</v>
      </c>
      <c r="AD211" s="12" t="s">
        <v>596</v>
      </c>
      <c r="AE211" s="12" t="s">
        <v>596</v>
      </c>
      <c r="AF211" s="12" t="s">
        <v>596</v>
      </c>
      <c r="AG211" s="12" t="s">
        <v>596</v>
      </c>
      <c r="AH211" s="12" t="s">
        <v>596</v>
      </c>
      <c r="AI211" s="12" t="s">
        <v>596</v>
      </c>
      <c r="AJ211" s="12" t="s">
        <v>596</v>
      </c>
      <c r="AK211" s="12" t="s">
        <v>596</v>
      </c>
      <c r="AL211" s="12" t="s">
        <v>596</v>
      </c>
      <c r="AM211" s="12" t="s">
        <v>596</v>
      </c>
      <c r="AN211" s="12" t="s">
        <v>596</v>
      </c>
      <c r="AO211" s="12" t="s">
        <v>596</v>
      </c>
      <c r="AP211" s="12" t="s">
        <v>596</v>
      </c>
      <c r="AQ211" s="12" t="s">
        <v>596</v>
      </c>
      <c r="AR211" s="12" t="s">
        <v>596</v>
      </c>
      <c r="AS211" s="12" t="s">
        <v>596</v>
      </c>
      <c r="AT211" s="12" t="s">
        <v>596</v>
      </c>
      <c r="AU211" s="12" t="s">
        <v>596</v>
      </c>
      <c r="AV211" s="12" t="s">
        <v>596</v>
      </c>
      <c r="AW211" s="12" t="s">
        <v>596</v>
      </c>
      <c r="AX211" s="12" t="s">
        <v>596</v>
      </c>
      <c r="AY211" s="12" t="s">
        <v>596</v>
      </c>
      <c r="AZ211" s="12" t="s">
        <v>596</v>
      </c>
      <c r="BA211" s="12" t="s">
        <v>596</v>
      </c>
      <c r="BB211" s="12" t="s">
        <v>596</v>
      </c>
      <c r="BC211" s="12" t="s">
        <v>596</v>
      </c>
      <c r="BD211" s="12" t="s">
        <v>596</v>
      </c>
      <c r="BE211" s="12" t="s">
        <v>596</v>
      </c>
      <c r="BF211" s="12" t="s">
        <v>596</v>
      </c>
      <c r="BG211" s="12" t="s">
        <v>597</v>
      </c>
      <c r="BH211" s="12" t="s">
        <v>597</v>
      </c>
      <c r="BI211" s="12" t="s">
        <v>690</v>
      </c>
      <c r="BJ211" s="12" t="s">
        <v>869</v>
      </c>
      <c r="BK211" s="12" t="s">
        <v>869</v>
      </c>
      <c r="BL211" s="12" t="s">
        <v>869</v>
      </c>
      <c r="BM211" s="12" t="s">
        <v>643</v>
      </c>
      <c r="BN211" s="12" t="s">
        <v>643</v>
      </c>
      <c r="BO211" s="12" t="s">
        <v>643</v>
      </c>
      <c r="BP211" s="12" t="s">
        <v>643</v>
      </c>
      <c r="BQ211" s="12" t="s">
        <v>886</v>
      </c>
      <c r="BR211" s="12" t="s">
        <v>886</v>
      </c>
      <c r="BS211" s="12" t="s">
        <v>774</v>
      </c>
      <c r="BT211" s="12" t="s">
        <v>774</v>
      </c>
      <c r="BU211" s="12" t="s">
        <v>692</v>
      </c>
      <c r="BV211" s="12" t="s">
        <v>692</v>
      </c>
      <c r="BW211" s="12" t="s">
        <v>693</v>
      </c>
      <c r="BX211" s="12" t="s">
        <v>693</v>
      </c>
      <c r="BY211" s="12" t="s">
        <v>693</v>
      </c>
      <c r="BZ211" s="12" t="s">
        <v>693</v>
      </c>
      <c r="CA211" s="12" t="s">
        <v>604</v>
      </c>
      <c r="CB211" s="12" t="s">
        <v>605</v>
      </c>
      <c r="CC211" s="12" t="s">
        <v>605</v>
      </c>
      <c r="CD211" s="12" t="s">
        <v>775</v>
      </c>
      <c r="CE211" s="12" t="s">
        <v>775</v>
      </c>
      <c r="CF211" s="12" t="s">
        <v>870</v>
      </c>
      <c r="CG211" s="12" t="s">
        <v>870</v>
      </c>
      <c r="CH211" s="12" t="s">
        <v>870</v>
      </c>
      <c r="CI211" s="12" t="s">
        <v>1009</v>
      </c>
      <c r="CJ211" s="12" t="s">
        <v>737</v>
      </c>
      <c r="CK211" s="12" t="s">
        <v>739</v>
      </c>
      <c r="CL211" s="12" t="s">
        <v>609</v>
      </c>
      <c r="CM211" s="12" t="s">
        <v>1533</v>
      </c>
      <c r="CN211" s="12" t="s">
        <v>1533</v>
      </c>
      <c r="CO211" s="12" t="s">
        <v>612</v>
      </c>
      <c r="CP211" s="12" t="s">
        <v>1510</v>
      </c>
      <c r="CQ211" s="12" t="s">
        <v>1510</v>
      </c>
      <c r="CR211" s="12" t="s">
        <v>3045</v>
      </c>
      <c r="CS211" s="12" t="s">
        <v>3045</v>
      </c>
      <c r="CT211" s="12" t="s">
        <v>617</v>
      </c>
    </row>
    <row r="212" spans="1:98" hidden="1" x14ac:dyDescent="0.3">
      <c r="A212" s="12" t="s">
        <v>25</v>
      </c>
      <c r="B212" s="12" t="s">
        <v>3998</v>
      </c>
      <c r="C212" s="12" t="s">
        <v>3999</v>
      </c>
      <c r="D212" s="12" t="s">
        <v>4000</v>
      </c>
      <c r="E212" s="12" t="s">
        <v>641</v>
      </c>
      <c r="F212" s="12" t="s">
        <v>690</v>
      </c>
      <c r="G212" s="12" t="s">
        <v>599</v>
      </c>
      <c r="H212" s="12" t="s">
        <v>600</v>
      </c>
      <c r="I212" s="12" t="s">
        <v>773</v>
      </c>
      <c r="J212" s="12" t="s">
        <v>773</v>
      </c>
      <c r="K212" s="12" t="s">
        <v>774</v>
      </c>
      <c r="L212" s="12" t="s">
        <v>774</v>
      </c>
      <c r="M212" s="12" t="s">
        <v>774</v>
      </c>
      <c r="N212" s="12" t="s">
        <v>692</v>
      </c>
      <c r="O212" s="12" t="s">
        <v>692</v>
      </c>
      <c r="P212" s="12" t="s">
        <v>692</v>
      </c>
      <c r="Q212" s="12" t="s">
        <v>692</v>
      </c>
      <c r="R212" s="12" t="s">
        <v>775</v>
      </c>
      <c r="S212" s="12" t="s">
        <v>775</v>
      </c>
      <c r="T212" s="12" t="s">
        <v>775</v>
      </c>
      <c r="U212" s="12" t="s">
        <v>775</v>
      </c>
      <c r="V212" s="12" t="s">
        <v>870</v>
      </c>
      <c r="W212" s="12" t="s">
        <v>870</v>
      </c>
      <c r="X212" s="12" t="s">
        <v>870</v>
      </c>
      <c r="Y212" s="12" t="s">
        <v>645</v>
      </c>
      <c r="Z212" s="12" t="s">
        <v>645</v>
      </c>
      <c r="AA212" s="12" t="s">
        <v>645</v>
      </c>
      <c r="AB212" s="12" t="s">
        <v>645</v>
      </c>
      <c r="AC212" s="12" t="s">
        <v>645</v>
      </c>
      <c r="AD212" s="12" t="s">
        <v>785</v>
      </c>
      <c r="AE212" s="12" t="s">
        <v>935</v>
      </c>
      <c r="AF212" s="12" t="s">
        <v>935</v>
      </c>
      <c r="AG212" s="12" t="s">
        <v>935</v>
      </c>
      <c r="AH212" s="12" t="s">
        <v>935</v>
      </c>
      <c r="AI212" s="12" t="s">
        <v>935</v>
      </c>
      <c r="AJ212" s="12" t="s">
        <v>935</v>
      </c>
      <c r="AK212" s="12" t="s">
        <v>935</v>
      </c>
      <c r="AL212" s="12" t="s">
        <v>935</v>
      </c>
      <c r="AM212" s="12" t="s">
        <v>695</v>
      </c>
      <c r="AN212" s="12" t="s">
        <v>606</v>
      </c>
      <c r="AO212" s="12" t="s">
        <v>606</v>
      </c>
      <c r="AP212" s="12" t="s">
        <v>1064</v>
      </c>
      <c r="AQ212" s="12" t="s">
        <v>647</v>
      </c>
      <c r="AR212" s="12" t="s">
        <v>647</v>
      </c>
      <c r="AS212" s="12" t="s">
        <v>1277</v>
      </c>
      <c r="AT212" s="12" t="s">
        <v>1277</v>
      </c>
      <c r="AU212" s="12" t="s">
        <v>1277</v>
      </c>
      <c r="AV212" s="12" t="s">
        <v>990</v>
      </c>
      <c r="AW212" s="12" t="s">
        <v>696</v>
      </c>
      <c r="AX212" s="12" t="s">
        <v>972</v>
      </c>
      <c r="AY212" s="12" t="s">
        <v>972</v>
      </c>
      <c r="AZ212" s="12" t="s">
        <v>972</v>
      </c>
      <c r="BA212" s="12" t="s">
        <v>737</v>
      </c>
      <c r="BB212" s="12" t="s">
        <v>650</v>
      </c>
      <c r="BC212" s="12" t="s">
        <v>652</v>
      </c>
      <c r="BD212" s="12" t="s">
        <v>738</v>
      </c>
      <c r="BE212" s="12" t="s">
        <v>994</v>
      </c>
      <c r="BF212" s="12" t="s">
        <v>1371</v>
      </c>
      <c r="BG212" s="12" t="s">
        <v>1533</v>
      </c>
      <c r="BH212" s="12" t="s">
        <v>1549</v>
      </c>
      <c r="BI212" s="12" t="s">
        <v>660</v>
      </c>
      <c r="BJ212" s="12" t="s">
        <v>1754</v>
      </c>
      <c r="BK212" s="12" t="s">
        <v>1760</v>
      </c>
      <c r="BL212" s="12" t="s">
        <v>979</v>
      </c>
      <c r="BM212" s="12" t="s">
        <v>2124</v>
      </c>
      <c r="BN212" s="12" t="s">
        <v>1542</v>
      </c>
      <c r="BO212" s="12" t="s">
        <v>1545</v>
      </c>
      <c r="BP212" s="12" t="s">
        <v>954</v>
      </c>
      <c r="BQ212" s="12" t="s">
        <v>4001</v>
      </c>
      <c r="BR212" s="12" t="s">
        <v>1165</v>
      </c>
      <c r="BS212" s="12" t="s">
        <v>4002</v>
      </c>
      <c r="BT212" s="12" t="s">
        <v>4003</v>
      </c>
      <c r="BU212" s="12" t="s">
        <v>1812</v>
      </c>
      <c r="BV212" s="12" t="s">
        <v>4004</v>
      </c>
      <c r="BW212" s="12" t="s">
        <v>2737</v>
      </c>
      <c r="BX212" s="12" t="s">
        <v>4005</v>
      </c>
      <c r="BY212" s="12" t="s">
        <v>4006</v>
      </c>
      <c r="BZ212" s="12" t="s">
        <v>4007</v>
      </c>
      <c r="CA212" s="12" t="s">
        <v>4008</v>
      </c>
      <c r="CB212" s="12" t="s">
        <v>4009</v>
      </c>
      <c r="CC212" s="12" t="s">
        <v>4010</v>
      </c>
      <c r="CD212" s="12" t="s">
        <v>2911</v>
      </c>
      <c r="CE212" s="12" t="s">
        <v>4011</v>
      </c>
      <c r="CF212" s="12" t="s">
        <v>2166</v>
      </c>
      <c r="CG212" s="12" t="s">
        <v>1177</v>
      </c>
      <c r="CH212" s="12" t="s">
        <v>4012</v>
      </c>
      <c r="CI212" s="12" t="s">
        <v>4013</v>
      </c>
      <c r="CJ212" s="12" t="s">
        <v>4014</v>
      </c>
      <c r="CK212" s="12" t="s">
        <v>4015</v>
      </c>
      <c r="CL212" s="12" t="s">
        <v>4016</v>
      </c>
      <c r="CM212" s="12" t="s">
        <v>3953</v>
      </c>
      <c r="CN212" s="12" t="s">
        <v>4017</v>
      </c>
      <c r="CO212" s="12" t="s">
        <v>4018</v>
      </c>
      <c r="CP212" s="12" t="s">
        <v>4019</v>
      </c>
      <c r="CQ212" s="12" t="s">
        <v>729</v>
      </c>
      <c r="CR212" s="12" t="s">
        <v>4020</v>
      </c>
      <c r="CS212" s="12" t="s">
        <v>817</v>
      </c>
      <c r="CT212" s="12" t="s">
        <v>4021</v>
      </c>
    </row>
    <row r="213" spans="1:98" hidden="1" x14ac:dyDescent="0.3">
      <c r="A213" s="12" t="s">
        <v>25</v>
      </c>
      <c r="B213" s="12" t="s">
        <v>4022</v>
      </c>
      <c r="C213" s="12" t="s">
        <v>4023</v>
      </c>
      <c r="D213" s="12" t="s">
        <v>4024</v>
      </c>
      <c r="E213" s="12" t="s">
        <v>596</v>
      </c>
      <c r="F213" s="12" t="s">
        <v>596</v>
      </c>
      <c r="G213" s="12" t="s">
        <v>596</v>
      </c>
      <c r="H213" s="12" t="s">
        <v>596</v>
      </c>
      <c r="I213" s="12" t="s">
        <v>596</v>
      </c>
      <c r="J213" s="12" t="s">
        <v>596</v>
      </c>
      <c r="K213" s="12" t="s">
        <v>596</v>
      </c>
      <c r="L213" s="12" t="s">
        <v>596</v>
      </c>
      <c r="M213" s="12" t="s">
        <v>596</v>
      </c>
      <c r="N213" s="12" t="s">
        <v>596</v>
      </c>
      <c r="O213" s="12" t="s">
        <v>596</v>
      </c>
      <c r="P213" s="12" t="s">
        <v>596</v>
      </c>
      <c r="Q213" s="12" t="s">
        <v>596</v>
      </c>
      <c r="R213" s="12" t="s">
        <v>596</v>
      </c>
      <c r="S213" s="12" t="s">
        <v>596</v>
      </c>
      <c r="T213" s="12" t="s">
        <v>596</v>
      </c>
      <c r="U213" s="12" t="s">
        <v>596</v>
      </c>
      <c r="V213" s="12" t="s">
        <v>596</v>
      </c>
      <c r="W213" s="12" t="s">
        <v>596</v>
      </c>
      <c r="X213" s="12" t="s">
        <v>596</v>
      </c>
      <c r="Y213" s="12" t="s">
        <v>596</v>
      </c>
      <c r="Z213" s="12" t="s">
        <v>596</v>
      </c>
      <c r="AA213" s="12" t="s">
        <v>596</v>
      </c>
      <c r="AB213" s="12" t="s">
        <v>596</v>
      </c>
      <c r="AC213" s="12" t="s">
        <v>596</v>
      </c>
      <c r="AD213" s="12" t="s">
        <v>596</v>
      </c>
      <c r="AE213" s="12" t="s">
        <v>596</v>
      </c>
      <c r="AF213" s="12" t="s">
        <v>596</v>
      </c>
      <c r="AG213" s="12" t="s">
        <v>596</v>
      </c>
      <c r="AH213" s="12" t="s">
        <v>596</v>
      </c>
      <c r="AI213" s="12" t="s">
        <v>596</v>
      </c>
      <c r="AJ213" s="12" t="s">
        <v>596</v>
      </c>
      <c r="AK213" s="12" t="s">
        <v>596</v>
      </c>
      <c r="AL213" s="12" t="s">
        <v>596</v>
      </c>
      <c r="AM213" s="12" t="s">
        <v>596</v>
      </c>
      <c r="AN213" s="12" t="s">
        <v>596</v>
      </c>
      <c r="AO213" s="12" t="s">
        <v>596</v>
      </c>
      <c r="AP213" s="12" t="s">
        <v>596</v>
      </c>
      <c r="AQ213" s="12" t="s">
        <v>596</v>
      </c>
      <c r="AR213" s="12" t="s">
        <v>596</v>
      </c>
      <c r="AS213" s="12" t="s">
        <v>596</v>
      </c>
      <c r="AT213" s="12" t="s">
        <v>596</v>
      </c>
      <c r="AU213" s="12" t="s">
        <v>596</v>
      </c>
      <c r="AV213" s="12" t="s">
        <v>596</v>
      </c>
      <c r="AW213" s="12" t="s">
        <v>597</v>
      </c>
      <c r="AX213" s="12" t="s">
        <v>597</v>
      </c>
      <c r="AY213" s="12" t="s">
        <v>597</v>
      </c>
      <c r="AZ213" s="12" t="s">
        <v>597</v>
      </c>
      <c r="BA213" s="12" t="s">
        <v>597</v>
      </c>
      <c r="BB213" s="12" t="s">
        <v>597</v>
      </c>
      <c r="BC213" s="12" t="s">
        <v>597</v>
      </c>
      <c r="BD213" s="12" t="s">
        <v>597</v>
      </c>
      <c r="BE213" s="12" t="s">
        <v>597</v>
      </c>
      <c r="BF213" s="12" t="s">
        <v>597</v>
      </c>
      <c r="BG213" s="12" t="s">
        <v>597</v>
      </c>
      <c r="BH213" s="12" t="s">
        <v>597</v>
      </c>
      <c r="BI213" s="12" t="s">
        <v>597</v>
      </c>
      <c r="BJ213" s="12" t="s">
        <v>597</v>
      </c>
      <c r="BK213" s="12" t="s">
        <v>779</v>
      </c>
      <c r="BL213" s="12" t="s">
        <v>602</v>
      </c>
      <c r="BM213" s="12" t="s">
        <v>602</v>
      </c>
      <c r="BN213" s="12" t="s">
        <v>826</v>
      </c>
      <c r="BO213" s="12" t="s">
        <v>693</v>
      </c>
      <c r="BP213" s="12" t="s">
        <v>644</v>
      </c>
      <c r="BQ213" s="12" t="s">
        <v>644</v>
      </c>
      <c r="BR213" s="12" t="s">
        <v>775</v>
      </c>
      <c r="BS213" s="12" t="s">
        <v>775</v>
      </c>
      <c r="BT213" s="12" t="s">
        <v>775</v>
      </c>
      <c r="BU213" s="12" t="s">
        <v>2036</v>
      </c>
      <c r="BV213" s="12" t="s">
        <v>785</v>
      </c>
      <c r="BW213" s="12" t="s">
        <v>989</v>
      </c>
      <c r="BX213" s="12" t="s">
        <v>736</v>
      </c>
      <c r="BY213" s="12" t="s">
        <v>606</v>
      </c>
      <c r="BZ213" s="12" t="s">
        <v>1064</v>
      </c>
      <c r="CA213" s="12" t="s">
        <v>1114</v>
      </c>
      <c r="CB213" s="12" t="s">
        <v>1431</v>
      </c>
      <c r="CC213" s="12" t="s">
        <v>888</v>
      </c>
      <c r="CD213" s="12" t="s">
        <v>652</v>
      </c>
      <c r="CE213" s="12" t="s">
        <v>1138</v>
      </c>
      <c r="CF213" s="12" t="s">
        <v>653</v>
      </c>
      <c r="CG213" s="12" t="s">
        <v>653</v>
      </c>
      <c r="CH213" s="12" t="s">
        <v>653</v>
      </c>
      <c r="CI213" s="12" t="s">
        <v>873</v>
      </c>
      <c r="CJ213" s="12" t="s">
        <v>873</v>
      </c>
      <c r="CK213" s="12" t="s">
        <v>1202</v>
      </c>
      <c r="CL213" s="12" t="s">
        <v>1202</v>
      </c>
      <c r="CM213" s="12" t="s">
        <v>1370</v>
      </c>
      <c r="CN213" s="12" t="s">
        <v>608</v>
      </c>
      <c r="CO213" s="12" t="s">
        <v>608</v>
      </c>
      <c r="CP213" s="12" t="s">
        <v>608</v>
      </c>
      <c r="CQ213" s="12" t="s">
        <v>995</v>
      </c>
      <c r="CR213" s="12" t="s">
        <v>739</v>
      </c>
      <c r="CS213" s="12" t="s">
        <v>739</v>
      </c>
      <c r="CT213" s="12" t="s">
        <v>700</v>
      </c>
    </row>
    <row r="214" spans="1:98" hidden="1" x14ac:dyDescent="0.3">
      <c r="A214" s="12" t="s">
        <v>25</v>
      </c>
      <c r="B214" s="12" t="s">
        <v>4025</v>
      </c>
      <c r="C214" s="12" t="s">
        <v>4026</v>
      </c>
      <c r="D214" s="12" t="s">
        <v>4027</v>
      </c>
      <c r="E214" s="12" t="s">
        <v>596</v>
      </c>
      <c r="F214" s="12" t="s">
        <v>596</v>
      </c>
      <c r="G214" s="12" t="s">
        <v>596</v>
      </c>
      <c r="H214" s="12" t="s">
        <v>596</v>
      </c>
      <c r="I214" s="12" t="s">
        <v>596</v>
      </c>
      <c r="J214" s="12" t="s">
        <v>596</v>
      </c>
      <c r="K214" s="12" t="s">
        <v>596</v>
      </c>
      <c r="L214" s="12" t="s">
        <v>596</v>
      </c>
      <c r="M214" s="12" t="s">
        <v>596</v>
      </c>
      <c r="N214" s="12" t="s">
        <v>596</v>
      </c>
      <c r="O214" s="12" t="s">
        <v>596</v>
      </c>
      <c r="P214" s="12" t="s">
        <v>596</v>
      </c>
      <c r="Q214" s="12" t="s">
        <v>596</v>
      </c>
      <c r="R214" s="12" t="s">
        <v>596</v>
      </c>
      <c r="S214" s="12" t="s">
        <v>596</v>
      </c>
      <c r="T214" s="12" t="s">
        <v>596</v>
      </c>
      <c r="U214" s="12" t="s">
        <v>596</v>
      </c>
      <c r="V214" s="12" t="s">
        <v>596</v>
      </c>
      <c r="W214" s="12" t="s">
        <v>596</v>
      </c>
      <c r="X214" s="12" t="s">
        <v>596</v>
      </c>
      <c r="Y214" s="12" t="s">
        <v>596</v>
      </c>
      <c r="Z214" s="12" t="s">
        <v>596</v>
      </c>
      <c r="AA214" s="12" t="s">
        <v>596</v>
      </c>
      <c r="AB214" s="12" t="s">
        <v>596</v>
      </c>
      <c r="AC214" s="12" t="s">
        <v>596</v>
      </c>
      <c r="AD214" s="12" t="s">
        <v>596</v>
      </c>
      <c r="AE214" s="12" t="s">
        <v>596</v>
      </c>
      <c r="AF214" s="12" t="s">
        <v>596</v>
      </c>
      <c r="AG214" s="12" t="s">
        <v>596</v>
      </c>
      <c r="AH214" s="12" t="s">
        <v>596</v>
      </c>
      <c r="AI214" s="12" t="s">
        <v>596</v>
      </c>
      <c r="AJ214" s="12" t="s">
        <v>596</v>
      </c>
      <c r="AK214" s="12" t="s">
        <v>596</v>
      </c>
      <c r="AL214" s="12" t="s">
        <v>596</v>
      </c>
      <c r="AM214" s="12" t="s">
        <v>596</v>
      </c>
      <c r="AN214" s="12" t="s">
        <v>596</v>
      </c>
      <c r="AO214" s="12" t="s">
        <v>596</v>
      </c>
      <c r="AP214" s="12" t="s">
        <v>596</v>
      </c>
      <c r="AQ214" s="12" t="s">
        <v>596</v>
      </c>
      <c r="AR214" s="12" t="s">
        <v>596</v>
      </c>
      <c r="AS214" s="12" t="s">
        <v>596</v>
      </c>
      <c r="AT214" s="12" t="s">
        <v>596</v>
      </c>
      <c r="AU214" s="12" t="s">
        <v>596</v>
      </c>
      <c r="AV214" s="12" t="s">
        <v>596</v>
      </c>
      <c r="AW214" s="12" t="s">
        <v>596</v>
      </c>
      <c r="AX214" s="12" t="s">
        <v>596</v>
      </c>
      <c r="AY214" s="12" t="s">
        <v>596</v>
      </c>
      <c r="AZ214" s="12" t="s">
        <v>596</v>
      </c>
      <c r="BA214" s="12" t="s">
        <v>596</v>
      </c>
      <c r="BB214" s="12" t="s">
        <v>596</v>
      </c>
      <c r="BC214" s="12" t="s">
        <v>596</v>
      </c>
      <c r="BD214" s="12" t="s">
        <v>596</v>
      </c>
      <c r="BE214" s="12" t="s">
        <v>641</v>
      </c>
      <c r="BF214" s="12" t="s">
        <v>641</v>
      </c>
      <c r="BG214" s="12" t="s">
        <v>598</v>
      </c>
      <c r="BH214" s="12" t="s">
        <v>599</v>
      </c>
      <c r="BI214" s="12" t="s">
        <v>600</v>
      </c>
      <c r="BJ214" s="12" t="s">
        <v>779</v>
      </c>
      <c r="BK214" s="12" t="s">
        <v>779</v>
      </c>
      <c r="BL214" s="12" t="s">
        <v>1009</v>
      </c>
      <c r="BM214" s="12" t="s">
        <v>972</v>
      </c>
      <c r="BN214" s="12" t="s">
        <v>648</v>
      </c>
      <c r="BO214" s="12" t="s">
        <v>1010</v>
      </c>
      <c r="BP214" s="12" t="s">
        <v>698</v>
      </c>
      <c r="BQ214" s="12" t="s">
        <v>888</v>
      </c>
      <c r="BR214" s="12" t="s">
        <v>991</v>
      </c>
      <c r="BS214" s="12" t="s">
        <v>607</v>
      </c>
      <c r="BT214" s="12" t="s">
        <v>828</v>
      </c>
      <c r="BU214" s="12" t="s">
        <v>994</v>
      </c>
      <c r="BV214" s="12" t="s">
        <v>699</v>
      </c>
      <c r="BW214" s="12" t="s">
        <v>700</v>
      </c>
      <c r="BX214" s="12" t="s">
        <v>609</v>
      </c>
      <c r="BY214" s="12" t="s">
        <v>996</v>
      </c>
      <c r="BZ214" s="12" t="s">
        <v>880</v>
      </c>
      <c r="CA214" s="12" t="s">
        <v>655</v>
      </c>
      <c r="CB214" s="12" t="s">
        <v>882</v>
      </c>
      <c r="CC214" s="12" t="s">
        <v>1278</v>
      </c>
      <c r="CD214" s="12" t="s">
        <v>1278</v>
      </c>
      <c r="CE214" s="12" t="s">
        <v>1226</v>
      </c>
      <c r="CF214" s="12" t="s">
        <v>1226</v>
      </c>
      <c r="CG214" s="12" t="s">
        <v>890</v>
      </c>
      <c r="CH214" s="12" t="s">
        <v>740</v>
      </c>
      <c r="CI214" s="12" t="s">
        <v>740</v>
      </c>
      <c r="CJ214" s="12" t="s">
        <v>740</v>
      </c>
      <c r="CK214" s="12" t="s">
        <v>1371</v>
      </c>
      <c r="CL214" s="12" t="s">
        <v>1371</v>
      </c>
      <c r="CM214" s="12" t="s">
        <v>1371</v>
      </c>
      <c r="CN214" s="12" t="s">
        <v>1371</v>
      </c>
      <c r="CO214" s="12" t="s">
        <v>1371</v>
      </c>
      <c r="CP214" s="12" t="s">
        <v>1371</v>
      </c>
      <c r="CQ214" s="12" t="s">
        <v>829</v>
      </c>
      <c r="CR214" s="12" t="s">
        <v>829</v>
      </c>
      <c r="CS214" s="12" t="s">
        <v>829</v>
      </c>
      <c r="CT214" s="12" t="s">
        <v>829</v>
      </c>
    </row>
    <row r="215" spans="1:98" hidden="1" x14ac:dyDescent="0.3">
      <c r="A215" s="12" t="s">
        <v>25</v>
      </c>
      <c r="B215" s="12" t="s">
        <v>4028</v>
      </c>
      <c r="C215" s="12" t="s">
        <v>4029</v>
      </c>
      <c r="D215" s="12" t="s">
        <v>2593</v>
      </c>
      <c r="E215" s="12" t="s">
        <v>596</v>
      </c>
      <c r="F215" s="12" t="s">
        <v>596</v>
      </c>
      <c r="G215" s="12" t="s">
        <v>596</v>
      </c>
      <c r="H215" s="12" t="s">
        <v>596</v>
      </c>
      <c r="I215" s="12" t="s">
        <v>596</v>
      </c>
      <c r="J215" s="12" t="s">
        <v>596</v>
      </c>
      <c r="K215" s="12" t="s">
        <v>596</v>
      </c>
      <c r="L215" s="12" t="s">
        <v>596</v>
      </c>
      <c r="M215" s="12" t="s">
        <v>596</v>
      </c>
      <c r="N215" s="12" t="s">
        <v>596</v>
      </c>
      <c r="O215" s="12" t="s">
        <v>596</v>
      </c>
      <c r="P215" s="12" t="s">
        <v>596</v>
      </c>
      <c r="Q215" s="12" t="s">
        <v>596</v>
      </c>
      <c r="R215" s="12" t="s">
        <v>596</v>
      </c>
      <c r="S215" s="12" t="s">
        <v>596</v>
      </c>
      <c r="T215" s="12" t="s">
        <v>596</v>
      </c>
      <c r="U215" s="12" t="s">
        <v>596</v>
      </c>
      <c r="V215" s="12" t="s">
        <v>596</v>
      </c>
      <c r="W215" s="12" t="s">
        <v>596</v>
      </c>
      <c r="X215" s="12" t="s">
        <v>596</v>
      </c>
      <c r="Y215" s="12" t="s">
        <v>596</v>
      </c>
      <c r="Z215" s="12" t="s">
        <v>596</v>
      </c>
      <c r="AA215" s="12" t="s">
        <v>596</v>
      </c>
      <c r="AB215" s="12" t="s">
        <v>596</v>
      </c>
      <c r="AC215" s="12" t="s">
        <v>596</v>
      </c>
      <c r="AD215" s="12" t="s">
        <v>596</v>
      </c>
      <c r="AE215" s="12" t="s">
        <v>596</v>
      </c>
      <c r="AF215" s="12" t="s">
        <v>596</v>
      </c>
      <c r="AG215" s="12" t="s">
        <v>596</v>
      </c>
      <c r="AH215" s="12" t="s">
        <v>596</v>
      </c>
      <c r="AI215" s="12" t="s">
        <v>596</v>
      </c>
      <c r="AJ215" s="12" t="s">
        <v>596</v>
      </c>
      <c r="AK215" s="12" t="s">
        <v>596</v>
      </c>
      <c r="AL215" s="12" t="s">
        <v>596</v>
      </c>
      <c r="AM215" s="12" t="s">
        <v>596</v>
      </c>
      <c r="AN215" s="12" t="s">
        <v>596</v>
      </c>
      <c r="AO215" s="12" t="s">
        <v>596</v>
      </c>
      <c r="AP215" s="12" t="s">
        <v>596</v>
      </c>
      <c r="AQ215" s="12" t="s">
        <v>596</v>
      </c>
      <c r="AR215" s="12" t="s">
        <v>596</v>
      </c>
      <c r="AS215" s="12" t="s">
        <v>596</v>
      </c>
      <c r="AT215" s="12" t="s">
        <v>596</v>
      </c>
      <c r="AU215" s="12" t="s">
        <v>597</v>
      </c>
      <c r="AV215" s="12" t="s">
        <v>597</v>
      </c>
      <c r="AW215" s="12" t="s">
        <v>597</v>
      </c>
      <c r="AX215" s="12" t="s">
        <v>597</v>
      </c>
      <c r="AY215" s="12" t="s">
        <v>641</v>
      </c>
      <c r="AZ215" s="12" t="s">
        <v>641</v>
      </c>
      <c r="BA215" s="12" t="s">
        <v>599</v>
      </c>
      <c r="BB215" s="12" t="s">
        <v>600</v>
      </c>
      <c r="BC215" s="12" t="s">
        <v>600</v>
      </c>
      <c r="BD215" s="12" t="s">
        <v>602</v>
      </c>
      <c r="BE215" s="12" t="s">
        <v>826</v>
      </c>
      <c r="BF215" s="12" t="s">
        <v>826</v>
      </c>
      <c r="BG215" s="12" t="s">
        <v>693</v>
      </c>
      <c r="BH215" s="12" t="s">
        <v>605</v>
      </c>
      <c r="BI215" s="12" t="s">
        <v>971</v>
      </c>
      <c r="BJ215" s="12" t="s">
        <v>736</v>
      </c>
      <c r="BK215" s="12" t="s">
        <v>697</v>
      </c>
      <c r="BL215" s="12" t="s">
        <v>698</v>
      </c>
      <c r="BM215" s="12" t="s">
        <v>738</v>
      </c>
      <c r="BN215" s="12" t="s">
        <v>654</v>
      </c>
      <c r="BO215" s="12" t="s">
        <v>1371</v>
      </c>
      <c r="BP215" s="12" t="s">
        <v>1534</v>
      </c>
      <c r="BQ215" s="12" t="s">
        <v>659</v>
      </c>
      <c r="BR215" s="12" t="s">
        <v>1857</v>
      </c>
      <c r="BS215" s="12" t="s">
        <v>1046</v>
      </c>
      <c r="BT215" s="12" t="s">
        <v>1849</v>
      </c>
      <c r="BU215" s="12" t="s">
        <v>1849</v>
      </c>
      <c r="BV215" s="12" t="s">
        <v>2185</v>
      </c>
      <c r="BW215" s="12" t="s">
        <v>620</v>
      </c>
      <c r="BX215" s="12" t="s">
        <v>3728</v>
      </c>
      <c r="BY215" s="12" t="s">
        <v>1053</v>
      </c>
      <c r="BZ215" s="12" t="s">
        <v>1742</v>
      </c>
      <c r="CA215" s="12" t="s">
        <v>1015</v>
      </c>
      <c r="CB215" s="12" t="s">
        <v>4030</v>
      </c>
      <c r="CC215" s="12" t="s">
        <v>2698</v>
      </c>
      <c r="CD215" s="12" t="s">
        <v>1589</v>
      </c>
      <c r="CE215" s="12" t="s">
        <v>1155</v>
      </c>
      <c r="CF215" s="12" t="s">
        <v>3402</v>
      </c>
      <c r="CG215" s="12" t="s">
        <v>1016</v>
      </c>
      <c r="CH215" s="12" t="s">
        <v>3546</v>
      </c>
      <c r="CI215" s="12" t="s">
        <v>2241</v>
      </c>
      <c r="CJ215" s="12" t="s">
        <v>1398</v>
      </c>
      <c r="CK215" s="12" t="s">
        <v>2068</v>
      </c>
      <c r="CL215" s="12" t="s">
        <v>845</v>
      </c>
      <c r="CM215" s="12" t="s">
        <v>2304</v>
      </c>
      <c r="CN215" s="12" t="s">
        <v>2304</v>
      </c>
      <c r="CO215" s="12" t="s">
        <v>1984</v>
      </c>
      <c r="CP215" s="12" t="s">
        <v>1481</v>
      </c>
      <c r="CQ215" s="12" t="s">
        <v>1481</v>
      </c>
      <c r="CR215" s="12" t="s">
        <v>4031</v>
      </c>
      <c r="CS215" s="12" t="s">
        <v>4032</v>
      </c>
      <c r="CT215" s="12" t="s">
        <v>1647</v>
      </c>
    </row>
    <row r="216" spans="1:98" hidden="1" x14ac:dyDescent="0.3">
      <c r="A216" s="12" t="s">
        <v>25</v>
      </c>
      <c r="B216" s="12" t="s">
        <v>4033</v>
      </c>
      <c r="C216" s="12" t="s">
        <v>4034</v>
      </c>
      <c r="D216" s="12" t="s">
        <v>4035</v>
      </c>
      <c r="E216" s="12" t="s">
        <v>596</v>
      </c>
      <c r="F216" s="12" t="s">
        <v>596</v>
      </c>
      <c r="G216" s="12" t="s">
        <v>596</v>
      </c>
      <c r="H216" s="12" t="s">
        <v>596</v>
      </c>
      <c r="I216" s="12" t="s">
        <v>596</v>
      </c>
      <c r="J216" s="12" t="s">
        <v>596</v>
      </c>
      <c r="K216" s="12" t="s">
        <v>596</v>
      </c>
      <c r="L216" s="12" t="s">
        <v>596</v>
      </c>
      <c r="M216" s="12" t="s">
        <v>596</v>
      </c>
      <c r="N216" s="12" t="s">
        <v>596</v>
      </c>
      <c r="O216" s="12" t="s">
        <v>596</v>
      </c>
      <c r="P216" s="12" t="s">
        <v>596</v>
      </c>
      <c r="Q216" s="12" t="s">
        <v>596</v>
      </c>
      <c r="R216" s="12" t="s">
        <v>596</v>
      </c>
      <c r="S216" s="12" t="s">
        <v>596</v>
      </c>
      <c r="T216" s="12" t="s">
        <v>596</v>
      </c>
      <c r="U216" s="12" t="s">
        <v>596</v>
      </c>
      <c r="V216" s="12" t="s">
        <v>596</v>
      </c>
      <c r="W216" s="12" t="s">
        <v>596</v>
      </c>
      <c r="X216" s="12" t="s">
        <v>596</v>
      </c>
      <c r="Y216" s="12" t="s">
        <v>596</v>
      </c>
      <c r="Z216" s="12" t="s">
        <v>596</v>
      </c>
      <c r="AA216" s="12" t="s">
        <v>596</v>
      </c>
      <c r="AB216" s="12" t="s">
        <v>596</v>
      </c>
      <c r="AC216" s="12" t="s">
        <v>596</v>
      </c>
      <c r="AD216" s="12" t="s">
        <v>596</v>
      </c>
      <c r="AE216" s="12" t="s">
        <v>596</v>
      </c>
      <c r="AF216" s="12" t="s">
        <v>596</v>
      </c>
      <c r="AG216" s="12" t="s">
        <v>596</v>
      </c>
      <c r="AH216" s="12" t="s">
        <v>596</v>
      </c>
      <c r="AI216" s="12" t="s">
        <v>596</v>
      </c>
      <c r="AJ216" s="12" t="s">
        <v>596</v>
      </c>
      <c r="AK216" s="12" t="s">
        <v>596</v>
      </c>
      <c r="AL216" s="12" t="s">
        <v>596</v>
      </c>
      <c r="AM216" s="12" t="s">
        <v>596</v>
      </c>
      <c r="AN216" s="12" t="s">
        <v>596</v>
      </c>
      <c r="AO216" s="12" t="s">
        <v>596</v>
      </c>
      <c r="AP216" s="12" t="s">
        <v>596</v>
      </c>
      <c r="AQ216" s="12" t="s">
        <v>596</v>
      </c>
      <c r="AR216" s="12" t="s">
        <v>596</v>
      </c>
      <c r="AS216" s="12" t="s">
        <v>596</v>
      </c>
      <c r="AT216" s="12" t="s">
        <v>596</v>
      </c>
      <c r="AU216" s="12" t="s">
        <v>596</v>
      </c>
      <c r="AV216" s="12" t="s">
        <v>596</v>
      </c>
      <c r="AW216" s="12" t="s">
        <v>596</v>
      </c>
      <c r="AX216" s="12" t="s">
        <v>596</v>
      </c>
      <c r="AY216" s="12" t="s">
        <v>596</v>
      </c>
      <c r="AZ216" s="12" t="s">
        <v>596</v>
      </c>
      <c r="BA216" s="12" t="s">
        <v>596</v>
      </c>
      <c r="BB216" s="12" t="s">
        <v>597</v>
      </c>
      <c r="BC216" s="12" t="s">
        <v>597</v>
      </c>
      <c r="BD216" s="12" t="s">
        <v>599</v>
      </c>
      <c r="BE216" s="12" t="s">
        <v>599</v>
      </c>
      <c r="BF216" s="12" t="s">
        <v>869</v>
      </c>
      <c r="BG216" s="12" t="s">
        <v>826</v>
      </c>
      <c r="BH216" s="12" t="s">
        <v>990</v>
      </c>
      <c r="BI216" s="12" t="s">
        <v>996</v>
      </c>
      <c r="BJ216" s="12" t="s">
        <v>2857</v>
      </c>
      <c r="BK216" s="12" t="s">
        <v>1117</v>
      </c>
      <c r="BL216" s="12" t="s">
        <v>2594</v>
      </c>
      <c r="BM216" s="12" t="s">
        <v>2142</v>
      </c>
      <c r="BN216" s="12" t="s">
        <v>4036</v>
      </c>
      <c r="BO216" s="12" t="s">
        <v>4037</v>
      </c>
      <c r="BP216" s="12" t="s">
        <v>4038</v>
      </c>
      <c r="BQ216" s="12" t="s">
        <v>4039</v>
      </c>
      <c r="BR216" s="12" t="s">
        <v>4040</v>
      </c>
      <c r="BS216" s="12" t="s">
        <v>4041</v>
      </c>
      <c r="BT216" s="12" t="s">
        <v>4042</v>
      </c>
      <c r="BU216" s="12" t="s">
        <v>4043</v>
      </c>
      <c r="BV216" s="12" t="s">
        <v>4044</v>
      </c>
      <c r="BW216" s="12" t="s">
        <v>4045</v>
      </c>
      <c r="BX216" s="12" t="s">
        <v>4046</v>
      </c>
      <c r="BY216" s="12" t="s">
        <v>4047</v>
      </c>
      <c r="BZ216" s="12" t="s">
        <v>4048</v>
      </c>
      <c r="CA216" s="12" t="s">
        <v>4049</v>
      </c>
      <c r="CB216" s="12" t="s">
        <v>4050</v>
      </c>
      <c r="CC216" s="12" t="s">
        <v>4051</v>
      </c>
      <c r="CD216" s="12" t="s">
        <v>4052</v>
      </c>
      <c r="CE216" s="12" t="s">
        <v>4053</v>
      </c>
      <c r="CF216" s="12" t="s">
        <v>4054</v>
      </c>
      <c r="CG216" s="12" t="s">
        <v>4055</v>
      </c>
      <c r="CH216" s="12" t="s">
        <v>4056</v>
      </c>
      <c r="CI216" s="12" t="s">
        <v>4057</v>
      </c>
      <c r="CJ216" s="12" t="s">
        <v>4058</v>
      </c>
      <c r="CK216" s="12" t="s">
        <v>4059</v>
      </c>
      <c r="CL216" s="12" t="s">
        <v>4060</v>
      </c>
      <c r="CM216" s="12" t="s">
        <v>4061</v>
      </c>
      <c r="CN216" s="12" t="s">
        <v>4062</v>
      </c>
      <c r="CO216" s="12" t="s">
        <v>4063</v>
      </c>
      <c r="CP216" s="12" t="s">
        <v>4064</v>
      </c>
      <c r="CQ216" s="12" t="s">
        <v>4065</v>
      </c>
      <c r="CR216" s="12" t="s">
        <v>4066</v>
      </c>
      <c r="CS216" s="12" t="s">
        <v>4067</v>
      </c>
      <c r="CT216" s="12" t="s">
        <v>4068</v>
      </c>
    </row>
    <row r="217" spans="1:98" hidden="1" x14ac:dyDescent="0.3">
      <c r="A217" s="12" t="s">
        <v>25</v>
      </c>
      <c r="B217" s="12" t="s">
        <v>4069</v>
      </c>
      <c r="C217" s="12" t="s">
        <v>4070</v>
      </c>
      <c r="D217" s="12" t="s">
        <v>2800</v>
      </c>
      <c r="E217" s="12" t="s">
        <v>596</v>
      </c>
      <c r="F217" s="12" t="s">
        <v>596</v>
      </c>
      <c r="G217" s="12" t="s">
        <v>596</v>
      </c>
      <c r="H217" s="12" t="s">
        <v>596</v>
      </c>
      <c r="I217" s="12" t="s">
        <v>596</v>
      </c>
      <c r="J217" s="12" t="s">
        <v>596</v>
      </c>
      <c r="K217" s="12" t="s">
        <v>596</v>
      </c>
      <c r="L217" s="12" t="s">
        <v>596</v>
      </c>
      <c r="M217" s="12" t="s">
        <v>596</v>
      </c>
      <c r="N217" s="12" t="s">
        <v>596</v>
      </c>
      <c r="O217" s="12" t="s">
        <v>596</v>
      </c>
      <c r="P217" s="12" t="s">
        <v>596</v>
      </c>
      <c r="Q217" s="12" t="s">
        <v>596</v>
      </c>
      <c r="R217" s="12" t="s">
        <v>596</v>
      </c>
      <c r="S217" s="12" t="s">
        <v>596</v>
      </c>
      <c r="T217" s="12" t="s">
        <v>596</v>
      </c>
      <c r="U217" s="12" t="s">
        <v>596</v>
      </c>
      <c r="V217" s="12" t="s">
        <v>596</v>
      </c>
      <c r="W217" s="12" t="s">
        <v>596</v>
      </c>
      <c r="X217" s="12" t="s">
        <v>596</v>
      </c>
      <c r="Y217" s="12" t="s">
        <v>596</v>
      </c>
      <c r="Z217" s="12" t="s">
        <v>596</v>
      </c>
      <c r="AA217" s="12" t="s">
        <v>596</v>
      </c>
      <c r="AB217" s="12" t="s">
        <v>596</v>
      </c>
      <c r="AC217" s="12" t="s">
        <v>596</v>
      </c>
      <c r="AD217" s="12" t="s">
        <v>596</v>
      </c>
      <c r="AE217" s="12" t="s">
        <v>596</v>
      </c>
      <c r="AF217" s="12" t="s">
        <v>596</v>
      </c>
      <c r="AG217" s="12" t="s">
        <v>596</v>
      </c>
      <c r="AH217" s="12" t="s">
        <v>596</v>
      </c>
      <c r="AI217" s="12" t="s">
        <v>596</v>
      </c>
      <c r="AJ217" s="12" t="s">
        <v>596</v>
      </c>
      <c r="AK217" s="12" t="s">
        <v>596</v>
      </c>
      <c r="AL217" s="12" t="s">
        <v>596</v>
      </c>
      <c r="AM217" s="12" t="s">
        <v>596</v>
      </c>
      <c r="AN217" s="12" t="s">
        <v>596</v>
      </c>
      <c r="AO217" s="12" t="s">
        <v>596</v>
      </c>
      <c r="AP217" s="12" t="s">
        <v>596</v>
      </c>
      <c r="AQ217" s="12" t="s">
        <v>596</v>
      </c>
      <c r="AR217" s="12" t="s">
        <v>596</v>
      </c>
      <c r="AS217" s="12" t="s">
        <v>596</v>
      </c>
      <c r="AT217" s="12" t="s">
        <v>596</v>
      </c>
      <c r="AU217" s="12" t="s">
        <v>596</v>
      </c>
      <c r="AV217" s="12" t="s">
        <v>596</v>
      </c>
      <c r="AW217" s="12" t="s">
        <v>596</v>
      </c>
      <c r="AX217" s="12" t="s">
        <v>596</v>
      </c>
      <c r="AY217" s="12" t="s">
        <v>596</v>
      </c>
      <c r="AZ217" s="12" t="s">
        <v>596</v>
      </c>
      <c r="BA217" s="12" t="s">
        <v>596</v>
      </c>
      <c r="BB217" s="12" t="s">
        <v>596</v>
      </c>
      <c r="BC217" s="12" t="s">
        <v>596</v>
      </c>
      <c r="BD217" s="12" t="s">
        <v>596</v>
      </c>
      <c r="BE217" s="12" t="s">
        <v>596</v>
      </c>
      <c r="BF217" s="12" t="s">
        <v>596</v>
      </c>
      <c r="BG217" s="12" t="s">
        <v>596</v>
      </c>
      <c r="BH217" s="12" t="s">
        <v>596</v>
      </c>
      <c r="BI217" s="12" t="s">
        <v>596</v>
      </c>
      <c r="BJ217" s="12" t="s">
        <v>596</v>
      </c>
      <c r="BK217" s="12" t="s">
        <v>596</v>
      </c>
      <c r="BL217" s="12" t="s">
        <v>597</v>
      </c>
      <c r="BM217" s="12" t="s">
        <v>597</v>
      </c>
      <c r="BN217" s="12" t="s">
        <v>779</v>
      </c>
      <c r="BO217" s="12" t="s">
        <v>779</v>
      </c>
      <c r="BP217" s="12" t="s">
        <v>774</v>
      </c>
      <c r="BQ217" s="12" t="s">
        <v>774</v>
      </c>
      <c r="BR217" s="12" t="s">
        <v>644</v>
      </c>
      <c r="BS217" s="12" t="s">
        <v>2036</v>
      </c>
      <c r="BT217" s="12" t="s">
        <v>645</v>
      </c>
      <c r="BU217" s="12" t="s">
        <v>645</v>
      </c>
      <c r="BV217" s="12" t="s">
        <v>1114</v>
      </c>
      <c r="BW217" s="12" t="s">
        <v>1114</v>
      </c>
      <c r="BX217" s="12" t="s">
        <v>786</v>
      </c>
      <c r="BY217" s="12" t="s">
        <v>696</v>
      </c>
      <c r="BZ217" s="12" t="s">
        <v>696</v>
      </c>
      <c r="CA217" s="12" t="s">
        <v>827</v>
      </c>
      <c r="CB217" s="12" t="s">
        <v>827</v>
      </c>
      <c r="CC217" s="12" t="s">
        <v>827</v>
      </c>
      <c r="CD217" s="12" t="s">
        <v>737</v>
      </c>
      <c r="CE217" s="12" t="s">
        <v>737</v>
      </c>
      <c r="CF217" s="12" t="s">
        <v>737</v>
      </c>
      <c r="CG217" s="12" t="s">
        <v>737</v>
      </c>
      <c r="CH217" s="12" t="s">
        <v>697</v>
      </c>
      <c r="CI217" s="12" t="s">
        <v>697</v>
      </c>
      <c r="CJ217" s="12" t="s">
        <v>649</v>
      </c>
      <c r="CK217" s="12" t="s">
        <v>649</v>
      </c>
      <c r="CL217" s="12" t="s">
        <v>649</v>
      </c>
      <c r="CM217" s="12" t="s">
        <v>787</v>
      </c>
      <c r="CN217" s="12" t="s">
        <v>649</v>
      </c>
      <c r="CO217" s="12" t="s">
        <v>649</v>
      </c>
      <c r="CP217" s="12" t="s">
        <v>787</v>
      </c>
      <c r="CQ217" s="12" t="s">
        <v>937</v>
      </c>
      <c r="CR217" s="12" t="s">
        <v>1198</v>
      </c>
      <c r="CS217" s="12" t="s">
        <v>607</v>
      </c>
      <c r="CT217" s="12" t="s">
        <v>738</v>
      </c>
    </row>
    <row r="218" spans="1:98" hidden="1" x14ac:dyDescent="0.3">
      <c r="A218" s="12" t="s">
        <v>25</v>
      </c>
      <c r="B218" s="12" t="s">
        <v>4071</v>
      </c>
      <c r="C218" s="12" t="s">
        <v>4072</v>
      </c>
      <c r="D218" s="12" t="s">
        <v>4073</v>
      </c>
      <c r="E218" s="12" t="s">
        <v>596</v>
      </c>
      <c r="F218" s="12" t="s">
        <v>596</v>
      </c>
      <c r="G218" s="12" t="s">
        <v>596</v>
      </c>
      <c r="H218" s="12" t="s">
        <v>596</v>
      </c>
      <c r="I218" s="12" t="s">
        <v>596</v>
      </c>
      <c r="J218" s="12" t="s">
        <v>596</v>
      </c>
      <c r="K218" s="12" t="s">
        <v>596</v>
      </c>
      <c r="L218" s="12" t="s">
        <v>596</v>
      </c>
      <c r="M218" s="12" t="s">
        <v>596</v>
      </c>
      <c r="N218" s="12" t="s">
        <v>596</v>
      </c>
      <c r="O218" s="12" t="s">
        <v>596</v>
      </c>
      <c r="P218" s="12" t="s">
        <v>596</v>
      </c>
      <c r="Q218" s="12" t="s">
        <v>596</v>
      </c>
      <c r="R218" s="12" t="s">
        <v>596</v>
      </c>
      <c r="S218" s="12" t="s">
        <v>596</v>
      </c>
      <c r="T218" s="12" t="s">
        <v>596</v>
      </c>
      <c r="U218" s="12" t="s">
        <v>596</v>
      </c>
      <c r="V218" s="12" t="s">
        <v>596</v>
      </c>
      <c r="W218" s="12" t="s">
        <v>596</v>
      </c>
      <c r="X218" s="12" t="s">
        <v>596</v>
      </c>
      <c r="Y218" s="12" t="s">
        <v>596</v>
      </c>
      <c r="Z218" s="12" t="s">
        <v>596</v>
      </c>
      <c r="AA218" s="12" t="s">
        <v>596</v>
      </c>
      <c r="AB218" s="12" t="s">
        <v>596</v>
      </c>
      <c r="AC218" s="12" t="s">
        <v>596</v>
      </c>
      <c r="AD218" s="12" t="s">
        <v>596</v>
      </c>
      <c r="AE218" s="12" t="s">
        <v>596</v>
      </c>
      <c r="AF218" s="12" t="s">
        <v>596</v>
      </c>
      <c r="AG218" s="12" t="s">
        <v>596</v>
      </c>
      <c r="AH218" s="12" t="s">
        <v>596</v>
      </c>
      <c r="AI218" s="12" t="s">
        <v>596</v>
      </c>
      <c r="AJ218" s="12" t="s">
        <v>596</v>
      </c>
      <c r="AK218" s="12" t="s">
        <v>596</v>
      </c>
      <c r="AL218" s="12" t="s">
        <v>596</v>
      </c>
      <c r="AM218" s="12" t="s">
        <v>596</v>
      </c>
      <c r="AN218" s="12" t="s">
        <v>596</v>
      </c>
      <c r="AO218" s="12" t="s">
        <v>596</v>
      </c>
      <c r="AP218" s="12" t="s">
        <v>596</v>
      </c>
      <c r="AQ218" s="12" t="s">
        <v>596</v>
      </c>
      <c r="AR218" s="12" t="s">
        <v>596</v>
      </c>
      <c r="AS218" s="12" t="s">
        <v>596</v>
      </c>
      <c r="AT218" s="12" t="s">
        <v>597</v>
      </c>
      <c r="AU218" s="12" t="s">
        <v>597</v>
      </c>
      <c r="AV218" s="12" t="s">
        <v>597</v>
      </c>
      <c r="AW218" s="12" t="s">
        <v>597</v>
      </c>
      <c r="AX218" s="12" t="s">
        <v>597</v>
      </c>
      <c r="AY218" s="12" t="s">
        <v>597</v>
      </c>
      <c r="AZ218" s="12" t="s">
        <v>597</v>
      </c>
      <c r="BA218" s="12" t="s">
        <v>597</v>
      </c>
      <c r="BB218" s="12" t="s">
        <v>597</v>
      </c>
      <c r="BC218" s="12" t="s">
        <v>597</v>
      </c>
      <c r="BD218" s="12" t="s">
        <v>690</v>
      </c>
      <c r="BE218" s="12" t="s">
        <v>690</v>
      </c>
      <c r="BF218" s="12" t="s">
        <v>690</v>
      </c>
      <c r="BG218" s="12" t="s">
        <v>600</v>
      </c>
      <c r="BH218" s="12" t="s">
        <v>774</v>
      </c>
      <c r="BI218" s="12" t="s">
        <v>774</v>
      </c>
      <c r="BJ218" s="12" t="s">
        <v>602</v>
      </c>
      <c r="BK218" s="12" t="s">
        <v>971</v>
      </c>
      <c r="BL218" s="12" t="s">
        <v>990</v>
      </c>
      <c r="BM218" s="12" t="s">
        <v>1138</v>
      </c>
      <c r="BN218" s="12" t="s">
        <v>1138</v>
      </c>
      <c r="BO218" s="12" t="s">
        <v>790</v>
      </c>
      <c r="BP218" s="12" t="s">
        <v>1904</v>
      </c>
      <c r="BQ218" s="12" t="s">
        <v>2155</v>
      </c>
      <c r="BR218" s="12" t="s">
        <v>1536</v>
      </c>
      <c r="BS218" s="12" t="s">
        <v>1906</v>
      </c>
      <c r="BT218" s="12" t="s">
        <v>676</v>
      </c>
      <c r="BU218" s="12" t="s">
        <v>680</v>
      </c>
      <c r="BV218" s="12" t="s">
        <v>2010</v>
      </c>
      <c r="BW218" s="12" t="s">
        <v>3667</v>
      </c>
      <c r="BX218" s="12" t="s">
        <v>3819</v>
      </c>
      <c r="BY218" s="12" t="s">
        <v>4074</v>
      </c>
      <c r="BZ218" s="12" t="s">
        <v>3415</v>
      </c>
      <c r="CA218" s="12" t="s">
        <v>4075</v>
      </c>
      <c r="CB218" s="12" t="s">
        <v>1034</v>
      </c>
      <c r="CC218" s="12" t="s">
        <v>3835</v>
      </c>
      <c r="CD218" s="12" t="s">
        <v>4076</v>
      </c>
      <c r="CE218" s="12" t="s">
        <v>4077</v>
      </c>
      <c r="CF218" s="12" t="s">
        <v>4078</v>
      </c>
      <c r="CG218" s="12" t="s">
        <v>4079</v>
      </c>
      <c r="CH218" s="12" t="s">
        <v>3695</v>
      </c>
      <c r="CI218" s="12" t="s">
        <v>4080</v>
      </c>
      <c r="CJ218" s="12" t="s">
        <v>4081</v>
      </c>
      <c r="CK218" s="12" t="s">
        <v>3554</v>
      </c>
      <c r="CL218" s="12" t="s">
        <v>1657</v>
      </c>
      <c r="CM218" s="12" t="s">
        <v>4082</v>
      </c>
      <c r="CN218" s="12" t="s">
        <v>4083</v>
      </c>
      <c r="CO218" s="12" t="s">
        <v>4084</v>
      </c>
      <c r="CP218" s="12" t="s">
        <v>4085</v>
      </c>
      <c r="CQ218" s="12" t="s">
        <v>4086</v>
      </c>
      <c r="CR218" s="12" t="s">
        <v>4087</v>
      </c>
      <c r="CS218" s="12" t="s">
        <v>4088</v>
      </c>
      <c r="CT218" s="12" t="s">
        <v>4089</v>
      </c>
    </row>
    <row r="219" spans="1:98" hidden="1" x14ac:dyDescent="0.3">
      <c r="A219" s="12" t="s">
        <v>25</v>
      </c>
      <c r="B219" s="12" t="s">
        <v>4090</v>
      </c>
      <c r="C219" s="12" t="s">
        <v>3731</v>
      </c>
      <c r="D219" s="12" t="s">
        <v>4091</v>
      </c>
      <c r="E219" s="12" t="s">
        <v>596</v>
      </c>
      <c r="F219" s="12" t="s">
        <v>596</v>
      </c>
      <c r="G219" s="12" t="s">
        <v>596</v>
      </c>
      <c r="H219" s="12" t="s">
        <v>596</v>
      </c>
      <c r="I219" s="12" t="s">
        <v>596</v>
      </c>
      <c r="J219" s="12" t="s">
        <v>596</v>
      </c>
      <c r="K219" s="12" t="s">
        <v>596</v>
      </c>
      <c r="L219" s="12" t="s">
        <v>598</v>
      </c>
      <c r="M219" s="12" t="s">
        <v>598</v>
      </c>
      <c r="N219" s="12" t="s">
        <v>598</v>
      </c>
      <c r="O219" s="12" t="s">
        <v>598</v>
      </c>
      <c r="P219" s="12" t="s">
        <v>599</v>
      </c>
      <c r="Q219" s="12" t="s">
        <v>599</v>
      </c>
      <c r="R219" s="12" t="s">
        <v>599</v>
      </c>
      <c r="S219" s="12" t="s">
        <v>599</v>
      </c>
      <c r="T219" s="12" t="s">
        <v>599</v>
      </c>
      <c r="U219" s="12" t="s">
        <v>599</v>
      </c>
      <c r="V219" s="12" t="s">
        <v>600</v>
      </c>
      <c r="W219" s="12" t="s">
        <v>600</v>
      </c>
      <c r="X219" s="12" t="s">
        <v>773</v>
      </c>
      <c r="Y219" s="12" t="s">
        <v>773</v>
      </c>
      <c r="Z219" s="12" t="s">
        <v>773</v>
      </c>
      <c r="AA219" s="12" t="s">
        <v>773</v>
      </c>
      <c r="AB219" s="12" t="s">
        <v>773</v>
      </c>
      <c r="AC219" s="12" t="s">
        <v>773</v>
      </c>
      <c r="AD219" s="12" t="s">
        <v>779</v>
      </c>
      <c r="AE219" s="12" t="s">
        <v>779</v>
      </c>
      <c r="AF219" s="12" t="s">
        <v>779</v>
      </c>
      <c r="AG219" s="12" t="s">
        <v>779</v>
      </c>
      <c r="AH219" s="12" t="s">
        <v>779</v>
      </c>
      <c r="AI219" s="12" t="s">
        <v>779</v>
      </c>
      <c r="AJ219" s="12" t="s">
        <v>886</v>
      </c>
      <c r="AK219" s="12" t="s">
        <v>886</v>
      </c>
      <c r="AL219" s="12" t="s">
        <v>886</v>
      </c>
      <c r="AM219" s="12" t="s">
        <v>886</v>
      </c>
      <c r="AN219" s="12" t="s">
        <v>886</v>
      </c>
      <c r="AO219" s="12" t="s">
        <v>886</v>
      </c>
      <c r="AP219" s="12" t="s">
        <v>692</v>
      </c>
      <c r="AQ219" s="12" t="s">
        <v>603</v>
      </c>
      <c r="AR219" s="12" t="s">
        <v>603</v>
      </c>
      <c r="AS219" s="12" t="s">
        <v>603</v>
      </c>
      <c r="AT219" s="12" t="s">
        <v>931</v>
      </c>
      <c r="AU219" s="12" t="s">
        <v>931</v>
      </c>
      <c r="AV219" s="12" t="s">
        <v>971</v>
      </c>
      <c r="AW219" s="12" t="s">
        <v>971</v>
      </c>
      <c r="AX219" s="12" t="s">
        <v>786</v>
      </c>
      <c r="AY219" s="12" t="s">
        <v>786</v>
      </c>
      <c r="AZ219" s="12" t="s">
        <v>786</v>
      </c>
      <c r="BA219" s="12" t="s">
        <v>607</v>
      </c>
      <c r="BB219" s="12" t="s">
        <v>607</v>
      </c>
      <c r="BC219" s="12" t="s">
        <v>1142</v>
      </c>
      <c r="BD219" s="12" t="s">
        <v>1142</v>
      </c>
      <c r="BE219" s="12" t="s">
        <v>1142</v>
      </c>
      <c r="BF219" s="12" t="s">
        <v>996</v>
      </c>
      <c r="BG219" s="12" t="s">
        <v>996</v>
      </c>
      <c r="BH219" s="12" t="s">
        <v>996</v>
      </c>
      <c r="BI219" s="12" t="s">
        <v>740</v>
      </c>
      <c r="BJ219" s="12" t="s">
        <v>1043</v>
      </c>
      <c r="BK219" s="12" t="s">
        <v>1043</v>
      </c>
      <c r="BL219" s="12" t="s">
        <v>2118</v>
      </c>
      <c r="BM219" s="12" t="s">
        <v>2118</v>
      </c>
      <c r="BN219" s="12" t="s">
        <v>3903</v>
      </c>
      <c r="BO219" s="12" t="s">
        <v>2048</v>
      </c>
      <c r="BP219" s="12" t="s">
        <v>666</v>
      </c>
      <c r="BQ219" s="12" t="s">
        <v>666</v>
      </c>
      <c r="BR219" s="12" t="s">
        <v>2096</v>
      </c>
      <c r="BS219" s="12" t="s">
        <v>1738</v>
      </c>
      <c r="BT219" s="12" t="s">
        <v>2002</v>
      </c>
      <c r="BU219" s="12" t="s">
        <v>4092</v>
      </c>
      <c r="BV219" s="12" t="s">
        <v>4093</v>
      </c>
      <c r="BW219" s="12" t="s">
        <v>2243</v>
      </c>
      <c r="BX219" s="12" t="s">
        <v>967</v>
      </c>
      <c r="BY219" s="12" t="s">
        <v>2151</v>
      </c>
      <c r="BZ219" s="12" t="s">
        <v>3836</v>
      </c>
      <c r="CA219" s="12" t="s">
        <v>4094</v>
      </c>
      <c r="CB219" s="12" t="s">
        <v>4095</v>
      </c>
      <c r="CC219" s="12" t="s">
        <v>4096</v>
      </c>
      <c r="CD219" s="12" t="s">
        <v>4097</v>
      </c>
      <c r="CE219" s="12" t="s">
        <v>4098</v>
      </c>
      <c r="CF219" s="12" t="s">
        <v>4099</v>
      </c>
      <c r="CG219" s="12" t="s">
        <v>3069</v>
      </c>
      <c r="CH219" s="12" t="s">
        <v>4100</v>
      </c>
      <c r="CI219" s="12" t="s">
        <v>4101</v>
      </c>
      <c r="CJ219" s="12" t="s">
        <v>4102</v>
      </c>
      <c r="CK219" s="12" t="s">
        <v>4103</v>
      </c>
      <c r="CL219" s="12" t="s">
        <v>4104</v>
      </c>
      <c r="CM219" s="12" t="s">
        <v>4105</v>
      </c>
      <c r="CN219" s="12" t="s">
        <v>4105</v>
      </c>
      <c r="CO219" s="12" t="s">
        <v>4106</v>
      </c>
      <c r="CP219" s="12" t="s">
        <v>4107</v>
      </c>
      <c r="CQ219" s="12" t="s">
        <v>3078</v>
      </c>
      <c r="CR219" s="12" t="s">
        <v>4108</v>
      </c>
      <c r="CS219" s="12" t="s">
        <v>4109</v>
      </c>
      <c r="CT219" s="12" t="s">
        <v>4110</v>
      </c>
    </row>
    <row r="220" spans="1:98" hidden="1" x14ac:dyDescent="0.3">
      <c r="A220" s="12" t="s">
        <v>4111</v>
      </c>
      <c r="B220" s="12" t="s">
        <v>4112</v>
      </c>
      <c r="C220" s="12" t="s">
        <v>4113</v>
      </c>
      <c r="D220" s="12" t="s">
        <v>4114</v>
      </c>
      <c r="E220" s="12" t="s">
        <v>596</v>
      </c>
      <c r="F220" s="12" t="s">
        <v>596</v>
      </c>
      <c r="G220" s="12" t="s">
        <v>596</v>
      </c>
      <c r="H220" s="12" t="s">
        <v>596</v>
      </c>
      <c r="I220" s="12" t="s">
        <v>596</v>
      </c>
      <c r="J220" s="12" t="s">
        <v>596</v>
      </c>
      <c r="K220" s="12" t="s">
        <v>596</v>
      </c>
      <c r="L220" s="12" t="s">
        <v>596</v>
      </c>
      <c r="M220" s="12" t="s">
        <v>596</v>
      </c>
      <c r="N220" s="12" t="s">
        <v>596</v>
      </c>
      <c r="O220" s="12" t="s">
        <v>596</v>
      </c>
      <c r="P220" s="12" t="s">
        <v>596</v>
      </c>
      <c r="Q220" s="12" t="s">
        <v>596</v>
      </c>
      <c r="R220" s="12" t="s">
        <v>596</v>
      </c>
      <c r="S220" s="12" t="s">
        <v>596</v>
      </c>
      <c r="T220" s="12" t="s">
        <v>596</v>
      </c>
      <c r="U220" s="12" t="s">
        <v>596</v>
      </c>
      <c r="V220" s="12" t="s">
        <v>596</v>
      </c>
      <c r="W220" s="12" t="s">
        <v>596</v>
      </c>
      <c r="X220" s="12" t="s">
        <v>596</v>
      </c>
      <c r="Y220" s="12" t="s">
        <v>596</v>
      </c>
      <c r="Z220" s="12" t="s">
        <v>596</v>
      </c>
      <c r="AA220" s="12" t="s">
        <v>596</v>
      </c>
      <c r="AB220" s="12" t="s">
        <v>596</v>
      </c>
      <c r="AC220" s="12" t="s">
        <v>596</v>
      </c>
      <c r="AD220" s="12" t="s">
        <v>596</v>
      </c>
      <c r="AE220" s="12" t="s">
        <v>596</v>
      </c>
      <c r="AF220" s="12" t="s">
        <v>596</v>
      </c>
      <c r="AG220" s="12" t="s">
        <v>596</v>
      </c>
      <c r="AH220" s="12" t="s">
        <v>596</v>
      </c>
      <c r="AI220" s="12" t="s">
        <v>596</v>
      </c>
      <c r="AJ220" s="12" t="s">
        <v>596</v>
      </c>
      <c r="AK220" s="12" t="s">
        <v>596</v>
      </c>
      <c r="AL220" s="12" t="s">
        <v>596</v>
      </c>
      <c r="AM220" s="12" t="s">
        <v>596</v>
      </c>
      <c r="AN220" s="12" t="s">
        <v>596</v>
      </c>
      <c r="AO220" s="12" t="s">
        <v>596</v>
      </c>
      <c r="AP220" s="12" t="s">
        <v>596</v>
      </c>
      <c r="AQ220" s="12" t="s">
        <v>596</v>
      </c>
      <c r="AR220" s="12" t="s">
        <v>596</v>
      </c>
      <c r="AS220" s="12" t="s">
        <v>596</v>
      </c>
      <c r="AT220" s="12" t="s">
        <v>596</v>
      </c>
      <c r="AU220" s="12" t="s">
        <v>596</v>
      </c>
      <c r="AV220" s="12" t="s">
        <v>596</v>
      </c>
      <c r="AW220" s="12" t="s">
        <v>596</v>
      </c>
      <c r="AX220" s="12" t="s">
        <v>596</v>
      </c>
      <c r="AY220" s="12" t="s">
        <v>596</v>
      </c>
      <c r="AZ220" s="12" t="s">
        <v>596</v>
      </c>
      <c r="BA220" s="12" t="s">
        <v>596</v>
      </c>
      <c r="BB220" s="12" t="s">
        <v>596</v>
      </c>
      <c r="BC220" s="12" t="s">
        <v>596</v>
      </c>
      <c r="BD220" s="12" t="s">
        <v>596</v>
      </c>
      <c r="BE220" s="12" t="s">
        <v>596</v>
      </c>
      <c r="BF220" s="12" t="s">
        <v>596</v>
      </c>
      <c r="BG220" s="12" t="s">
        <v>596</v>
      </c>
      <c r="BH220" s="12" t="s">
        <v>596</v>
      </c>
      <c r="BI220" s="12" t="s">
        <v>596</v>
      </c>
      <c r="BJ220" s="12" t="s">
        <v>641</v>
      </c>
      <c r="BK220" s="12" t="s">
        <v>641</v>
      </c>
      <c r="BL220" s="12" t="s">
        <v>641</v>
      </c>
      <c r="BM220" s="12" t="s">
        <v>869</v>
      </c>
      <c r="BN220" s="12" t="s">
        <v>869</v>
      </c>
      <c r="BO220" s="12" t="s">
        <v>869</v>
      </c>
      <c r="BP220" s="12" t="s">
        <v>600</v>
      </c>
      <c r="BQ220" s="12" t="s">
        <v>780</v>
      </c>
      <c r="BR220" s="12" t="s">
        <v>691</v>
      </c>
      <c r="BS220" s="12" t="s">
        <v>691</v>
      </c>
      <c r="BT220" s="12" t="s">
        <v>604</v>
      </c>
      <c r="BU220" s="12" t="s">
        <v>931</v>
      </c>
      <c r="BV220" s="12" t="s">
        <v>870</v>
      </c>
      <c r="BW220" s="12" t="s">
        <v>870</v>
      </c>
      <c r="BX220" s="12" t="s">
        <v>935</v>
      </c>
      <c r="BY220" s="12" t="s">
        <v>935</v>
      </c>
      <c r="BZ220" s="12" t="s">
        <v>935</v>
      </c>
      <c r="CA220" s="12" t="s">
        <v>695</v>
      </c>
      <c r="CB220" s="12" t="s">
        <v>736</v>
      </c>
      <c r="CC220" s="12" t="s">
        <v>736</v>
      </c>
      <c r="CD220" s="12" t="s">
        <v>736</v>
      </c>
      <c r="CE220" s="12" t="s">
        <v>696</v>
      </c>
      <c r="CF220" s="12" t="s">
        <v>696</v>
      </c>
      <c r="CG220" s="12" t="s">
        <v>696</v>
      </c>
      <c r="CH220" s="12" t="s">
        <v>1010</v>
      </c>
      <c r="CI220" s="12" t="s">
        <v>1010</v>
      </c>
      <c r="CJ220" s="12" t="s">
        <v>1010</v>
      </c>
      <c r="CK220" s="12" t="s">
        <v>1202</v>
      </c>
      <c r="CL220" s="12" t="s">
        <v>1202</v>
      </c>
      <c r="CM220" s="12" t="s">
        <v>1370</v>
      </c>
      <c r="CN220" s="12" t="s">
        <v>1370</v>
      </c>
      <c r="CO220" s="12" t="s">
        <v>995</v>
      </c>
      <c r="CP220" s="12" t="s">
        <v>995</v>
      </c>
      <c r="CQ220" s="12" t="s">
        <v>995</v>
      </c>
      <c r="CR220" s="12" t="s">
        <v>878</v>
      </c>
      <c r="CS220" s="12" t="s">
        <v>878</v>
      </c>
      <c r="CT220" s="12" t="s">
        <v>878</v>
      </c>
    </row>
    <row r="221" spans="1:98" hidden="1" x14ac:dyDescent="0.3">
      <c r="A221" s="12" t="s">
        <v>4115</v>
      </c>
      <c r="B221" s="12" t="s">
        <v>4112</v>
      </c>
      <c r="C221" s="12" t="s">
        <v>4116</v>
      </c>
      <c r="D221" s="12" t="s">
        <v>4117</v>
      </c>
      <c r="E221" s="12" t="s">
        <v>596</v>
      </c>
      <c r="F221" s="12" t="s">
        <v>596</v>
      </c>
      <c r="G221" s="12" t="s">
        <v>596</v>
      </c>
      <c r="H221" s="12" t="s">
        <v>596</v>
      </c>
      <c r="I221" s="12" t="s">
        <v>596</v>
      </c>
      <c r="J221" s="12" t="s">
        <v>596</v>
      </c>
      <c r="K221" s="12" t="s">
        <v>596</v>
      </c>
      <c r="L221" s="12" t="s">
        <v>596</v>
      </c>
      <c r="M221" s="12" t="s">
        <v>596</v>
      </c>
      <c r="N221" s="12" t="s">
        <v>596</v>
      </c>
      <c r="O221" s="12" t="s">
        <v>596</v>
      </c>
      <c r="P221" s="12" t="s">
        <v>596</v>
      </c>
      <c r="Q221" s="12" t="s">
        <v>596</v>
      </c>
      <c r="R221" s="12" t="s">
        <v>596</v>
      </c>
      <c r="S221" s="12" t="s">
        <v>596</v>
      </c>
      <c r="T221" s="12" t="s">
        <v>596</v>
      </c>
      <c r="U221" s="12" t="s">
        <v>596</v>
      </c>
      <c r="V221" s="12" t="s">
        <v>596</v>
      </c>
      <c r="W221" s="12" t="s">
        <v>596</v>
      </c>
      <c r="X221" s="12" t="s">
        <v>596</v>
      </c>
      <c r="Y221" s="12" t="s">
        <v>596</v>
      </c>
      <c r="Z221" s="12" t="s">
        <v>596</v>
      </c>
      <c r="AA221" s="12" t="s">
        <v>596</v>
      </c>
      <c r="AB221" s="12" t="s">
        <v>596</v>
      </c>
      <c r="AC221" s="12" t="s">
        <v>596</v>
      </c>
      <c r="AD221" s="12" t="s">
        <v>596</v>
      </c>
      <c r="AE221" s="12" t="s">
        <v>596</v>
      </c>
      <c r="AF221" s="12" t="s">
        <v>596</v>
      </c>
      <c r="AG221" s="12" t="s">
        <v>596</v>
      </c>
      <c r="AH221" s="12" t="s">
        <v>596</v>
      </c>
      <c r="AI221" s="12" t="s">
        <v>596</v>
      </c>
      <c r="AJ221" s="12" t="s">
        <v>596</v>
      </c>
      <c r="AK221" s="12" t="s">
        <v>596</v>
      </c>
      <c r="AL221" s="12" t="s">
        <v>596</v>
      </c>
      <c r="AM221" s="12" t="s">
        <v>596</v>
      </c>
      <c r="AN221" s="12" t="s">
        <v>596</v>
      </c>
      <c r="AO221" s="12" t="s">
        <v>596</v>
      </c>
      <c r="AP221" s="12" t="s">
        <v>596</v>
      </c>
      <c r="AQ221" s="12" t="s">
        <v>596</v>
      </c>
      <c r="AR221" s="12" t="s">
        <v>596</v>
      </c>
      <c r="AS221" s="12" t="s">
        <v>596</v>
      </c>
      <c r="AT221" s="12" t="s">
        <v>596</v>
      </c>
      <c r="AU221" s="12" t="s">
        <v>596</v>
      </c>
      <c r="AV221" s="12" t="s">
        <v>596</v>
      </c>
      <c r="AW221" s="12" t="s">
        <v>596</v>
      </c>
      <c r="AX221" s="12" t="s">
        <v>596</v>
      </c>
      <c r="AY221" s="12" t="s">
        <v>596</v>
      </c>
      <c r="AZ221" s="12" t="s">
        <v>596</v>
      </c>
      <c r="BA221" s="12" t="s">
        <v>596</v>
      </c>
      <c r="BB221" s="12" t="s">
        <v>596</v>
      </c>
      <c r="BC221" s="12" t="s">
        <v>596</v>
      </c>
      <c r="BD221" s="12" t="s">
        <v>597</v>
      </c>
      <c r="BE221" s="12" t="s">
        <v>597</v>
      </c>
      <c r="BF221" s="12" t="s">
        <v>597</v>
      </c>
      <c r="BG221" s="12" t="s">
        <v>597</v>
      </c>
      <c r="BH221" s="12" t="s">
        <v>597</v>
      </c>
      <c r="BI221" s="12" t="s">
        <v>597</v>
      </c>
      <c r="BJ221" s="12" t="s">
        <v>690</v>
      </c>
      <c r="BK221" s="12" t="s">
        <v>690</v>
      </c>
      <c r="BL221" s="12" t="s">
        <v>690</v>
      </c>
      <c r="BM221" s="12" t="s">
        <v>690</v>
      </c>
      <c r="BN221" s="12" t="s">
        <v>599</v>
      </c>
      <c r="BO221" s="12" t="s">
        <v>869</v>
      </c>
      <c r="BP221" s="12" t="s">
        <v>773</v>
      </c>
      <c r="BQ221" s="12" t="s">
        <v>773</v>
      </c>
      <c r="BR221" s="12" t="s">
        <v>773</v>
      </c>
      <c r="BS221" s="12" t="s">
        <v>773</v>
      </c>
      <c r="BT221" s="12" t="s">
        <v>773</v>
      </c>
      <c r="BU221" s="12" t="s">
        <v>643</v>
      </c>
      <c r="BV221" s="12" t="s">
        <v>774</v>
      </c>
      <c r="BW221" s="12" t="s">
        <v>604</v>
      </c>
      <c r="BX221" s="12" t="s">
        <v>887</v>
      </c>
      <c r="BY221" s="12" t="s">
        <v>887</v>
      </c>
      <c r="BZ221" s="12" t="s">
        <v>935</v>
      </c>
      <c r="CA221" s="12" t="s">
        <v>935</v>
      </c>
      <c r="CB221" s="12" t="s">
        <v>736</v>
      </c>
      <c r="CC221" s="12" t="s">
        <v>786</v>
      </c>
      <c r="CD221" s="12" t="s">
        <v>786</v>
      </c>
      <c r="CE221" s="12" t="s">
        <v>786</v>
      </c>
      <c r="CF221" s="12" t="s">
        <v>786</v>
      </c>
      <c r="CG221" s="12" t="s">
        <v>786</v>
      </c>
      <c r="CH221" s="12" t="s">
        <v>737</v>
      </c>
      <c r="CI221" s="12" t="s">
        <v>737</v>
      </c>
      <c r="CJ221" s="12" t="s">
        <v>697</v>
      </c>
      <c r="CK221" s="12" t="s">
        <v>697</v>
      </c>
      <c r="CL221" s="12" t="s">
        <v>698</v>
      </c>
      <c r="CM221" s="12" t="s">
        <v>937</v>
      </c>
      <c r="CN221" s="12" t="s">
        <v>937</v>
      </c>
      <c r="CO221" s="12" t="s">
        <v>937</v>
      </c>
      <c r="CP221" s="12" t="s">
        <v>991</v>
      </c>
      <c r="CQ221" s="12" t="s">
        <v>991</v>
      </c>
      <c r="CR221" s="12" t="s">
        <v>991</v>
      </c>
      <c r="CS221" s="12" t="s">
        <v>991</v>
      </c>
      <c r="CT221" s="12" t="s">
        <v>652</v>
      </c>
    </row>
    <row r="222" spans="1:98" hidden="1" x14ac:dyDescent="0.3">
      <c r="A222" s="12" t="s">
        <v>4118</v>
      </c>
      <c r="B222" s="12" t="s">
        <v>4112</v>
      </c>
      <c r="C222" s="12" t="s">
        <v>4119</v>
      </c>
      <c r="D222" s="12" t="s">
        <v>4120</v>
      </c>
      <c r="E222" s="12" t="s">
        <v>596</v>
      </c>
      <c r="F222" s="12" t="s">
        <v>596</v>
      </c>
      <c r="G222" s="12" t="s">
        <v>596</v>
      </c>
      <c r="H222" s="12" t="s">
        <v>596</v>
      </c>
      <c r="I222" s="12" t="s">
        <v>596</v>
      </c>
      <c r="J222" s="12" t="s">
        <v>596</v>
      </c>
      <c r="K222" s="12" t="s">
        <v>596</v>
      </c>
      <c r="L222" s="12" t="s">
        <v>596</v>
      </c>
      <c r="M222" s="12" t="s">
        <v>596</v>
      </c>
      <c r="N222" s="12" t="s">
        <v>596</v>
      </c>
      <c r="O222" s="12" t="s">
        <v>596</v>
      </c>
      <c r="P222" s="12" t="s">
        <v>596</v>
      </c>
      <c r="Q222" s="12" t="s">
        <v>596</v>
      </c>
      <c r="R222" s="12" t="s">
        <v>596</v>
      </c>
      <c r="S222" s="12" t="s">
        <v>596</v>
      </c>
      <c r="T222" s="12" t="s">
        <v>596</v>
      </c>
      <c r="U222" s="12" t="s">
        <v>596</v>
      </c>
      <c r="V222" s="12" t="s">
        <v>596</v>
      </c>
      <c r="W222" s="12" t="s">
        <v>596</v>
      </c>
      <c r="X222" s="12" t="s">
        <v>596</v>
      </c>
      <c r="Y222" s="12" t="s">
        <v>596</v>
      </c>
      <c r="Z222" s="12" t="s">
        <v>596</v>
      </c>
      <c r="AA222" s="12" t="s">
        <v>596</v>
      </c>
      <c r="AB222" s="12" t="s">
        <v>596</v>
      </c>
      <c r="AC222" s="12" t="s">
        <v>596</v>
      </c>
      <c r="AD222" s="12" t="s">
        <v>596</v>
      </c>
      <c r="AE222" s="12" t="s">
        <v>596</v>
      </c>
      <c r="AF222" s="12" t="s">
        <v>596</v>
      </c>
      <c r="AG222" s="12" t="s">
        <v>596</v>
      </c>
      <c r="AH222" s="12" t="s">
        <v>596</v>
      </c>
      <c r="AI222" s="12" t="s">
        <v>596</v>
      </c>
      <c r="AJ222" s="12" t="s">
        <v>596</v>
      </c>
      <c r="AK222" s="12" t="s">
        <v>596</v>
      </c>
      <c r="AL222" s="12" t="s">
        <v>596</v>
      </c>
      <c r="AM222" s="12" t="s">
        <v>596</v>
      </c>
      <c r="AN222" s="12" t="s">
        <v>596</v>
      </c>
      <c r="AO222" s="12" t="s">
        <v>596</v>
      </c>
      <c r="AP222" s="12" t="s">
        <v>596</v>
      </c>
      <c r="AQ222" s="12" t="s">
        <v>596</v>
      </c>
      <c r="AR222" s="12" t="s">
        <v>596</v>
      </c>
      <c r="AS222" s="12" t="s">
        <v>596</v>
      </c>
      <c r="AT222" s="12" t="s">
        <v>596</v>
      </c>
      <c r="AU222" s="12" t="s">
        <v>596</v>
      </c>
      <c r="AV222" s="12" t="s">
        <v>596</v>
      </c>
      <c r="AW222" s="12" t="s">
        <v>596</v>
      </c>
      <c r="AX222" s="12" t="s">
        <v>596</v>
      </c>
      <c r="AY222" s="12" t="s">
        <v>596</v>
      </c>
      <c r="AZ222" s="12" t="s">
        <v>596</v>
      </c>
      <c r="BA222" s="12" t="s">
        <v>597</v>
      </c>
      <c r="BB222" s="12" t="s">
        <v>641</v>
      </c>
      <c r="BC222" s="12" t="s">
        <v>641</v>
      </c>
      <c r="BD222" s="12" t="s">
        <v>641</v>
      </c>
      <c r="BE222" s="12" t="s">
        <v>641</v>
      </c>
      <c r="BF222" s="12" t="s">
        <v>690</v>
      </c>
      <c r="BG222" s="12" t="s">
        <v>869</v>
      </c>
      <c r="BH222" s="12" t="s">
        <v>869</v>
      </c>
      <c r="BI222" s="12" t="s">
        <v>869</v>
      </c>
      <c r="BJ222" s="12" t="s">
        <v>601</v>
      </c>
      <c r="BK222" s="12" t="s">
        <v>774</v>
      </c>
      <c r="BL222" s="12" t="s">
        <v>870</v>
      </c>
      <c r="BM222" s="12" t="s">
        <v>870</v>
      </c>
      <c r="BN222" s="12" t="s">
        <v>989</v>
      </c>
      <c r="BO222" s="12" t="s">
        <v>989</v>
      </c>
      <c r="BP222" s="12" t="s">
        <v>936</v>
      </c>
      <c r="BQ222" s="12" t="s">
        <v>991</v>
      </c>
      <c r="BR222" s="12" t="s">
        <v>739</v>
      </c>
      <c r="BS222" s="12" t="s">
        <v>790</v>
      </c>
      <c r="BT222" s="12" t="s">
        <v>1517</v>
      </c>
      <c r="BU222" s="12" t="s">
        <v>2031</v>
      </c>
      <c r="BV222" s="12" t="s">
        <v>2031</v>
      </c>
      <c r="BW222" s="12" t="s">
        <v>1833</v>
      </c>
      <c r="BX222" s="12" t="s">
        <v>1440</v>
      </c>
      <c r="BY222" s="12" t="s">
        <v>1525</v>
      </c>
      <c r="BZ222" s="12" t="s">
        <v>1512</v>
      </c>
      <c r="CA222" s="12" t="s">
        <v>1848</v>
      </c>
      <c r="CB222" s="12" t="s">
        <v>1299</v>
      </c>
      <c r="CC222" s="12" t="s">
        <v>2074</v>
      </c>
      <c r="CD222" s="12" t="s">
        <v>1205</v>
      </c>
      <c r="CE222" s="12" t="s">
        <v>667</v>
      </c>
      <c r="CF222" s="12" t="s">
        <v>3144</v>
      </c>
      <c r="CG222" s="12" t="s">
        <v>838</v>
      </c>
      <c r="CH222" s="12" t="s">
        <v>3242</v>
      </c>
      <c r="CI222" s="12" t="s">
        <v>896</v>
      </c>
      <c r="CJ222" s="12" t="s">
        <v>1206</v>
      </c>
      <c r="CK222" s="12" t="s">
        <v>2697</v>
      </c>
      <c r="CL222" s="12" t="s">
        <v>1387</v>
      </c>
      <c r="CM222" s="12" t="s">
        <v>1862</v>
      </c>
      <c r="CN222" s="12" t="s">
        <v>622</v>
      </c>
      <c r="CO222" s="12" t="s">
        <v>1865</v>
      </c>
      <c r="CP222" s="12" t="s">
        <v>1865</v>
      </c>
      <c r="CQ222" s="12" t="s">
        <v>4121</v>
      </c>
      <c r="CR222" s="12" t="s">
        <v>2082</v>
      </c>
      <c r="CS222" s="12" t="s">
        <v>623</v>
      </c>
      <c r="CT222" s="12" t="s">
        <v>2055</v>
      </c>
    </row>
    <row r="223" spans="1:98" hidden="1" x14ac:dyDescent="0.3">
      <c r="A223" s="12" t="s">
        <v>4122</v>
      </c>
      <c r="B223" s="12" t="s">
        <v>4112</v>
      </c>
      <c r="C223" s="12" t="s">
        <v>4123</v>
      </c>
      <c r="D223" s="12" t="s">
        <v>4124</v>
      </c>
      <c r="E223" s="12" t="s">
        <v>596</v>
      </c>
      <c r="F223" s="12" t="s">
        <v>596</v>
      </c>
      <c r="G223" s="12" t="s">
        <v>596</v>
      </c>
      <c r="H223" s="12" t="s">
        <v>596</v>
      </c>
      <c r="I223" s="12" t="s">
        <v>596</v>
      </c>
      <c r="J223" s="12" t="s">
        <v>596</v>
      </c>
      <c r="K223" s="12" t="s">
        <v>596</v>
      </c>
      <c r="L223" s="12" t="s">
        <v>596</v>
      </c>
      <c r="M223" s="12" t="s">
        <v>596</v>
      </c>
      <c r="N223" s="12" t="s">
        <v>596</v>
      </c>
      <c r="O223" s="12" t="s">
        <v>596</v>
      </c>
      <c r="P223" s="12" t="s">
        <v>596</v>
      </c>
      <c r="Q223" s="12" t="s">
        <v>596</v>
      </c>
      <c r="R223" s="12" t="s">
        <v>596</v>
      </c>
      <c r="S223" s="12" t="s">
        <v>596</v>
      </c>
      <c r="T223" s="12" t="s">
        <v>596</v>
      </c>
      <c r="U223" s="12" t="s">
        <v>596</v>
      </c>
      <c r="V223" s="12" t="s">
        <v>596</v>
      </c>
      <c r="W223" s="12" t="s">
        <v>596</v>
      </c>
      <c r="X223" s="12" t="s">
        <v>596</v>
      </c>
      <c r="Y223" s="12" t="s">
        <v>596</v>
      </c>
      <c r="Z223" s="12" t="s">
        <v>596</v>
      </c>
      <c r="AA223" s="12" t="s">
        <v>596</v>
      </c>
      <c r="AB223" s="12" t="s">
        <v>596</v>
      </c>
      <c r="AC223" s="12" t="s">
        <v>596</v>
      </c>
      <c r="AD223" s="12" t="s">
        <v>596</v>
      </c>
      <c r="AE223" s="12" t="s">
        <v>596</v>
      </c>
      <c r="AF223" s="12" t="s">
        <v>596</v>
      </c>
      <c r="AG223" s="12" t="s">
        <v>596</v>
      </c>
      <c r="AH223" s="12" t="s">
        <v>596</v>
      </c>
      <c r="AI223" s="12" t="s">
        <v>596</v>
      </c>
      <c r="AJ223" s="12" t="s">
        <v>596</v>
      </c>
      <c r="AK223" s="12" t="s">
        <v>596</v>
      </c>
      <c r="AL223" s="12" t="s">
        <v>596</v>
      </c>
      <c r="AM223" s="12" t="s">
        <v>596</v>
      </c>
      <c r="AN223" s="12" t="s">
        <v>596</v>
      </c>
      <c r="AO223" s="12" t="s">
        <v>596</v>
      </c>
      <c r="AP223" s="12" t="s">
        <v>596</v>
      </c>
      <c r="AQ223" s="12" t="s">
        <v>596</v>
      </c>
      <c r="AR223" s="12" t="s">
        <v>596</v>
      </c>
      <c r="AS223" s="12" t="s">
        <v>596</v>
      </c>
      <c r="AT223" s="12" t="s">
        <v>596</v>
      </c>
      <c r="AU223" s="12" t="s">
        <v>597</v>
      </c>
      <c r="AV223" s="12" t="s">
        <v>597</v>
      </c>
      <c r="AW223" s="12" t="s">
        <v>597</v>
      </c>
      <c r="AX223" s="12" t="s">
        <v>597</v>
      </c>
      <c r="AY223" s="12" t="s">
        <v>597</v>
      </c>
      <c r="AZ223" s="12" t="s">
        <v>597</v>
      </c>
      <c r="BA223" s="12" t="s">
        <v>597</v>
      </c>
      <c r="BB223" s="12" t="s">
        <v>597</v>
      </c>
      <c r="BC223" s="12" t="s">
        <v>597</v>
      </c>
      <c r="BD223" s="12" t="s">
        <v>597</v>
      </c>
      <c r="BE223" s="12" t="s">
        <v>597</v>
      </c>
      <c r="BF223" s="12" t="s">
        <v>597</v>
      </c>
      <c r="BG223" s="12" t="s">
        <v>597</v>
      </c>
      <c r="BH223" s="12" t="s">
        <v>690</v>
      </c>
      <c r="BI223" s="12" t="s">
        <v>773</v>
      </c>
      <c r="BJ223" s="12" t="s">
        <v>642</v>
      </c>
      <c r="BK223" s="12" t="s">
        <v>642</v>
      </c>
      <c r="BL223" s="12" t="s">
        <v>642</v>
      </c>
      <c r="BM223" s="12" t="s">
        <v>780</v>
      </c>
      <c r="BN223" s="12" t="s">
        <v>780</v>
      </c>
      <c r="BO223" s="12" t="s">
        <v>780</v>
      </c>
      <c r="BP223" s="12" t="s">
        <v>694</v>
      </c>
      <c r="BQ223" s="12" t="s">
        <v>935</v>
      </c>
      <c r="BR223" s="12" t="s">
        <v>649</v>
      </c>
      <c r="BS223" s="12" t="s">
        <v>787</v>
      </c>
      <c r="BT223" s="12" t="s">
        <v>888</v>
      </c>
      <c r="BU223" s="12" t="s">
        <v>992</v>
      </c>
      <c r="BV223" s="12" t="s">
        <v>992</v>
      </c>
      <c r="BW223" s="12" t="s">
        <v>1202</v>
      </c>
      <c r="BX223" s="12" t="s">
        <v>739</v>
      </c>
      <c r="BY223" s="12" t="s">
        <v>1143</v>
      </c>
      <c r="BZ223" s="12" t="s">
        <v>996</v>
      </c>
      <c r="CA223" s="12" t="s">
        <v>880</v>
      </c>
      <c r="CB223" s="12" t="s">
        <v>1226</v>
      </c>
      <c r="CC223" s="12" t="s">
        <v>740</v>
      </c>
      <c r="CD223" s="12" t="s">
        <v>611</v>
      </c>
      <c r="CE223" s="12" t="s">
        <v>656</v>
      </c>
      <c r="CF223" s="12" t="s">
        <v>1372</v>
      </c>
      <c r="CG223" s="12" t="s">
        <v>1373</v>
      </c>
      <c r="CH223" s="12" t="s">
        <v>1373</v>
      </c>
      <c r="CI223" s="12" t="s">
        <v>1373</v>
      </c>
      <c r="CJ223" s="12" t="s">
        <v>1373</v>
      </c>
      <c r="CK223" s="12" t="s">
        <v>1065</v>
      </c>
      <c r="CL223" s="12" t="s">
        <v>1065</v>
      </c>
      <c r="CM223" s="12" t="s">
        <v>1279</v>
      </c>
      <c r="CN223" s="12" t="s">
        <v>1279</v>
      </c>
      <c r="CO223" s="12" t="s">
        <v>1279</v>
      </c>
      <c r="CP223" s="12" t="s">
        <v>1279</v>
      </c>
      <c r="CQ223" s="12" t="s">
        <v>1279</v>
      </c>
      <c r="CR223" s="12" t="s">
        <v>1279</v>
      </c>
      <c r="CS223" s="12" t="s">
        <v>741</v>
      </c>
      <c r="CT223" s="12" t="s">
        <v>741</v>
      </c>
    </row>
    <row r="224" spans="1:98" hidden="1" x14ac:dyDescent="0.3">
      <c r="A224" s="12" t="s">
        <v>4125</v>
      </c>
      <c r="B224" s="12" t="s">
        <v>4112</v>
      </c>
      <c r="C224" s="12" t="s">
        <v>4126</v>
      </c>
      <c r="D224" s="12" t="s">
        <v>4127</v>
      </c>
      <c r="E224" s="12" t="s">
        <v>596</v>
      </c>
      <c r="F224" s="12" t="s">
        <v>596</v>
      </c>
      <c r="G224" s="12" t="s">
        <v>596</v>
      </c>
      <c r="H224" s="12" t="s">
        <v>596</v>
      </c>
      <c r="I224" s="12" t="s">
        <v>596</v>
      </c>
      <c r="J224" s="12" t="s">
        <v>596</v>
      </c>
      <c r="K224" s="12" t="s">
        <v>596</v>
      </c>
      <c r="L224" s="12" t="s">
        <v>596</v>
      </c>
      <c r="M224" s="12" t="s">
        <v>596</v>
      </c>
      <c r="N224" s="12" t="s">
        <v>596</v>
      </c>
      <c r="O224" s="12" t="s">
        <v>596</v>
      </c>
      <c r="P224" s="12" t="s">
        <v>596</v>
      </c>
      <c r="Q224" s="12" t="s">
        <v>596</v>
      </c>
      <c r="R224" s="12" t="s">
        <v>596</v>
      </c>
      <c r="S224" s="12" t="s">
        <v>596</v>
      </c>
      <c r="T224" s="12" t="s">
        <v>596</v>
      </c>
      <c r="U224" s="12" t="s">
        <v>596</v>
      </c>
      <c r="V224" s="12" t="s">
        <v>596</v>
      </c>
      <c r="W224" s="12" t="s">
        <v>596</v>
      </c>
      <c r="X224" s="12" t="s">
        <v>596</v>
      </c>
      <c r="Y224" s="12" t="s">
        <v>596</v>
      </c>
      <c r="Z224" s="12" t="s">
        <v>596</v>
      </c>
      <c r="AA224" s="12" t="s">
        <v>596</v>
      </c>
      <c r="AB224" s="12" t="s">
        <v>596</v>
      </c>
      <c r="AC224" s="12" t="s">
        <v>596</v>
      </c>
      <c r="AD224" s="12" t="s">
        <v>596</v>
      </c>
      <c r="AE224" s="12" t="s">
        <v>596</v>
      </c>
      <c r="AF224" s="12" t="s">
        <v>596</v>
      </c>
      <c r="AG224" s="12" t="s">
        <v>596</v>
      </c>
      <c r="AH224" s="12" t="s">
        <v>596</v>
      </c>
      <c r="AI224" s="12" t="s">
        <v>596</v>
      </c>
      <c r="AJ224" s="12" t="s">
        <v>596</v>
      </c>
      <c r="AK224" s="12" t="s">
        <v>596</v>
      </c>
      <c r="AL224" s="12" t="s">
        <v>596</v>
      </c>
      <c r="AM224" s="12" t="s">
        <v>596</v>
      </c>
      <c r="AN224" s="12" t="s">
        <v>596</v>
      </c>
      <c r="AO224" s="12" t="s">
        <v>596</v>
      </c>
      <c r="AP224" s="12" t="s">
        <v>596</v>
      </c>
      <c r="AQ224" s="12" t="s">
        <v>596</v>
      </c>
      <c r="AR224" s="12" t="s">
        <v>596</v>
      </c>
      <c r="AS224" s="12" t="s">
        <v>596</v>
      </c>
      <c r="AT224" s="12" t="s">
        <v>596</v>
      </c>
      <c r="AU224" s="12" t="s">
        <v>596</v>
      </c>
      <c r="AV224" s="12" t="s">
        <v>596</v>
      </c>
      <c r="AW224" s="12" t="s">
        <v>596</v>
      </c>
      <c r="AX224" s="12" t="s">
        <v>596</v>
      </c>
      <c r="AY224" s="12" t="s">
        <v>596</v>
      </c>
      <c r="AZ224" s="12" t="s">
        <v>596</v>
      </c>
      <c r="BA224" s="12" t="s">
        <v>596</v>
      </c>
      <c r="BB224" s="12" t="s">
        <v>596</v>
      </c>
      <c r="BC224" s="12" t="s">
        <v>596</v>
      </c>
      <c r="BD224" s="12" t="s">
        <v>596</v>
      </c>
      <c r="BE224" s="12" t="s">
        <v>596</v>
      </c>
      <c r="BF224" s="12" t="s">
        <v>596</v>
      </c>
      <c r="BG224" s="12" t="s">
        <v>596</v>
      </c>
      <c r="BH224" s="12" t="s">
        <v>596</v>
      </c>
      <c r="BI224" s="12" t="s">
        <v>596</v>
      </c>
      <c r="BJ224" s="12" t="s">
        <v>596</v>
      </c>
      <c r="BK224" s="12" t="s">
        <v>597</v>
      </c>
      <c r="BL224" s="12" t="s">
        <v>597</v>
      </c>
      <c r="BM224" s="12" t="s">
        <v>599</v>
      </c>
      <c r="BN224" s="12" t="s">
        <v>886</v>
      </c>
      <c r="BO224" s="12" t="s">
        <v>644</v>
      </c>
      <c r="BP224" s="12" t="s">
        <v>644</v>
      </c>
      <c r="BQ224" s="12" t="s">
        <v>775</v>
      </c>
      <c r="BR224" s="12" t="s">
        <v>971</v>
      </c>
      <c r="BS224" s="12" t="s">
        <v>870</v>
      </c>
      <c r="BT224" s="12" t="s">
        <v>647</v>
      </c>
      <c r="BU224" s="12" t="s">
        <v>1009</v>
      </c>
      <c r="BV224" s="12" t="s">
        <v>698</v>
      </c>
      <c r="BW224" s="12" t="s">
        <v>788</v>
      </c>
      <c r="BX224" s="12" t="s">
        <v>1143</v>
      </c>
      <c r="BY224" s="12" t="s">
        <v>1371</v>
      </c>
      <c r="BZ224" s="12" t="s">
        <v>1294</v>
      </c>
      <c r="CA224" s="12" t="s">
        <v>1372</v>
      </c>
      <c r="CB224" s="12" t="s">
        <v>701</v>
      </c>
      <c r="CC224" s="12" t="s">
        <v>1832</v>
      </c>
      <c r="CD224" s="12" t="s">
        <v>792</v>
      </c>
      <c r="CE224" s="12" t="s">
        <v>1856</v>
      </c>
      <c r="CF224" s="12" t="s">
        <v>702</v>
      </c>
      <c r="CG224" s="12" t="s">
        <v>1524</v>
      </c>
      <c r="CH224" s="12" t="s">
        <v>1145</v>
      </c>
      <c r="CI224" s="12" t="s">
        <v>1381</v>
      </c>
      <c r="CJ224" s="12" t="s">
        <v>1510</v>
      </c>
      <c r="CK224" s="12" t="s">
        <v>1146</v>
      </c>
      <c r="CL224" s="12" t="s">
        <v>3045</v>
      </c>
      <c r="CM224" s="12" t="s">
        <v>1847</v>
      </c>
      <c r="CN224" s="12" t="s">
        <v>1683</v>
      </c>
      <c r="CO224" s="12" t="s">
        <v>1116</v>
      </c>
      <c r="CP224" s="12" t="s">
        <v>1284</v>
      </c>
      <c r="CQ224" s="12" t="s">
        <v>894</v>
      </c>
      <c r="CR224" s="12" t="s">
        <v>894</v>
      </c>
      <c r="CS224" s="12" t="s">
        <v>894</v>
      </c>
      <c r="CT224" s="12" t="s">
        <v>746</v>
      </c>
    </row>
    <row r="225" spans="1:98" hidden="1" x14ac:dyDescent="0.3">
      <c r="A225" s="12" t="s">
        <v>4128</v>
      </c>
      <c r="B225" s="12" t="s">
        <v>4112</v>
      </c>
      <c r="C225" s="12" t="s">
        <v>4129</v>
      </c>
      <c r="D225" s="12" t="s">
        <v>4130</v>
      </c>
      <c r="E225" s="12" t="s">
        <v>596</v>
      </c>
      <c r="F225" s="12" t="s">
        <v>596</v>
      </c>
      <c r="G225" s="12" t="s">
        <v>596</v>
      </c>
      <c r="H225" s="12" t="s">
        <v>596</v>
      </c>
      <c r="I225" s="12" t="s">
        <v>596</v>
      </c>
      <c r="J225" s="12" t="s">
        <v>596</v>
      </c>
      <c r="K225" s="12" t="s">
        <v>596</v>
      </c>
      <c r="L225" s="12" t="s">
        <v>596</v>
      </c>
      <c r="M225" s="12" t="s">
        <v>596</v>
      </c>
      <c r="N225" s="12" t="s">
        <v>596</v>
      </c>
      <c r="O225" s="12" t="s">
        <v>596</v>
      </c>
      <c r="P225" s="12" t="s">
        <v>596</v>
      </c>
      <c r="Q225" s="12" t="s">
        <v>596</v>
      </c>
      <c r="R225" s="12" t="s">
        <v>596</v>
      </c>
      <c r="S225" s="12" t="s">
        <v>596</v>
      </c>
      <c r="T225" s="12" t="s">
        <v>596</v>
      </c>
      <c r="U225" s="12" t="s">
        <v>596</v>
      </c>
      <c r="V225" s="12" t="s">
        <v>596</v>
      </c>
      <c r="W225" s="12" t="s">
        <v>596</v>
      </c>
      <c r="X225" s="12" t="s">
        <v>596</v>
      </c>
      <c r="Y225" s="12" t="s">
        <v>596</v>
      </c>
      <c r="Z225" s="12" t="s">
        <v>596</v>
      </c>
      <c r="AA225" s="12" t="s">
        <v>596</v>
      </c>
      <c r="AB225" s="12" t="s">
        <v>596</v>
      </c>
      <c r="AC225" s="12" t="s">
        <v>596</v>
      </c>
      <c r="AD225" s="12" t="s">
        <v>596</v>
      </c>
      <c r="AE225" s="12" t="s">
        <v>596</v>
      </c>
      <c r="AF225" s="12" t="s">
        <v>596</v>
      </c>
      <c r="AG225" s="12" t="s">
        <v>596</v>
      </c>
      <c r="AH225" s="12" t="s">
        <v>596</v>
      </c>
      <c r="AI225" s="12" t="s">
        <v>596</v>
      </c>
      <c r="AJ225" s="12" t="s">
        <v>596</v>
      </c>
      <c r="AK225" s="12" t="s">
        <v>596</v>
      </c>
      <c r="AL225" s="12" t="s">
        <v>596</v>
      </c>
      <c r="AM225" s="12" t="s">
        <v>596</v>
      </c>
      <c r="AN225" s="12" t="s">
        <v>596</v>
      </c>
      <c r="AO225" s="12" t="s">
        <v>596</v>
      </c>
      <c r="AP225" s="12" t="s">
        <v>596</v>
      </c>
      <c r="AQ225" s="12" t="s">
        <v>596</v>
      </c>
      <c r="AR225" s="12" t="s">
        <v>596</v>
      </c>
      <c r="AS225" s="12" t="s">
        <v>596</v>
      </c>
      <c r="AT225" s="12" t="s">
        <v>596</v>
      </c>
      <c r="AU225" s="12" t="s">
        <v>596</v>
      </c>
      <c r="AV225" s="12" t="s">
        <v>596</v>
      </c>
      <c r="AW225" s="12" t="s">
        <v>596</v>
      </c>
      <c r="AX225" s="12" t="s">
        <v>596</v>
      </c>
      <c r="AY225" s="12" t="s">
        <v>596</v>
      </c>
      <c r="AZ225" s="12" t="s">
        <v>596</v>
      </c>
      <c r="BA225" s="12" t="s">
        <v>596</v>
      </c>
      <c r="BB225" s="12" t="s">
        <v>596</v>
      </c>
      <c r="BC225" s="12" t="s">
        <v>596</v>
      </c>
      <c r="BD225" s="12" t="s">
        <v>596</v>
      </c>
      <c r="BE225" s="12" t="s">
        <v>596</v>
      </c>
      <c r="BF225" s="12" t="s">
        <v>596</v>
      </c>
      <c r="BG225" s="12" t="s">
        <v>596</v>
      </c>
      <c r="BH225" s="12" t="s">
        <v>596</v>
      </c>
      <c r="BI225" s="12" t="s">
        <v>597</v>
      </c>
      <c r="BJ225" s="12" t="s">
        <v>597</v>
      </c>
      <c r="BK225" s="12" t="s">
        <v>597</v>
      </c>
      <c r="BL225" s="12" t="s">
        <v>597</v>
      </c>
      <c r="BM225" s="12" t="s">
        <v>597</v>
      </c>
      <c r="BN225" s="12" t="s">
        <v>597</v>
      </c>
      <c r="BO225" s="12" t="s">
        <v>597</v>
      </c>
      <c r="BP225" s="12" t="s">
        <v>597</v>
      </c>
      <c r="BQ225" s="12" t="s">
        <v>599</v>
      </c>
      <c r="BR225" s="12" t="s">
        <v>599</v>
      </c>
      <c r="BS225" s="12" t="s">
        <v>599</v>
      </c>
      <c r="BT225" s="12" t="s">
        <v>599</v>
      </c>
      <c r="BU225" s="12" t="s">
        <v>599</v>
      </c>
      <c r="BV225" s="12" t="s">
        <v>599</v>
      </c>
      <c r="BW225" s="12" t="s">
        <v>599</v>
      </c>
      <c r="BX225" s="12" t="s">
        <v>599</v>
      </c>
      <c r="BY225" s="12" t="s">
        <v>869</v>
      </c>
      <c r="BZ225" s="12" t="s">
        <v>869</v>
      </c>
      <c r="CA225" s="12" t="s">
        <v>869</v>
      </c>
      <c r="CB225" s="12" t="s">
        <v>869</v>
      </c>
      <c r="CC225" s="12" t="s">
        <v>779</v>
      </c>
      <c r="CD225" s="12" t="s">
        <v>779</v>
      </c>
      <c r="CE225" s="12" t="s">
        <v>779</v>
      </c>
      <c r="CF225" s="12" t="s">
        <v>779</v>
      </c>
      <c r="CG225" s="12" t="s">
        <v>779</v>
      </c>
      <c r="CH225" s="12" t="s">
        <v>779</v>
      </c>
      <c r="CI225" s="12" t="s">
        <v>601</v>
      </c>
      <c r="CJ225" s="12" t="s">
        <v>601</v>
      </c>
      <c r="CK225" s="12" t="s">
        <v>601</v>
      </c>
      <c r="CL225" s="12" t="s">
        <v>601</v>
      </c>
      <c r="CM225" s="12" t="s">
        <v>601</v>
      </c>
      <c r="CN225" s="12" t="s">
        <v>601</v>
      </c>
      <c r="CO225" s="12" t="s">
        <v>601</v>
      </c>
      <c r="CP225" s="12" t="s">
        <v>601</v>
      </c>
      <c r="CQ225" s="12" t="s">
        <v>601</v>
      </c>
      <c r="CR225" s="12" t="s">
        <v>601</v>
      </c>
      <c r="CS225" s="12" t="s">
        <v>601</v>
      </c>
      <c r="CT225" s="12" t="s">
        <v>601</v>
      </c>
    </row>
    <row r="226" spans="1:98" hidden="1" x14ac:dyDescent="0.3">
      <c r="A226" s="12" t="s">
        <v>25</v>
      </c>
      <c r="B226" s="12" t="s">
        <v>4112</v>
      </c>
      <c r="C226" s="12" t="s">
        <v>4131</v>
      </c>
      <c r="D226" s="12" t="s">
        <v>4132</v>
      </c>
      <c r="E226" s="12" t="s">
        <v>596</v>
      </c>
      <c r="F226" s="12" t="s">
        <v>596</v>
      </c>
      <c r="G226" s="12" t="s">
        <v>596</v>
      </c>
      <c r="H226" s="12" t="s">
        <v>596</v>
      </c>
      <c r="I226" s="12" t="s">
        <v>596</v>
      </c>
      <c r="J226" s="12" t="s">
        <v>596</v>
      </c>
      <c r="K226" s="12" t="s">
        <v>596</v>
      </c>
      <c r="L226" s="12" t="s">
        <v>596</v>
      </c>
      <c r="M226" s="12" t="s">
        <v>596</v>
      </c>
      <c r="N226" s="12" t="s">
        <v>641</v>
      </c>
      <c r="O226" s="12" t="s">
        <v>641</v>
      </c>
      <c r="P226" s="12" t="s">
        <v>641</v>
      </c>
      <c r="Q226" s="12" t="s">
        <v>641</v>
      </c>
      <c r="R226" s="12" t="s">
        <v>641</v>
      </c>
      <c r="S226" s="12" t="s">
        <v>641</v>
      </c>
      <c r="T226" s="12" t="s">
        <v>641</v>
      </c>
      <c r="U226" s="12" t="s">
        <v>690</v>
      </c>
      <c r="V226" s="12" t="s">
        <v>690</v>
      </c>
      <c r="W226" s="12" t="s">
        <v>690</v>
      </c>
      <c r="X226" s="12" t="s">
        <v>773</v>
      </c>
      <c r="Y226" s="12" t="s">
        <v>773</v>
      </c>
      <c r="Z226" s="12" t="s">
        <v>779</v>
      </c>
      <c r="AA226" s="12" t="s">
        <v>779</v>
      </c>
      <c r="AB226" s="12" t="s">
        <v>779</v>
      </c>
      <c r="AC226" s="12" t="s">
        <v>779</v>
      </c>
      <c r="AD226" s="12" t="s">
        <v>779</v>
      </c>
      <c r="AE226" s="12" t="s">
        <v>779</v>
      </c>
      <c r="AF226" s="12" t="s">
        <v>779</v>
      </c>
      <c r="AG226" s="12" t="s">
        <v>779</v>
      </c>
      <c r="AH226" s="12" t="s">
        <v>779</v>
      </c>
      <c r="AI226" s="12" t="s">
        <v>779</v>
      </c>
      <c r="AJ226" s="12" t="s">
        <v>779</v>
      </c>
      <c r="AK226" s="12" t="s">
        <v>779</v>
      </c>
      <c r="AL226" s="12" t="s">
        <v>886</v>
      </c>
      <c r="AM226" s="12" t="s">
        <v>886</v>
      </c>
      <c r="AN226" s="12" t="s">
        <v>886</v>
      </c>
      <c r="AO226" s="12" t="s">
        <v>780</v>
      </c>
      <c r="AP226" s="12" t="s">
        <v>693</v>
      </c>
      <c r="AQ226" s="12" t="s">
        <v>644</v>
      </c>
      <c r="AR226" s="12" t="s">
        <v>989</v>
      </c>
      <c r="AS226" s="12" t="s">
        <v>606</v>
      </c>
      <c r="AT226" s="12" t="s">
        <v>648</v>
      </c>
      <c r="AU226" s="12" t="s">
        <v>1142</v>
      </c>
      <c r="AV226" s="12" t="s">
        <v>829</v>
      </c>
      <c r="AW226" s="12" t="s">
        <v>1204</v>
      </c>
      <c r="AX226" s="12" t="s">
        <v>1622</v>
      </c>
      <c r="AY226" s="12" t="s">
        <v>615</v>
      </c>
      <c r="AZ226" s="12" t="s">
        <v>1329</v>
      </c>
      <c r="BA226" s="12" t="s">
        <v>2207</v>
      </c>
      <c r="BB226" s="12" t="s">
        <v>1719</v>
      </c>
      <c r="BC226" s="12" t="s">
        <v>1719</v>
      </c>
      <c r="BD226" s="12" t="s">
        <v>2158</v>
      </c>
      <c r="BE226" s="12" t="s">
        <v>4133</v>
      </c>
      <c r="BF226" s="12" t="s">
        <v>4133</v>
      </c>
      <c r="BG226" s="12" t="s">
        <v>4134</v>
      </c>
      <c r="BH226" s="12" t="s">
        <v>2228</v>
      </c>
      <c r="BI226" s="12" t="s">
        <v>3212</v>
      </c>
      <c r="BJ226" s="12" t="s">
        <v>4135</v>
      </c>
      <c r="BK226" s="12" t="s">
        <v>4136</v>
      </c>
      <c r="BL226" s="12" t="s">
        <v>4137</v>
      </c>
      <c r="BM226" s="12" t="s">
        <v>4138</v>
      </c>
      <c r="BN226" s="12" t="s">
        <v>4139</v>
      </c>
      <c r="BO226" s="12" t="s">
        <v>4140</v>
      </c>
      <c r="BP226" s="12" t="s">
        <v>4141</v>
      </c>
      <c r="BQ226" s="12" t="s">
        <v>4142</v>
      </c>
      <c r="BR226" s="12" t="s">
        <v>4143</v>
      </c>
      <c r="BS226" s="12" t="s">
        <v>4144</v>
      </c>
      <c r="BT226" s="12" t="s">
        <v>4145</v>
      </c>
      <c r="BU226" s="12" t="s">
        <v>4146</v>
      </c>
      <c r="BV226" s="12" t="s">
        <v>4147</v>
      </c>
      <c r="BW226" s="12" t="s">
        <v>4148</v>
      </c>
      <c r="BX226" s="12" t="s">
        <v>4149</v>
      </c>
      <c r="BY226" s="12" t="s">
        <v>4150</v>
      </c>
      <c r="BZ226" s="12" t="s">
        <v>4151</v>
      </c>
      <c r="CA226" s="12" t="s">
        <v>4152</v>
      </c>
      <c r="CB226" s="12" t="s">
        <v>4153</v>
      </c>
      <c r="CC226" s="12" t="s">
        <v>4154</v>
      </c>
      <c r="CD226" s="12" t="s">
        <v>4155</v>
      </c>
      <c r="CE226" s="12" t="s">
        <v>4156</v>
      </c>
      <c r="CF226" s="12" t="s">
        <v>4157</v>
      </c>
      <c r="CG226" s="12" t="s">
        <v>4158</v>
      </c>
      <c r="CH226" s="12" t="s">
        <v>4159</v>
      </c>
      <c r="CI226" s="12" t="s">
        <v>4160</v>
      </c>
      <c r="CJ226" s="12" t="s">
        <v>4161</v>
      </c>
      <c r="CK226" s="12" t="s">
        <v>4162</v>
      </c>
      <c r="CL226" s="12" t="s">
        <v>4163</v>
      </c>
      <c r="CM226" s="12" t="s">
        <v>4164</v>
      </c>
      <c r="CN226" s="12" t="s">
        <v>4165</v>
      </c>
      <c r="CO226" s="12" t="s">
        <v>4166</v>
      </c>
      <c r="CP226" s="12" t="s">
        <v>4167</v>
      </c>
      <c r="CQ226" s="12" t="s">
        <v>4168</v>
      </c>
      <c r="CR226" s="12" t="s">
        <v>4169</v>
      </c>
      <c r="CS226" s="12" t="s">
        <v>4170</v>
      </c>
      <c r="CT226" s="12" t="s">
        <v>4171</v>
      </c>
    </row>
    <row r="227" spans="1:98" hidden="1" x14ac:dyDescent="0.3">
      <c r="A227" s="12" t="s">
        <v>25</v>
      </c>
      <c r="B227" s="12" t="s">
        <v>4172</v>
      </c>
      <c r="C227" s="12" t="s">
        <v>4173</v>
      </c>
      <c r="D227" s="12" t="s">
        <v>4174</v>
      </c>
      <c r="E227" s="12" t="s">
        <v>596</v>
      </c>
      <c r="F227" s="12" t="s">
        <v>596</v>
      </c>
      <c r="G227" s="12" t="s">
        <v>596</v>
      </c>
      <c r="H227" s="12" t="s">
        <v>596</v>
      </c>
      <c r="I227" s="12" t="s">
        <v>596</v>
      </c>
      <c r="J227" s="12" t="s">
        <v>596</v>
      </c>
      <c r="K227" s="12" t="s">
        <v>596</v>
      </c>
      <c r="L227" s="12" t="s">
        <v>596</v>
      </c>
      <c r="M227" s="12" t="s">
        <v>596</v>
      </c>
      <c r="N227" s="12" t="s">
        <v>596</v>
      </c>
      <c r="O227" s="12" t="s">
        <v>596</v>
      </c>
      <c r="P227" s="12" t="s">
        <v>596</v>
      </c>
      <c r="Q227" s="12" t="s">
        <v>596</v>
      </c>
      <c r="R227" s="12" t="s">
        <v>596</v>
      </c>
      <c r="S227" s="12" t="s">
        <v>596</v>
      </c>
      <c r="T227" s="12" t="s">
        <v>596</v>
      </c>
      <c r="U227" s="12" t="s">
        <v>596</v>
      </c>
      <c r="V227" s="12" t="s">
        <v>596</v>
      </c>
      <c r="W227" s="12" t="s">
        <v>596</v>
      </c>
      <c r="X227" s="12" t="s">
        <v>596</v>
      </c>
      <c r="Y227" s="12" t="s">
        <v>596</v>
      </c>
      <c r="Z227" s="12" t="s">
        <v>596</v>
      </c>
      <c r="AA227" s="12" t="s">
        <v>596</v>
      </c>
      <c r="AB227" s="12" t="s">
        <v>596</v>
      </c>
      <c r="AC227" s="12" t="s">
        <v>596</v>
      </c>
      <c r="AD227" s="12" t="s">
        <v>596</v>
      </c>
      <c r="AE227" s="12" t="s">
        <v>596</v>
      </c>
      <c r="AF227" s="12" t="s">
        <v>596</v>
      </c>
      <c r="AG227" s="12" t="s">
        <v>596</v>
      </c>
      <c r="AH227" s="12" t="s">
        <v>596</v>
      </c>
      <c r="AI227" s="12" t="s">
        <v>596</v>
      </c>
      <c r="AJ227" s="12" t="s">
        <v>596</v>
      </c>
      <c r="AK227" s="12" t="s">
        <v>596</v>
      </c>
      <c r="AL227" s="12" t="s">
        <v>596</v>
      </c>
      <c r="AM227" s="12" t="s">
        <v>596</v>
      </c>
      <c r="AN227" s="12" t="s">
        <v>596</v>
      </c>
      <c r="AO227" s="12" t="s">
        <v>596</v>
      </c>
      <c r="AP227" s="12" t="s">
        <v>596</v>
      </c>
      <c r="AQ227" s="12" t="s">
        <v>596</v>
      </c>
      <c r="AR227" s="12" t="s">
        <v>596</v>
      </c>
      <c r="AS227" s="12" t="s">
        <v>596</v>
      </c>
      <c r="AT227" s="12" t="s">
        <v>596</v>
      </c>
      <c r="AU227" s="12" t="s">
        <v>596</v>
      </c>
      <c r="AV227" s="12" t="s">
        <v>596</v>
      </c>
      <c r="AW227" s="12" t="s">
        <v>596</v>
      </c>
      <c r="AX227" s="12" t="s">
        <v>596</v>
      </c>
      <c r="AY227" s="12" t="s">
        <v>596</v>
      </c>
      <c r="AZ227" s="12" t="s">
        <v>596</v>
      </c>
      <c r="BA227" s="12" t="s">
        <v>596</v>
      </c>
      <c r="BB227" s="12" t="s">
        <v>596</v>
      </c>
      <c r="BC227" s="12" t="s">
        <v>596</v>
      </c>
      <c r="BD227" s="12" t="s">
        <v>596</v>
      </c>
      <c r="BE227" s="12" t="s">
        <v>598</v>
      </c>
      <c r="BF227" s="12" t="s">
        <v>598</v>
      </c>
      <c r="BG227" s="12" t="s">
        <v>773</v>
      </c>
      <c r="BH227" s="12" t="s">
        <v>971</v>
      </c>
      <c r="BI227" s="12" t="s">
        <v>972</v>
      </c>
      <c r="BJ227" s="12" t="s">
        <v>789</v>
      </c>
      <c r="BK227" s="12" t="s">
        <v>609</v>
      </c>
      <c r="BL227" s="12" t="s">
        <v>610</v>
      </c>
      <c r="BM227" s="12" t="s">
        <v>792</v>
      </c>
      <c r="BN227" s="12" t="s">
        <v>1328</v>
      </c>
      <c r="BO227" s="12" t="s">
        <v>1328</v>
      </c>
      <c r="BP227" s="12" t="s">
        <v>1994</v>
      </c>
      <c r="BQ227" s="12" t="s">
        <v>1507</v>
      </c>
      <c r="BR227" s="12" t="s">
        <v>1642</v>
      </c>
      <c r="BS227" s="12" t="s">
        <v>1705</v>
      </c>
      <c r="BT227" s="12" t="s">
        <v>665</v>
      </c>
      <c r="BU227" s="12" t="s">
        <v>1536</v>
      </c>
      <c r="BV227" s="12" t="s">
        <v>1762</v>
      </c>
      <c r="BW227" s="12" t="s">
        <v>1762</v>
      </c>
      <c r="BX227" s="12" t="s">
        <v>1764</v>
      </c>
      <c r="BY227" s="12" t="s">
        <v>2446</v>
      </c>
      <c r="BZ227" s="12" t="s">
        <v>670</v>
      </c>
      <c r="CA227" s="12" t="s">
        <v>670</v>
      </c>
      <c r="CB227" s="12" t="s">
        <v>4175</v>
      </c>
      <c r="CC227" s="12" t="s">
        <v>839</v>
      </c>
      <c r="CD227" s="12" t="s">
        <v>839</v>
      </c>
      <c r="CE227" s="12" t="s">
        <v>1719</v>
      </c>
      <c r="CF227" s="12" t="s">
        <v>2717</v>
      </c>
      <c r="CG227" s="12" t="s">
        <v>677</v>
      </c>
      <c r="CH227" s="12" t="s">
        <v>1686</v>
      </c>
      <c r="CI227" s="12" t="s">
        <v>1686</v>
      </c>
      <c r="CJ227" s="12" t="s">
        <v>1864</v>
      </c>
      <c r="CK227" s="12" t="s">
        <v>2000</v>
      </c>
      <c r="CL227" s="12" t="s">
        <v>796</v>
      </c>
      <c r="CM227" s="12" t="s">
        <v>796</v>
      </c>
      <c r="CN227" s="12" t="s">
        <v>2098</v>
      </c>
      <c r="CO227" s="12" t="s">
        <v>1056</v>
      </c>
      <c r="CP227" s="12" t="s">
        <v>1773</v>
      </c>
      <c r="CQ227" s="12" t="s">
        <v>1773</v>
      </c>
      <c r="CR227" s="12" t="s">
        <v>2001</v>
      </c>
      <c r="CS227" s="12" t="s">
        <v>1421</v>
      </c>
      <c r="CT227" s="12" t="s">
        <v>4176</v>
      </c>
    </row>
    <row r="228" spans="1:98" hidden="1" x14ac:dyDescent="0.3">
      <c r="A228" s="12" t="s">
        <v>25</v>
      </c>
      <c r="B228" s="12" t="s">
        <v>4177</v>
      </c>
      <c r="C228" s="12" t="s">
        <v>4178</v>
      </c>
      <c r="D228" s="12" t="s">
        <v>4179</v>
      </c>
      <c r="E228" s="12" t="s">
        <v>597</v>
      </c>
      <c r="F228" s="12" t="s">
        <v>597</v>
      </c>
      <c r="G228" s="12" t="s">
        <v>641</v>
      </c>
      <c r="H228" s="12" t="s">
        <v>641</v>
      </c>
      <c r="I228" s="12" t="s">
        <v>599</v>
      </c>
      <c r="J228" s="12" t="s">
        <v>599</v>
      </c>
      <c r="K228" s="12" t="s">
        <v>599</v>
      </c>
      <c r="L228" s="12" t="s">
        <v>599</v>
      </c>
      <c r="M228" s="12" t="s">
        <v>599</v>
      </c>
      <c r="N228" s="12" t="s">
        <v>600</v>
      </c>
      <c r="O228" s="12" t="s">
        <v>773</v>
      </c>
      <c r="P228" s="12" t="s">
        <v>773</v>
      </c>
      <c r="Q228" s="12" t="s">
        <v>601</v>
      </c>
      <c r="R228" s="12" t="s">
        <v>601</v>
      </c>
      <c r="S228" s="12" t="s">
        <v>601</v>
      </c>
      <c r="T228" s="12" t="s">
        <v>601</v>
      </c>
      <c r="U228" s="12" t="s">
        <v>601</v>
      </c>
      <c r="V228" s="12" t="s">
        <v>601</v>
      </c>
      <c r="W228" s="12" t="s">
        <v>601</v>
      </c>
      <c r="X228" s="12" t="s">
        <v>601</v>
      </c>
      <c r="Y228" s="12" t="s">
        <v>643</v>
      </c>
      <c r="Z228" s="12" t="s">
        <v>643</v>
      </c>
      <c r="AA228" s="12" t="s">
        <v>886</v>
      </c>
      <c r="AB228" s="12" t="s">
        <v>886</v>
      </c>
      <c r="AC228" s="12" t="s">
        <v>886</v>
      </c>
      <c r="AD228" s="12" t="s">
        <v>886</v>
      </c>
      <c r="AE228" s="12" t="s">
        <v>886</v>
      </c>
      <c r="AF228" s="12" t="s">
        <v>886</v>
      </c>
      <c r="AG228" s="12" t="s">
        <v>886</v>
      </c>
      <c r="AH228" s="12" t="s">
        <v>886</v>
      </c>
      <c r="AI228" s="12" t="s">
        <v>780</v>
      </c>
      <c r="AJ228" s="12" t="s">
        <v>780</v>
      </c>
      <c r="AK228" s="12" t="s">
        <v>780</v>
      </c>
      <c r="AL228" s="12" t="s">
        <v>648</v>
      </c>
      <c r="AM228" s="12" t="s">
        <v>648</v>
      </c>
      <c r="AN228" s="12" t="s">
        <v>1010</v>
      </c>
      <c r="AO228" s="12" t="s">
        <v>1431</v>
      </c>
      <c r="AP228" s="12" t="s">
        <v>698</v>
      </c>
      <c r="AQ228" s="12" t="s">
        <v>788</v>
      </c>
      <c r="AR228" s="12" t="s">
        <v>607</v>
      </c>
      <c r="AS228" s="12" t="s">
        <v>996</v>
      </c>
      <c r="AT228" s="12" t="s">
        <v>1519</v>
      </c>
      <c r="AU228" s="12" t="s">
        <v>2117</v>
      </c>
      <c r="AV228" s="12" t="s">
        <v>1507</v>
      </c>
      <c r="AW228" s="12" t="s">
        <v>1512</v>
      </c>
      <c r="AX228" s="12" t="s">
        <v>2413</v>
      </c>
      <c r="AY228" s="12" t="s">
        <v>678</v>
      </c>
      <c r="AZ228" s="12" t="s">
        <v>758</v>
      </c>
      <c r="BA228" s="12" t="s">
        <v>3339</v>
      </c>
      <c r="BB228" s="12" t="s">
        <v>1031</v>
      </c>
      <c r="BC228" s="12" t="s">
        <v>4180</v>
      </c>
      <c r="BD228" s="12" t="s">
        <v>3737</v>
      </c>
      <c r="BE228" s="12" t="s">
        <v>4181</v>
      </c>
      <c r="BF228" s="12" t="s">
        <v>4182</v>
      </c>
      <c r="BG228" s="12" t="s">
        <v>4183</v>
      </c>
      <c r="BH228" s="12" t="s">
        <v>4184</v>
      </c>
      <c r="BI228" s="12" t="s">
        <v>4185</v>
      </c>
      <c r="BJ228" s="12" t="s">
        <v>4186</v>
      </c>
      <c r="BK228" s="12" t="s">
        <v>4187</v>
      </c>
      <c r="BL228" s="12" t="s">
        <v>4188</v>
      </c>
      <c r="BM228" s="12" t="s">
        <v>4189</v>
      </c>
      <c r="BN228" s="12" t="s">
        <v>4190</v>
      </c>
      <c r="BO228" s="12" t="s">
        <v>4191</v>
      </c>
      <c r="BP228" s="12" t="s">
        <v>4192</v>
      </c>
      <c r="BQ228" s="12" t="s">
        <v>4193</v>
      </c>
      <c r="BR228" s="12" t="s">
        <v>4194</v>
      </c>
      <c r="BS228" s="12" t="s">
        <v>4195</v>
      </c>
      <c r="BT228" s="12" t="s">
        <v>4196</v>
      </c>
      <c r="BU228" s="12" t="s">
        <v>4197</v>
      </c>
      <c r="BV228" s="12" t="s">
        <v>4198</v>
      </c>
      <c r="BW228" s="12" t="s">
        <v>4199</v>
      </c>
      <c r="BX228" s="12" t="s">
        <v>4200</v>
      </c>
      <c r="BY228" s="12" t="s">
        <v>4201</v>
      </c>
      <c r="BZ228" s="12" t="s">
        <v>4202</v>
      </c>
      <c r="CA228" s="12" t="s">
        <v>4203</v>
      </c>
      <c r="CB228" s="12" t="s">
        <v>4204</v>
      </c>
      <c r="CC228" s="12" t="s">
        <v>4205</v>
      </c>
      <c r="CD228" s="12" t="s">
        <v>4206</v>
      </c>
      <c r="CE228" s="12" t="s">
        <v>4207</v>
      </c>
      <c r="CF228" s="12" t="s">
        <v>4208</v>
      </c>
      <c r="CG228" s="12" t="s">
        <v>4209</v>
      </c>
      <c r="CH228" s="12" t="s">
        <v>4210</v>
      </c>
      <c r="CI228" s="12" t="s">
        <v>4211</v>
      </c>
      <c r="CJ228" s="12" t="s">
        <v>4212</v>
      </c>
      <c r="CK228" s="12" t="s">
        <v>4213</v>
      </c>
      <c r="CL228" s="12" t="s">
        <v>4214</v>
      </c>
      <c r="CM228" s="12" t="s">
        <v>4215</v>
      </c>
      <c r="CN228" s="12" t="s">
        <v>4216</v>
      </c>
      <c r="CO228" s="12" t="s">
        <v>4217</v>
      </c>
      <c r="CP228" s="12" t="s">
        <v>4218</v>
      </c>
      <c r="CQ228" s="12" t="s">
        <v>4219</v>
      </c>
      <c r="CR228" s="12" t="s">
        <v>4220</v>
      </c>
      <c r="CS228" s="12" t="s">
        <v>4221</v>
      </c>
      <c r="CT228" s="12" t="s">
        <v>4222</v>
      </c>
    </row>
    <row r="229" spans="1:98" hidden="1" x14ac:dyDescent="0.3">
      <c r="A229" s="12" t="s">
        <v>25</v>
      </c>
      <c r="B229" s="12" t="s">
        <v>4223</v>
      </c>
      <c r="C229" s="12" t="s">
        <v>4224</v>
      </c>
      <c r="D229" s="12" t="s">
        <v>4225</v>
      </c>
      <c r="E229" s="12" t="s">
        <v>596</v>
      </c>
      <c r="F229" s="12" t="s">
        <v>596</v>
      </c>
      <c r="G229" s="12" t="s">
        <v>596</v>
      </c>
      <c r="H229" s="12" t="s">
        <v>596</v>
      </c>
      <c r="I229" s="12" t="s">
        <v>596</v>
      </c>
      <c r="J229" s="12" t="s">
        <v>596</v>
      </c>
      <c r="K229" s="12" t="s">
        <v>596</v>
      </c>
      <c r="L229" s="12" t="s">
        <v>596</v>
      </c>
      <c r="M229" s="12" t="s">
        <v>596</v>
      </c>
      <c r="N229" s="12" t="s">
        <v>596</v>
      </c>
      <c r="O229" s="12" t="s">
        <v>596</v>
      </c>
      <c r="P229" s="12" t="s">
        <v>596</v>
      </c>
      <c r="Q229" s="12" t="s">
        <v>596</v>
      </c>
      <c r="R229" s="12" t="s">
        <v>596</v>
      </c>
      <c r="S229" s="12" t="s">
        <v>596</v>
      </c>
      <c r="T229" s="12" t="s">
        <v>596</v>
      </c>
      <c r="U229" s="12" t="s">
        <v>596</v>
      </c>
      <c r="V229" s="12" t="s">
        <v>596</v>
      </c>
      <c r="W229" s="12" t="s">
        <v>596</v>
      </c>
      <c r="X229" s="12" t="s">
        <v>596</v>
      </c>
      <c r="Y229" s="12" t="s">
        <v>596</v>
      </c>
      <c r="Z229" s="12" t="s">
        <v>596</v>
      </c>
      <c r="AA229" s="12" t="s">
        <v>596</v>
      </c>
      <c r="AB229" s="12" t="s">
        <v>596</v>
      </c>
      <c r="AC229" s="12" t="s">
        <v>596</v>
      </c>
      <c r="AD229" s="12" t="s">
        <v>596</v>
      </c>
      <c r="AE229" s="12" t="s">
        <v>596</v>
      </c>
      <c r="AF229" s="12" t="s">
        <v>596</v>
      </c>
      <c r="AG229" s="12" t="s">
        <v>596</v>
      </c>
      <c r="AH229" s="12" t="s">
        <v>596</v>
      </c>
      <c r="AI229" s="12" t="s">
        <v>596</v>
      </c>
      <c r="AJ229" s="12" t="s">
        <v>596</v>
      </c>
      <c r="AK229" s="12" t="s">
        <v>596</v>
      </c>
      <c r="AL229" s="12" t="s">
        <v>596</v>
      </c>
      <c r="AM229" s="12" t="s">
        <v>596</v>
      </c>
      <c r="AN229" s="12" t="s">
        <v>596</v>
      </c>
      <c r="AO229" s="12" t="s">
        <v>596</v>
      </c>
      <c r="AP229" s="12" t="s">
        <v>596</v>
      </c>
      <c r="AQ229" s="12" t="s">
        <v>596</v>
      </c>
      <c r="AR229" s="12" t="s">
        <v>596</v>
      </c>
      <c r="AS229" s="12" t="s">
        <v>596</v>
      </c>
      <c r="AT229" s="12" t="s">
        <v>596</v>
      </c>
      <c r="AU229" s="12" t="s">
        <v>596</v>
      </c>
      <c r="AV229" s="12" t="s">
        <v>596</v>
      </c>
      <c r="AW229" s="12" t="s">
        <v>596</v>
      </c>
      <c r="AX229" s="12" t="s">
        <v>596</v>
      </c>
      <c r="AY229" s="12" t="s">
        <v>596</v>
      </c>
      <c r="AZ229" s="12" t="s">
        <v>596</v>
      </c>
      <c r="BA229" s="12" t="s">
        <v>596</v>
      </c>
      <c r="BB229" s="12" t="s">
        <v>596</v>
      </c>
      <c r="BC229" s="12" t="s">
        <v>596</v>
      </c>
      <c r="BD229" s="12" t="s">
        <v>596</v>
      </c>
      <c r="BE229" s="12" t="s">
        <v>596</v>
      </c>
      <c r="BF229" s="12" t="s">
        <v>597</v>
      </c>
      <c r="BG229" s="12" t="s">
        <v>869</v>
      </c>
      <c r="BH229" s="12" t="s">
        <v>642</v>
      </c>
      <c r="BI229" s="12" t="s">
        <v>780</v>
      </c>
      <c r="BJ229" s="12" t="s">
        <v>644</v>
      </c>
      <c r="BK229" s="12" t="s">
        <v>645</v>
      </c>
      <c r="BL229" s="12" t="s">
        <v>1277</v>
      </c>
      <c r="BM229" s="12" t="s">
        <v>1277</v>
      </c>
      <c r="BN229" s="12" t="s">
        <v>936</v>
      </c>
      <c r="BO229" s="12" t="s">
        <v>972</v>
      </c>
      <c r="BP229" s="12" t="s">
        <v>698</v>
      </c>
      <c r="BQ229" s="12" t="s">
        <v>738</v>
      </c>
      <c r="BR229" s="12" t="s">
        <v>739</v>
      </c>
      <c r="BS229" s="12" t="s">
        <v>655</v>
      </c>
      <c r="BT229" s="12" t="s">
        <v>938</v>
      </c>
      <c r="BU229" s="12" t="s">
        <v>2117</v>
      </c>
      <c r="BV229" s="12" t="s">
        <v>1833</v>
      </c>
      <c r="BW229" s="12" t="s">
        <v>1587</v>
      </c>
      <c r="BX229" s="12" t="s">
        <v>1004</v>
      </c>
      <c r="BY229" s="12" t="s">
        <v>1857</v>
      </c>
      <c r="BZ229" s="12" t="s">
        <v>793</v>
      </c>
      <c r="CA229" s="12" t="s">
        <v>1537</v>
      </c>
      <c r="CB229" s="12" t="s">
        <v>1387</v>
      </c>
      <c r="CC229" s="12" t="s">
        <v>1014</v>
      </c>
      <c r="CD229" s="12" t="s">
        <v>756</v>
      </c>
      <c r="CE229" s="12" t="s">
        <v>1728</v>
      </c>
      <c r="CF229" s="12" t="s">
        <v>1304</v>
      </c>
      <c r="CG229" s="12" t="s">
        <v>2062</v>
      </c>
      <c r="CH229" s="12" t="s">
        <v>2415</v>
      </c>
      <c r="CI229" s="12" t="s">
        <v>961</v>
      </c>
      <c r="CJ229" s="12" t="s">
        <v>4226</v>
      </c>
      <c r="CK229" s="12" t="s">
        <v>1033</v>
      </c>
      <c r="CL229" s="12" t="s">
        <v>1789</v>
      </c>
      <c r="CM229" s="12" t="s">
        <v>901</v>
      </c>
      <c r="CN229" s="12" t="s">
        <v>1489</v>
      </c>
      <c r="CO229" s="12" t="s">
        <v>4227</v>
      </c>
      <c r="CP229" s="12" t="s">
        <v>4228</v>
      </c>
      <c r="CQ229" s="12" t="s">
        <v>4229</v>
      </c>
      <c r="CR229" s="12" t="s">
        <v>3460</v>
      </c>
      <c r="CS229" s="12" t="s">
        <v>4230</v>
      </c>
      <c r="CT229" s="12" t="s">
        <v>4231</v>
      </c>
    </row>
    <row r="230" spans="1:98" hidden="1" x14ac:dyDescent="0.3">
      <c r="A230" s="12" t="s">
        <v>25</v>
      </c>
      <c r="B230" s="12" t="s">
        <v>4232</v>
      </c>
      <c r="C230" s="12" t="s">
        <v>4233</v>
      </c>
      <c r="D230" s="12" t="s">
        <v>4234</v>
      </c>
      <c r="E230" s="12" t="s">
        <v>596</v>
      </c>
      <c r="F230" s="12" t="s">
        <v>596</v>
      </c>
      <c r="G230" s="12" t="s">
        <v>596</v>
      </c>
      <c r="H230" s="12" t="s">
        <v>596</v>
      </c>
      <c r="I230" s="12" t="s">
        <v>596</v>
      </c>
      <c r="J230" s="12" t="s">
        <v>596</v>
      </c>
      <c r="K230" s="12" t="s">
        <v>596</v>
      </c>
      <c r="L230" s="12" t="s">
        <v>596</v>
      </c>
      <c r="M230" s="12" t="s">
        <v>596</v>
      </c>
      <c r="N230" s="12" t="s">
        <v>596</v>
      </c>
      <c r="O230" s="12" t="s">
        <v>596</v>
      </c>
      <c r="P230" s="12" t="s">
        <v>596</v>
      </c>
      <c r="Q230" s="12" t="s">
        <v>596</v>
      </c>
      <c r="R230" s="12" t="s">
        <v>596</v>
      </c>
      <c r="S230" s="12" t="s">
        <v>596</v>
      </c>
      <c r="T230" s="12" t="s">
        <v>596</v>
      </c>
      <c r="U230" s="12" t="s">
        <v>596</v>
      </c>
      <c r="V230" s="12" t="s">
        <v>596</v>
      </c>
      <c r="W230" s="12" t="s">
        <v>596</v>
      </c>
      <c r="X230" s="12" t="s">
        <v>596</v>
      </c>
      <c r="Y230" s="12" t="s">
        <v>596</v>
      </c>
      <c r="Z230" s="12" t="s">
        <v>596</v>
      </c>
      <c r="AA230" s="12" t="s">
        <v>596</v>
      </c>
      <c r="AB230" s="12" t="s">
        <v>596</v>
      </c>
      <c r="AC230" s="12" t="s">
        <v>596</v>
      </c>
      <c r="AD230" s="12" t="s">
        <v>596</v>
      </c>
      <c r="AE230" s="12" t="s">
        <v>596</v>
      </c>
      <c r="AF230" s="12" t="s">
        <v>596</v>
      </c>
      <c r="AG230" s="12" t="s">
        <v>596</v>
      </c>
      <c r="AH230" s="12" t="s">
        <v>596</v>
      </c>
      <c r="AI230" s="12" t="s">
        <v>596</v>
      </c>
      <c r="AJ230" s="12" t="s">
        <v>596</v>
      </c>
      <c r="AK230" s="12" t="s">
        <v>596</v>
      </c>
      <c r="AL230" s="12" t="s">
        <v>596</v>
      </c>
      <c r="AM230" s="12" t="s">
        <v>596</v>
      </c>
      <c r="AN230" s="12" t="s">
        <v>596</v>
      </c>
      <c r="AO230" s="12" t="s">
        <v>596</v>
      </c>
      <c r="AP230" s="12" t="s">
        <v>596</v>
      </c>
      <c r="AQ230" s="12" t="s">
        <v>596</v>
      </c>
      <c r="AR230" s="12" t="s">
        <v>596</v>
      </c>
      <c r="AS230" s="12" t="s">
        <v>596</v>
      </c>
      <c r="AT230" s="12" t="s">
        <v>596</v>
      </c>
      <c r="AU230" s="12" t="s">
        <v>596</v>
      </c>
      <c r="AV230" s="12" t="s">
        <v>596</v>
      </c>
      <c r="AW230" s="12" t="s">
        <v>596</v>
      </c>
      <c r="AX230" s="12" t="s">
        <v>596</v>
      </c>
      <c r="AY230" s="12" t="s">
        <v>596</v>
      </c>
      <c r="AZ230" s="12" t="s">
        <v>596</v>
      </c>
      <c r="BA230" s="12" t="s">
        <v>596</v>
      </c>
      <c r="BB230" s="12" t="s">
        <v>596</v>
      </c>
      <c r="BC230" s="12" t="s">
        <v>596</v>
      </c>
      <c r="BD230" s="12" t="s">
        <v>596</v>
      </c>
      <c r="BE230" s="12" t="s">
        <v>641</v>
      </c>
      <c r="BF230" s="12" t="s">
        <v>642</v>
      </c>
      <c r="BG230" s="12" t="s">
        <v>691</v>
      </c>
      <c r="BH230" s="12" t="s">
        <v>645</v>
      </c>
      <c r="BI230" s="12" t="s">
        <v>989</v>
      </c>
      <c r="BJ230" s="12" t="s">
        <v>647</v>
      </c>
      <c r="BK230" s="12" t="s">
        <v>647</v>
      </c>
      <c r="BL230" s="12" t="s">
        <v>652</v>
      </c>
      <c r="BM230" s="12" t="s">
        <v>652</v>
      </c>
      <c r="BN230" s="12" t="s">
        <v>873</v>
      </c>
      <c r="BO230" s="12" t="s">
        <v>608</v>
      </c>
      <c r="BP230" s="12" t="s">
        <v>875</v>
      </c>
      <c r="BQ230" s="12" t="s">
        <v>1278</v>
      </c>
      <c r="BR230" s="12" t="s">
        <v>1278</v>
      </c>
      <c r="BS230" s="12" t="s">
        <v>1436</v>
      </c>
      <c r="BT230" s="12" t="s">
        <v>1436</v>
      </c>
      <c r="BU230" s="12" t="s">
        <v>1374</v>
      </c>
      <c r="BV230" s="12" t="s">
        <v>1374</v>
      </c>
      <c r="BW230" s="12" t="s">
        <v>1839</v>
      </c>
      <c r="BX230" s="12" t="s">
        <v>657</v>
      </c>
      <c r="BY230" s="12" t="s">
        <v>2118</v>
      </c>
      <c r="BZ230" s="12" t="s">
        <v>1641</v>
      </c>
      <c r="CA230" s="12" t="s">
        <v>1751</v>
      </c>
      <c r="CB230" s="12" t="s">
        <v>999</v>
      </c>
      <c r="CC230" s="12" t="s">
        <v>999</v>
      </c>
      <c r="CD230" s="12" t="s">
        <v>1505</v>
      </c>
      <c r="CE230" s="12" t="s">
        <v>892</v>
      </c>
      <c r="CF230" s="12" t="s">
        <v>892</v>
      </c>
      <c r="CG230" s="12" t="s">
        <v>1044</v>
      </c>
      <c r="CH230" s="12" t="s">
        <v>1587</v>
      </c>
      <c r="CI230" s="12" t="s">
        <v>1994</v>
      </c>
      <c r="CJ230" s="12" t="s">
        <v>1994</v>
      </c>
      <c r="CK230" s="12" t="s">
        <v>659</v>
      </c>
      <c r="CL230" s="12" t="s">
        <v>2533</v>
      </c>
      <c r="CM230" s="12" t="s">
        <v>2533</v>
      </c>
      <c r="CN230" s="12" t="s">
        <v>1857</v>
      </c>
      <c r="CO230" s="12" t="s">
        <v>1146</v>
      </c>
      <c r="CP230" s="12" t="s">
        <v>1146</v>
      </c>
      <c r="CQ230" s="12" t="s">
        <v>1147</v>
      </c>
      <c r="CR230" s="12" t="s">
        <v>1413</v>
      </c>
      <c r="CS230" s="12" t="s">
        <v>1047</v>
      </c>
      <c r="CT230" s="12" t="s">
        <v>1414</v>
      </c>
    </row>
    <row r="231" spans="1:98" hidden="1" x14ac:dyDescent="0.3">
      <c r="A231" s="12" t="s">
        <v>25</v>
      </c>
      <c r="B231" s="12" t="s">
        <v>4235</v>
      </c>
      <c r="C231" s="12" t="s">
        <v>3912</v>
      </c>
      <c r="D231" s="12" t="s">
        <v>4236</v>
      </c>
      <c r="E231" s="12" t="s">
        <v>596</v>
      </c>
      <c r="F231" s="12" t="s">
        <v>641</v>
      </c>
      <c r="G231" s="12" t="s">
        <v>641</v>
      </c>
      <c r="H231" s="12" t="s">
        <v>641</v>
      </c>
      <c r="I231" s="12" t="s">
        <v>641</v>
      </c>
      <c r="J231" s="12" t="s">
        <v>641</v>
      </c>
      <c r="K231" s="12" t="s">
        <v>641</v>
      </c>
      <c r="L231" s="12" t="s">
        <v>641</v>
      </c>
      <c r="M231" s="12" t="s">
        <v>641</v>
      </c>
      <c r="N231" s="12" t="s">
        <v>641</v>
      </c>
      <c r="O231" s="12" t="s">
        <v>869</v>
      </c>
      <c r="P231" s="12" t="s">
        <v>869</v>
      </c>
      <c r="Q231" s="12" t="s">
        <v>773</v>
      </c>
      <c r="R231" s="12" t="s">
        <v>773</v>
      </c>
      <c r="S231" s="12" t="s">
        <v>773</v>
      </c>
      <c r="T231" s="12" t="s">
        <v>642</v>
      </c>
      <c r="U231" s="12" t="s">
        <v>642</v>
      </c>
      <c r="V231" s="12" t="s">
        <v>886</v>
      </c>
      <c r="W231" s="12" t="s">
        <v>886</v>
      </c>
      <c r="X231" s="12" t="s">
        <v>774</v>
      </c>
      <c r="Y231" s="12" t="s">
        <v>780</v>
      </c>
      <c r="Z231" s="12" t="s">
        <v>780</v>
      </c>
      <c r="AA231" s="12" t="s">
        <v>602</v>
      </c>
      <c r="AB231" s="12" t="s">
        <v>602</v>
      </c>
      <c r="AC231" s="12" t="s">
        <v>602</v>
      </c>
      <c r="AD231" s="12" t="s">
        <v>602</v>
      </c>
      <c r="AE231" s="12" t="s">
        <v>602</v>
      </c>
      <c r="AF231" s="12" t="s">
        <v>602</v>
      </c>
      <c r="AG231" s="12" t="s">
        <v>602</v>
      </c>
      <c r="AH231" s="12" t="s">
        <v>602</v>
      </c>
      <c r="AI231" s="12" t="s">
        <v>602</v>
      </c>
      <c r="AJ231" s="12" t="s">
        <v>602</v>
      </c>
      <c r="AK231" s="12" t="s">
        <v>602</v>
      </c>
      <c r="AL231" s="12" t="s">
        <v>602</v>
      </c>
      <c r="AM231" s="12" t="s">
        <v>602</v>
      </c>
      <c r="AN231" s="12" t="s">
        <v>602</v>
      </c>
      <c r="AO231" s="12" t="s">
        <v>602</v>
      </c>
      <c r="AP231" s="12" t="s">
        <v>602</v>
      </c>
      <c r="AQ231" s="12" t="s">
        <v>602</v>
      </c>
      <c r="AR231" s="12" t="s">
        <v>602</v>
      </c>
      <c r="AS231" s="12" t="s">
        <v>602</v>
      </c>
      <c r="AT231" s="12" t="s">
        <v>602</v>
      </c>
      <c r="AU231" s="12" t="s">
        <v>602</v>
      </c>
      <c r="AV231" s="12" t="s">
        <v>602</v>
      </c>
      <c r="AW231" s="12" t="s">
        <v>602</v>
      </c>
      <c r="AX231" s="12" t="s">
        <v>826</v>
      </c>
      <c r="AY231" s="12" t="s">
        <v>2036</v>
      </c>
      <c r="AZ231" s="12" t="s">
        <v>2036</v>
      </c>
      <c r="BA231" s="12" t="s">
        <v>784</v>
      </c>
      <c r="BB231" s="12" t="s">
        <v>646</v>
      </c>
      <c r="BC231" s="12" t="s">
        <v>736</v>
      </c>
      <c r="BD231" s="12" t="s">
        <v>990</v>
      </c>
      <c r="BE231" s="12" t="s">
        <v>737</v>
      </c>
      <c r="BF231" s="12" t="s">
        <v>787</v>
      </c>
      <c r="BG231" s="12" t="s">
        <v>937</v>
      </c>
      <c r="BH231" s="12" t="s">
        <v>991</v>
      </c>
      <c r="BI231" s="12" t="s">
        <v>738</v>
      </c>
      <c r="BJ231" s="12" t="s">
        <v>1142</v>
      </c>
      <c r="BK231" s="12" t="s">
        <v>875</v>
      </c>
      <c r="BL231" s="12" t="s">
        <v>609</v>
      </c>
      <c r="BM231" s="12" t="s">
        <v>740</v>
      </c>
      <c r="BN231" s="12" t="s">
        <v>656</v>
      </c>
      <c r="BO231" s="12" t="s">
        <v>891</v>
      </c>
      <c r="BP231" s="12" t="s">
        <v>2031</v>
      </c>
      <c r="BQ231" s="12" t="s">
        <v>2118</v>
      </c>
      <c r="BR231" s="12" t="s">
        <v>1204</v>
      </c>
      <c r="BS231" s="12" t="s">
        <v>613</v>
      </c>
      <c r="BT231" s="12" t="s">
        <v>743</v>
      </c>
      <c r="BU231" s="12" t="s">
        <v>1506</v>
      </c>
      <c r="BV231" s="12" t="s">
        <v>660</v>
      </c>
      <c r="BW231" s="12" t="s">
        <v>1181</v>
      </c>
      <c r="BX231" s="12" t="s">
        <v>1441</v>
      </c>
      <c r="BY231" s="12" t="s">
        <v>614</v>
      </c>
      <c r="BZ231" s="12" t="s">
        <v>2018</v>
      </c>
      <c r="CA231" s="12" t="s">
        <v>1526</v>
      </c>
      <c r="CB231" s="12" t="s">
        <v>1834</v>
      </c>
      <c r="CC231" s="12" t="s">
        <v>834</v>
      </c>
      <c r="CD231" s="12" t="s">
        <v>1835</v>
      </c>
      <c r="CE231" s="12" t="s">
        <v>1511</v>
      </c>
      <c r="CF231" s="12" t="s">
        <v>974</v>
      </c>
      <c r="CG231" s="12" t="s">
        <v>1298</v>
      </c>
      <c r="CH231" s="12" t="s">
        <v>1512</v>
      </c>
      <c r="CI231" s="12" t="s">
        <v>835</v>
      </c>
      <c r="CJ231" s="12" t="s">
        <v>793</v>
      </c>
      <c r="CK231" s="12" t="s">
        <v>745</v>
      </c>
      <c r="CL231" s="12" t="s">
        <v>1282</v>
      </c>
      <c r="CM231" s="12" t="s">
        <v>1282</v>
      </c>
      <c r="CN231" s="12" t="s">
        <v>1282</v>
      </c>
      <c r="CO231" s="12" t="s">
        <v>1282</v>
      </c>
      <c r="CP231" s="12" t="s">
        <v>1282</v>
      </c>
      <c r="CQ231" s="12" t="s">
        <v>1282</v>
      </c>
      <c r="CR231" s="12" t="s">
        <v>1282</v>
      </c>
      <c r="CS231" s="12" t="s">
        <v>1282</v>
      </c>
      <c r="CT231" s="12" t="s">
        <v>3062</v>
      </c>
    </row>
    <row r="232" spans="1:98" hidden="1" x14ac:dyDescent="0.3">
      <c r="A232" s="12" t="s">
        <v>25</v>
      </c>
      <c r="B232" s="12" t="s">
        <v>4237</v>
      </c>
      <c r="C232" s="12" t="s">
        <v>4238</v>
      </c>
      <c r="D232" s="12" t="s">
        <v>4239</v>
      </c>
      <c r="E232" s="12" t="s">
        <v>596</v>
      </c>
      <c r="F232" s="12" t="s">
        <v>596</v>
      </c>
      <c r="G232" s="12" t="s">
        <v>596</v>
      </c>
      <c r="H232" s="12" t="s">
        <v>596</v>
      </c>
      <c r="I232" s="12" t="s">
        <v>596</v>
      </c>
      <c r="J232" s="12" t="s">
        <v>596</v>
      </c>
      <c r="K232" s="12" t="s">
        <v>596</v>
      </c>
      <c r="L232" s="12" t="s">
        <v>596</v>
      </c>
      <c r="M232" s="12" t="s">
        <v>596</v>
      </c>
      <c r="N232" s="12" t="s">
        <v>596</v>
      </c>
      <c r="O232" s="12" t="s">
        <v>596</v>
      </c>
      <c r="P232" s="12" t="s">
        <v>596</v>
      </c>
      <c r="Q232" s="12" t="s">
        <v>596</v>
      </c>
      <c r="R232" s="12" t="s">
        <v>596</v>
      </c>
      <c r="S232" s="12" t="s">
        <v>596</v>
      </c>
      <c r="T232" s="12" t="s">
        <v>596</v>
      </c>
      <c r="U232" s="12" t="s">
        <v>596</v>
      </c>
      <c r="V232" s="12" t="s">
        <v>596</v>
      </c>
      <c r="W232" s="12" t="s">
        <v>596</v>
      </c>
      <c r="X232" s="12" t="s">
        <v>596</v>
      </c>
      <c r="Y232" s="12" t="s">
        <v>596</v>
      </c>
      <c r="Z232" s="12" t="s">
        <v>596</v>
      </c>
      <c r="AA232" s="12" t="s">
        <v>596</v>
      </c>
      <c r="AB232" s="12" t="s">
        <v>596</v>
      </c>
      <c r="AC232" s="12" t="s">
        <v>596</v>
      </c>
      <c r="AD232" s="12" t="s">
        <v>596</v>
      </c>
      <c r="AE232" s="12" t="s">
        <v>596</v>
      </c>
      <c r="AF232" s="12" t="s">
        <v>596</v>
      </c>
      <c r="AG232" s="12" t="s">
        <v>596</v>
      </c>
      <c r="AH232" s="12" t="s">
        <v>596</v>
      </c>
      <c r="AI232" s="12" t="s">
        <v>596</v>
      </c>
      <c r="AJ232" s="12" t="s">
        <v>596</v>
      </c>
      <c r="AK232" s="12" t="s">
        <v>596</v>
      </c>
      <c r="AL232" s="12" t="s">
        <v>596</v>
      </c>
      <c r="AM232" s="12" t="s">
        <v>596</v>
      </c>
      <c r="AN232" s="12" t="s">
        <v>596</v>
      </c>
      <c r="AO232" s="12" t="s">
        <v>596</v>
      </c>
      <c r="AP232" s="12" t="s">
        <v>596</v>
      </c>
      <c r="AQ232" s="12" t="s">
        <v>596</v>
      </c>
      <c r="AR232" s="12" t="s">
        <v>596</v>
      </c>
      <c r="AS232" s="12" t="s">
        <v>596</v>
      </c>
      <c r="AT232" s="12" t="s">
        <v>596</v>
      </c>
      <c r="AU232" s="12" t="s">
        <v>596</v>
      </c>
      <c r="AV232" s="12" t="s">
        <v>596</v>
      </c>
      <c r="AW232" s="12" t="s">
        <v>596</v>
      </c>
      <c r="AX232" s="12" t="s">
        <v>596</v>
      </c>
      <c r="AY232" s="12" t="s">
        <v>596</v>
      </c>
      <c r="AZ232" s="12" t="s">
        <v>596</v>
      </c>
      <c r="BA232" s="12" t="s">
        <v>596</v>
      </c>
      <c r="BB232" s="12" t="s">
        <v>596</v>
      </c>
      <c r="BC232" s="12" t="s">
        <v>596</v>
      </c>
      <c r="BD232" s="12" t="s">
        <v>596</v>
      </c>
      <c r="BE232" s="12" t="s">
        <v>596</v>
      </c>
      <c r="BF232" s="12" t="s">
        <v>596</v>
      </c>
      <c r="BG232" s="12" t="s">
        <v>596</v>
      </c>
      <c r="BH232" s="12" t="s">
        <v>596</v>
      </c>
      <c r="BI232" s="12" t="s">
        <v>641</v>
      </c>
      <c r="BJ232" s="12" t="s">
        <v>641</v>
      </c>
      <c r="BK232" s="12" t="s">
        <v>641</v>
      </c>
      <c r="BL232" s="12" t="s">
        <v>641</v>
      </c>
      <c r="BM232" s="12" t="s">
        <v>690</v>
      </c>
      <c r="BN232" s="12" t="s">
        <v>690</v>
      </c>
      <c r="BO232" s="12" t="s">
        <v>690</v>
      </c>
      <c r="BP232" s="12" t="s">
        <v>643</v>
      </c>
      <c r="BQ232" s="12" t="s">
        <v>602</v>
      </c>
      <c r="BR232" s="12" t="s">
        <v>604</v>
      </c>
      <c r="BS232" s="12" t="s">
        <v>887</v>
      </c>
      <c r="BT232" s="12" t="s">
        <v>971</v>
      </c>
      <c r="BU232" s="12" t="s">
        <v>935</v>
      </c>
      <c r="BV232" s="12" t="s">
        <v>935</v>
      </c>
      <c r="BW232" s="12" t="s">
        <v>989</v>
      </c>
      <c r="BX232" s="12" t="s">
        <v>736</v>
      </c>
      <c r="BY232" s="12" t="s">
        <v>736</v>
      </c>
      <c r="BZ232" s="12" t="s">
        <v>736</v>
      </c>
      <c r="CA232" s="12" t="s">
        <v>736</v>
      </c>
      <c r="CB232" s="12" t="s">
        <v>736</v>
      </c>
      <c r="CC232" s="12" t="s">
        <v>736</v>
      </c>
      <c r="CD232" s="12" t="s">
        <v>736</v>
      </c>
      <c r="CE232" s="12" t="s">
        <v>736</v>
      </c>
      <c r="CF232" s="12" t="s">
        <v>606</v>
      </c>
      <c r="CG232" s="12" t="s">
        <v>606</v>
      </c>
      <c r="CH232" s="12" t="s">
        <v>1277</v>
      </c>
      <c r="CI232" s="12" t="s">
        <v>786</v>
      </c>
      <c r="CJ232" s="12" t="s">
        <v>786</v>
      </c>
      <c r="CK232" s="12" t="s">
        <v>696</v>
      </c>
      <c r="CL232" s="12" t="s">
        <v>696</v>
      </c>
      <c r="CM232" s="12" t="s">
        <v>827</v>
      </c>
      <c r="CN232" s="12" t="s">
        <v>1010</v>
      </c>
      <c r="CO232" s="12" t="s">
        <v>937</v>
      </c>
      <c r="CP232" s="12" t="s">
        <v>888</v>
      </c>
      <c r="CQ232" s="12" t="s">
        <v>652</v>
      </c>
      <c r="CR232" s="12" t="s">
        <v>607</v>
      </c>
      <c r="CS232" s="12" t="s">
        <v>653</v>
      </c>
      <c r="CT232" s="12" t="s">
        <v>608</v>
      </c>
    </row>
    <row r="233" spans="1:98" hidden="1" x14ac:dyDescent="0.3">
      <c r="A233" s="12" t="s">
        <v>25</v>
      </c>
      <c r="B233" s="12" t="s">
        <v>4240</v>
      </c>
      <c r="C233" s="12" t="s">
        <v>4241</v>
      </c>
      <c r="D233" s="12" t="s">
        <v>2412</v>
      </c>
      <c r="E233" s="12" t="s">
        <v>596</v>
      </c>
      <c r="F233" s="12" t="s">
        <v>596</v>
      </c>
      <c r="G233" s="12" t="s">
        <v>596</v>
      </c>
      <c r="H233" s="12" t="s">
        <v>596</v>
      </c>
      <c r="I233" s="12" t="s">
        <v>596</v>
      </c>
      <c r="J233" s="12" t="s">
        <v>596</v>
      </c>
      <c r="K233" s="12" t="s">
        <v>596</v>
      </c>
      <c r="L233" s="12" t="s">
        <v>596</v>
      </c>
      <c r="M233" s="12" t="s">
        <v>596</v>
      </c>
      <c r="N233" s="12" t="s">
        <v>596</v>
      </c>
      <c r="O233" s="12" t="s">
        <v>596</v>
      </c>
      <c r="P233" s="12" t="s">
        <v>596</v>
      </c>
      <c r="Q233" s="12" t="s">
        <v>596</v>
      </c>
      <c r="R233" s="12" t="s">
        <v>596</v>
      </c>
      <c r="S233" s="12" t="s">
        <v>596</v>
      </c>
      <c r="T233" s="12" t="s">
        <v>596</v>
      </c>
      <c r="U233" s="12" t="s">
        <v>596</v>
      </c>
      <c r="V233" s="12" t="s">
        <v>596</v>
      </c>
      <c r="W233" s="12" t="s">
        <v>596</v>
      </c>
      <c r="X233" s="12" t="s">
        <v>596</v>
      </c>
      <c r="Y233" s="12" t="s">
        <v>596</v>
      </c>
      <c r="Z233" s="12" t="s">
        <v>596</v>
      </c>
      <c r="AA233" s="12" t="s">
        <v>596</v>
      </c>
      <c r="AB233" s="12" t="s">
        <v>596</v>
      </c>
      <c r="AC233" s="12" t="s">
        <v>596</v>
      </c>
      <c r="AD233" s="12" t="s">
        <v>596</v>
      </c>
      <c r="AE233" s="12" t="s">
        <v>596</v>
      </c>
      <c r="AF233" s="12" t="s">
        <v>596</v>
      </c>
      <c r="AG233" s="12" t="s">
        <v>596</v>
      </c>
      <c r="AH233" s="12" t="s">
        <v>596</v>
      </c>
      <c r="AI233" s="12" t="s">
        <v>596</v>
      </c>
      <c r="AJ233" s="12" t="s">
        <v>596</v>
      </c>
      <c r="AK233" s="12" t="s">
        <v>596</v>
      </c>
      <c r="AL233" s="12" t="s">
        <v>596</v>
      </c>
      <c r="AM233" s="12" t="s">
        <v>596</v>
      </c>
      <c r="AN233" s="12" t="s">
        <v>596</v>
      </c>
      <c r="AO233" s="12" t="s">
        <v>596</v>
      </c>
      <c r="AP233" s="12" t="s">
        <v>596</v>
      </c>
      <c r="AQ233" s="12" t="s">
        <v>596</v>
      </c>
      <c r="AR233" s="12" t="s">
        <v>596</v>
      </c>
      <c r="AS233" s="12" t="s">
        <v>596</v>
      </c>
      <c r="AT233" s="12" t="s">
        <v>596</v>
      </c>
      <c r="AU233" s="12" t="s">
        <v>596</v>
      </c>
      <c r="AV233" s="12" t="s">
        <v>596</v>
      </c>
      <c r="AW233" s="12" t="s">
        <v>596</v>
      </c>
      <c r="AX233" s="12" t="s">
        <v>596</v>
      </c>
      <c r="AY233" s="12" t="s">
        <v>596</v>
      </c>
      <c r="AZ233" s="12" t="s">
        <v>596</v>
      </c>
      <c r="BA233" s="12" t="s">
        <v>596</v>
      </c>
      <c r="BB233" s="12" t="s">
        <v>596</v>
      </c>
      <c r="BC233" s="12" t="s">
        <v>596</v>
      </c>
      <c r="BD233" s="12" t="s">
        <v>596</v>
      </c>
      <c r="BE233" s="12" t="s">
        <v>596</v>
      </c>
      <c r="BF233" s="12" t="s">
        <v>596</v>
      </c>
      <c r="BG233" s="12" t="s">
        <v>596</v>
      </c>
      <c r="BH233" s="12" t="s">
        <v>596</v>
      </c>
      <c r="BI233" s="12" t="s">
        <v>596</v>
      </c>
      <c r="BJ233" s="12" t="s">
        <v>596</v>
      </c>
      <c r="BK233" s="12" t="s">
        <v>597</v>
      </c>
      <c r="BL233" s="12" t="s">
        <v>690</v>
      </c>
      <c r="BM233" s="12" t="s">
        <v>690</v>
      </c>
      <c r="BN233" s="12" t="s">
        <v>690</v>
      </c>
      <c r="BO233" s="12" t="s">
        <v>690</v>
      </c>
      <c r="BP233" s="12" t="s">
        <v>690</v>
      </c>
      <c r="BQ233" s="12" t="s">
        <v>690</v>
      </c>
      <c r="BR233" s="12" t="s">
        <v>599</v>
      </c>
      <c r="BS233" s="12" t="s">
        <v>600</v>
      </c>
      <c r="BT233" s="12" t="s">
        <v>600</v>
      </c>
      <c r="BU233" s="12" t="s">
        <v>600</v>
      </c>
      <c r="BV233" s="12" t="s">
        <v>773</v>
      </c>
      <c r="BW233" s="12" t="s">
        <v>773</v>
      </c>
      <c r="BX233" s="12" t="s">
        <v>779</v>
      </c>
      <c r="BY233" s="12" t="s">
        <v>779</v>
      </c>
      <c r="BZ233" s="12" t="s">
        <v>779</v>
      </c>
      <c r="CA233" s="12" t="s">
        <v>779</v>
      </c>
      <c r="CB233" s="12" t="s">
        <v>642</v>
      </c>
      <c r="CC233" s="12" t="s">
        <v>601</v>
      </c>
      <c r="CD233" s="12" t="s">
        <v>601</v>
      </c>
      <c r="CE233" s="12" t="s">
        <v>601</v>
      </c>
      <c r="CF233" s="12" t="s">
        <v>886</v>
      </c>
      <c r="CG233" s="12" t="s">
        <v>774</v>
      </c>
      <c r="CH233" s="12" t="s">
        <v>774</v>
      </c>
      <c r="CI233" s="12" t="s">
        <v>691</v>
      </c>
      <c r="CJ233" s="12" t="s">
        <v>691</v>
      </c>
      <c r="CK233" s="12" t="s">
        <v>644</v>
      </c>
      <c r="CL233" s="12" t="s">
        <v>644</v>
      </c>
      <c r="CM233" s="12" t="s">
        <v>605</v>
      </c>
      <c r="CN233" s="12" t="s">
        <v>775</v>
      </c>
      <c r="CO233" s="12" t="s">
        <v>775</v>
      </c>
      <c r="CP233" s="12" t="s">
        <v>775</v>
      </c>
      <c r="CQ233" s="12" t="s">
        <v>887</v>
      </c>
      <c r="CR233" s="12" t="s">
        <v>887</v>
      </c>
      <c r="CS233" s="12" t="s">
        <v>887</v>
      </c>
      <c r="CT233" s="12" t="s">
        <v>971</v>
      </c>
    </row>
    <row r="234" spans="1:98" hidden="1" x14ac:dyDescent="0.3">
      <c r="A234" s="12" t="s">
        <v>2230</v>
      </c>
      <c r="B234" s="12" t="s">
        <v>1453</v>
      </c>
      <c r="C234" s="12" t="s">
        <v>2231</v>
      </c>
      <c r="D234" s="12" t="s">
        <v>2231</v>
      </c>
      <c r="E234" s="12" t="s">
        <v>596</v>
      </c>
      <c r="F234" s="12" t="s">
        <v>596</v>
      </c>
      <c r="G234" s="12" t="s">
        <v>596</v>
      </c>
      <c r="H234" s="12" t="s">
        <v>596</v>
      </c>
      <c r="I234" s="12" t="s">
        <v>596</v>
      </c>
      <c r="J234" s="12" t="s">
        <v>596</v>
      </c>
      <c r="K234" s="12" t="s">
        <v>596</v>
      </c>
      <c r="L234" s="12" t="s">
        <v>596</v>
      </c>
      <c r="M234" s="12" t="s">
        <v>596</v>
      </c>
      <c r="N234" s="12" t="s">
        <v>596</v>
      </c>
      <c r="O234" s="12" t="s">
        <v>596</v>
      </c>
      <c r="P234" s="12" t="s">
        <v>596</v>
      </c>
      <c r="Q234" s="12" t="s">
        <v>596</v>
      </c>
      <c r="R234" s="12" t="s">
        <v>596</v>
      </c>
      <c r="S234" s="12" t="s">
        <v>596</v>
      </c>
      <c r="T234" s="12" t="s">
        <v>596</v>
      </c>
      <c r="U234" s="12" t="s">
        <v>596</v>
      </c>
      <c r="V234" s="12" t="s">
        <v>596</v>
      </c>
      <c r="W234" s="12" t="s">
        <v>596</v>
      </c>
      <c r="X234" s="12" t="s">
        <v>596</v>
      </c>
      <c r="Y234" s="12" t="s">
        <v>596</v>
      </c>
      <c r="Z234" s="12" t="s">
        <v>596</v>
      </c>
      <c r="AA234" s="12" t="s">
        <v>596</v>
      </c>
      <c r="AB234" s="12" t="s">
        <v>596</v>
      </c>
      <c r="AC234" s="12" t="s">
        <v>596</v>
      </c>
      <c r="AD234" s="12" t="s">
        <v>596</v>
      </c>
      <c r="AE234" s="12" t="s">
        <v>596</v>
      </c>
      <c r="AF234" s="12" t="s">
        <v>596</v>
      </c>
      <c r="AG234" s="12" t="s">
        <v>596</v>
      </c>
      <c r="AH234" s="12" t="s">
        <v>596</v>
      </c>
      <c r="AI234" s="12" t="s">
        <v>596</v>
      </c>
      <c r="AJ234" s="12" t="s">
        <v>596</v>
      </c>
      <c r="AK234" s="12" t="s">
        <v>596</v>
      </c>
      <c r="AL234" s="12" t="s">
        <v>596</v>
      </c>
      <c r="AM234" s="12" t="s">
        <v>596</v>
      </c>
      <c r="AN234" s="12" t="s">
        <v>596</v>
      </c>
      <c r="AO234" s="12" t="s">
        <v>596</v>
      </c>
      <c r="AP234" s="12" t="s">
        <v>596</v>
      </c>
      <c r="AQ234" s="12" t="s">
        <v>596</v>
      </c>
      <c r="AR234" s="12" t="s">
        <v>596</v>
      </c>
      <c r="AS234" s="12" t="s">
        <v>596</v>
      </c>
      <c r="AT234" s="12" t="s">
        <v>596</v>
      </c>
      <c r="AU234" s="12" t="s">
        <v>596</v>
      </c>
      <c r="AV234" s="12" t="s">
        <v>596</v>
      </c>
      <c r="AW234" s="12" t="s">
        <v>596</v>
      </c>
      <c r="AX234" s="12" t="s">
        <v>596</v>
      </c>
      <c r="AY234" s="12" t="s">
        <v>596</v>
      </c>
      <c r="AZ234" s="12" t="s">
        <v>596</v>
      </c>
      <c r="BA234" s="12" t="s">
        <v>596</v>
      </c>
      <c r="BB234" s="12" t="s">
        <v>596</v>
      </c>
      <c r="BC234" s="12" t="s">
        <v>596</v>
      </c>
      <c r="BD234" s="12" t="s">
        <v>596</v>
      </c>
      <c r="BE234" s="12" t="s">
        <v>596</v>
      </c>
      <c r="BF234" s="12" t="s">
        <v>596</v>
      </c>
      <c r="BG234" s="12" t="s">
        <v>596</v>
      </c>
      <c r="BH234" s="12" t="s">
        <v>596</v>
      </c>
      <c r="BI234" s="12" t="s">
        <v>596</v>
      </c>
      <c r="BJ234" s="12" t="s">
        <v>596</v>
      </c>
      <c r="BK234" s="12" t="s">
        <v>596</v>
      </c>
      <c r="BL234" s="12" t="s">
        <v>596</v>
      </c>
      <c r="BM234" s="12" t="s">
        <v>596</v>
      </c>
      <c r="BN234" s="12" t="s">
        <v>596</v>
      </c>
      <c r="BO234" s="12" t="s">
        <v>596</v>
      </c>
      <c r="BP234" s="12" t="s">
        <v>596</v>
      </c>
      <c r="BQ234" s="12" t="s">
        <v>596</v>
      </c>
      <c r="BR234" s="12" t="s">
        <v>596</v>
      </c>
      <c r="BS234" s="12" t="s">
        <v>596</v>
      </c>
      <c r="BT234" s="12" t="s">
        <v>596</v>
      </c>
      <c r="BU234" s="12" t="s">
        <v>596</v>
      </c>
      <c r="BV234" s="12" t="s">
        <v>596</v>
      </c>
      <c r="BW234" s="12" t="s">
        <v>596</v>
      </c>
      <c r="BX234" s="12" t="s">
        <v>596</v>
      </c>
      <c r="BY234" s="12" t="s">
        <v>596</v>
      </c>
      <c r="BZ234" s="12" t="s">
        <v>596</v>
      </c>
      <c r="CA234" s="12" t="s">
        <v>596</v>
      </c>
      <c r="CB234" s="12" t="s">
        <v>596</v>
      </c>
      <c r="CC234" s="12" t="s">
        <v>596</v>
      </c>
      <c r="CD234" s="12" t="s">
        <v>596</v>
      </c>
      <c r="CE234" s="12" t="s">
        <v>596</v>
      </c>
      <c r="CF234" s="12" t="s">
        <v>596</v>
      </c>
      <c r="CG234" s="12" t="s">
        <v>596</v>
      </c>
      <c r="CH234" s="12" t="s">
        <v>1501</v>
      </c>
      <c r="CI234" s="12" t="s">
        <v>1501</v>
      </c>
      <c r="CJ234" s="12" t="s">
        <v>1501</v>
      </c>
      <c r="CK234" s="12" t="s">
        <v>1501</v>
      </c>
      <c r="CL234" s="12" t="s">
        <v>1501</v>
      </c>
      <c r="CM234" s="12" t="s">
        <v>1501</v>
      </c>
      <c r="CN234" s="12" t="s">
        <v>1501</v>
      </c>
      <c r="CO234" s="12" t="s">
        <v>1501</v>
      </c>
      <c r="CP234" s="12" t="s">
        <v>1501</v>
      </c>
      <c r="CQ234" s="12" t="s">
        <v>1501</v>
      </c>
      <c r="CR234" s="12" t="s">
        <v>1501</v>
      </c>
      <c r="CS234" s="12" t="s">
        <v>596</v>
      </c>
      <c r="CT234" s="12" t="s">
        <v>596</v>
      </c>
    </row>
    <row r="235" spans="1:98" hidden="1" x14ac:dyDescent="0.3">
      <c r="A235" s="12" t="s">
        <v>25</v>
      </c>
      <c r="B235" s="12" t="s">
        <v>4242</v>
      </c>
      <c r="C235" s="12" t="s">
        <v>4243</v>
      </c>
      <c r="D235" s="12" t="s">
        <v>4244</v>
      </c>
      <c r="E235" s="12" t="s">
        <v>596</v>
      </c>
      <c r="F235" s="12" t="s">
        <v>596</v>
      </c>
      <c r="G235" s="12" t="s">
        <v>596</v>
      </c>
      <c r="H235" s="12" t="s">
        <v>596</v>
      </c>
      <c r="I235" s="12" t="s">
        <v>596</v>
      </c>
      <c r="J235" s="12" t="s">
        <v>596</v>
      </c>
      <c r="K235" s="12" t="s">
        <v>596</v>
      </c>
      <c r="L235" s="12" t="s">
        <v>596</v>
      </c>
      <c r="M235" s="12" t="s">
        <v>596</v>
      </c>
      <c r="N235" s="12" t="s">
        <v>596</v>
      </c>
      <c r="O235" s="12" t="s">
        <v>596</v>
      </c>
      <c r="P235" s="12" t="s">
        <v>596</v>
      </c>
      <c r="Q235" s="12" t="s">
        <v>596</v>
      </c>
      <c r="R235" s="12" t="s">
        <v>596</v>
      </c>
      <c r="S235" s="12" t="s">
        <v>596</v>
      </c>
      <c r="T235" s="12" t="s">
        <v>596</v>
      </c>
      <c r="U235" s="12" t="s">
        <v>596</v>
      </c>
      <c r="V235" s="12" t="s">
        <v>596</v>
      </c>
      <c r="W235" s="12" t="s">
        <v>596</v>
      </c>
      <c r="X235" s="12" t="s">
        <v>596</v>
      </c>
      <c r="Y235" s="12" t="s">
        <v>596</v>
      </c>
      <c r="Z235" s="12" t="s">
        <v>596</v>
      </c>
      <c r="AA235" s="12" t="s">
        <v>596</v>
      </c>
      <c r="AB235" s="12" t="s">
        <v>596</v>
      </c>
      <c r="AC235" s="12" t="s">
        <v>596</v>
      </c>
      <c r="AD235" s="12" t="s">
        <v>596</v>
      </c>
      <c r="AE235" s="12" t="s">
        <v>596</v>
      </c>
      <c r="AF235" s="12" t="s">
        <v>596</v>
      </c>
      <c r="AG235" s="12" t="s">
        <v>596</v>
      </c>
      <c r="AH235" s="12" t="s">
        <v>596</v>
      </c>
      <c r="AI235" s="12" t="s">
        <v>596</v>
      </c>
      <c r="AJ235" s="12" t="s">
        <v>596</v>
      </c>
      <c r="AK235" s="12" t="s">
        <v>596</v>
      </c>
      <c r="AL235" s="12" t="s">
        <v>596</v>
      </c>
      <c r="AM235" s="12" t="s">
        <v>596</v>
      </c>
      <c r="AN235" s="12" t="s">
        <v>596</v>
      </c>
      <c r="AO235" s="12" t="s">
        <v>596</v>
      </c>
      <c r="AP235" s="12" t="s">
        <v>596</v>
      </c>
      <c r="AQ235" s="12" t="s">
        <v>596</v>
      </c>
      <c r="AR235" s="12" t="s">
        <v>596</v>
      </c>
      <c r="AS235" s="12" t="s">
        <v>596</v>
      </c>
      <c r="AT235" s="12" t="s">
        <v>596</v>
      </c>
      <c r="AU235" s="12" t="s">
        <v>596</v>
      </c>
      <c r="AV235" s="12" t="s">
        <v>596</v>
      </c>
      <c r="AW235" s="12" t="s">
        <v>596</v>
      </c>
      <c r="AX235" s="12" t="s">
        <v>596</v>
      </c>
      <c r="AY235" s="12" t="s">
        <v>596</v>
      </c>
      <c r="AZ235" s="12" t="s">
        <v>596</v>
      </c>
      <c r="BA235" s="12" t="s">
        <v>596</v>
      </c>
      <c r="BB235" s="12" t="s">
        <v>596</v>
      </c>
      <c r="BC235" s="12" t="s">
        <v>596</v>
      </c>
      <c r="BD235" s="12" t="s">
        <v>596</v>
      </c>
      <c r="BE235" s="12" t="s">
        <v>596</v>
      </c>
      <c r="BF235" s="12" t="s">
        <v>596</v>
      </c>
      <c r="BG235" s="12" t="s">
        <v>596</v>
      </c>
      <c r="BH235" s="12" t="s">
        <v>596</v>
      </c>
      <c r="BI235" s="12" t="s">
        <v>596</v>
      </c>
      <c r="BJ235" s="12" t="s">
        <v>596</v>
      </c>
      <c r="BK235" s="12" t="s">
        <v>596</v>
      </c>
      <c r="BL235" s="12" t="s">
        <v>596</v>
      </c>
      <c r="BM235" s="12" t="s">
        <v>597</v>
      </c>
      <c r="BN235" s="12" t="s">
        <v>641</v>
      </c>
      <c r="BO235" s="12" t="s">
        <v>641</v>
      </c>
      <c r="BP235" s="12" t="s">
        <v>600</v>
      </c>
      <c r="BQ235" s="12" t="s">
        <v>601</v>
      </c>
      <c r="BR235" s="12" t="s">
        <v>601</v>
      </c>
      <c r="BS235" s="12" t="s">
        <v>601</v>
      </c>
      <c r="BT235" s="12" t="s">
        <v>601</v>
      </c>
      <c r="BU235" s="12" t="s">
        <v>601</v>
      </c>
      <c r="BV235" s="12" t="s">
        <v>643</v>
      </c>
      <c r="BW235" s="12" t="s">
        <v>643</v>
      </c>
      <c r="BX235" s="12" t="s">
        <v>643</v>
      </c>
      <c r="BY235" s="12" t="s">
        <v>643</v>
      </c>
      <c r="BZ235" s="12" t="s">
        <v>774</v>
      </c>
      <c r="CA235" s="12" t="s">
        <v>774</v>
      </c>
      <c r="CB235" s="12" t="s">
        <v>780</v>
      </c>
      <c r="CC235" s="12" t="s">
        <v>780</v>
      </c>
      <c r="CD235" s="12" t="s">
        <v>780</v>
      </c>
      <c r="CE235" s="12" t="s">
        <v>780</v>
      </c>
      <c r="CF235" s="12" t="s">
        <v>602</v>
      </c>
      <c r="CG235" s="12" t="s">
        <v>602</v>
      </c>
      <c r="CH235" s="12" t="s">
        <v>602</v>
      </c>
      <c r="CI235" s="12" t="s">
        <v>602</v>
      </c>
      <c r="CJ235" s="12" t="s">
        <v>602</v>
      </c>
      <c r="CK235" s="12" t="s">
        <v>602</v>
      </c>
      <c r="CL235" s="12" t="s">
        <v>602</v>
      </c>
      <c r="CM235" s="12" t="s">
        <v>602</v>
      </c>
      <c r="CN235" s="12" t="s">
        <v>602</v>
      </c>
      <c r="CO235" s="12" t="s">
        <v>602</v>
      </c>
      <c r="CP235" s="12" t="s">
        <v>602</v>
      </c>
      <c r="CQ235" s="12" t="s">
        <v>602</v>
      </c>
      <c r="CR235" s="12" t="s">
        <v>602</v>
      </c>
      <c r="CS235" s="12" t="s">
        <v>602</v>
      </c>
      <c r="CT235" s="12" t="s">
        <v>602</v>
      </c>
    </row>
    <row r="236" spans="1:98" hidden="1" x14ac:dyDescent="0.3">
      <c r="A236" s="12" t="s">
        <v>25</v>
      </c>
      <c r="B236" s="12" t="s">
        <v>4245</v>
      </c>
      <c r="C236" s="12" t="s">
        <v>4246</v>
      </c>
      <c r="D236" s="12" t="s">
        <v>4247</v>
      </c>
      <c r="E236" s="12" t="s">
        <v>596</v>
      </c>
      <c r="F236" s="12" t="s">
        <v>596</v>
      </c>
      <c r="G236" s="12" t="s">
        <v>596</v>
      </c>
      <c r="H236" s="12" t="s">
        <v>596</v>
      </c>
      <c r="I236" s="12" t="s">
        <v>596</v>
      </c>
      <c r="J236" s="12" t="s">
        <v>596</v>
      </c>
      <c r="K236" s="12" t="s">
        <v>596</v>
      </c>
      <c r="L236" s="12" t="s">
        <v>596</v>
      </c>
      <c r="M236" s="12" t="s">
        <v>596</v>
      </c>
      <c r="N236" s="12" t="s">
        <v>596</v>
      </c>
      <c r="O236" s="12" t="s">
        <v>596</v>
      </c>
      <c r="P236" s="12" t="s">
        <v>596</v>
      </c>
      <c r="Q236" s="12" t="s">
        <v>596</v>
      </c>
      <c r="R236" s="12" t="s">
        <v>596</v>
      </c>
      <c r="S236" s="12" t="s">
        <v>596</v>
      </c>
      <c r="T236" s="12" t="s">
        <v>596</v>
      </c>
      <c r="U236" s="12" t="s">
        <v>596</v>
      </c>
      <c r="V236" s="12" t="s">
        <v>596</v>
      </c>
      <c r="W236" s="12" t="s">
        <v>596</v>
      </c>
      <c r="X236" s="12" t="s">
        <v>596</v>
      </c>
      <c r="Y236" s="12" t="s">
        <v>596</v>
      </c>
      <c r="Z236" s="12" t="s">
        <v>596</v>
      </c>
      <c r="AA236" s="12" t="s">
        <v>596</v>
      </c>
      <c r="AB236" s="12" t="s">
        <v>596</v>
      </c>
      <c r="AC236" s="12" t="s">
        <v>596</v>
      </c>
      <c r="AD236" s="12" t="s">
        <v>596</v>
      </c>
      <c r="AE236" s="12" t="s">
        <v>596</v>
      </c>
      <c r="AF236" s="12" t="s">
        <v>596</v>
      </c>
      <c r="AG236" s="12" t="s">
        <v>596</v>
      </c>
      <c r="AH236" s="12" t="s">
        <v>596</v>
      </c>
      <c r="AI236" s="12" t="s">
        <v>596</v>
      </c>
      <c r="AJ236" s="12" t="s">
        <v>596</v>
      </c>
      <c r="AK236" s="12" t="s">
        <v>596</v>
      </c>
      <c r="AL236" s="12" t="s">
        <v>596</v>
      </c>
      <c r="AM236" s="12" t="s">
        <v>596</v>
      </c>
      <c r="AN236" s="12" t="s">
        <v>596</v>
      </c>
      <c r="AO236" s="12" t="s">
        <v>596</v>
      </c>
      <c r="AP236" s="12" t="s">
        <v>596</v>
      </c>
      <c r="AQ236" s="12" t="s">
        <v>596</v>
      </c>
      <c r="AR236" s="12" t="s">
        <v>596</v>
      </c>
      <c r="AS236" s="12" t="s">
        <v>596</v>
      </c>
      <c r="AT236" s="12" t="s">
        <v>596</v>
      </c>
      <c r="AU236" s="12" t="s">
        <v>596</v>
      </c>
      <c r="AV236" s="12" t="s">
        <v>596</v>
      </c>
      <c r="AW236" s="12" t="s">
        <v>596</v>
      </c>
      <c r="AX236" s="12" t="s">
        <v>596</v>
      </c>
      <c r="AY236" s="12" t="s">
        <v>596</v>
      </c>
      <c r="AZ236" s="12" t="s">
        <v>596</v>
      </c>
      <c r="BA236" s="12" t="s">
        <v>596</v>
      </c>
      <c r="BB236" s="12" t="s">
        <v>596</v>
      </c>
      <c r="BC236" s="12" t="s">
        <v>596</v>
      </c>
      <c r="BD236" s="12" t="s">
        <v>596</v>
      </c>
      <c r="BE236" s="12" t="s">
        <v>596</v>
      </c>
      <c r="BF236" s="12" t="s">
        <v>596</v>
      </c>
      <c r="BG236" s="12" t="s">
        <v>596</v>
      </c>
      <c r="BH236" s="12" t="s">
        <v>596</v>
      </c>
      <c r="BI236" s="12" t="s">
        <v>596</v>
      </c>
      <c r="BJ236" s="12" t="s">
        <v>596</v>
      </c>
      <c r="BK236" s="12" t="s">
        <v>596</v>
      </c>
      <c r="BL236" s="12" t="s">
        <v>596</v>
      </c>
      <c r="BM236" s="12" t="s">
        <v>597</v>
      </c>
      <c r="BN236" s="12" t="s">
        <v>597</v>
      </c>
      <c r="BO236" s="12" t="s">
        <v>597</v>
      </c>
      <c r="BP236" s="12" t="s">
        <v>597</v>
      </c>
      <c r="BQ236" s="12" t="s">
        <v>600</v>
      </c>
      <c r="BR236" s="12" t="s">
        <v>600</v>
      </c>
      <c r="BS236" s="12" t="s">
        <v>600</v>
      </c>
      <c r="BT236" s="12" t="s">
        <v>779</v>
      </c>
      <c r="BU236" s="12" t="s">
        <v>779</v>
      </c>
      <c r="BV236" s="12" t="s">
        <v>779</v>
      </c>
      <c r="BW236" s="12" t="s">
        <v>779</v>
      </c>
      <c r="BX236" s="12" t="s">
        <v>642</v>
      </c>
      <c r="BY236" s="12" t="s">
        <v>643</v>
      </c>
      <c r="BZ236" s="12" t="s">
        <v>643</v>
      </c>
      <c r="CA236" s="12" t="s">
        <v>643</v>
      </c>
      <c r="CB236" s="12" t="s">
        <v>643</v>
      </c>
      <c r="CC236" s="12" t="s">
        <v>643</v>
      </c>
      <c r="CD236" s="12" t="s">
        <v>643</v>
      </c>
      <c r="CE236" s="12" t="s">
        <v>643</v>
      </c>
      <c r="CF236" s="12" t="s">
        <v>774</v>
      </c>
      <c r="CG236" s="12" t="s">
        <v>774</v>
      </c>
      <c r="CH236" s="12" t="s">
        <v>774</v>
      </c>
      <c r="CI236" s="12" t="s">
        <v>774</v>
      </c>
      <c r="CJ236" s="12" t="s">
        <v>774</v>
      </c>
      <c r="CK236" s="12" t="s">
        <v>774</v>
      </c>
      <c r="CL236" s="12" t="s">
        <v>774</v>
      </c>
      <c r="CM236" s="12" t="s">
        <v>774</v>
      </c>
      <c r="CN236" s="12" t="s">
        <v>774</v>
      </c>
      <c r="CO236" s="12" t="s">
        <v>774</v>
      </c>
      <c r="CP236" s="12" t="s">
        <v>774</v>
      </c>
      <c r="CQ236" s="12" t="s">
        <v>774</v>
      </c>
      <c r="CR236" s="12" t="s">
        <v>780</v>
      </c>
      <c r="CS236" s="12" t="s">
        <v>780</v>
      </c>
      <c r="CT236" s="12" t="s">
        <v>780</v>
      </c>
    </row>
    <row r="237" spans="1:98" hidden="1" x14ac:dyDescent="0.3">
      <c r="A237" s="12" t="s">
        <v>25</v>
      </c>
      <c r="B237" s="12" t="s">
        <v>4248</v>
      </c>
      <c r="C237" s="12" t="s">
        <v>4249</v>
      </c>
      <c r="D237" s="12" t="s">
        <v>4250</v>
      </c>
      <c r="E237" s="12" t="s">
        <v>596</v>
      </c>
      <c r="F237" s="12" t="s">
        <v>596</v>
      </c>
      <c r="G237" s="12" t="s">
        <v>596</v>
      </c>
      <c r="H237" s="12" t="s">
        <v>596</v>
      </c>
      <c r="I237" s="12" t="s">
        <v>596</v>
      </c>
      <c r="J237" s="12" t="s">
        <v>596</v>
      </c>
      <c r="K237" s="12" t="s">
        <v>596</v>
      </c>
      <c r="L237" s="12" t="s">
        <v>596</v>
      </c>
      <c r="M237" s="12" t="s">
        <v>596</v>
      </c>
      <c r="N237" s="12" t="s">
        <v>596</v>
      </c>
      <c r="O237" s="12" t="s">
        <v>596</v>
      </c>
      <c r="P237" s="12" t="s">
        <v>596</v>
      </c>
      <c r="Q237" s="12" t="s">
        <v>596</v>
      </c>
      <c r="R237" s="12" t="s">
        <v>596</v>
      </c>
      <c r="S237" s="12" t="s">
        <v>596</v>
      </c>
      <c r="T237" s="12" t="s">
        <v>596</v>
      </c>
      <c r="U237" s="12" t="s">
        <v>596</v>
      </c>
      <c r="V237" s="12" t="s">
        <v>596</v>
      </c>
      <c r="W237" s="12" t="s">
        <v>596</v>
      </c>
      <c r="X237" s="12" t="s">
        <v>596</v>
      </c>
      <c r="Y237" s="12" t="s">
        <v>596</v>
      </c>
      <c r="Z237" s="12" t="s">
        <v>596</v>
      </c>
      <c r="AA237" s="12" t="s">
        <v>596</v>
      </c>
      <c r="AB237" s="12" t="s">
        <v>596</v>
      </c>
      <c r="AC237" s="12" t="s">
        <v>596</v>
      </c>
      <c r="AD237" s="12" t="s">
        <v>596</v>
      </c>
      <c r="AE237" s="12" t="s">
        <v>596</v>
      </c>
      <c r="AF237" s="12" t="s">
        <v>596</v>
      </c>
      <c r="AG237" s="12" t="s">
        <v>596</v>
      </c>
      <c r="AH237" s="12" t="s">
        <v>596</v>
      </c>
      <c r="AI237" s="12" t="s">
        <v>596</v>
      </c>
      <c r="AJ237" s="12" t="s">
        <v>596</v>
      </c>
      <c r="AK237" s="12" t="s">
        <v>596</v>
      </c>
      <c r="AL237" s="12" t="s">
        <v>596</v>
      </c>
      <c r="AM237" s="12" t="s">
        <v>596</v>
      </c>
      <c r="AN237" s="12" t="s">
        <v>596</v>
      </c>
      <c r="AO237" s="12" t="s">
        <v>596</v>
      </c>
      <c r="AP237" s="12" t="s">
        <v>596</v>
      </c>
      <c r="AQ237" s="12" t="s">
        <v>596</v>
      </c>
      <c r="AR237" s="12" t="s">
        <v>596</v>
      </c>
      <c r="AS237" s="12" t="s">
        <v>596</v>
      </c>
      <c r="AT237" s="12" t="s">
        <v>596</v>
      </c>
      <c r="AU237" s="12" t="s">
        <v>596</v>
      </c>
      <c r="AV237" s="12" t="s">
        <v>596</v>
      </c>
      <c r="AW237" s="12" t="s">
        <v>596</v>
      </c>
      <c r="AX237" s="12" t="s">
        <v>596</v>
      </c>
      <c r="AY237" s="12" t="s">
        <v>596</v>
      </c>
      <c r="AZ237" s="12" t="s">
        <v>596</v>
      </c>
      <c r="BA237" s="12" t="s">
        <v>596</v>
      </c>
      <c r="BB237" s="12" t="s">
        <v>596</v>
      </c>
      <c r="BC237" s="12" t="s">
        <v>596</v>
      </c>
      <c r="BD237" s="12" t="s">
        <v>596</v>
      </c>
      <c r="BE237" s="12" t="s">
        <v>596</v>
      </c>
      <c r="BF237" s="12" t="s">
        <v>596</v>
      </c>
      <c r="BG237" s="12" t="s">
        <v>596</v>
      </c>
      <c r="BH237" s="12" t="s">
        <v>596</v>
      </c>
      <c r="BI237" s="12" t="s">
        <v>596</v>
      </c>
      <c r="BJ237" s="12" t="s">
        <v>596</v>
      </c>
      <c r="BK237" s="12" t="s">
        <v>596</v>
      </c>
      <c r="BL237" s="12" t="s">
        <v>596</v>
      </c>
      <c r="BM237" s="12" t="s">
        <v>597</v>
      </c>
      <c r="BN237" s="12" t="s">
        <v>597</v>
      </c>
      <c r="BO237" s="12" t="s">
        <v>690</v>
      </c>
      <c r="BP237" s="12" t="s">
        <v>599</v>
      </c>
      <c r="BQ237" s="12" t="s">
        <v>600</v>
      </c>
      <c r="BR237" s="12" t="s">
        <v>600</v>
      </c>
      <c r="BS237" s="12" t="s">
        <v>773</v>
      </c>
      <c r="BT237" s="12" t="s">
        <v>773</v>
      </c>
      <c r="BU237" s="12" t="s">
        <v>773</v>
      </c>
      <c r="BV237" s="12" t="s">
        <v>773</v>
      </c>
      <c r="BW237" s="12" t="s">
        <v>642</v>
      </c>
      <c r="BX237" s="12" t="s">
        <v>642</v>
      </c>
      <c r="BY237" s="12" t="s">
        <v>642</v>
      </c>
      <c r="BZ237" s="12" t="s">
        <v>642</v>
      </c>
      <c r="CA237" s="12" t="s">
        <v>642</v>
      </c>
      <c r="CB237" s="12" t="s">
        <v>642</v>
      </c>
      <c r="CC237" s="12" t="s">
        <v>642</v>
      </c>
      <c r="CD237" s="12" t="s">
        <v>691</v>
      </c>
      <c r="CE237" s="12" t="s">
        <v>691</v>
      </c>
      <c r="CF237" s="12" t="s">
        <v>693</v>
      </c>
      <c r="CG237" s="12" t="s">
        <v>693</v>
      </c>
      <c r="CH237" s="12" t="s">
        <v>603</v>
      </c>
      <c r="CI237" s="12" t="s">
        <v>603</v>
      </c>
      <c r="CJ237" s="12" t="s">
        <v>887</v>
      </c>
      <c r="CK237" s="12" t="s">
        <v>971</v>
      </c>
      <c r="CL237" s="12" t="s">
        <v>784</v>
      </c>
      <c r="CM237" s="12" t="s">
        <v>785</v>
      </c>
      <c r="CN237" s="12" t="s">
        <v>935</v>
      </c>
      <c r="CO237" s="12" t="s">
        <v>736</v>
      </c>
      <c r="CP237" s="12" t="s">
        <v>736</v>
      </c>
      <c r="CQ237" s="12" t="s">
        <v>736</v>
      </c>
      <c r="CR237" s="12" t="s">
        <v>1064</v>
      </c>
      <c r="CS237" s="12" t="s">
        <v>936</v>
      </c>
      <c r="CT237" s="12" t="s">
        <v>888</v>
      </c>
    </row>
    <row r="238" spans="1:98" hidden="1" x14ac:dyDescent="0.3">
      <c r="A238" s="12" t="s">
        <v>25</v>
      </c>
      <c r="B238" s="12" t="s">
        <v>4251</v>
      </c>
      <c r="C238" s="12" t="s">
        <v>4252</v>
      </c>
      <c r="D238" s="12" t="s">
        <v>4253</v>
      </c>
      <c r="E238" s="12" t="s">
        <v>596</v>
      </c>
      <c r="F238" s="12" t="s">
        <v>596</v>
      </c>
      <c r="G238" s="12" t="s">
        <v>596</v>
      </c>
      <c r="H238" s="12" t="s">
        <v>596</v>
      </c>
      <c r="I238" s="12" t="s">
        <v>596</v>
      </c>
      <c r="J238" s="12" t="s">
        <v>596</v>
      </c>
      <c r="K238" s="12" t="s">
        <v>596</v>
      </c>
      <c r="L238" s="12" t="s">
        <v>596</v>
      </c>
      <c r="M238" s="12" t="s">
        <v>596</v>
      </c>
      <c r="N238" s="12" t="s">
        <v>596</v>
      </c>
      <c r="O238" s="12" t="s">
        <v>596</v>
      </c>
      <c r="P238" s="12" t="s">
        <v>596</v>
      </c>
      <c r="Q238" s="12" t="s">
        <v>596</v>
      </c>
      <c r="R238" s="12" t="s">
        <v>596</v>
      </c>
      <c r="S238" s="12" t="s">
        <v>596</v>
      </c>
      <c r="T238" s="12" t="s">
        <v>596</v>
      </c>
      <c r="U238" s="12" t="s">
        <v>596</v>
      </c>
      <c r="V238" s="12" t="s">
        <v>596</v>
      </c>
      <c r="W238" s="12" t="s">
        <v>596</v>
      </c>
      <c r="X238" s="12" t="s">
        <v>596</v>
      </c>
      <c r="Y238" s="12" t="s">
        <v>596</v>
      </c>
      <c r="Z238" s="12" t="s">
        <v>596</v>
      </c>
      <c r="AA238" s="12" t="s">
        <v>596</v>
      </c>
      <c r="AB238" s="12" t="s">
        <v>596</v>
      </c>
      <c r="AC238" s="12" t="s">
        <v>596</v>
      </c>
      <c r="AD238" s="12" t="s">
        <v>596</v>
      </c>
      <c r="AE238" s="12" t="s">
        <v>596</v>
      </c>
      <c r="AF238" s="12" t="s">
        <v>596</v>
      </c>
      <c r="AG238" s="12" t="s">
        <v>596</v>
      </c>
      <c r="AH238" s="12" t="s">
        <v>596</v>
      </c>
      <c r="AI238" s="12" t="s">
        <v>596</v>
      </c>
      <c r="AJ238" s="12" t="s">
        <v>596</v>
      </c>
      <c r="AK238" s="12" t="s">
        <v>596</v>
      </c>
      <c r="AL238" s="12" t="s">
        <v>596</v>
      </c>
      <c r="AM238" s="12" t="s">
        <v>596</v>
      </c>
      <c r="AN238" s="12" t="s">
        <v>596</v>
      </c>
      <c r="AO238" s="12" t="s">
        <v>596</v>
      </c>
      <c r="AP238" s="12" t="s">
        <v>596</v>
      </c>
      <c r="AQ238" s="12" t="s">
        <v>596</v>
      </c>
      <c r="AR238" s="12" t="s">
        <v>596</v>
      </c>
      <c r="AS238" s="12" t="s">
        <v>596</v>
      </c>
      <c r="AT238" s="12" t="s">
        <v>596</v>
      </c>
      <c r="AU238" s="12" t="s">
        <v>596</v>
      </c>
      <c r="AV238" s="12" t="s">
        <v>596</v>
      </c>
      <c r="AW238" s="12" t="s">
        <v>596</v>
      </c>
      <c r="AX238" s="12" t="s">
        <v>596</v>
      </c>
      <c r="AY238" s="12" t="s">
        <v>596</v>
      </c>
      <c r="AZ238" s="12" t="s">
        <v>596</v>
      </c>
      <c r="BA238" s="12" t="s">
        <v>596</v>
      </c>
      <c r="BB238" s="12" t="s">
        <v>596</v>
      </c>
      <c r="BC238" s="12" t="s">
        <v>596</v>
      </c>
      <c r="BD238" s="12" t="s">
        <v>596</v>
      </c>
      <c r="BE238" s="12" t="s">
        <v>596</v>
      </c>
      <c r="BF238" s="12" t="s">
        <v>596</v>
      </c>
      <c r="BG238" s="12" t="s">
        <v>596</v>
      </c>
      <c r="BH238" s="12" t="s">
        <v>596</v>
      </c>
      <c r="BI238" s="12" t="s">
        <v>596</v>
      </c>
      <c r="BJ238" s="12" t="s">
        <v>596</v>
      </c>
      <c r="BK238" s="12" t="s">
        <v>596</v>
      </c>
      <c r="BL238" s="12" t="s">
        <v>596</v>
      </c>
      <c r="BM238" s="12" t="s">
        <v>597</v>
      </c>
      <c r="BN238" s="12" t="s">
        <v>597</v>
      </c>
      <c r="BO238" s="12" t="s">
        <v>597</v>
      </c>
      <c r="BP238" s="12" t="s">
        <v>599</v>
      </c>
      <c r="BQ238" s="12" t="s">
        <v>599</v>
      </c>
      <c r="BR238" s="12" t="s">
        <v>599</v>
      </c>
      <c r="BS238" s="12" t="s">
        <v>599</v>
      </c>
      <c r="BT238" s="12" t="s">
        <v>779</v>
      </c>
      <c r="BU238" s="12" t="s">
        <v>642</v>
      </c>
      <c r="BV238" s="12" t="s">
        <v>642</v>
      </c>
      <c r="BW238" s="12" t="s">
        <v>642</v>
      </c>
      <c r="BX238" s="12" t="s">
        <v>602</v>
      </c>
      <c r="BY238" s="12" t="s">
        <v>602</v>
      </c>
      <c r="BZ238" s="12" t="s">
        <v>602</v>
      </c>
      <c r="CA238" s="12" t="s">
        <v>692</v>
      </c>
      <c r="CB238" s="12" t="s">
        <v>692</v>
      </c>
      <c r="CC238" s="12" t="s">
        <v>692</v>
      </c>
      <c r="CD238" s="12" t="s">
        <v>692</v>
      </c>
      <c r="CE238" s="12" t="s">
        <v>692</v>
      </c>
      <c r="CF238" s="12" t="s">
        <v>692</v>
      </c>
      <c r="CG238" s="12" t="s">
        <v>775</v>
      </c>
      <c r="CH238" s="12" t="s">
        <v>775</v>
      </c>
      <c r="CI238" s="12" t="s">
        <v>775</v>
      </c>
      <c r="CJ238" s="12" t="s">
        <v>971</v>
      </c>
      <c r="CK238" s="12" t="s">
        <v>645</v>
      </c>
      <c r="CL238" s="12" t="s">
        <v>645</v>
      </c>
      <c r="CM238" s="12" t="s">
        <v>646</v>
      </c>
      <c r="CN238" s="12" t="s">
        <v>646</v>
      </c>
      <c r="CO238" s="12" t="s">
        <v>736</v>
      </c>
      <c r="CP238" s="12" t="s">
        <v>736</v>
      </c>
      <c r="CQ238" s="12" t="s">
        <v>647</v>
      </c>
      <c r="CR238" s="12" t="s">
        <v>647</v>
      </c>
      <c r="CS238" s="12" t="s">
        <v>647</v>
      </c>
      <c r="CT238" s="12" t="s">
        <v>647</v>
      </c>
    </row>
    <row r="239" spans="1:98" hidden="1" x14ac:dyDescent="0.3">
      <c r="A239" s="12" t="s">
        <v>25</v>
      </c>
      <c r="B239" s="12" t="s">
        <v>4254</v>
      </c>
      <c r="C239" s="12" t="s">
        <v>4255</v>
      </c>
      <c r="D239" s="12" t="s">
        <v>4256</v>
      </c>
      <c r="E239" s="12" t="s">
        <v>596</v>
      </c>
      <c r="F239" s="12" t="s">
        <v>596</v>
      </c>
      <c r="G239" s="12" t="s">
        <v>596</v>
      </c>
      <c r="H239" s="12" t="s">
        <v>596</v>
      </c>
      <c r="I239" s="12" t="s">
        <v>596</v>
      </c>
      <c r="J239" s="12" t="s">
        <v>596</v>
      </c>
      <c r="K239" s="12" t="s">
        <v>596</v>
      </c>
      <c r="L239" s="12" t="s">
        <v>596</v>
      </c>
      <c r="M239" s="12" t="s">
        <v>596</v>
      </c>
      <c r="N239" s="12" t="s">
        <v>596</v>
      </c>
      <c r="O239" s="12" t="s">
        <v>596</v>
      </c>
      <c r="P239" s="12" t="s">
        <v>596</v>
      </c>
      <c r="Q239" s="12" t="s">
        <v>596</v>
      </c>
      <c r="R239" s="12" t="s">
        <v>596</v>
      </c>
      <c r="S239" s="12" t="s">
        <v>596</v>
      </c>
      <c r="T239" s="12" t="s">
        <v>596</v>
      </c>
      <c r="U239" s="12" t="s">
        <v>596</v>
      </c>
      <c r="V239" s="12" t="s">
        <v>596</v>
      </c>
      <c r="W239" s="12" t="s">
        <v>596</v>
      </c>
      <c r="X239" s="12" t="s">
        <v>596</v>
      </c>
      <c r="Y239" s="12" t="s">
        <v>596</v>
      </c>
      <c r="Z239" s="12" t="s">
        <v>596</v>
      </c>
      <c r="AA239" s="12" t="s">
        <v>596</v>
      </c>
      <c r="AB239" s="12" t="s">
        <v>596</v>
      </c>
      <c r="AC239" s="12" t="s">
        <v>596</v>
      </c>
      <c r="AD239" s="12" t="s">
        <v>596</v>
      </c>
      <c r="AE239" s="12" t="s">
        <v>596</v>
      </c>
      <c r="AF239" s="12" t="s">
        <v>596</v>
      </c>
      <c r="AG239" s="12" t="s">
        <v>596</v>
      </c>
      <c r="AH239" s="12" t="s">
        <v>596</v>
      </c>
      <c r="AI239" s="12" t="s">
        <v>596</v>
      </c>
      <c r="AJ239" s="12" t="s">
        <v>596</v>
      </c>
      <c r="AK239" s="12" t="s">
        <v>596</v>
      </c>
      <c r="AL239" s="12" t="s">
        <v>596</v>
      </c>
      <c r="AM239" s="12" t="s">
        <v>596</v>
      </c>
      <c r="AN239" s="12" t="s">
        <v>596</v>
      </c>
      <c r="AO239" s="12" t="s">
        <v>596</v>
      </c>
      <c r="AP239" s="12" t="s">
        <v>596</v>
      </c>
      <c r="AQ239" s="12" t="s">
        <v>596</v>
      </c>
      <c r="AR239" s="12" t="s">
        <v>596</v>
      </c>
      <c r="AS239" s="12" t="s">
        <v>596</v>
      </c>
      <c r="AT239" s="12" t="s">
        <v>596</v>
      </c>
      <c r="AU239" s="12" t="s">
        <v>596</v>
      </c>
      <c r="AV239" s="12" t="s">
        <v>596</v>
      </c>
      <c r="AW239" s="12" t="s">
        <v>596</v>
      </c>
      <c r="AX239" s="12" t="s">
        <v>596</v>
      </c>
      <c r="AY239" s="12" t="s">
        <v>596</v>
      </c>
      <c r="AZ239" s="12" t="s">
        <v>596</v>
      </c>
      <c r="BA239" s="12" t="s">
        <v>596</v>
      </c>
      <c r="BB239" s="12" t="s">
        <v>596</v>
      </c>
      <c r="BC239" s="12" t="s">
        <v>596</v>
      </c>
      <c r="BD239" s="12" t="s">
        <v>596</v>
      </c>
      <c r="BE239" s="12" t="s">
        <v>596</v>
      </c>
      <c r="BF239" s="12" t="s">
        <v>596</v>
      </c>
      <c r="BG239" s="12" t="s">
        <v>596</v>
      </c>
      <c r="BH239" s="12" t="s">
        <v>596</v>
      </c>
      <c r="BI239" s="12" t="s">
        <v>596</v>
      </c>
      <c r="BJ239" s="12" t="s">
        <v>596</v>
      </c>
      <c r="BK239" s="12" t="s">
        <v>596</v>
      </c>
      <c r="BL239" s="12" t="s">
        <v>596</v>
      </c>
      <c r="BM239" s="12" t="s">
        <v>597</v>
      </c>
      <c r="BN239" s="12" t="s">
        <v>597</v>
      </c>
      <c r="BO239" s="12" t="s">
        <v>597</v>
      </c>
      <c r="BP239" s="12" t="s">
        <v>597</v>
      </c>
      <c r="BQ239" s="12" t="s">
        <v>597</v>
      </c>
      <c r="BR239" s="12" t="s">
        <v>597</v>
      </c>
      <c r="BS239" s="12" t="s">
        <v>597</v>
      </c>
      <c r="BT239" s="12" t="s">
        <v>597</v>
      </c>
      <c r="BU239" s="12" t="s">
        <v>597</v>
      </c>
      <c r="BV239" s="12" t="s">
        <v>597</v>
      </c>
      <c r="BW239" s="12" t="s">
        <v>597</v>
      </c>
      <c r="BX239" s="12" t="s">
        <v>597</v>
      </c>
      <c r="BY239" s="12" t="s">
        <v>597</v>
      </c>
      <c r="BZ239" s="12" t="s">
        <v>597</v>
      </c>
      <c r="CA239" s="12" t="s">
        <v>597</v>
      </c>
      <c r="CB239" s="12" t="s">
        <v>597</v>
      </c>
      <c r="CC239" s="12" t="s">
        <v>597</v>
      </c>
      <c r="CD239" s="12" t="s">
        <v>597</v>
      </c>
      <c r="CE239" s="12" t="s">
        <v>597</v>
      </c>
      <c r="CF239" s="12" t="s">
        <v>641</v>
      </c>
      <c r="CG239" s="12" t="s">
        <v>641</v>
      </c>
      <c r="CH239" s="12" t="s">
        <v>641</v>
      </c>
      <c r="CI239" s="12" t="s">
        <v>598</v>
      </c>
      <c r="CJ239" s="12" t="s">
        <v>869</v>
      </c>
      <c r="CK239" s="12" t="s">
        <v>773</v>
      </c>
      <c r="CL239" s="12" t="s">
        <v>826</v>
      </c>
      <c r="CM239" s="12" t="s">
        <v>826</v>
      </c>
      <c r="CN239" s="12" t="s">
        <v>826</v>
      </c>
      <c r="CO239" s="12" t="s">
        <v>692</v>
      </c>
      <c r="CP239" s="12" t="s">
        <v>604</v>
      </c>
      <c r="CQ239" s="12" t="s">
        <v>644</v>
      </c>
      <c r="CR239" s="12" t="s">
        <v>644</v>
      </c>
      <c r="CS239" s="12" t="s">
        <v>644</v>
      </c>
      <c r="CT239" s="12" t="s">
        <v>605</v>
      </c>
    </row>
    <row r="240" spans="1:98" hidden="1" x14ac:dyDescent="0.3">
      <c r="A240" s="12" t="s">
        <v>25</v>
      </c>
      <c r="B240" s="12" t="s">
        <v>4257</v>
      </c>
      <c r="C240" s="12" t="s">
        <v>1196</v>
      </c>
      <c r="D240" s="12" t="s">
        <v>1197</v>
      </c>
      <c r="E240" s="12" t="s">
        <v>596</v>
      </c>
      <c r="F240" s="12" t="s">
        <v>596</v>
      </c>
      <c r="G240" s="12" t="s">
        <v>596</v>
      </c>
      <c r="H240" s="12" t="s">
        <v>596</v>
      </c>
      <c r="I240" s="12" t="s">
        <v>596</v>
      </c>
      <c r="J240" s="12" t="s">
        <v>596</v>
      </c>
      <c r="K240" s="12" t="s">
        <v>596</v>
      </c>
      <c r="L240" s="12" t="s">
        <v>596</v>
      </c>
      <c r="M240" s="12" t="s">
        <v>596</v>
      </c>
      <c r="N240" s="12" t="s">
        <v>596</v>
      </c>
      <c r="O240" s="12" t="s">
        <v>596</v>
      </c>
      <c r="P240" s="12" t="s">
        <v>596</v>
      </c>
      <c r="Q240" s="12" t="s">
        <v>596</v>
      </c>
      <c r="R240" s="12" t="s">
        <v>596</v>
      </c>
      <c r="S240" s="12" t="s">
        <v>596</v>
      </c>
      <c r="T240" s="12" t="s">
        <v>596</v>
      </c>
      <c r="U240" s="12" t="s">
        <v>596</v>
      </c>
      <c r="V240" s="12" t="s">
        <v>596</v>
      </c>
      <c r="W240" s="12" t="s">
        <v>596</v>
      </c>
      <c r="X240" s="12" t="s">
        <v>596</v>
      </c>
      <c r="Y240" s="12" t="s">
        <v>596</v>
      </c>
      <c r="Z240" s="12" t="s">
        <v>596</v>
      </c>
      <c r="AA240" s="12" t="s">
        <v>596</v>
      </c>
      <c r="AB240" s="12" t="s">
        <v>596</v>
      </c>
      <c r="AC240" s="12" t="s">
        <v>596</v>
      </c>
      <c r="AD240" s="12" t="s">
        <v>596</v>
      </c>
      <c r="AE240" s="12" t="s">
        <v>596</v>
      </c>
      <c r="AF240" s="12" t="s">
        <v>596</v>
      </c>
      <c r="AG240" s="12" t="s">
        <v>596</v>
      </c>
      <c r="AH240" s="12" t="s">
        <v>596</v>
      </c>
      <c r="AI240" s="12" t="s">
        <v>596</v>
      </c>
      <c r="AJ240" s="12" t="s">
        <v>596</v>
      </c>
      <c r="AK240" s="12" t="s">
        <v>596</v>
      </c>
      <c r="AL240" s="12" t="s">
        <v>596</v>
      </c>
      <c r="AM240" s="12" t="s">
        <v>596</v>
      </c>
      <c r="AN240" s="12" t="s">
        <v>596</v>
      </c>
      <c r="AO240" s="12" t="s">
        <v>596</v>
      </c>
      <c r="AP240" s="12" t="s">
        <v>596</v>
      </c>
      <c r="AQ240" s="12" t="s">
        <v>596</v>
      </c>
      <c r="AR240" s="12" t="s">
        <v>596</v>
      </c>
      <c r="AS240" s="12" t="s">
        <v>596</v>
      </c>
      <c r="AT240" s="12" t="s">
        <v>596</v>
      </c>
      <c r="AU240" s="12" t="s">
        <v>596</v>
      </c>
      <c r="AV240" s="12" t="s">
        <v>596</v>
      </c>
      <c r="AW240" s="12" t="s">
        <v>596</v>
      </c>
      <c r="AX240" s="12" t="s">
        <v>596</v>
      </c>
      <c r="AY240" s="12" t="s">
        <v>596</v>
      </c>
      <c r="AZ240" s="12" t="s">
        <v>596</v>
      </c>
      <c r="BA240" s="12" t="s">
        <v>596</v>
      </c>
      <c r="BB240" s="12" t="s">
        <v>596</v>
      </c>
      <c r="BC240" s="12" t="s">
        <v>596</v>
      </c>
      <c r="BD240" s="12" t="s">
        <v>596</v>
      </c>
      <c r="BE240" s="12" t="s">
        <v>596</v>
      </c>
      <c r="BF240" s="12" t="s">
        <v>596</v>
      </c>
      <c r="BG240" s="12" t="s">
        <v>596</v>
      </c>
      <c r="BH240" s="12" t="s">
        <v>596</v>
      </c>
      <c r="BI240" s="12" t="s">
        <v>596</v>
      </c>
      <c r="BJ240" s="12" t="s">
        <v>596</v>
      </c>
      <c r="BK240" s="12" t="s">
        <v>596</v>
      </c>
      <c r="BL240" s="12" t="s">
        <v>596</v>
      </c>
      <c r="BM240" s="12" t="s">
        <v>596</v>
      </c>
      <c r="BN240" s="12" t="s">
        <v>597</v>
      </c>
      <c r="BO240" s="12" t="s">
        <v>597</v>
      </c>
      <c r="BP240" s="12" t="s">
        <v>641</v>
      </c>
      <c r="BQ240" s="12" t="s">
        <v>641</v>
      </c>
      <c r="BR240" s="12" t="s">
        <v>641</v>
      </c>
      <c r="BS240" s="12" t="s">
        <v>641</v>
      </c>
      <c r="BT240" s="12" t="s">
        <v>641</v>
      </c>
      <c r="BU240" s="12" t="s">
        <v>690</v>
      </c>
      <c r="BV240" s="12" t="s">
        <v>690</v>
      </c>
      <c r="BW240" s="12" t="s">
        <v>690</v>
      </c>
      <c r="BX240" s="12" t="s">
        <v>690</v>
      </c>
      <c r="BY240" s="12" t="s">
        <v>598</v>
      </c>
      <c r="BZ240" s="12" t="s">
        <v>598</v>
      </c>
      <c r="CA240" s="12" t="s">
        <v>599</v>
      </c>
      <c r="CB240" s="12" t="s">
        <v>600</v>
      </c>
      <c r="CC240" s="12" t="s">
        <v>600</v>
      </c>
      <c r="CD240" s="12" t="s">
        <v>773</v>
      </c>
      <c r="CE240" s="12" t="s">
        <v>779</v>
      </c>
      <c r="CF240" s="12" t="s">
        <v>642</v>
      </c>
      <c r="CG240" s="12" t="s">
        <v>886</v>
      </c>
      <c r="CH240" s="12" t="s">
        <v>774</v>
      </c>
      <c r="CI240" s="12" t="s">
        <v>826</v>
      </c>
      <c r="CJ240" s="12" t="s">
        <v>826</v>
      </c>
      <c r="CK240" s="12" t="s">
        <v>826</v>
      </c>
      <c r="CL240" s="12" t="s">
        <v>826</v>
      </c>
      <c r="CM240" s="12" t="s">
        <v>826</v>
      </c>
      <c r="CN240" s="12" t="s">
        <v>826</v>
      </c>
      <c r="CO240" s="12" t="s">
        <v>826</v>
      </c>
      <c r="CP240" s="12" t="s">
        <v>826</v>
      </c>
      <c r="CQ240" s="12" t="s">
        <v>826</v>
      </c>
      <c r="CR240" s="12" t="s">
        <v>826</v>
      </c>
      <c r="CS240" s="12" t="s">
        <v>826</v>
      </c>
      <c r="CT240" s="12" t="s">
        <v>826</v>
      </c>
    </row>
    <row r="241" spans="1:98" hidden="1" x14ac:dyDescent="0.3">
      <c r="A241" s="12" t="s">
        <v>4258</v>
      </c>
      <c r="B241" s="12" t="s">
        <v>1453</v>
      </c>
      <c r="C241" s="12" t="s">
        <v>2231</v>
      </c>
      <c r="D241" s="12" t="s">
        <v>2231</v>
      </c>
      <c r="E241" s="12" t="s">
        <v>596</v>
      </c>
      <c r="F241" s="12" t="s">
        <v>596</v>
      </c>
      <c r="G241" s="12" t="s">
        <v>596</v>
      </c>
      <c r="H241" s="12" t="s">
        <v>596</v>
      </c>
      <c r="I241" s="12" t="s">
        <v>596</v>
      </c>
      <c r="J241" s="12" t="s">
        <v>596</v>
      </c>
      <c r="K241" s="12" t="s">
        <v>596</v>
      </c>
      <c r="L241" s="12" t="s">
        <v>596</v>
      </c>
      <c r="M241" s="12" t="s">
        <v>596</v>
      </c>
      <c r="N241" s="12" t="s">
        <v>596</v>
      </c>
      <c r="O241" s="12" t="s">
        <v>596</v>
      </c>
      <c r="P241" s="12" t="s">
        <v>596</v>
      </c>
      <c r="Q241" s="12" t="s">
        <v>596</v>
      </c>
      <c r="R241" s="12" t="s">
        <v>596</v>
      </c>
      <c r="S241" s="12" t="s">
        <v>596</v>
      </c>
      <c r="T241" s="12" t="s">
        <v>596</v>
      </c>
      <c r="U241" s="12" t="s">
        <v>596</v>
      </c>
      <c r="V241" s="12" t="s">
        <v>596</v>
      </c>
      <c r="W241" s="12" t="s">
        <v>596</v>
      </c>
      <c r="X241" s="12" t="s">
        <v>596</v>
      </c>
      <c r="Y241" s="12" t="s">
        <v>596</v>
      </c>
      <c r="Z241" s="12" t="s">
        <v>596</v>
      </c>
      <c r="AA241" s="12" t="s">
        <v>596</v>
      </c>
      <c r="AB241" s="12" t="s">
        <v>596</v>
      </c>
      <c r="AC241" s="12" t="s">
        <v>596</v>
      </c>
      <c r="AD241" s="12" t="s">
        <v>596</v>
      </c>
      <c r="AE241" s="12" t="s">
        <v>596</v>
      </c>
      <c r="AF241" s="12" t="s">
        <v>596</v>
      </c>
      <c r="AG241" s="12" t="s">
        <v>596</v>
      </c>
      <c r="AH241" s="12" t="s">
        <v>596</v>
      </c>
      <c r="AI241" s="12" t="s">
        <v>596</v>
      </c>
      <c r="AJ241" s="12" t="s">
        <v>596</v>
      </c>
      <c r="AK241" s="12" t="s">
        <v>596</v>
      </c>
      <c r="AL241" s="12" t="s">
        <v>596</v>
      </c>
      <c r="AM241" s="12" t="s">
        <v>596</v>
      </c>
      <c r="AN241" s="12" t="s">
        <v>596</v>
      </c>
      <c r="AO241" s="12" t="s">
        <v>596</v>
      </c>
      <c r="AP241" s="12" t="s">
        <v>596</v>
      </c>
      <c r="AQ241" s="12" t="s">
        <v>596</v>
      </c>
      <c r="AR241" s="12" t="s">
        <v>596</v>
      </c>
      <c r="AS241" s="12" t="s">
        <v>596</v>
      </c>
      <c r="AT241" s="12" t="s">
        <v>596</v>
      </c>
      <c r="AU241" s="12" t="s">
        <v>596</v>
      </c>
      <c r="AV241" s="12" t="s">
        <v>596</v>
      </c>
      <c r="AW241" s="12" t="s">
        <v>596</v>
      </c>
      <c r="AX241" s="12" t="s">
        <v>596</v>
      </c>
      <c r="AY241" s="12" t="s">
        <v>596</v>
      </c>
      <c r="AZ241" s="12" t="s">
        <v>596</v>
      </c>
      <c r="BA241" s="12" t="s">
        <v>596</v>
      </c>
      <c r="BB241" s="12" t="s">
        <v>596</v>
      </c>
      <c r="BC241" s="12" t="s">
        <v>596</v>
      </c>
      <c r="BD241" s="12" t="s">
        <v>596</v>
      </c>
      <c r="BE241" s="12" t="s">
        <v>596</v>
      </c>
      <c r="BF241" s="12" t="s">
        <v>596</v>
      </c>
      <c r="BG241" s="12" t="s">
        <v>596</v>
      </c>
      <c r="BH241" s="12" t="s">
        <v>596</v>
      </c>
      <c r="BI241" s="12" t="s">
        <v>596</v>
      </c>
      <c r="BJ241" s="12" t="s">
        <v>596</v>
      </c>
      <c r="BK241" s="12" t="s">
        <v>596</v>
      </c>
      <c r="BL241" s="12" t="s">
        <v>596</v>
      </c>
      <c r="BM241" s="12" t="s">
        <v>596</v>
      </c>
      <c r="BN241" s="12" t="s">
        <v>596</v>
      </c>
      <c r="BO241" s="12" t="s">
        <v>596</v>
      </c>
      <c r="BP241" s="12" t="s">
        <v>596</v>
      </c>
      <c r="BQ241" s="12" t="s">
        <v>596</v>
      </c>
      <c r="BR241" s="12" t="s">
        <v>596</v>
      </c>
      <c r="BS241" s="12" t="s">
        <v>596</v>
      </c>
      <c r="BT241" s="12" t="s">
        <v>596</v>
      </c>
      <c r="BU241" s="12" t="s">
        <v>596</v>
      </c>
      <c r="BV241" s="12" t="s">
        <v>596</v>
      </c>
      <c r="BW241" s="12" t="s">
        <v>596</v>
      </c>
      <c r="BX241" s="12" t="s">
        <v>596</v>
      </c>
      <c r="BY241" s="12" t="s">
        <v>596</v>
      </c>
      <c r="BZ241" s="12" t="s">
        <v>596</v>
      </c>
      <c r="CA241" s="12" t="s">
        <v>596</v>
      </c>
      <c r="CB241" s="12" t="s">
        <v>596</v>
      </c>
      <c r="CC241" s="12" t="s">
        <v>596</v>
      </c>
      <c r="CD241" s="12" t="s">
        <v>596</v>
      </c>
      <c r="CE241" s="12" t="s">
        <v>596</v>
      </c>
      <c r="CF241" s="12" t="s">
        <v>596</v>
      </c>
      <c r="CG241" s="12" t="s">
        <v>596</v>
      </c>
      <c r="CH241" s="12" t="s">
        <v>596</v>
      </c>
      <c r="CI241" s="12" t="s">
        <v>596</v>
      </c>
      <c r="CJ241" s="12" t="s">
        <v>596</v>
      </c>
      <c r="CK241" s="12" t="s">
        <v>596</v>
      </c>
      <c r="CL241" s="12" t="s">
        <v>596</v>
      </c>
      <c r="CM241" s="12" t="s">
        <v>596</v>
      </c>
      <c r="CN241" s="12" t="s">
        <v>596</v>
      </c>
      <c r="CO241" s="12" t="s">
        <v>596</v>
      </c>
      <c r="CP241" s="12" t="s">
        <v>596</v>
      </c>
      <c r="CQ241" s="12" t="s">
        <v>596</v>
      </c>
      <c r="CR241" s="12" t="s">
        <v>596</v>
      </c>
      <c r="CS241" s="12" t="s">
        <v>596</v>
      </c>
      <c r="CT241" s="12" t="s">
        <v>596</v>
      </c>
    </row>
    <row r="242" spans="1:98" hidden="1" x14ac:dyDescent="0.3">
      <c r="A242" s="12" t="s">
        <v>25</v>
      </c>
      <c r="B242" s="12" t="s">
        <v>4259</v>
      </c>
      <c r="C242" s="12" t="s">
        <v>4260</v>
      </c>
      <c r="D242" s="12" t="s">
        <v>4261</v>
      </c>
      <c r="E242" s="12" t="s">
        <v>596</v>
      </c>
      <c r="F242" s="12" t="s">
        <v>596</v>
      </c>
      <c r="G242" s="12" t="s">
        <v>596</v>
      </c>
      <c r="H242" s="12" t="s">
        <v>596</v>
      </c>
      <c r="I242" s="12" t="s">
        <v>596</v>
      </c>
      <c r="J242" s="12" t="s">
        <v>596</v>
      </c>
      <c r="K242" s="12" t="s">
        <v>596</v>
      </c>
      <c r="L242" s="12" t="s">
        <v>596</v>
      </c>
      <c r="M242" s="12" t="s">
        <v>596</v>
      </c>
      <c r="N242" s="12" t="s">
        <v>596</v>
      </c>
      <c r="O242" s="12" t="s">
        <v>596</v>
      </c>
      <c r="P242" s="12" t="s">
        <v>596</v>
      </c>
      <c r="Q242" s="12" t="s">
        <v>596</v>
      </c>
      <c r="R242" s="12" t="s">
        <v>596</v>
      </c>
      <c r="S242" s="12" t="s">
        <v>596</v>
      </c>
      <c r="T242" s="12" t="s">
        <v>596</v>
      </c>
      <c r="U242" s="12" t="s">
        <v>596</v>
      </c>
      <c r="V242" s="12" t="s">
        <v>596</v>
      </c>
      <c r="W242" s="12" t="s">
        <v>596</v>
      </c>
      <c r="X242" s="12" t="s">
        <v>596</v>
      </c>
      <c r="Y242" s="12" t="s">
        <v>596</v>
      </c>
      <c r="Z242" s="12" t="s">
        <v>596</v>
      </c>
      <c r="AA242" s="12" t="s">
        <v>596</v>
      </c>
      <c r="AB242" s="12" t="s">
        <v>596</v>
      </c>
      <c r="AC242" s="12" t="s">
        <v>596</v>
      </c>
      <c r="AD242" s="12" t="s">
        <v>596</v>
      </c>
      <c r="AE242" s="12" t="s">
        <v>596</v>
      </c>
      <c r="AF242" s="12" t="s">
        <v>596</v>
      </c>
      <c r="AG242" s="12" t="s">
        <v>596</v>
      </c>
      <c r="AH242" s="12" t="s">
        <v>596</v>
      </c>
      <c r="AI242" s="12" t="s">
        <v>596</v>
      </c>
      <c r="AJ242" s="12" t="s">
        <v>596</v>
      </c>
      <c r="AK242" s="12" t="s">
        <v>596</v>
      </c>
      <c r="AL242" s="12" t="s">
        <v>596</v>
      </c>
      <c r="AM242" s="12" t="s">
        <v>596</v>
      </c>
      <c r="AN242" s="12" t="s">
        <v>596</v>
      </c>
      <c r="AO242" s="12" t="s">
        <v>596</v>
      </c>
      <c r="AP242" s="12" t="s">
        <v>596</v>
      </c>
      <c r="AQ242" s="12" t="s">
        <v>596</v>
      </c>
      <c r="AR242" s="12" t="s">
        <v>596</v>
      </c>
      <c r="AS242" s="12" t="s">
        <v>596</v>
      </c>
      <c r="AT242" s="12" t="s">
        <v>596</v>
      </c>
      <c r="AU242" s="12" t="s">
        <v>596</v>
      </c>
      <c r="AV242" s="12" t="s">
        <v>596</v>
      </c>
      <c r="AW242" s="12" t="s">
        <v>596</v>
      </c>
      <c r="AX242" s="12" t="s">
        <v>596</v>
      </c>
      <c r="AY242" s="12" t="s">
        <v>596</v>
      </c>
      <c r="AZ242" s="12" t="s">
        <v>596</v>
      </c>
      <c r="BA242" s="12" t="s">
        <v>596</v>
      </c>
      <c r="BB242" s="12" t="s">
        <v>596</v>
      </c>
      <c r="BC242" s="12" t="s">
        <v>596</v>
      </c>
      <c r="BD242" s="12" t="s">
        <v>596</v>
      </c>
      <c r="BE242" s="12" t="s">
        <v>596</v>
      </c>
      <c r="BF242" s="12" t="s">
        <v>596</v>
      </c>
      <c r="BG242" s="12" t="s">
        <v>596</v>
      </c>
      <c r="BH242" s="12" t="s">
        <v>596</v>
      </c>
      <c r="BI242" s="12" t="s">
        <v>596</v>
      </c>
      <c r="BJ242" s="12" t="s">
        <v>596</v>
      </c>
      <c r="BK242" s="12" t="s">
        <v>596</v>
      </c>
      <c r="BL242" s="12" t="s">
        <v>596</v>
      </c>
      <c r="BM242" s="12" t="s">
        <v>596</v>
      </c>
      <c r="BN242" s="12" t="s">
        <v>596</v>
      </c>
      <c r="BO242" s="12" t="s">
        <v>641</v>
      </c>
      <c r="BP242" s="12" t="s">
        <v>690</v>
      </c>
      <c r="BQ242" s="12" t="s">
        <v>869</v>
      </c>
      <c r="BR242" s="12" t="s">
        <v>869</v>
      </c>
      <c r="BS242" s="12" t="s">
        <v>773</v>
      </c>
      <c r="BT242" s="12" t="s">
        <v>773</v>
      </c>
      <c r="BU242" s="12" t="s">
        <v>773</v>
      </c>
      <c r="BV242" s="12" t="s">
        <v>779</v>
      </c>
      <c r="BW242" s="12" t="s">
        <v>642</v>
      </c>
      <c r="BX242" s="12" t="s">
        <v>642</v>
      </c>
      <c r="BY242" s="12" t="s">
        <v>642</v>
      </c>
      <c r="BZ242" s="12" t="s">
        <v>642</v>
      </c>
      <c r="CA242" s="12" t="s">
        <v>601</v>
      </c>
      <c r="CB242" s="12" t="s">
        <v>643</v>
      </c>
      <c r="CC242" s="12" t="s">
        <v>774</v>
      </c>
      <c r="CD242" s="12" t="s">
        <v>780</v>
      </c>
      <c r="CE242" s="12" t="s">
        <v>602</v>
      </c>
      <c r="CF242" s="12" t="s">
        <v>602</v>
      </c>
      <c r="CG242" s="12" t="s">
        <v>826</v>
      </c>
      <c r="CH242" s="12" t="s">
        <v>692</v>
      </c>
      <c r="CI242" s="12" t="s">
        <v>692</v>
      </c>
      <c r="CJ242" s="12" t="s">
        <v>692</v>
      </c>
      <c r="CK242" s="12" t="s">
        <v>692</v>
      </c>
      <c r="CL242" s="12" t="s">
        <v>692</v>
      </c>
      <c r="CM242" s="12" t="s">
        <v>692</v>
      </c>
      <c r="CN242" s="12" t="s">
        <v>692</v>
      </c>
      <c r="CO242" s="12" t="s">
        <v>692</v>
      </c>
      <c r="CP242" s="12" t="s">
        <v>692</v>
      </c>
      <c r="CQ242" s="12" t="s">
        <v>692</v>
      </c>
      <c r="CR242" s="12" t="s">
        <v>692</v>
      </c>
      <c r="CS242" s="12" t="s">
        <v>692</v>
      </c>
      <c r="CT242" s="12" t="s">
        <v>692</v>
      </c>
    </row>
    <row r="243" spans="1:98" hidden="1" x14ac:dyDescent="0.3">
      <c r="A243" s="12" t="s">
        <v>25</v>
      </c>
      <c r="B243" s="12" t="s">
        <v>4262</v>
      </c>
      <c r="C243" s="12" t="s">
        <v>4263</v>
      </c>
      <c r="D243" s="12" t="s">
        <v>4264</v>
      </c>
      <c r="E243" s="12" t="s">
        <v>596</v>
      </c>
      <c r="F243" s="12" t="s">
        <v>596</v>
      </c>
      <c r="G243" s="12" t="s">
        <v>596</v>
      </c>
      <c r="H243" s="12" t="s">
        <v>596</v>
      </c>
      <c r="I243" s="12" t="s">
        <v>596</v>
      </c>
      <c r="J243" s="12" t="s">
        <v>596</v>
      </c>
      <c r="K243" s="12" t="s">
        <v>596</v>
      </c>
      <c r="L243" s="12" t="s">
        <v>596</v>
      </c>
      <c r="M243" s="12" t="s">
        <v>596</v>
      </c>
      <c r="N243" s="12" t="s">
        <v>596</v>
      </c>
      <c r="O243" s="12" t="s">
        <v>596</v>
      </c>
      <c r="P243" s="12" t="s">
        <v>596</v>
      </c>
      <c r="Q243" s="12" t="s">
        <v>596</v>
      </c>
      <c r="R243" s="12" t="s">
        <v>596</v>
      </c>
      <c r="S243" s="12" t="s">
        <v>596</v>
      </c>
      <c r="T243" s="12" t="s">
        <v>596</v>
      </c>
      <c r="U243" s="12" t="s">
        <v>596</v>
      </c>
      <c r="V243" s="12" t="s">
        <v>596</v>
      </c>
      <c r="W243" s="12" t="s">
        <v>596</v>
      </c>
      <c r="X243" s="12" t="s">
        <v>596</v>
      </c>
      <c r="Y243" s="12" t="s">
        <v>596</v>
      </c>
      <c r="Z243" s="12" t="s">
        <v>596</v>
      </c>
      <c r="AA243" s="12" t="s">
        <v>596</v>
      </c>
      <c r="AB243" s="12" t="s">
        <v>596</v>
      </c>
      <c r="AC243" s="12" t="s">
        <v>596</v>
      </c>
      <c r="AD243" s="12" t="s">
        <v>596</v>
      </c>
      <c r="AE243" s="12" t="s">
        <v>596</v>
      </c>
      <c r="AF243" s="12" t="s">
        <v>596</v>
      </c>
      <c r="AG243" s="12" t="s">
        <v>596</v>
      </c>
      <c r="AH243" s="12" t="s">
        <v>596</v>
      </c>
      <c r="AI243" s="12" t="s">
        <v>596</v>
      </c>
      <c r="AJ243" s="12" t="s">
        <v>596</v>
      </c>
      <c r="AK243" s="12" t="s">
        <v>596</v>
      </c>
      <c r="AL243" s="12" t="s">
        <v>596</v>
      </c>
      <c r="AM243" s="12" t="s">
        <v>596</v>
      </c>
      <c r="AN243" s="12" t="s">
        <v>596</v>
      </c>
      <c r="AO243" s="12" t="s">
        <v>596</v>
      </c>
      <c r="AP243" s="12" t="s">
        <v>596</v>
      </c>
      <c r="AQ243" s="12" t="s">
        <v>596</v>
      </c>
      <c r="AR243" s="12" t="s">
        <v>596</v>
      </c>
      <c r="AS243" s="12" t="s">
        <v>596</v>
      </c>
      <c r="AT243" s="12" t="s">
        <v>596</v>
      </c>
      <c r="AU243" s="12" t="s">
        <v>596</v>
      </c>
      <c r="AV243" s="12" t="s">
        <v>596</v>
      </c>
      <c r="AW243" s="12" t="s">
        <v>596</v>
      </c>
      <c r="AX243" s="12" t="s">
        <v>596</v>
      </c>
      <c r="AY243" s="12" t="s">
        <v>596</v>
      </c>
      <c r="AZ243" s="12" t="s">
        <v>596</v>
      </c>
      <c r="BA243" s="12" t="s">
        <v>596</v>
      </c>
      <c r="BB243" s="12" t="s">
        <v>596</v>
      </c>
      <c r="BC243" s="12" t="s">
        <v>596</v>
      </c>
      <c r="BD243" s="12" t="s">
        <v>596</v>
      </c>
      <c r="BE243" s="12" t="s">
        <v>596</v>
      </c>
      <c r="BF243" s="12" t="s">
        <v>596</v>
      </c>
      <c r="BG243" s="12" t="s">
        <v>596</v>
      </c>
      <c r="BH243" s="12" t="s">
        <v>596</v>
      </c>
      <c r="BI243" s="12" t="s">
        <v>596</v>
      </c>
      <c r="BJ243" s="12" t="s">
        <v>596</v>
      </c>
      <c r="BK243" s="12" t="s">
        <v>596</v>
      </c>
      <c r="BL243" s="12" t="s">
        <v>596</v>
      </c>
      <c r="BM243" s="12" t="s">
        <v>596</v>
      </c>
      <c r="BN243" s="12" t="s">
        <v>596</v>
      </c>
      <c r="BO243" s="12" t="s">
        <v>597</v>
      </c>
      <c r="BP243" s="12" t="s">
        <v>597</v>
      </c>
      <c r="BQ243" s="12" t="s">
        <v>597</v>
      </c>
      <c r="BR243" s="12" t="s">
        <v>597</v>
      </c>
      <c r="BS243" s="12" t="s">
        <v>690</v>
      </c>
      <c r="BT243" s="12" t="s">
        <v>773</v>
      </c>
      <c r="BU243" s="12" t="s">
        <v>773</v>
      </c>
      <c r="BV243" s="12" t="s">
        <v>642</v>
      </c>
      <c r="BW243" s="12" t="s">
        <v>642</v>
      </c>
      <c r="BX243" s="12" t="s">
        <v>601</v>
      </c>
      <c r="BY243" s="12" t="s">
        <v>601</v>
      </c>
      <c r="BZ243" s="12" t="s">
        <v>826</v>
      </c>
      <c r="CA243" s="12" t="s">
        <v>826</v>
      </c>
      <c r="CB243" s="12" t="s">
        <v>692</v>
      </c>
      <c r="CC243" s="12" t="s">
        <v>693</v>
      </c>
      <c r="CD243" s="12" t="s">
        <v>603</v>
      </c>
      <c r="CE243" s="12" t="s">
        <v>605</v>
      </c>
      <c r="CF243" s="12" t="s">
        <v>605</v>
      </c>
      <c r="CG243" s="12" t="s">
        <v>605</v>
      </c>
      <c r="CH243" s="12" t="s">
        <v>775</v>
      </c>
      <c r="CI243" s="12" t="s">
        <v>694</v>
      </c>
      <c r="CJ243" s="12" t="s">
        <v>935</v>
      </c>
      <c r="CK243" s="12" t="s">
        <v>696</v>
      </c>
      <c r="CL243" s="12" t="s">
        <v>1009</v>
      </c>
      <c r="CM243" s="12" t="s">
        <v>1009</v>
      </c>
      <c r="CN243" s="12" t="s">
        <v>1009</v>
      </c>
      <c r="CO243" s="12" t="s">
        <v>648</v>
      </c>
      <c r="CP243" s="12" t="s">
        <v>648</v>
      </c>
      <c r="CQ243" s="12" t="s">
        <v>648</v>
      </c>
      <c r="CR243" s="12" t="s">
        <v>650</v>
      </c>
      <c r="CS243" s="12" t="s">
        <v>698</v>
      </c>
      <c r="CT243" s="12" t="s">
        <v>937</v>
      </c>
    </row>
    <row r="244" spans="1:98" hidden="1" x14ac:dyDescent="0.3">
      <c r="A244" s="12" t="s">
        <v>25</v>
      </c>
      <c r="B244" s="12" t="s">
        <v>4265</v>
      </c>
      <c r="C244" s="12" t="s">
        <v>4266</v>
      </c>
      <c r="D244" s="12" t="s">
        <v>4267</v>
      </c>
      <c r="E244" s="12" t="s">
        <v>596</v>
      </c>
      <c r="F244" s="12" t="s">
        <v>596</v>
      </c>
      <c r="G244" s="12" t="s">
        <v>596</v>
      </c>
      <c r="H244" s="12" t="s">
        <v>596</v>
      </c>
      <c r="I244" s="12" t="s">
        <v>596</v>
      </c>
      <c r="J244" s="12" t="s">
        <v>596</v>
      </c>
      <c r="K244" s="12" t="s">
        <v>596</v>
      </c>
      <c r="L244" s="12" t="s">
        <v>596</v>
      </c>
      <c r="M244" s="12" t="s">
        <v>596</v>
      </c>
      <c r="N244" s="12" t="s">
        <v>596</v>
      </c>
      <c r="O244" s="12" t="s">
        <v>596</v>
      </c>
      <c r="P244" s="12" t="s">
        <v>596</v>
      </c>
      <c r="Q244" s="12" t="s">
        <v>596</v>
      </c>
      <c r="R244" s="12" t="s">
        <v>596</v>
      </c>
      <c r="S244" s="12" t="s">
        <v>596</v>
      </c>
      <c r="T244" s="12" t="s">
        <v>596</v>
      </c>
      <c r="U244" s="12" t="s">
        <v>596</v>
      </c>
      <c r="V244" s="12" t="s">
        <v>596</v>
      </c>
      <c r="W244" s="12" t="s">
        <v>596</v>
      </c>
      <c r="X244" s="12" t="s">
        <v>596</v>
      </c>
      <c r="Y244" s="12" t="s">
        <v>596</v>
      </c>
      <c r="Z244" s="12" t="s">
        <v>596</v>
      </c>
      <c r="AA244" s="12" t="s">
        <v>596</v>
      </c>
      <c r="AB244" s="12" t="s">
        <v>596</v>
      </c>
      <c r="AC244" s="12" t="s">
        <v>596</v>
      </c>
      <c r="AD244" s="12" t="s">
        <v>596</v>
      </c>
      <c r="AE244" s="12" t="s">
        <v>596</v>
      </c>
      <c r="AF244" s="12" t="s">
        <v>596</v>
      </c>
      <c r="AG244" s="12" t="s">
        <v>596</v>
      </c>
      <c r="AH244" s="12" t="s">
        <v>596</v>
      </c>
      <c r="AI244" s="12" t="s">
        <v>596</v>
      </c>
      <c r="AJ244" s="12" t="s">
        <v>596</v>
      </c>
      <c r="AK244" s="12" t="s">
        <v>596</v>
      </c>
      <c r="AL244" s="12" t="s">
        <v>596</v>
      </c>
      <c r="AM244" s="12" t="s">
        <v>596</v>
      </c>
      <c r="AN244" s="12" t="s">
        <v>596</v>
      </c>
      <c r="AO244" s="12" t="s">
        <v>596</v>
      </c>
      <c r="AP244" s="12" t="s">
        <v>596</v>
      </c>
      <c r="AQ244" s="12" t="s">
        <v>596</v>
      </c>
      <c r="AR244" s="12" t="s">
        <v>596</v>
      </c>
      <c r="AS244" s="12" t="s">
        <v>596</v>
      </c>
      <c r="AT244" s="12" t="s">
        <v>596</v>
      </c>
      <c r="AU244" s="12" t="s">
        <v>596</v>
      </c>
      <c r="AV244" s="12" t="s">
        <v>598</v>
      </c>
      <c r="AW244" s="12" t="s">
        <v>600</v>
      </c>
      <c r="AX244" s="12" t="s">
        <v>602</v>
      </c>
      <c r="AY244" s="12" t="s">
        <v>602</v>
      </c>
      <c r="AZ244" s="12" t="s">
        <v>692</v>
      </c>
      <c r="BA244" s="12" t="s">
        <v>694</v>
      </c>
      <c r="BB244" s="12" t="s">
        <v>2036</v>
      </c>
      <c r="BC244" s="12" t="s">
        <v>2036</v>
      </c>
      <c r="BD244" s="12" t="s">
        <v>784</v>
      </c>
      <c r="BE244" s="12" t="s">
        <v>935</v>
      </c>
      <c r="BF244" s="12" t="s">
        <v>646</v>
      </c>
      <c r="BG244" s="12" t="s">
        <v>646</v>
      </c>
      <c r="BH244" s="12" t="s">
        <v>736</v>
      </c>
      <c r="BI244" s="12" t="s">
        <v>1064</v>
      </c>
      <c r="BJ244" s="12" t="s">
        <v>1114</v>
      </c>
      <c r="BK244" s="12" t="s">
        <v>990</v>
      </c>
      <c r="BL244" s="12" t="s">
        <v>696</v>
      </c>
      <c r="BM244" s="12" t="s">
        <v>827</v>
      </c>
      <c r="BN244" s="12" t="s">
        <v>650</v>
      </c>
      <c r="BO244" s="12" t="s">
        <v>650</v>
      </c>
      <c r="BP244" s="12" t="s">
        <v>650</v>
      </c>
      <c r="BQ244" s="12" t="s">
        <v>608</v>
      </c>
      <c r="BR244" s="12" t="s">
        <v>875</v>
      </c>
      <c r="BS244" s="12" t="s">
        <v>996</v>
      </c>
      <c r="BT244" s="12" t="s">
        <v>1226</v>
      </c>
      <c r="BU244" s="12" t="s">
        <v>1518</v>
      </c>
      <c r="BV244" s="12" t="s">
        <v>1436</v>
      </c>
      <c r="BW244" s="12" t="s">
        <v>891</v>
      </c>
      <c r="BX244" s="12" t="s">
        <v>2107</v>
      </c>
      <c r="BY244" s="12" t="s">
        <v>832</v>
      </c>
      <c r="BZ244" s="12" t="s">
        <v>1507</v>
      </c>
      <c r="CA244" s="12" t="s">
        <v>614</v>
      </c>
      <c r="CB244" s="12" t="s">
        <v>1510</v>
      </c>
      <c r="CC244" s="12" t="s">
        <v>1411</v>
      </c>
      <c r="CD244" s="12" t="s">
        <v>1513</v>
      </c>
      <c r="CE244" s="12" t="s">
        <v>1513</v>
      </c>
      <c r="CF244" s="12" t="s">
        <v>745</v>
      </c>
      <c r="CG244" s="12" t="s">
        <v>1282</v>
      </c>
      <c r="CH244" s="12" t="s">
        <v>836</v>
      </c>
      <c r="CI244" s="12" t="s">
        <v>746</v>
      </c>
      <c r="CJ244" s="12" t="s">
        <v>746</v>
      </c>
      <c r="CK244" s="12" t="s">
        <v>3950</v>
      </c>
      <c r="CL244" s="12" t="s">
        <v>3950</v>
      </c>
      <c r="CM244" s="12" t="s">
        <v>2413</v>
      </c>
      <c r="CN244" s="12" t="s">
        <v>1715</v>
      </c>
      <c r="CO244" s="12" t="s">
        <v>984</v>
      </c>
      <c r="CP244" s="12" t="s">
        <v>3140</v>
      </c>
      <c r="CQ244" s="12" t="s">
        <v>753</v>
      </c>
      <c r="CR244" s="12" t="s">
        <v>1539</v>
      </c>
      <c r="CS244" s="12" t="s">
        <v>1686</v>
      </c>
      <c r="CT244" s="12" t="s">
        <v>622</v>
      </c>
    </row>
    <row r="245" spans="1:98" hidden="1" x14ac:dyDescent="0.3">
      <c r="A245" s="12" t="s">
        <v>25</v>
      </c>
      <c r="B245" s="12" t="s">
        <v>4268</v>
      </c>
      <c r="C245" s="12" t="s">
        <v>4269</v>
      </c>
      <c r="D245" s="12" t="s">
        <v>4270</v>
      </c>
      <c r="E245" s="12" t="s">
        <v>596</v>
      </c>
      <c r="F245" s="12" t="s">
        <v>596</v>
      </c>
      <c r="G245" s="12" t="s">
        <v>596</v>
      </c>
      <c r="H245" s="12" t="s">
        <v>596</v>
      </c>
      <c r="I245" s="12" t="s">
        <v>596</v>
      </c>
      <c r="J245" s="12" t="s">
        <v>596</v>
      </c>
      <c r="K245" s="12" t="s">
        <v>596</v>
      </c>
      <c r="L245" s="12" t="s">
        <v>596</v>
      </c>
      <c r="M245" s="12" t="s">
        <v>596</v>
      </c>
      <c r="N245" s="12" t="s">
        <v>596</v>
      </c>
      <c r="O245" s="12" t="s">
        <v>596</v>
      </c>
      <c r="P245" s="12" t="s">
        <v>596</v>
      </c>
      <c r="Q245" s="12" t="s">
        <v>596</v>
      </c>
      <c r="R245" s="12" t="s">
        <v>596</v>
      </c>
      <c r="S245" s="12" t="s">
        <v>596</v>
      </c>
      <c r="T245" s="12" t="s">
        <v>596</v>
      </c>
      <c r="U245" s="12" t="s">
        <v>596</v>
      </c>
      <c r="V245" s="12" t="s">
        <v>596</v>
      </c>
      <c r="W245" s="12" t="s">
        <v>596</v>
      </c>
      <c r="X245" s="12" t="s">
        <v>596</v>
      </c>
      <c r="Y245" s="12" t="s">
        <v>596</v>
      </c>
      <c r="Z245" s="12" t="s">
        <v>596</v>
      </c>
      <c r="AA245" s="12" t="s">
        <v>596</v>
      </c>
      <c r="AB245" s="12" t="s">
        <v>596</v>
      </c>
      <c r="AC245" s="12" t="s">
        <v>596</v>
      </c>
      <c r="AD245" s="12" t="s">
        <v>596</v>
      </c>
      <c r="AE245" s="12" t="s">
        <v>596</v>
      </c>
      <c r="AF245" s="12" t="s">
        <v>596</v>
      </c>
      <c r="AG245" s="12" t="s">
        <v>596</v>
      </c>
      <c r="AH245" s="12" t="s">
        <v>596</v>
      </c>
      <c r="AI245" s="12" t="s">
        <v>596</v>
      </c>
      <c r="AJ245" s="12" t="s">
        <v>596</v>
      </c>
      <c r="AK245" s="12" t="s">
        <v>596</v>
      </c>
      <c r="AL245" s="12" t="s">
        <v>596</v>
      </c>
      <c r="AM245" s="12" t="s">
        <v>596</v>
      </c>
      <c r="AN245" s="12" t="s">
        <v>596</v>
      </c>
      <c r="AO245" s="12" t="s">
        <v>596</v>
      </c>
      <c r="AP245" s="12" t="s">
        <v>596</v>
      </c>
      <c r="AQ245" s="12" t="s">
        <v>596</v>
      </c>
      <c r="AR245" s="12" t="s">
        <v>596</v>
      </c>
      <c r="AS245" s="12" t="s">
        <v>596</v>
      </c>
      <c r="AT245" s="12" t="s">
        <v>596</v>
      </c>
      <c r="AU245" s="12" t="s">
        <v>596</v>
      </c>
      <c r="AV245" s="12" t="s">
        <v>596</v>
      </c>
      <c r="AW245" s="12" t="s">
        <v>596</v>
      </c>
      <c r="AX245" s="12" t="s">
        <v>596</v>
      </c>
      <c r="AY245" s="12" t="s">
        <v>596</v>
      </c>
      <c r="AZ245" s="12" t="s">
        <v>596</v>
      </c>
      <c r="BA245" s="12" t="s">
        <v>596</v>
      </c>
      <c r="BB245" s="12" t="s">
        <v>596</v>
      </c>
      <c r="BC245" s="12" t="s">
        <v>596</v>
      </c>
      <c r="BD245" s="12" t="s">
        <v>596</v>
      </c>
      <c r="BE245" s="12" t="s">
        <v>596</v>
      </c>
      <c r="BF245" s="12" t="s">
        <v>596</v>
      </c>
      <c r="BG245" s="12" t="s">
        <v>596</v>
      </c>
      <c r="BH245" s="12" t="s">
        <v>596</v>
      </c>
      <c r="BI245" s="12" t="s">
        <v>596</v>
      </c>
      <c r="BJ245" s="12" t="s">
        <v>596</v>
      </c>
      <c r="BK245" s="12" t="s">
        <v>596</v>
      </c>
      <c r="BL245" s="12" t="s">
        <v>596</v>
      </c>
      <c r="BM245" s="12" t="s">
        <v>596</v>
      </c>
      <c r="BN245" s="12" t="s">
        <v>596</v>
      </c>
      <c r="BO245" s="12" t="s">
        <v>596</v>
      </c>
      <c r="BP245" s="12" t="s">
        <v>641</v>
      </c>
      <c r="BQ245" s="12" t="s">
        <v>641</v>
      </c>
      <c r="BR245" s="12" t="s">
        <v>641</v>
      </c>
      <c r="BS245" s="12" t="s">
        <v>641</v>
      </c>
      <c r="BT245" s="12" t="s">
        <v>641</v>
      </c>
      <c r="BU245" s="12" t="s">
        <v>773</v>
      </c>
      <c r="BV245" s="12" t="s">
        <v>773</v>
      </c>
      <c r="BW245" s="12" t="s">
        <v>779</v>
      </c>
      <c r="BX245" s="12" t="s">
        <v>779</v>
      </c>
      <c r="BY245" s="12" t="s">
        <v>780</v>
      </c>
      <c r="BZ245" s="12" t="s">
        <v>826</v>
      </c>
      <c r="CA245" s="12" t="s">
        <v>826</v>
      </c>
      <c r="CB245" s="12" t="s">
        <v>826</v>
      </c>
      <c r="CC245" s="12" t="s">
        <v>645</v>
      </c>
      <c r="CD245" s="12" t="s">
        <v>645</v>
      </c>
      <c r="CE245" s="12" t="s">
        <v>989</v>
      </c>
      <c r="CF245" s="12" t="s">
        <v>989</v>
      </c>
      <c r="CG245" s="12" t="s">
        <v>646</v>
      </c>
      <c r="CH245" s="12" t="s">
        <v>646</v>
      </c>
      <c r="CI245" s="12" t="s">
        <v>646</v>
      </c>
      <c r="CJ245" s="12" t="s">
        <v>646</v>
      </c>
      <c r="CK245" s="12" t="s">
        <v>1277</v>
      </c>
      <c r="CL245" s="12" t="s">
        <v>1277</v>
      </c>
      <c r="CM245" s="12" t="s">
        <v>1277</v>
      </c>
      <c r="CN245" s="12" t="s">
        <v>936</v>
      </c>
      <c r="CO245" s="12" t="s">
        <v>972</v>
      </c>
      <c r="CP245" s="12" t="s">
        <v>972</v>
      </c>
      <c r="CQ245" s="12" t="s">
        <v>972</v>
      </c>
      <c r="CR245" s="12" t="s">
        <v>972</v>
      </c>
      <c r="CS245" s="12" t="s">
        <v>972</v>
      </c>
      <c r="CT245" s="12" t="s">
        <v>827</v>
      </c>
    </row>
    <row r="246" spans="1:98" hidden="1" x14ac:dyDescent="0.3">
      <c r="A246" s="12" t="s">
        <v>25</v>
      </c>
      <c r="B246" s="12" t="s">
        <v>4271</v>
      </c>
      <c r="C246" s="12" t="s">
        <v>4272</v>
      </c>
      <c r="D246" s="12" t="s">
        <v>4273</v>
      </c>
      <c r="E246" s="12" t="s">
        <v>596</v>
      </c>
      <c r="F246" s="12" t="s">
        <v>596</v>
      </c>
      <c r="G246" s="12" t="s">
        <v>596</v>
      </c>
      <c r="H246" s="12" t="s">
        <v>596</v>
      </c>
      <c r="I246" s="12" t="s">
        <v>596</v>
      </c>
      <c r="J246" s="12" t="s">
        <v>596</v>
      </c>
      <c r="K246" s="12" t="s">
        <v>596</v>
      </c>
      <c r="L246" s="12" t="s">
        <v>596</v>
      </c>
      <c r="M246" s="12" t="s">
        <v>596</v>
      </c>
      <c r="N246" s="12" t="s">
        <v>596</v>
      </c>
      <c r="O246" s="12" t="s">
        <v>596</v>
      </c>
      <c r="P246" s="12" t="s">
        <v>596</v>
      </c>
      <c r="Q246" s="12" t="s">
        <v>596</v>
      </c>
      <c r="R246" s="12" t="s">
        <v>596</v>
      </c>
      <c r="S246" s="12" t="s">
        <v>596</v>
      </c>
      <c r="T246" s="12" t="s">
        <v>596</v>
      </c>
      <c r="U246" s="12" t="s">
        <v>596</v>
      </c>
      <c r="V246" s="12" t="s">
        <v>596</v>
      </c>
      <c r="W246" s="12" t="s">
        <v>596</v>
      </c>
      <c r="X246" s="12" t="s">
        <v>596</v>
      </c>
      <c r="Y246" s="12" t="s">
        <v>596</v>
      </c>
      <c r="Z246" s="12" t="s">
        <v>596</v>
      </c>
      <c r="AA246" s="12" t="s">
        <v>596</v>
      </c>
      <c r="AB246" s="12" t="s">
        <v>596</v>
      </c>
      <c r="AC246" s="12" t="s">
        <v>596</v>
      </c>
      <c r="AD246" s="12" t="s">
        <v>596</v>
      </c>
      <c r="AE246" s="12" t="s">
        <v>596</v>
      </c>
      <c r="AF246" s="12" t="s">
        <v>596</v>
      </c>
      <c r="AG246" s="12" t="s">
        <v>596</v>
      </c>
      <c r="AH246" s="12" t="s">
        <v>596</v>
      </c>
      <c r="AI246" s="12" t="s">
        <v>596</v>
      </c>
      <c r="AJ246" s="12" t="s">
        <v>596</v>
      </c>
      <c r="AK246" s="12" t="s">
        <v>596</v>
      </c>
      <c r="AL246" s="12" t="s">
        <v>596</v>
      </c>
      <c r="AM246" s="12" t="s">
        <v>596</v>
      </c>
      <c r="AN246" s="12" t="s">
        <v>596</v>
      </c>
      <c r="AO246" s="12" t="s">
        <v>596</v>
      </c>
      <c r="AP246" s="12" t="s">
        <v>596</v>
      </c>
      <c r="AQ246" s="12" t="s">
        <v>596</v>
      </c>
      <c r="AR246" s="12" t="s">
        <v>596</v>
      </c>
      <c r="AS246" s="12" t="s">
        <v>596</v>
      </c>
      <c r="AT246" s="12" t="s">
        <v>596</v>
      </c>
      <c r="AU246" s="12" t="s">
        <v>596</v>
      </c>
      <c r="AV246" s="12" t="s">
        <v>596</v>
      </c>
      <c r="AW246" s="12" t="s">
        <v>596</v>
      </c>
      <c r="AX246" s="12" t="s">
        <v>596</v>
      </c>
      <c r="AY246" s="12" t="s">
        <v>596</v>
      </c>
      <c r="AZ246" s="12" t="s">
        <v>596</v>
      </c>
      <c r="BA246" s="12" t="s">
        <v>596</v>
      </c>
      <c r="BB246" s="12" t="s">
        <v>596</v>
      </c>
      <c r="BC246" s="12" t="s">
        <v>596</v>
      </c>
      <c r="BD246" s="12" t="s">
        <v>596</v>
      </c>
      <c r="BE246" s="12" t="s">
        <v>596</v>
      </c>
      <c r="BF246" s="12" t="s">
        <v>596</v>
      </c>
      <c r="BG246" s="12" t="s">
        <v>596</v>
      </c>
      <c r="BH246" s="12" t="s">
        <v>596</v>
      </c>
      <c r="BI246" s="12" t="s">
        <v>596</v>
      </c>
      <c r="BJ246" s="12" t="s">
        <v>596</v>
      </c>
      <c r="BK246" s="12" t="s">
        <v>596</v>
      </c>
      <c r="BL246" s="12" t="s">
        <v>596</v>
      </c>
      <c r="BM246" s="12" t="s">
        <v>596</v>
      </c>
      <c r="BN246" s="12" t="s">
        <v>596</v>
      </c>
      <c r="BO246" s="12" t="s">
        <v>596</v>
      </c>
      <c r="BP246" s="12" t="s">
        <v>641</v>
      </c>
      <c r="BQ246" s="12" t="s">
        <v>598</v>
      </c>
      <c r="BR246" s="12" t="s">
        <v>601</v>
      </c>
      <c r="BS246" s="12" t="s">
        <v>826</v>
      </c>
      <c r="BT246" s="12" t="s">
        <v>826</v>
      </c>
      <c r="BU246" s="12" t="s">
        <v>775</v>
      </c>
      <c r="BV246" s="12" t="s">
        <v>887</v>
      </c>
      <c r="BW246" s="12" t="s">
        <v>784</v>
      </c>
      <c r="BX246" s="12" t="s">
        <v>989</v>
      </c>
      <c r="BY246" s="12" t="s">
        <v>736</v>
      </c>
      <c r="BZ246" s="12" t="s">
        <v>1064</v>
      </c>
      <c r="CA246" s="12" t="s">
        <v>786</v>
      </c>
      <c r="CB246" s="12" t="s">
        <v>990</v>
      </c>
      <c r="CC246" s="12" t="s">
        <v>787</v>
      </c>
      <c r="CD246" s="12" t="s">
        <v>650</v>
      </c>
      <c r="CE246" s="12" t="s">
        <v>607</v>
      </c>
      <c r="CF246" s="12" t="s">
        <v>699</v>
      </c>
      <c r="CG246" s="12" t="s">
        <v>699</v>
      </c>
      <c r="CH246" s="12" t="s">
        <v>882</v>
      </c>
      <c r="CI246" s="12" t="s">
        <v>656</v>
      </c>
      <c r="CJ246" s="12" t="s">
        <v>938</v>
      </c>
      <c r="CK246" s="12" t="s">
        <v>1523</v>
      </c>
      <c r="CL246" s="12" t="s">
        <v>892</v>
      </c>
      <c r="CM246" s="12" t="s">
        <v>892</v>
      </c>
      <c r="CN246" s="12" t="s">
        <v>3061</v>
      </c>
      <c r="CO246" s="12" t="s">
        <v>744</v>
      </c>
      <c r="CP246" s="12" t="s">
        <v>1067</v>
      </c>
      <c r="CQ246" s="12" t="s">
        <v>1298</v>
      </c>
      <c r="CR246" s="12" t="s">
        <v>1382</v>
      </c>
      <c r="CS246" s="12" t="s">
        <v>1848</v>
      </c>
      <c r="CT246" s="12" t="s">
        <v>1851</v>
      </c>
    </row>
    <row r="247" spans="1:98" hidden="1" x14ac:dyDescent="0.3">
      <c r="A247" s="12" t="s">
        <v>25</v>
      </c>
      <c r="B247" s="12" t="s">
        <v>4274</v>
      </c>
      <c r="C247" s="12" t="s">
        <v>4275</v>
      </c>
      <c r="D247" s="12" t="s">
        <v>4276</v>
      </c>
      <c r="E247" s="12" t="s">
        <v>596</v>
      </c>
      <c r="F247" s="12" t="s">
        <v>596</v>
      </c>
      <c r="G247" s="12" t="s">
        <v>596</v>
      </c>
      <c r="H247" s="12" t="s">
        <v>596</v>
      </c>
      <c r="I247" s="12" t="s">
        <v>596</v>
      </c>
      <c r="J247" s="12" t="s">
        <v>596</v>
      </c>
      <c r="K247" s="12" t="s">
        <v>596</v>
      </c>
      <c r="L247" s="12" t="s">
        <v>596</v>
      </c>
      <c r="M247" s="12" t="s">
        <v>596</v>
      </c>
      <c r="N247" s="12" t="s">
        <v>596</v>
      </c>
      <c r="O247" s="12" t="s">
        <v>596</v>
      </c>
      <c r="P247" s="12" t="s">
        <v>596</v>
      </c>
      <c r="Q247" s="12" t="s">
        <v>596</v>
      </c>
      <c r="R247" s="12" t="s">
        <v>596</v>
      </c>
      <c r="S247" s="12" t="s">
        <v>596</v>
      </c>
      <c r="T247" s="12" t="s">
        <v>596</v>
      </c>
      <c r="U247" s="12" t="s">
        <v>596</v>
      </c>
      <c r="V247" s="12" t="s">
        <v>596</v>
      </c>
      <c r="W247" s="12" t="s">
        <v>596</v>
      </c>
      <c r="X247" s="12" t="s">
        <v>596</v>
      </c>
      <c r="Y247" s="12" t="s">
        <v>596</v>
      </c>
      <c r="Z247" s="12" t="s">
        <v>596</v>
      </c>
      <c r="AA247" s="12" t="s">
        <v>596</v>
      </c>
      <c r="AB247" s="12" t="s">
        <v>596</v>
      </c>
      <c r="AC247" s="12" t="s">
        <v>596</v>
      </c>
      <c r="AD247" s="12" t="s">
        <v>596</v>
      </c>
      <c r="AE247" s="12" t="s">
        <v>596</v>
      </c>
      <c r="AF247" s="12" t="s">
        <v>596</v>
      </c>
      <c r="AG247" s="12" t="s">
        <v>596</v>
      </c>
      <c r="AH247" s="12" t="s">
        <v>596</v>
      </c>
      <c r="AI247" s="12" t="s">
        <v>596</v>
      </c>
      <c r="AJ247" s="12" t="s">
        <v>596</v>
      </c>
      <c r="AK247" s="12" t="s">
        <v>596</v>
      </c>
      <c r="AL247" s="12" t="s">
        <v>596</v>
      </c>
      <c r="AM247" s="12" t="s">
        <v>596</v>
      </c>
      <c r="AN247" s="12" t="s">
        <v>596</v>
      </c>
      <c r="AO247" s="12" t="s">
        <v>596</v>
      </c>
      <c r="AP247" s="12" t="s">
        <v>596</v>
      </c>
      <c r="AQ247" s="12" t="s">
        <v>596</v>
      </c>
      <c r="AR247" s="12" t="s">
        <v>596</v>
      </c>
      <c r="AS247" s="12" t="s">
        <v>596</v>
      </c>
      <c r="AT247" s="12" t="s">
        <v>596</v>
      </c>
      <c r="AU247" s="12" t="s">
        <v>596</v>
      </c>
      <c r="AV247" s="12" t="s">
        <v>596</v>
      </c>
      <c r="AW247" s="12" t="s">
        <v>596</v>
      </c>
      <c r="AX247" s="12" t="s">
        <v>596</v>
      </c>
      <c r="AY247" s="12" t="s">
        <v>596</v>
      </c>
      <c r="AZ247" s="12" t="s">
        <v>596</v>
      </c>
      <c r="BA247" s="12" t="s">
        <v>596</v>
      </c>
      <c r="BB247" s="12" t="s">
        <v>596</v>
      </c>
      <c r="BC247" s="12" t="s">
        <v>596</v>
      </c>
      <c r="BD247" s="12" t="s">
        <v>596</v>
      </c>
      <c r="BE247" s="12" t="s">
        <v>596</v>
      </c>
      <c r="BF247" s="12" t="s">
        <v>596</v>
      </c>
      <c r="BG247" s="12" t="s">
        <v>596</v>
      </c>
      <c r="BH247" s="12" t="s">
        <v>596</v>
      </c>
      <c r="BI247" s="12" t="s">
        <v>596</v>
      </c>
      <c r="BJ247" s="12" t="s">
        <v>596</v>
      </c>
      <c r="BK247" s="12" t="s">
        <v>596</v>
      </c>
      <c r="BL247" s="12" t="s">
        <v>596</v>
      </c>
      <c r="BM247" s="12" t="s">
        <v>596</v>
      </c>
      <c r="BN247" s="12" t="s">
        <v>596</v>
      </c>
      <c r="BO247" s="12" t="s">
        <v>596</v>
      </c>
      <c r="BP247" s="12" t="s">
        <v>641</v>
      </c>
      <c r="BQ247" s="12" t="s">
        <v>641</v>
      </c>
      <c r="BR247" s="12" t="s">
        <v>641</v>
      </c>
      <c r="BS247" s="12" t="s">
        <v>641</v>
      </c>
      <c r="BT247" s="12" t="s">
        <v>641</v>
      </c>
      <c r="BU247" s="12" t="s">
        <v>600</v>
      </c>
      <c r="BV247" s="12" t="s">
        <v>773</v>
      </c>
      <c r="BW247" s="12" t="s">
        <v>773</v>
      </c>
      <c r="BX247" s="12" t="s">
        <v>779</v>
      </c>
      <c r="BY247" s="12" t="s">
        <v>779</v>
      </c>
      <c r="BZ247" s="12" t="s">
        <v>779</v>
      </c>
      <c r="CA247" s="12" t="s">
        <v>642</v>
      </c>
      <c r="CB247" s="12" t="s">
        <v>642</v>
      </c>
      <c r="CC247" s="12" t="s">
        <v>601</v>
      </c>
      <c r="CD247" s="12" t="s">
        <v>601</v>
      </c>
      <c r="CE247" s="12" t="s">
        <v>601</v>
      </c>
      <c r="CF247" s="12" t="s">
        <v>643</v>
      </c>
      <c r="CG247" s="12" t="s">
        <v>643</v>
      </c>
      <c r="CH247" s="12" t="s">
        <v>643</v>
      </c>
      <c r="CI247" s="12" t="s">
        <v>643</v>
      </c>
      <c r="CJ247" s="12" t="s">
        <v>774</v>
      </c>
      <c r="CK247" s="12" t="s">
        <v>774</v>
      </c>
      <c r="CL247" s="12" t="s">
        <v>774</v>
      </c>
      <c r="CM247" s="12" t="s">
        <v>774</v>
      </c>
      <c r="CN247" s="12" t="s">
        <v>774</v>
      </c>
      <c r="CO247" s="12" t="s">
        <v>774</v>
      </c>
      <c r="CP247" s="12" t="s">
        <v>780</v>
      </c>
      <c r="CQ247" s="12" t="s">
        <v>780</v>
      </c>
      <c r="CR247" s="12" t="s">
        <v>780</v>
      </c>
      <c r="CS247" s="12" t="s">
        <v>780</v>
      </c>
      <c r="CT247" s="12" t="s">
        <v>780</v>
      </c>
    </row>
    <row r="248" spans="1:98" hidden="1" x14ac:dyDescent="0.3">
      <c r="A248" s="12" t="s">
        <v>4277</v>
      </c>
      <c r="B248" s="12" t="s">
        <v>1453</v>
      </c>
      <c r="C248" s="12" t="s">
        <v>4278</v>
      </c>
      <c r="D248" s="12" t="s">
        <v>4279</v>
      </c>
      <c r="E248" s="12" t="s">
        <v>596</v>
      </c>
      <c r="F248" s="12" t="s">
        <v>596</v>
      </c>
      <c r="G248" s="12" t="s">
        <v>596</v>
      </c>
      <c r="H248" s="12" t="s">
        <v>596</v>
      </c>
      <c r="I248" s="12" t="s">
        <v>596</v>
      </c>
      <c r="J248" s="12" t="s">
        <v>596</v>
      </c>
      <c r="K248" s="12" t="s">
        <v>596</v>
      </c>
      <c r="L248" s="12" t="s">
        <v>596</v>
      </c>
      <c r="M248" s="12" t="s">
        <v>596</v>
      </c>
      <c r="N248" s="12" t="s">
        <v>596</v>
      </c>
      <c r="O248" s="12" t="s">
        <v>596</v>
      </c>
      <c r="P248" s="12" t="s">
        <v>596</v>
      </c>
      <c r="Q248" s="12" t="s">
        <v>596</v>
      </c>
      <c r="R248" s="12" t="s">
        <v>596</v>
      </c>
      <c r="S248" s="12" t="s">
        <v>596</v>
      </c>
      <c r="T248" s="12" t="s">
        <v>596</v>
      </c>
      <c r="U248" s="12" t="s">
        <v>596</v>
      </c>
      <c r="V248" s="12" t="s">
        <v>596</v>
      </c>
      <c r="W248" s="12" t="s">
        <v>596</v>
      </c>
      <c r="X248" s="12" t="s">
        <v>596</v>
      </c>
      <c r="Y248" s="12" t="s">
        <v>596</v>
      </c>
      <c r="Z248" s="12" t="s">
        <v>596</v>
      </c>
      <c r="AA248" s="12" t="s">
        <v>596</v>
      </c>
      <c r="AB248" s="12" t="s">
        <v>596</v>
      </c>
      <c r="AC248" s="12" t="s">
        <v>596</v>
      </c>
      <c r="AD248" s="12" t="s">
        <v>596</v>
      </c>
      <c r="AE248" s="12" t="s">
        <v>596</v>
      </c>
      <c r="AF248" s="12" t="s">
        <v>596</v>
      </c>
      <c r="AG248" s="12" t="s">
        <v>596</v>
      </c>
      <c r="AH248" s="12" t="s">
        <v>596</v>
      </c>
      <c r="AI248" s="12" t="s">
        <v>596</v>
      </c>
      <c r="AJ248" s="12" t="s">
        <v>596</v>
      </c>
      <c r="AK248" s="12" t="s">
        <v>596</v>
      </c>
      <c r="AL248" s="12" t="s">
        <v>596</v>
      </c>
      <c r="AM248" s="12" t="s">
        <v>596</v>
      </c>
      <c r="AN248" s="12" t="s">
        <v>596</v>
      </c>
      <c r="AO248" s="12" t="s">
        <v>596</v>
      </c>
      <c r="AP248" s="12" t="s">
        <v>596</v>
      </c>
      <c r="AQ248" s="12" t="s">
        <v>596</v>
      </c>
      <c r="AR248" s="12" t="s">
        <v>596</v>
      </c>
      <c r="AS248" s="12" t="s">
        <v>596</v>
      </c>
      <c r="AT248" s="12" t="s">
        <v>596</v>
      </c>
      <c r="AU248" s="12" t="s">
        <v>596</v>
      </c>
      <c r="AV248" s="12" t="s">
        <v>596</v>
      </c>
      <c r="AW248" s="12" t="s">
        <v>596</v>
      </c>
      <c r="AX248" s="12" t="s">
        <v>596</v>
      </c>
      <c r="AY248" s="12" t="s">
        <v>596</v>
      </c>
      <c r="AZ248" s="12" t="s">
        <v>596</v>
      </c>
      <c r="BA248" s="12" t="s">
        <v>596</v>
      </c>
      <c r="BB248" s="12" t="s">
        <v>596</v>
      </c>
      <c r="BC248" s="12" t="s">
        <v>596</v>
      </c>
      <c r="BD248" s="12" t="s">
        <v>596</v>
      </c>
      <c r="BE248" s="12" t="s">
        <v>596</v>
      </c>
      <c r="BF248" s="12" t="s">
        <v>596</v>
      </c>
      <c r="BG248" s="12" t="s">
        <v>596</v>
      </c>
      <c r="BH248" s="12" t="s">
        <v>596</v>
      </c>
      <c r="BI248" s="12" t="s">
        <v>596</v>
      </c>
      <c r="BJ248" s="12" t="s">
        <v>596</v>
      </c>
      <c r="BK248" s="12" t="s">
        <v>596</v>
      </c>
      <c r="BL248" s="12" t="s">
        <v>596</v>
      </c>
      <c r="BM248" s="12" t="s">
        <v>596</v>
      </c>
      <c r="BN248" s="12" t="s">
        <v>596</v>
      </c>
      <c r="BO248" s="12" t="s">
        <v>596</v>
      </c>
      <c r="BP248" s="12" t="s">
        <v>596</v>
      </c>
      <c r="BQ248" s="12" t="s">
        <v>597</v>
      </c>
      <c r="BR248" s="12" t="s">
        <v>597</v>
      </c>
      <c r="BS248" s="12" t="s">
        <v>597</v>
      </c>
      <c r="BT248" s="12" t="s">
        <v>597</v>
      </c>
      <c r="BU248" s="12" t="s">
        <v>597</v>
      </c>
      <c r="BV248" s="12" t="s">
        <v>597</v>
      </c>
      <c r="BW248" s="12" t="s">
        <v>641</v>
      </c>
      <c r="BX248" s="12" t="s">
        <v>641</v>
      </c>
      <c r="BY248" s="12" t="s">
        <v>641</v>
      </c>
      <c r="BZ248" s="12" t="s">
        <v>598</v>
      </c>
      <c r="CA248" s="12" t="s">
        <v>598</v>
      </c>
      <c r="CB248" s="12" t="s">
        <v>599</v>
      </c>
      <c r="CC248" s="12" t="s">
        <v>599</v>
      </c>
      <c r="CD248" s="12" t="s">
        <v>599</v>
      </c>
      <c r="CE248" s="12" t="s">
        <v>599</v>
      </c>
      <c r="CF248" s="12" t="s">
        <v>599</v>
      </c>
      <c r="CG248" s="12" t="s">
        <v>599</v>
      </c>
      <c r="CH248" s="12" t="s">
        <v>599</v>
      </c>
      <c r="CI248" s="12" t="s">
        <v>599</v>
      </c>
      <c r="CJ248" s="12" t="s">
        <v>599</v>
      </c>
      <c r="CK248" s="12" t="s">
        <v>599</v>
      </c>
      <c r="CL248" s="12" t="s">
        <v>599</v>
      </c>
      <c r="CM248" s="12" t="s">
        <v>599</v>
      </c>
      <c r="CN248" s="12" t="s">
        <v>599</v>
      </c>
      <c r="CO248" s="12" t="s">
        <v>599</v>
      </c>
      <c r="CP248" s="12" t="s">
        <v>599</v>
      </c>
      <c r="CQ248" s="12" t="s">
        <v>599</v>
      </c>
      <c r="CR248" s="12" t="s">
        <v>599</v>
      </c>
      <c r="CS248" s="12" t="s">
        <v>599</v>
      </c>
      <c r="CT248" s="12" t="s">
        <v>599</v>
      </c>
    </row>
    <row r="249" spans="1:98" hidden="1" x14ac:dyDescent="0.3">
      <c r="A249" s="12" t="s">
        <v>4280</v>
      </c>
      <c r="B249" s="12" t="s">
        <v>1453</v>
      </c>
      <c r="C249" s="12" t="s">
        <v>4281</v>
      </c>
      <c r="D249" s="12" t="s">
        <v>4282</v>
      </c>
      <c r="E249" s="12" t="s">
        <v>596</v>
      </c>
      <c r="F249" s="12" t="s">
        <v>596</v>
      </c>
      <c r="G249" s="12" t="s">
        <v>596</v>
      </c>
      <c r="H249" s="12" t="s">
        <v>596</v>
      </c>
      <c r="I249" s="12" t="s">
        <v>596</v>
      </c>
      <c r="J249" s="12" t="s">
        <v>596</v>
      </c>
      <c r="K249" s="12" t="s">
        <v>596</v>
      </c>
      <c r="L249" s="12" t="s">
        <v>596</v>
      </c>
      <c r="M249" s="12" t="s">
        <v>596</v>
      </c>
      <c r="N249" s="12" t="s">
        <v>596</v>
      </c>
      <c r="O249" s="12" t="s">
        <v>596</v>
      </c>
      <c r="P249" s="12" t="s">
        <v>596</v>
      </c>
      <c r="Q249" s="12" t="s">
        <v>596</v>
      </c>
      <c r="R249" s="12" t="s">
        <v>596</v>
      </c>
      <c r="S249" s="12" t="s">
        <v>596</v>
      </c>
      <c r="T249" s="12" t="s">
        <v>596</v>
      </c>
      <c r="U249" s="12" t="s">
        <v>596</v>
      </c>
      <c r="V249" s="12" t="s">
        <v>596</v>
      </c>
      <c r="W249" s="12" t="s">
        <v>596</v>
      </c>
      <c r="X249" s="12" t="s">
        <v>596</v>
      </c>
      <c r="Y249" s="12" t="s">
        <v>596</v>
      </c>
      <c r="Z249" s="12" t="s">
        <v>596</v>
      </c>
      <c r="AA249" s="12" t="s">
        <v>596</v>
      </c>
      <c r="AB249" s="12" t="s">
        <v>596</v>
      </c>
      <c r="AC249" s="12" t="s">
        <v>596</v>
      </c>
      <c r="AD249" s="12" t="s">
        <v>596</v>
      </c>
      <c r="AE249" s="12" t="s">
        <v>596</v>
      </c>
      <c r="AF249" s="12" t="s">
        <v>596</v>
      </c>
      <c r="AG249" s="12" t="s">
        <v>596</v>
      </c>
      <c r="AH249" s="12" t="s">
        <v>596</v>
      </c>
      <c r="AI249" s="12" t="s">
        <v>596</v>
      </c>
      <c r="AJ249" s="12" t="s">
        <v>596</v>
      </c>
      <c r="AK249" s="12" t="s">
        <v>596</v>
      </c>
      <c r="AL249" s="12" t="s">
        <v>596</v>
      </c>
      <c r="AM249" s="12" t="s">
        <v>596</v>
      </c>
      <c r="AN249" s="12" t="s">
        <v>596</v>
      </c>
      <c r="AO249" s="12" t="s">
        <v>596</v>
      </c>
      <c r="AP249" s="12" t="s">
        <v>596</v>
      </c>
      <c r="AQ249" s="12" t="s">
        <v>596</v>
      </c>
      <c r="AR249" s="12" t="s">
        <v>596</v>
      </c>
      <c r="AS249" s="12" t="s">
        <v>596</v>
      </c>
      <c r="AT249" s="12" t="s">
        <v>596</v>
      </c>
      <c r="AU249" s="12" t="s">
        <v>596</v>
      </c>
      <c r="AV249" s="12" t="s">
        <v>596</v>
      </c>
      <c r="AW249" s="12" t="s">
        <v>596</v>
      </c>
      <c r="AX249" s="12" t="s">
        <v>596</v>
      </c>
      <c r="AY249" s="12" t="s">
        <v>596</v>
      </c>
      <c r="AZ249" s="12" t="s">
        <v>596</v>
      </c>
      <c r="BA249" s="12" t="s">
        <v>596</v>
      </c>
      <c r="BB249" s="12" t="s">
        <v>596</v>
      </c>
      <c r="BC249" s="12" t="s">
        <v>596</v>
      </c>
      <c r="BD249" s="12" t="s">
        <v>596</v>
      </c>
      <c r="BE249" s="12" t="s">
        <v>596</v>
      </c>
      <c r="BF249" s="12" t="s">
        <v>596</v>
      </c>
      <c r="BG249" s="12" t="s">
        <v>596</v>
      </c>
      <c r="BH249" s="12" t="s">
        <v>596</v>
      </c>
      <c r="BI249" s="12" t="s">
        <v>596</v>
      </c>
      <c r="BJ249" s="12" t="s">
        <v>596</v>
      </c>
      <c r="BK249" s="12" t="s">
        <v>596</v>
      </c>
      <c r="BL249" s="12" t="s">
        <v>596</v>
      </c>
      <c r="BM249" s="12" t="s">
        <v>596</v>
      </c>
      <c r="BN249" s="12" t="s">
        <v>596</v>
      </c>
      <c r="BO249" s="12" t="s">
        <v>596</v>
      </c>
      <c r="BP249" s="12" t="s">
        <v>596</v>
      </c>
      <c r="BQ249" s="12" t="s">
        <v>690</v>
      </c>
      <c r="BR249" s="12" t="s">
        <v>690</v>
      </c>
      <c r="BS249" s="12" t="s">
        <v>598</v>
      </c>
      <c r="BT249" s="12" t="s">
        <v>598</v>
      </c>
      <c r="BU249" s="12" t="s">
        <v>598</v>
      </c>
      <c r="BV249" s="12" t="s">
        <v>599</v>
      </c>
      <c r="BW249" s="12" t="s">
        <v>599</v>
      </c>
      <c r="BX249" s="12" t="s">
        <v>869</v>
      </c>
      <c r="BY249" s="12" t="s">
        <v>869</v>
      </c>
      <c r="BZ249" s="12" t="s">
        <v>869</v>
      </c>
      <c r="CA249" s="12" t="s">
        <v>869</v>
      </c>
      <c r="CB249" s="12" t="s">
        <v>869</v>
      </c>
      <c r="CC249" s="12" t="s">
        <v>600</v>
      </c>
      <c r="CD249" s="12" t="s">
        <v>600</v>
      </c>
      <c r="CE249" s="12" t="s">
        <v>600</v>
      </c>
      <c r="CF249" s="12" t="s">
        <v>773</v>
      </c>
      <c r="CG249" s="12" t="s">
        <v>773</v>
      </c>
      <c r="CH249" s="12" t="s">
        <v>773</v>
      </c>
      <c r="CI249" s="12" t="s">
        <v>773</v>
      </c>
      <c r="CJ249" s="12" t="s">
        <v>773</v>
      </c>
      <c r="CK249" s="12" t="s">
        <v>773</v>
      </c>
      <c r="CL249" s="12" t="s">
        <v>773</v>
      </c>
      <c r="CM249" s="12" t="s">
        <v>773</v>
      </c>
      <c r="CN249" s="12" t="s">
        <v>779</v>
      </c>
      <c r="CO249" s="12" t="s">
        <v>779</v>
      </c>
      <c r="CP249" s="12" t="s">
        <v>601</v>
      </c>
      <c r="CQ249" s="12" t="s">
        <v>601</v>
      </c>
      <c r="CR249" s="12" t="s">
        <v>601</v>
      </c>
      <c r="CS249" s="12" t="s">
        <v>601</v>
      </c>
      <c r="CT249" s="12" t="s">
        <v>601</v>
      </c>
    </row>
    <row r="250" spans="1:98" hidden="1" x14ac:dyDescent="0.3">
      <c r="A250" s="12" t="s">
        <v>25</v>
      </c>
      <c r="B250" s="12" t="s">
        <v>4283</v>
      </c>
      <c r="C250" s="12" t="s">
        <v>4284</v>
      </c>
      <c r="D250" s="12" t="s">
        <v>4285</v>
      </c>
      <c r="E250" s="12" t="s">
        <v>596</v>
      </c>
      <c r="F250" s="12" t="s">
        <v>596</v>
      </c>
      <c r="G250" s="12" t="s">
        <v>596</v>
      </c>
      <c r="H250" s="12" t="s">
        <v>596</v>
      </c>
      <c r="I250" s="12" t="s">
        <v>596</v>
      </c>
      <c r="J250" s="12" t="s">
        <v>596</v>
      </c>
      <c r="K250" s="12" t="s">
        <v>596</v>
      </c>
      <c r="L250" s="12" t="s">
        <v>596</v>
      </c>
      <c r="M250" s="12" t="s">
        <v>596</v>
      </c>
      <c r="N250" s="12" t="s">
        <v>596</v>
      </c>
      <c r="O250" s="12" t="s">
        <v>596</v>
      </c>
      <c r="P250" s="12" t="s">
        <v>596</v>
      </c>
      <c r="Q250" s="12" t="s">
        <v>596</v>
      </c>
      <c r="R250" s="12" t="s">
        <v>596</v>
      </c>
      <c r="S250" s="12" t="s">
        <v>596</v>
      </c>
      <c r="T250" s="12" t="s">
        <v>596</v>
      </c>
      <c r="U250" s="12" t="s">
        <v>596</v>
      </c>
      <c r="V250" s="12" t="s">
        <v>596</v>
      </c>
      <c r="W250" s="12" t="s">
        <v>596</v>
      </c>
      <c r="X250" s="12" t="s">
        <v>596</v>
      </c>
      <c r="Y250" s="12" t="s">
        <v>596</v>
      </c>
      <c r="Z250" s="12" t="s">
        <v>596</v>
      </c>
      <c r="AA250" s="12" t="s">
        <v>596</v>
      </c>
      <c r="AB250" s="12" t="s">
        <v>596</v>
      </c>
      <c r="AC250" s="12" t="s">
        <v>596</v>
      </c>
      <c r="AD250" s="12" t="s">
        <v>596</v>
      </c>
      <c r="AE250" s="12" t="s">
        <v>596</v>
      </c>
      <c r="AF250" s="12" t="s">
        <v>596</v>
      </c>
      <c r="AG250" s="12" t="s">
        <v>596</v>
      </c>
      <c r="AH250" s="12" t="s">
        <v>596</v>
      </c>
      <c r="AI250" s="12" t="s">
        <v>596</v>
      </c>
      <c r="AJ250" s="12" t="s">
        <v>596</v>
      </c>
      <c r="AK250" s="12" t="s">
        <v>596</v>
      </c>
      <c r="AL250" s="12" t="s">
        <v>596</v>
      </c>
      <c r="AM250" s="12" t="s">
        <v>596</v>
      </c>
      <c r="AN250" s="12" t="s">
        <v>596</v>
      </c>
      <c r="AO250" s="12" t="s">
        <v>596</v>
      </c>
      <c r="AP250" s="12" t="s">
        <v>596</v>
      </c>
      <c r="AQ250" s="12" t="s">
        <v>596</v>
      </c>
      <c r="AR250" s="12" t="s">
        <v>596</v>
      </c>
      <c r="AS250" s="12" t="s">
        <v>596</v>
      </c>
      <c r="AT250" s="12" t="s">
        <v>596</v>
      </c>
      <c r="AU250" s="12" t="s">
        <v>596</v>
      </c>
      <c r="AV250" s="12" t="s">
        <v>596</v>
      </c>
      <c r="AW250" s="12" t="s">
        <v>596</v>
      </c>
      <c r="AX250" s="12" t="s">
        <v>596</v>
      </c>
      <c r="AY250" s="12" t="s">
        <v>596</v>
      </c>
      <c r="AZ250" s="12" t="s">
        <v>596</v>
      </c>
      <c r="BA250" s="12" t="s">
        <v>596</v>
      </c>
      <c r="BB250" s="12" t="s">
        <v>596</v>
      </c>
      <c r="BC250" s="12" t="s">
        <v>596</v>
      </c>
      <c r="BD250" s="12" t="s">
        <v>596</v>
      </c>
      <c r="BE250" s="12" t="s">
        <v>596</v>
      </c>
      <c r="BF250" s="12" t="s">
        <v>596</v>
      </c>
      <c r="BG250" s="12" t="s">
        <v>596</v>
      </c>
      <c r="BH250" s="12" t="s">
        <v>596</v>
      </c>
      <c r="BI250" s="12" t="s">
        <v>596</v>
      </c>
      <c r="BJ250" s="12" t="s">
        <v>596</v>
      </c>
      <c r="BK250" s="12" t="s">
        <v>596</v>
      </c>
      <c r="BL250" s="12" t="s">
        <v>596</v>
      </c>
      <c r="BM250" s="12" t="s">
        <v>596</v>
      </c>
      <c r="BN250" s="12" t="s">
        <v>596</v>
      </c>
      <c r="BO250" s="12" t="s">
        <v>596</v>
      </c>
      <c r="BP250" s="12" t="s">
        <v>596</v>
      </c>
      <c r="BQ250" s="12" t="s">
        <v>872</v>
      </c>
      <c r="BR250" s="12" t="s">
        <v>995</v>
      </c>
      <c r="BS250" s="12" t="s">
        <v>875</v>
      </c>
      <c r="BT250" s="12" t="s">
        <v>609</v>
      </c>
      <c r="BU250" s="12" t="s">
        <v>609</v>
      </c>
      <c r="BV250" s="12" t="s">
        <v>890</v>
      </c>
      <c r="BW250" s="12" t="s">
        <v>1769</v>
      </c>
      <c r="BX250" s="12" t="s">
        <v>1769</v>
      </c>
      <c r="BY250" s="12" t="s">
        <v>1294</v>
      </c>
      <c r="BZ250" s="12" t="s">
        <v>1374</v>
      </c>
      <c r="CA250" s="12" t="s">
        <v>1904</v>
      </c>
      <c r="CB250" s="12" t="s">
        <v>1904</v>
      </c>
      <c r="CC250" s="12" t="s">
        <v>612</v>
      </c>
      <c r="CD250" s="12" t="s">
        <v>939</v>
      </c>
      <c r="CE250" s="12" t="s">
        <v>939</v>
      </c>
      <c r="CF250" s="12" t="s">
        <v>1508</v>
      </c>
      <c r="CG250" s="12" t="s">
        <v>1846</v>
      </c>
      <c r="CH250" s="12" t="s">
        <v>1846</v>
      </c>
      <c r="CI250" s="12" t="s">
        <v>1846</v>
      </c>
      <c r="CJ250" s="12" t="s">
        <v>795</v>
      </c>
      <c r="CK250" s="12" t="s">
        <v>795</v>
      </c>
      <c r="CL250" s="12" t="s">
        <v>3140</v>
      </c>
      <c r="CM250" s="12" t="s">
        <v>1686</v>
      </c>
      <c r="CN250" s="12" t="s">
        <v>2693</v>
      </c>
      <c r="CO250" s="12" t="s">
        <v>2693</v>
      </c>
      <c r="CP250" s="12" t="s">
        <v>2693</v>
      </c>
      <c r="CQ250" s="12" t="s">
        <v>2693</v>
      </c>
      <c r="CR250" s="12" t="s">
        <v>2693</v>
      </c>
      <c r="CS250" s="12" t="s">
        <v>2693</v>
      </c>
      <c r="CT250" s="12" t="s">
        <v>2693</v>
      </c>
    </row>
    <row r="251" spans="1:98" hidden="1" x14ac:dyDescent="0.3">
      <c r="A251" s="12" t="s">
        <v>25</v>
      </c>
      <c r="B251" s="12" t="s">
        <v>4286</v>
      </c>
      <c r="C251" s="12" t="s">
        <v>4287</v>
      </c>
      <c r="D251" s="12" t="s">
        <v>4288</v>
      </c>
      <c r="E251" s="12" t="s">
        <v>596</v>
      </c>
      <c r="F251" s="12" t="s">
        <v>596</v>
      </c>
      <c r="G251" s="12" t="s">
        <v>596</v>
      </c>
      <c r="H251" s="12" t="s">
        <v>596</v>
      </c>
      <c r="I251" s="12" t="s">
        <v>596</v>
      </c>
      <c r="J251" s="12" t="s">
        <v>596</v>
      </c>
      <c r="K251" s="12" t="s">
        <v>596</v>
      </c>
      <c r="L251" s="12" t="s">
        <v>596</v>
      </c>
      <c r="M251" s="12" t="s">
        <v>596</v>
      </c>
      <c r="N251" s="12" t="s">
        <v>596</v>
      </c>
      <c r="O251" s="12" t="s">
        <v>596</v>
      </c>
      <c r="P251" s="12" t="s">
        <v>596</v>
      </c>
      <c r="Q251" s="12" t="s">
        <v>596</v>
      </c>
      <c r="R251" s="12" t="s">
        <v>596</v>
      </c>
      <c r="S251" s="12" t="s">
        <v>596</v>
      </c>
      <c r="T251" s="12" t="s">
        <v>596</v>
      </c>
      <c r="U251" s="12" t="s">
        <v>596</v>
      </c>
      <c r="V251" s="12" t="s">
        <v>596</v>
      </c>
      <c r="W251" s="12" t="s">
        <v>596</v>
      </c>
      <c r="X251" s="12" t="s">
        <v>596</v>
      </c>
      <c r="Y251" s="12" t="s">
        <v>596</v>
      </c>
      <c r="Z251" s="12" t="s">
        <v>596</v>
      </c>
      <c r="AA251" s="12" t="s">
        <v>596</v>
      </c>
      <c r="AB251" s="12" t="s">
        <v>596</v>
      </c>
      <c r="AC251" s="12" t="s">
        <v>596</v>
      </c>
      <c r="AD251" s="12" t="s">
        <v>596</v>
      </c>
      <c r="AE251" s="12" t="s">
        <v>596</v>
      </c>
      <c r="AF251" s="12" t="s">
        <v>596</v>
      </c>
      <c r="AG251" s="12" t="s">
        <v>596</v>
      </c>
      <c r="AH251" s="12" t="s">
        <v>596</v>
      </c>
      <c r="AI251" s="12" t="s">
        <v>596</v>
      </c>
      <c r="AJ251" s="12" t="s">
        <v>596</v>
      </c>
      <c r="AK251" s="12" t="s">
        <v>596</v>
      </c>
      <c r="AL251" s="12" t="s">
        <v>596</v>
      </c>
      <c r="AM251" s="12" t="s">
        <v>596</v>
      </c>
      <c r="AN251" s="12" t="s">
        <v>596</v>
      </c>
      <c r="AO251" s="12" t="s">
        <v>596</v>
      </c>
      <c r="AP251" s="12" t="s">
        <v>596</v>
      </c>
      <c r="AQ251" s="12" t="s">
        <v>596</v>
      </c>
      <c r="AR251" s="12" t="s">
        <v>596</v>
      </c>
      <c r="AS251" s="12" t="s">
        <v>596</v>
      </c>
      <c r="AT251" s="12" t="s">
        <v>596</v>
      </c>
      <c r="AU251" s="12" t="s">
        <v>596</v>
      </c>
      <c r="AV251" s="12" t="s">
        <v>596</v>
      </c>
      <c r="AW251" s="12" t="s">
        <v>596</v>
      </c>
      <c r="AX251" s="12" t="s">
        <v>596</v>
      </c>
      <c r="AY251" s="12" t="s">
        <v>596</v>
      </c>
      <c r="AZ251" s="12" t="s">
        <v>596</v>
      </c>
      <c r="BA251" s="12" t="s">
        <v>596</v>
      </c>
      <c r="BB251" s="12" t="s">
        <v>596</v>
      </c>
      <c r="BC251" s="12" t="s">
        <v>596</v>
      </c>
      <c r="BD251" s="12" t="s">
        <v>596</v>
      </c>
      <c r="BE251" s="12" t="s">
        <v>596</v>
      </c>
      <c r="BF251" s="12" t="s">
        <v>596</v>
      </c>
      <c r="BG251" s="12" t="s">
        <v>596</v>
      </c>
      <c r="BH251" s="12" t="s">
        <v>596</v>
      </c>
      <c r="BI251" s="12" t="s">
        <v>596</v>
      </c>
      <c r="BJ251" s="12" t="s">
        <v>596</v>
      </c>
      <c r="BK251" s="12" t="s">
        <v>596</v>
      </c>
      <c r="BL251" s="12" t="s">
        <v>596</v>
      </c>
      <c r="BM251" s="12" t="s">
        <v>596</v>
      </c>
      <c r="BN251" s="12" t="s">
        <v>596</v>
      </c>
      <c r="BO251" s="12" t="s">
        <v>596</v>
      </c>
      <c r="BP251" s="12" t="s">
        <v>596</v>
      </c>
      <c r="BQ251" s="12" t="s">
        <v>596</v>
      </c>
      <c r="BR251" s="12" t="s">
        <v>773</v>
      </c>
      <c r="BS251" s="12" t="s">
        <v>773</v>
      </c>
      <c r="BT251" s="12" t="s">
        <v>642</v>
      </c>
      <c r="BU251" s="12" t="s">
        <v>774</v>
      </c>
      <c r="BV251" s="12" t="s">
        <v>780</v>
      </c>
      <c r="BW251" s="12" t="s">
        <v>780</v>
      </c>
      <c r="BX251" s="12" t="s">
        <v>693</v>
      </c>
      <c r="BY251" s="12" t="s">
        <v>693</v>
      </c>
      <c r="BZ251" s="12" t="s">
        <v>603</v>
      </c>
      <c r="CA251" s="12" t="s">
        <v>603</v>
      </c>
      <c r="CB251" s="12" t="s">
        <v>604</v>
      </c>
      <c r="CC251" s="12" t="s">
        <v>604</v>
      </c>
      <c r="CD251" s="12" t="s">
        <v>604</v>
      </c>
      <c r="CE251" s="12" t="s">
        <v>644</v>
      </c>
      <c r="CF251" s="12" t="s">
        <v>931</v>
      </c>
      <c r="CG251" s="12" t="s">
        <v>646</v>
      </c>
      <c r="CH251" s="12" t="s">
        <v>1064</v>
      </c>
      <c r="CI251" s="12" t="s">
        <v>871</v>
      </c>
      <c r="CJ251" s="12" t="s">
        <v>1198</v>
      </c>
      <c r="CK251" s="12" t="s">
        <v>607</v>
      </c>
      <c r="CL251" s="12" t="s">
        <v>1142</v>
      </c>
      <c r="CM251" s="12" t="s">
        <v>739</v>
      </c>
      <c r="CN251" s="12" t="s">
        <v>996</v>
      </c>
      <c r="CO251" s="12" t="s">
        <v>997</v>
      </c>
      <c r="CP251" s="12" t="s">
        <v>1436</v>
      </c>
      <c r="CQ251" s="12" t="s">
        <v>1011</v>
      </c>
      <c r="CR251" s="12" t="s">
        <v>656</v>
      </c>
      <c r="CS251" s="12" t="s">
        <v>701</v>
      </c>
      <c r="CT251" s="12" t="s">
        <v>938</v>
      </c>
    </row>
    <row r="252" spans="1:98" hidden="1" x14ac:dyDescent="0.3">
      <c r="A252" s="12" t="s">
        <v>4289</v>
      </c>
      <c r="B252" s="12" t="s">
        <v>4112</v>
      </c>
      <c r="C252" s="12" t="s">
        <v>4290</v>
      </c>
      <c r="D252" s="12" t="s">
        <v>4291</v>
      </c>
      <c r="E252" s="12" t="s">
        <v>596</v>
      </c>
      <c r="F252" s="12" t="s">
        <v>596</v>
      </c>
      <c r="G252" s="12" t="s">
        <v>596</v>
      </c>
      <c r="H252" s="12" t="s">
        <v>596</v>
      </c>
      <c r="I252" s="12" t="s">
        <v>596</v>
      </c>
      <c r="J252" s="12" t="s">
        <v>596</v>
      </c>
      <c r="K252" s="12" t="s">
        <v>596</v>
      </c>
      <c r="L252" s="12" t="s">
        <v>596</v>
      </c>
      <c r="M252" s="12" t="s">
        <v>596</v>
      </c>
      <c r="N252" s="12" t="s">
        <v>596</v>
      </c>
      <c r="O252" s="12" t="s">
        <v>596</v>
      </c>
      <c r="P252" s="12" t="s">
        <v>596</v>
      </c>
      <c r="Q252" s="12" t="s">
        <v>596</v>
      </c>
      <c r="R252" s="12" t="s">
        <v>596</v>
      </c>
      <c r="S252" s="12" t="s">
        <v>596</v>
      </c>
      <c r="T252" s="12" t="s">
        <v>596</v>
      </c>
      <c r="U252" s="12" t="s">
        <v>596</v>
      </c>
      <c r="V252" s="12" t="s">
        <v>596</v>
      </c>
      <c r="W252" s="12" t="s">
        <v>596</v>
      </c>
      <c r="X252" s="12" t="s">
        <v>596</v>
      </c>
      <c r="Y252" s="12" t="s">
        <v>596</v>
      </c>
      <c r="Z252" s="12" t="s">
        <v>596</v>
      </c>
      <c r="AA252" s="12" t="s">
        <v>596</v>
      </c>
      <c r="AB252" s="12" t="s">
        <v>596</v>
      </c>
      <c r="AC252" s="12" t="s">
        <v>596</v>
      </c>
      <c r="AD252" s="12" t="s">
        <v>596</v>
      </c>
      <c r="AE252" s="12" t="s">
        <v>596</v>
      </c>
      <c r="AF252" s="12" t="s">
        <v>596</v>
      </c>
      <c r="AG252" s="12" t="s">
        <v>596</v>
      </c>
      <c r="AH252" s="12" t="s">
        <v>596</v>
      </c>
      <c r="AI252" s="12" t="s">
        <v>596</v>
      </c>
      <c r="AJ252" s="12" t="s">
        <v>596</v>
      </c>
      <c r="AK252" s="12" t="s">
        <v>596</v>
      </c>
      <c r="AL252" s="12" t="s">
        <v>596</v>
      </c>
      <c r="AM252" s="12" t="s">
        <v>596</v>
      </c>
      <c r="AN252" s="12" t="s">
        <v>596</v>
      </c>
      <c r="AO252" s="12" t="s">
        <v>596</v>
      </c>
      <c r="AP252" s="12" t="s">
        <v>596</v>
      </c>
      <c r="AQ252" s="12" t="s">
        <v>596</v>
      </c>
      <c r="AR252" s="12" t="s">
        <v>596</v>
      </c>
      <c r="AS252" s="12" t="s">
        <v>596</v>
      </c>
      <c r="AT252" s="12" t="s">
        <v>596</v>
      </c>
      <c r="AU252" s="12" t="s">
        <v>596</v>
      </c>
      <c r="AV252" s="12" t="s">
        <v>596</v>
      </c>
      <c r="AW252" s="12" t="s">
        <v>596</v>
      </c>
      <c r="AX252" s="12" t="s">
        <v>596</v>
      </c>
      <c r="AY252" s="12" t="s">
        <v>596</v>
      </c>
      <c r="AZ252" s="12" t="s">
        <v>596</v>
      </c>
      <c r="BA252" s="12" t="s">
        <v>596</v>
      </c>
      <c r="BB252" s="12" t="s">
        <v>596</v>
      </c>
      <c r="BC252" s="12" t="s">
        <v>596</v>
      </c>
      <c r="BD252" s="12" t="s">
        <v>596</v>
      </c>
      <c r="BE252" s="12" t="s">
        <v>596</v>
      </c>
      <c r="BF252" s="12" t="s">
        <v>596</v>
      </c>
      <c r="BG252" s="12" t="s">
        <v>596</v>
      </c>
      <c r="BH252" s="12" t="s">
        <v>596</v>
      </c>
      <c r="BI252" s="12" t="s">
        <v>596</v>
      </c>
      <c r="BJ252" s="12" t="s">
        <v>596</v>
      </c>
      <c r="BK252" s="12" t="s">
        <v>596</v>
      </c>
      <c r="BL252" s="12" t="s">
        <v>596</v>
      </c>
      <c r="BM252" s="12" t="s">
        <v>596</v>
      </c>
      <c r="BN252" s="12" t="s">
        <v>596</v>
      </c>
      <c r="BO252" s="12" t="s">
        <v>596</v>
      </c>
      <c r="BP252" s="12" t="s">
        <v>596</v>
      </c>
      <c r="BQ252" s="12" t="s">
        <v>596</v>
      </c>
      <c r="BR252" s="12" t="s">
        <v>596</v>
      </c>
      <c r="BS252" s="12" t="s">
        <v>641</v>
      </c>
      <c r="BT252" s="12" t="s">
        <v>641</v>
      </c>
      <c r="BU252" s="12" t="s">
        <v>641</v>
      </c>
      <c r="BV252" s="12" t="s">
        <v>641</v>
      </c>
      <c r="BW252" s="12" t="s">
        <v>641</v>
      </c>
      <c r="BX252" s="12" t="s">
        <v>690</v>
      </c>
      <c r="BY252" s="12" t="s">
        <v>690</v>
      </c>
      <c r="BZ252" s="12" t="s">
        <v>690</v>
      </c>
      <c r="CA252" s="12" t="s">
        <v>690</v>
      </c>
      <c r="CB252" s="12" t="s">
        <v>690</v>
      </c>
      <c r="CC252" s="12" t="s">
        <v>690</v>
      </c>
      <c r="CD252" s="12" t="s">
        <v>690</v>
      </c>
      <c r="CE252" s="12" t="s">
        <v>690</v>
      </c>
      <c r="CF252" s="12" t="s">
        <v>690</v>
      </c>
      <c r="CG252" s="12" t="s">
        <v>690</v>
      </c>
      <c r="CH252" s="12" t="s">
        <v>690</v>
      </c>
      <c r="CI252" s="12" t="s">
        <v>690</v>
      </c>
      <c r="CJ252" s="12" t="s">
        <v>690</v>
      </c>
      <c r="CK252" s="12" t="s">
        <v>690</v>
      </c>
      <c r="CL252" s="12" t="s">
        <v>690</v>
      </c>
      <c r="CM252" s="12" t="s">
        <v>690</v>
      </c>
      <c r="CN252" s="12" t="s">
        <v>690</v>
      </c>
      <c r="CO252" s="12" t="s">
        <v>690</v>
      </c>
      <c r="CP252" s="12" t="s">
        <v>690</v>
      </c>
      <c r="CQ252" s="12" t="s">
        <v>690</v>
      </c>
      <c r="CR252" s="12" t="s">
        <v>690</v>
      </c>
      <c r="CS252" s="12" t="s">
        <v>690</v>
      </c>
      <c r="CT252" s="12" t="s">
        <v>690</v>
      </c>
    </row>
    <row r="253" spans="1:98" hidden="1" x14ac:dyDescent="0.3">
      <c r="A253" s="12" t="s">
        <v>4292</v>
      </c>
      <c r="B253" s="12" t="s">
        <v>4112</v>
      </c>
      <c r="C253" s="12" t="s">
        <v>4293</v>
      </c>
      <c r="D253" s="12" t="s">
        <v>4294</v>
      </c>
      <c r="E253" s="12" t="s">
        <v>596</v>
      </c>
      <c r="F253" s="12" t="s">
        <v>596</v>
      </c>
      <c r="G253" s="12" t="s">
        <v>596</v>
      </c>
      <c r="H253" s="12" t="s">
        <v>596</v>
      </c>
      <c r="I253" s="12" t="s">
        <v>596</v>
      </c>
      <c r="J253" s="12" t="s">
        <v>596</v>
      </c>
      <c r="K253" s="12" t="s">
        <v>596</v>
      </c>
      <c r="L253" s="12" t="s">
        <v>596</v>
      </c>
      <c r="M253" s="12" t="s">
        <v>596</v>
      </c>
      <c r="N253" s="12" t="s">
        <v>596</v>
      </c>
      <c r="O253" s="12" t="s">
        <v>596</v>
      </c>
      <c r="P253" s="12" t="s">
        <v>596</v>
      </c>
      <c r="Q253" s="12" t="s">
        <v>596</v>
      </c>
      <c r="R253" s="12" t="s">
        <v>596</v>
      </c>
      <c r="S253" s="12" t="s">
        <v>596</v>
      </c>
      <c r="T253" s="12" t="s">
        <v>596</v>
      </c>
      <c r="U253" s="12" t="s">
        <v>596</v>
      </c>
      <c r="V253" s="12" t="s">
        <v>596</v>
      </c>
      <c r="W253" s="12" t="s">
        <v>596</v>
      </c>
      <c r="X253" s="12" t="s">
        <v>596</v>
      </c>
      <c r="Y253" s="12" t="s">
        <v>596</v>
      </c>
      <c r="Z253" s="12" t="s">
        <v>596</v>
      </c>
      <c r="AA253" s="12" t="s">
        <v>596</v>
      </c>
      <c r="AB253" s="12" t="s">
        <v>596</v>
      </c>
      <c r="AC253" s="12" t="s">
        <v>596</v>
      </c>
      <c r="AD253" s="12" t="s">
        <v>596</v>
      </c>
      <c r="AE253" s="12" t="s">
        <v>596</v>
      </c>
      <c r="AF253" s="12" t="s">
        <v>596</v>
      </c>
      <c r="AG253" s="12" t="s">
        <v>596</v>
      </c>
      <c r="AH253" s="12" t="s">
        <v>596</v>
      </c>
      <c r="AI253" s="12" t="s">
        <v>596</v>
      </c>
      <c r="AJ253" s="12" t="s">
        <v>596</v>
      </c>
      <c r="AK253" s="12" t="s">
        <v>596</v>
      </c>
      <c r="AL253" s="12" t="s">
        <v>596</v>
      </c>
      <c r="AM253" s="12" t="s">
        <v>596</v>
      </c>
      <c r="AN253" s="12" t="s">
        <v>596</v>
      </c>
      <c r="AO253" s="12" t="s">
        <v>596</v>
      </c>
      <c r="AP253" s="12" t="s">
        <v>596</v>
      </c>
      <c r="AQ253" s="12" t="s">
        <v>596</v>
      </c>
      <c r="AR253" s="12" t="s">
        <v>596</v>
      </c>
      <c r="AS253" s="12" t="s">
        <v>596</v>
      </c>
      <c r="AT253" s="12" t="s">
        <v>596</v>
      </c>
      <c r="AU253" s="12" t="s">
        <v>596</v>
      </c>
      <c r="AV253" s="12" t="s">
        <v>596</v>
      </c>
      <c r="AW253" s="12" t="s">
        <v>596</v>
      </c>
      <c r="AX253" s="12" t="s">
        <v>596</v>
      </c>
      <c r="AY253" s="12" t="s">
        <v>596</v>
      </c>
      <c r="AZ253" s="12" t="s">
        <v>596</v>
      </c>
      <c r="BA253" s="12" t="s">
        <v>596</v>
      </c>
      <c r="BB253" s="12" t="s">
        <v>596</v>
      </c>
      <c r="BC253" s="12" t="s">
        <v>596</v>
      </c>
      <c r="BD253" s="12" t="s">
        <v>596</v>
      </c>
      <c r="BE253" s="12" t="s">
        <v>596</v>
      </c>
      <c r="BF253" s="12" t="s">
        <v>596</v>
      </c>
      <c r="BG253" s="12" t="s">
        <v>596</v>
      </c>
      <c r="BH253" s="12" t="s">
        <v>596</v>
      </c>
      <c r="BI253" s="12" t="s">
        <v>596</v>
      </c>
      <c r="BJ253" s="12" t="s">
        <v>596</v>
      </c>
      <c r="BK253" s="12" t="s">
        <v>596</v>
      </c>
      <c r="BL253" s="12" t="s">
        <v>596</v>
      </c>
      <c r="BM253" s="12" t="s">
        <v>596</v>
      </c>
      <c r="BN253" s="12" t="s">
        <v>596</v>
      </c>
      <c r="BO253" s="12" t="s">
        <v>596</v>
      </c>
      <c r="BP253" s="12" t="s">
        <v>596</v>
      </c>
      <c r="BQ253" s="12" t="s">
        <v>596</v>
      </c>
      <c r="BR253" s="12" t="s">
        <v>596</v>
      </c>
      <c r="BS253" s="12" t="s">
        <v>641</v>
      </c>
      <c r="BT253" s="12" t="s">
        <v>641</v>
      </c>
      <c r="BU253" s="12" t="s">
        <v>641</v>
      </c>
      <c r="BV253" s="12" t="s">
        <v>690</v>
      </c>
      <c r="BW253" s="12" t="s">
        <v>690</v>
      </c>
      <c r="BX253" s="12" t="s">
        <v>690</v>
      </c>
      <c r="BY253" s="12" t="s">
        <v>690</v>
      </c>
      <c r="BZ253" s="12" t="s">
        <v>690</v>
      </c>
      <c r="CA253" s="12" t="s">
        <v>690</v>
      </c>
      <c r="CB253" s="12" t="s">
        <v>690</v>
      </c>
      <c r="CC253" s="12" t="s">
        <v>690</v>
      </c>
      <c r="CD253" s="12" t="s">
        <v>690</v>
      </c>
      <c r="CE253" s="12" t="s">
        <v>690</v>
      </c>
      <c r="CF253" s="12" t="s">
        <v>690</v>
      </c>
      <c r="CG253" s="12" t="s">
        <v>690</v>
      </c>
      <c r="CH253" s="12" t="s">
        <v>690</v>
      </c>
      <c r="CI253" s="12" t="s">
        <v>690</v>
      </c>
      <c r="CJ253" s="12" t="s">
        <v>690</v>
      </c>
      <c r="CK253" s="12" t="s">
        <v>690</v>
      </c>
      <c r="CL253" s="12" t="s">
        <v>690</v>
      </c>
      <c r="CM253" s="12" t="s">
        <v>598</v>
      </c>
      <c r="CN253" s="12" t="s">
        <v>598</v>
      </c>
      <c r="CO253" s="12" t="s">
        <v>598</v>
      </c>
      <c r="CP253" s="12" t="s">
        <v>599</v>
      </c>
      <c r="CQ253" s="12" t="s">
        <v>599</v>
      </c>
      <c r="CR253" s="12" t="s">
        <v>599</v>
      </c>
      <c r="CS253" s="12" t="s">
        <v>599</v>
      </c>
      <c r="CT253" s="12" t="s">
        <v>599</v>
      </c>
    </row>
    <row r="254" spans="1:98" hidden="1" x14ac:dyDescent="0.3">
      <c r="A254" s="12" t="s">
        <v>4295</v>
      </c>
      <c r="B254" s="12" t="s">
        <v>4112</v>
      </c>
      <c r="C254" s="12" t="s">
        <v>4296</v>
      </c>
      <c r="D254" s="12" t="s">
        <v>4297</v>
      </c>
      <c r="E254" s="12" t="s">
        <v>596</v>
      </c>
      <c r="F254" s="12" t="s">
        <v>596</v>
      </c>
      <c r="G254" s="12" t="s">
        <v>596</v>
      </c>
      <c r="H254" s="12" t="s">
        <v>596</v>
      </c>
      <c r="I254" s="12" t="s">
        <v>596</v>
      </c>
      <c r="J254" s="12" t="s">
        <v>596</v>
      </c>
      <c r="K254" s="12" t="s">
        <v>596</v>
      </c>
      <c r="L254" s="12" t="s">
        <v>596</v>
      </c>
      <c r="M254" s="12" t="s">
        <v>596</v>
      </c>
      <c r="N254" s="12" t="s">
        <v>596</v>
      </c>
      <c r="O254" s="12" t="s">
        <v>596</v>
      </c>
      <c r="P254" s="12" t="s">
        <v>596</v>
      </c>
      <c r="Q254" s="12" t="s">
        <v>596</v>
      </c>
      <c r="R254" s="12" t="s">
        <v>596</v>
      </c>
      <c r="S254" s="12" t="s">
        <v>596</v>
      </c>
      <c r="T254" s="12" t="s">
        <v>596</v>
      </c>
      <c r="U254" s="12" t="s">
        <v>596</v>
      </c>
      <c r="V254" s="12" t="s">
        <v>596</v>
      </c>
      <c r="W254" s="12" t="s">
        <v>596</v>
      </c>
      <c r="X254" s="12" t="s">
        <v>596</v>
      </c>
      <c r="Y254" s="12" t="s">
        <v>596</v>
      </c>
      <c r="Z254" s="12" t="s">
        <v>596</v>
      </c>
      <c r="AA254" s="12" t="s">
        <v>596</v>
      </c>
      <c r="AB254" s="12" t="s">
        <v>596</v>
      </c>
      <c r="AC254" s="12" t="s">
        <v>596</v>
      </c>
      <c r="AD254" s="12" t="s">
        <v>596</v>
      </c>
      <c r="AE254" s="12" t="s">
        <v>596</v>
      </c>
      <c r="AF254" s="12" t="s">
        <v>596</v>
      </c>
      <c r="AG254" s="12" t="s">
        <v>596</v>
      </c>
      <c r="AH254" s="12" t="s">
        <v>596</v>
      </c>
      <c r="AI254" s="12" t="s">
        <v>596</v>
      </c>
      <c r="AJ254" s="12" t="s">
        <v>596</v>
      </c>
      <c r="AK254" s="12" t="s">
        <v>596</v>
      </c>
      <c r="AL254" s="12" t="s">
        <v>596</v>
      </c>
      <c r="AM254" s="12" t="s">
        <v>596</v>
      </c>
      <c r="AN254" s="12" t="s">
        <v>596</v>
      </c>
      <c r="AO254" s="12" t="s">
        <v>596</v>
      </c>
      <c r="AP254" s="12" t="s">
        <v>596</v>
      </c>
      <c r="AQ254" s="12" t="s">
        <v>596</v>
      </c>
      <c r="AR254" s="12" t="s">
        <v>596</v>
      </c>
      <c r="AS254" s="12" t="s">
        <v>596</v>
      </c>
      <c r="AT254" s="12" t="s">
        <v>596</v>
      </c>
      <c r="AU254" s="12" t="s">
        <v>596</v>
      </c>
      <c r="AV254" s="12" t="s">
        <v>596</v>
      </c>
      <c r="AW254" s="12" t="s">
        <v>596</v>
      </c>
      <c r="AX254" s="12" t="s">
        <v>596</v>
      </c>
      <c r="AY254" s="12" t="s">
        <v>596</v>
      </c>
      <c r="AZ254" s="12" t="s">
        <v>596</v>
      </c>
      <c r="BA254" s="12" t="s">
        <v>596</v>
      </c>
      <c r="BB254" s="12" t="s">
        <v>596</v>
      </c>
      <c r="BC254" s="12" t="s">
        <v>596</v>
      </c>
      <c r="BD254" s="12" t="s">
        <v>596</v>
      </c>
      <c r="BE254" s="12" t="s">
        <v>596</v>
      </c>
      <c r="BF254" s="12" t="s">
        <v>596</v>
      </c>
      <c r="BG254" s="12" t="s">
        <v>596</v>
      </c>
      <c r="BH254" s="12" t="s">
        <v>596</v>
      </c>
      <c r="BI254" s="12" t="s">
        <v>596</v>
      </c>
      <c r="BJ254" s="12" t="s">
        <v>596</v>
      </c>
      <c r="BK254" s="12" t="s">
        <v>596</v>
      </c>
      <c r="BL254" s="12" t="s">
        <v>596</v>
      </c>
      <c r="BM254" s="12" t="s">
        <v>596</v>
      </c>
      <c r="BN254" s="12" t="s">
        <v>596</v>
      </c>
      <c r="BO254" s="12" t="s">
        <v>596</v>
      </c>
      <c r="BP254" s="12" t="s">
        <v>596</v>
      </c>
      <c r="BQ254" s="12" t="s">
        <v>596</v>
      </c>
      <c r="BR254" s="12" t="s">
        <v>596</v>
      </c>
      <c r="BS254" s="12" t="s">
        <v>598</v>
      </c>
      <c r="BT254" s="12" t="s">
        <v>598</v>
      </c>
      <c r="BU254" s="12" t="s">
        <v>599</v>
      </c>
      <c r="BV254" s="12" t="s">
        <v>599</v>
      </c>
      <c r="BW254" s="12" t="s">
        <v>869</v>
      </c>
      <c r="BX254" s="12" t="s">
        <v>599</v>
      </c>
      <c r="BY254" s="12" t="s">
        <v>599</v>
      </c>
      <c r="BZ254" s="12" t="s">
        <v>599</v>
      </c>
      <c r="CA254" s="12" t="s">
        <v>599</v>
      </c>
      <c r="CB254" s="12" t="s">
        <v>773</v>
      </c>
      <c r="CC254" s="12" t="s">
        <v>773</v>
      </c>
      <c r="CD254" s="12" t="s">
        <v>773</v>
      </c>
      <c r="CE254" s="12" t="s">
        <v>773</v>
      </c>
      <c r="CF254" s="12" t="s">
        <v>773</v>
      </c>
      <c r="CG254" s="12" t="s">
        <v>773</v>
      </c>
      <c r="CH254" s="12" t="s">
        <v>779</v>
      </c>
      <c r="CI254" s="12" t="s">
        <v>642</v>
      </c>
      <c r="CJ254" s="12" t="s">
        <v>642</v>
      </c>
      <c r="CK254" s="12" t="s">
        <v>642</v>
      </c>
      <c r="CL254" s="12" t="s">
        <v>601</v>
      </c>
      <c r="CM254" s="12" t="s">
        <v>601</v>
      </c>
      <c r="CN254" s="12" t="s">
        <v>601</v>
      </c>
      <c r="CO254" s="12" t="s">
        <v>601</v>
      </c>
      <c r="CP254" s="12" t="s">
        <v>601</v>
      </c>
      <c r="CQ254" s="12" t="s">
        <v>601</v>
      </c>
      <c r="CR254" s="12" t="s">
        <v>601</v>
      </c>
      <c r="CS254" s="12" t="s">
        <v>601</v>
      </c>
      <c r="CT254" s="12" t="s">
        <v>601</v>
      </c>
    </row>
    <row r="255" spans="1:98" hidden="1" x14ac:dyDescent="0.3">
      <c r="A255" s="12" t="s">
        <v>25</v>
      </c>
      <c r="B255" s="12" t="s">
        <v>4298</v>
      </c>
      <c r="C255" s="12" t="s">
        <v>2231</v>
      </c>
      <c r="D255" s="12" t="s">
        <v>2231</v>
      </c>
      <c r="E255" s="12" t="s">
        <v>596</v>
      </c>
      <c r="F255" s="12" t="s">
        <v>596</v>
      </c>
      <c r="G255" s="12" t="s">
        <v>596</v>
      </c>
      <c r="H255" s="12" t="s">
        <v>596</v>
      </c>
      <c r="I255" s="12" t="s">
        <v>596</v>
      </c>
      <c r="J255" s="12" t="s">
        <v>596</v>
      </c>
      <c r="K255" s="12" t="s">
        <v>596</v>
      </c>
      <c r="L255" s="12" t="s">
        <v>596</v>
      </c>
      <c r="M255" s="12" t="s">
        <v>596</v>
      </c>
      <c r="N255" s="12" t="s">
        <v>596</v>
      </c>
      <c r="O255" s="12" t="s">
        <v>596</v>
      </c>
      <c r="P255" s="12" t="s">
        <v>596</v>
      </c>
      <c r="Q255" s="12" t="s">
        <v>596</v>
      </c>
      <c r="R255" s="12" t="s">
        <v>596</v>
      </c>
      <c r="S255" s="12" t="s">
        <v>596</v>
      </c>
      <c r="T255" s="12" t="s">
        <v>596</v>
      </c>
      <c r="U255" s="12" t="s">
        <v>596</v>
      </c>
      <c r="V255" s="12" t="s">
        <v>596</v>
      </c>
      <c r="W255" s="12" t="s">
        <v>596</v>
      </c>
      <c r="X255" s="12" t="s">
        <v>596</v>
      </c>
      <c r="Y255" s="12" t="s">
        <v>596</v>
      </c>
      <c r="Z255" s="12" t="s">
        <v>596</v>
      </c>
      <c r="AA255" s="12" t="s">
        <v>596</v>
      </c>
      <c r="AB255" s="12" t="s">
        <v>596</v>
      </c>
      <c r="AC255" s="12" t="s">
        <v>596</v>
      </c>
      <c r="AD255" s="12" t="s">
        <v>596</v>
      </c>
      <c r="AE255" s="12" t="s">
        <v>596</v>
      </c>
      <c r="AF255" s="12" t="s">
        <v>596</v>
      </c>
      <c r="AG255" s="12" t="s">
        <v>596</v>
      </c>
      <c r="AH255" s="12" t="s">
        <v>596</v>
      </c>
      <c r="AI255" s="12" t="s">
        <v>596</v>
      </c>
      <c r="AJ255" s="12" t="s">
        <v>596</v>
      </c>
      <c r="AK255" s="12" t="s">
        <v>596</v>
      </c>
      <c r="AL255" s="12" t="s">
        <v>596</v>
      </c>
      <c r="AM255" s="12" t="s">
        <v>596</v>
      </c>
      <c r="AN255" s="12" t="s">
        <v>596</v>
      </c>
      <c r="AO255" s="12" t="s">
        <v>596</v>
      </c>
      <c r="AP255" s="12" t="s">
        <v>596</v>
      </c>
      <c r="AQ255" s="12" t="s">
        <v>596</v>
      </c>
      <c r="AR255" s="12" t="s">
        <v>596</v>
      </c>
      <c r="AS255" s="12" t="s">
        <v>596</v>
      </c>
      <c r="AT255" s="12" t="s">
        <v>596</v>
      </c>
      <c r="AU255" s="12" t="s">
        <v>596</v>
      </c>
      <c r="AV255" s="12" t="s">
        <v>596</v>
      </c>
      <c r="AW255" s="12" t="s">
        <v>596</v>
      </c>
      <c r="AX255" s="12" t="s">
        <v>596</v>
      </c>
      <c r="AY255" s="12" t="s">
        <v>596</v>
      </c>
      <c r="AZ255" s="12" t="s">
        <v>596</v>
      </c>
      <c r="BA255" s="12" t="s">
        <v>596</v>
      </c>
      <c r="BB255" s="12" t="s">
        <v>596</v>
      </c>
      <c r="BC255" s="12" t="s">
        <v>596</v>
      </c>
      <c r="BD255" s="12" t="s">
        <v>596</v>
      </c>
      <c r="BE255" s="12" t="s">
        <v>596</v>
      </c>
      <c r="BF255" s="12" t="s">
        <v>596</v>
      </c>
      <c r="BG255" s="12" t="s">
        <v>596</v>
      </c>
      <c r="BH255" s="12" t="s">
        <v>596</v>
      </c>
      <c r="BI255" s="12" t="s">
        <v>596</v>
      </c>
      <c r="BJ255" s="12" t="s">
        <v>596</v>
      </c>
      <c r="BK255" s="12" t="s">
        <v>596</v>
      </c>
      <c r="BL255" s="12" t="s">
        <v>596</v>
      </c>
      <c r="BM255" s="12" t="s">
        <v>596</v>
      </c>
      <c r="BN255" s="12" t="s">
        <v>596</v>
      </c>
      <c r="BO255" s="12" t="s">
        <v>596</v>
      </c>
      <c r="BP255" s="12" t="s">
        <v>596</v>
      </c>
      <c r="BQ255" s="12" t="s">
        <v>596</v>
      </c>
      <c r="BR255" s="12" t="s">
        <v>596</v>
      </c>
      <c r="BS255" s="12" t="s">
        <v>641</v>
      </c>
      <c r="BT255" s="12" t="s">
        <v>641</v>
      </c>
      <c r="BU255" s="12" t="s">
        <v>641</v>
      </c>
      <c r="BV255" s="12" t="s">
        <v>641</v>
      </c>
      <c r="BW255" s="12" t="s">
        <v>779</v>
      </c>
      <c r="BX255" s="12" t="s">
        <v>779</v>
      </c>
      <c r="BY255" s="12" t="s">
        <v>779</v>
      </c>
      <c r="BZ255" s="12" t="s">
        <v>779</v>
      </c>
      <c r="CA255" s="12" t="s">
        <v>779</v>
      </c>
      <c r="CB255" s="12" t="s">
        <v>779</v>
      </c>
      <c r="CC255" s="12" t="s">
        <v>779</v>
      </c>
      <c r="CD255" s="12" t="s">
        <v>779</v>
      </c>
      <c r="CE255" s="12" t="s">
        <v>779</v>
      </c>
      <c r="CF255" s="12" t="s">
        <v>779</v>
      </c>
      <c r="CG255" s="12" t="s">
        <v>779</v>
      </c>
      <c r="CH255" s="12" t="s">
        <v>779</v>
      </c>
      <c r="CI255" s="12" t="s">
        <v>779</v>
      </c>
      <c r="CJ255" s="12" t="s">
        <v>779</v>
      </c>
      <c r="CK255" s="12" t="s">
        <v>779</v>
      </c>
      <c r="CL255" s="12" t="s">
        <v>779</v>
      </c>
      <c r="CM255" s="12" t="s">
        <v>779</v>
      </c>
      <c r="CN255" s="12" t="s">
        <v>779</v>
      </c>
      <c r="CO255" s="12" t="s">
        <v>779</v>
      </c>
      <c r="CP255" s="12" t="s">
        <v>779</v>
      </c>
      <c r="CQ255" s="12" t="s">
        <v>779</v>
      </c>
      <c r="CR255" s="12" t="s">
        <v>779</v>
      </c>
      <c r="CS255" s="12" t="s">
        <v>779</v>
      </c>
      <c r="CT255" s="12" t="s">
        <v>779</v>
      </c>
    </row>
    <row r="256" spans="1:98" hidden="1" x14ac:dyDescent="0.3">
      <c r="A256" s="12" t="s">
        <v>25</v>
      </c>
      <c r="B256" s="12" t="s">
        <v>4299</v>
      </c>
      <c r="C256" s="12" t="s">
        <v>4300</v>
      </c>
      <c r="D256" s="12" t="s">
        <v>4301</v>
      </c>
      <c r="E256" s="12" t="s">
        <v>596</v>
      </c>
      <c r="F256" s="12" t="s">
        <v>596</v>
      </c>
      <c r="G256" s="12" t="s">
        <v>596</v>
      </c>
      <c r="H256" s="12" t="s">
        <v>596</v>
      </c>
      <c r="I256" s="12" t="s">
        <v>596</v>
      </c>
      <c r="J256" s="12" t="s">
        <v>596</v>
      </c>
      <c r="K256" s="12" t="s">
        <v>596</v>
      </c>
      <c r="L256" s="12" t="s">
        <v>596</v>
      </c>
      <c r="M256" s="12" t="s">
        <v>596</v>
      </c>
      <c r="N256" s="12" t="s">
        <v>596</v>
      </c>
      <c r="O256" s="12" t="s">
        <v>596</v>
      </c>
      <c r="P256" s="12" t="s">
        <v>596</v>
      </c>
      <c r="Q256" s="12" t="s">
        <v>596</v>
      </c>
      <c r="R256" s="12" t="s">
        <v>596</v>
      </c>
      <c r="S256" s="12" t="s">
        <v>596</v>
      </c>
      <c r="T256" s="12" t="s">
        <v>596</v>
      </c>
      <c r="U256" s="12" t="s">
        <v>596</v>
      </c>
      <c r="V256" s="12" t="s">
        <v>596</v>
      </c>
      <c r="W256" s="12" t="s">
        <v>596</v>
      </c>
      <c r="X256" s="12" t="s">
        <v>596</v>
      </c>
      <c r="Y256" s="12" t="s">
        <v>596</v>
      </c>
      <c r="Z256" s="12" t="s">
        <v>596</v>
      </c>
      <c r="AA256" s="12" t="s">
        <v>596</v>
      </c>
      <c r="AB256" s="12" t="s">
        <v>596</v>
      </c>
      <c r="AC256" s="12" t="s">
        <v>596</v>
      </c>
      <c r="AD256" s="12" t="s">
        <v>596</v>
      </c>
      <c r="AE256" s="12" t="s">
        <v>596</v>
      </c>
      <c r="AF256" s="12" t="s">
        <v>596</v>
      </c>
      <c r="AG256" s="12" t="s">
        <v>596</v>
      </c>
      <c r="AH256" s="12" t="s">
        <v>596</v>
      </c>
      <c r="AI256" s="12" t="s">
        <v>596</v>
      </c>
      <c r="AJ256" s="12" t="s">
        <v>596</v>
      </c>
      <c r="AK256" s="12" t="s">
        <v>596</v>
      </c>
      <c r="AL256" s="12" t="s">
        <v>596</v>
      </c>
      <c r="AM256" s="12" t="s">
        <v>596</v>
      </c>
      <c r="AN256" s="12" t="s">
        <v>596</v>
      </c>
      <c r="AO256" s="12" t="s">
        <v>596</v>
      </c>
      <c r="AP256" s="12" t="s">
        <v>596</v>
      </c>
      <c r="AQ256" s="12" t="s">
        <v>596</v>
      </c>
      <c r="AR256" s="12" t="s">
        <v>596</v>
      </c>
      <c r="AS256" s="12" t="s">
        <v>596</v>
      </c>
      <c r="AT256" s="12" t="s">
        <v>596</v>
      </c>
      <c r="AU256" s="12" t="s">
        <v>596</v>
      </c>
      <c r="AV256" s="12" t="s">
        <v>596</v>
      </c>
      <c r="AW256" s="12" t="s">
        <v>596</v>
      </c>
      <c r="AX256" s="12" t="s">
        <v>596</v>
      </c>
      <c r="AY256" s="12" t="s">
        <v>596</v>
      </c>
      <c r="AZ256" s="12" t="s">
        <v>596</v>
      </c>
      <c r="BA256" s="12" t="s">
        <v>596</v>
      </c>
      <c r="BB256" s="12" t="s">
        <v>596</v>
      </c>
      <c r="BC256" s="12" t="s">
        <v>596</v>
      </c>
      <c r="BD256" s="12" t="s">
        <v>596</v>
      </c>
      <c r="BE256" s="12" t="s">
        <v>596</v>
      </c>
      <c r="BF256" s="12" t="s">
        <v>596</v>
      </c>
      <c r="BG256" s="12" t="s">
        <v>596</v>
      </c>
      <c r="BH256" s="12" t="s">
        <v>596</v>
      </c>
      <c r="BI256" s="12" t="s">
        <v>596</v>
      </c>
      <c r="BJ256" s="12" t="s">
        <v>596</v>
      </c>
      <c r="BK256" s="12" t="s">
        <v>596</v>
      </c>
      <c r="BL256" s="12" t="s">
        <v>596</v>
      </c>
      <c r="BM256" s="12" t="s">
        <v>596</v>
      </c>
      <c r="BN256" s="12" t="s">
        <v>596</v>
      </c>
      <c r="BO256" s="12" t="s">
        <v>596</v>
      </c>
      <c r="BP256" s="12" t="s">
        <v>596</v>
      </c>
      <c r="BQ256" s="12" t="s">
        <v>596</v>
      </c>
      <c r="BR256" s="12" t="s">
        <v>596</v>
      </c>
      <c r="BS256" s="12" t="s">
        <v>596</v>
      </c>
      <c r="BT256" s="12" t="s">
        <v>596</v>
      </c>
      <c r="BU256" s="12" t="s">
        <v>690</v>
      </c>
      <c r="BV256" s="12" t="s">
        <v>598</v>
      </c>
      <c r="BW256" s="12" t="s">
        <v>598</v>
      </c>
      <c r="BX256" s="12" t="s">
        <v>598</v>
      </c>
      <c r="BY256" s="12" t="s">
        <v>598</v>
      </c>
      <c r="BZ256" s="12" t="s">
        <v>598</v>
      </c>
      <c r="CA256" s="12" t="s">
        <v>869</v>
      </c>
      <c r="CB256" s="12" t="s">
        <v>869</v>
      </c>
      <c r="CC256" s="12" t="s">
        <v>869</v>
      </c>
      <c r="CD256" s="12" t="s">
        <v>869</v>
      </c>
      <c r="CE256" s="12" t="s">
        <v>886</v>
      </c>
      <c r="CF256" s="12" t="s">
        <v>886</v>
      </c>
      <c r="CG256" s="12" t="s">
        <v>886</v>
      </c>
      <c r="CH256" s="12" t="s">
        <v>886</v>
      </c>
      <c r="CI256" s="12" t="s">
        <v>886</v>
      </c>
      <c r="CJ256" s="12" t="s">
        <v>886</v>
      </c>
      <c r="CK256" s="12" t="s">
        <v>886</v>
      </c>
      <c r="CL256" s="12" t="s">
        <v>780</v>
      </c>
      <c r="CM256" s="12" t="s">
        <v>780</v>
      </c>
      <c r="CN256" s="12" t="s">
        <v>780</v>
      </c>
      <c r="CO256" s="12" t="s">
        <v>693</v>
      </c>
      <c r="CP256" s="12" t="s">
        <v>693</v>
      </c>
      <c r="CQ256" s="12" t="s">
        <v>693</v>
      </c>
      <c r="CR256" s="12" t="s">
        <v>604</v>
      </c>
      <c r="CS256" s="12" t="s">
        <v>604</v>
      </c>
      <c r="CT256" s="12" t="s">
        <v>604</v>
      </c>
    </row>
    <row r="257" spans="1:98" hidden="1" x14ac:dyDescent="0.3">
      <c r="A257" s="12" t="s">
        <v>25</v>
      </c>
      <c r="B257" s="12" t="s">
        <v>4302</v>
      </c>
      <c r="C257" s="12" t="s">
        <v>4303</v>
      </c>
      <c r="D257" s="12" t="s">
        <v>4304</v>
      </c>
      <c r="E257" s="12" t="s">
        <v>596</v>
      </c>
      <c r="F257" s="12" t="s">
        <v>596</v>
      </c>
      <c r="G257" s="12" t="s">
        <v>596</v>
      </c>
      <c r="H257" s="12" t="s">
        <v>596</v>
      </c>
      <c r="I257" s="12" t="s">
        <v>596</v>
      </c>
      <c r="J257" s="12" t="s">
        <v>596</v>
      </c>
      <c r="K257" s="12" t="s">
        <v>596</v>
      </c>
      <c r="L257" s="12" t="s">
        <v>596</v>
      </c>
      <c r="M257" s="12" t="s">
        <v>596</v>
      </c>
      <c r="N257" s="12" t="s">
        <v>596</v>
      </c>
      <c r="O257" s="12" t="s">
        <v>596</v>
      </c>
      <c r="P257" s="12" t="s">
        <v>596</v>
      </c>
      <c r="Q257" s="12" t="s">
        <v>596</v>
      </c>
      <c r="R257" s="12" t="s">
        <v>596</v>
      </c>
      <c r="S257" s="12" t="s">
        <v>596</v>
      </c>
      <c r="T257" s="12" t="s">
        <v>596</v>
      </c>
      <c r="U257" s="12" t="s">
        <v>596</v>
      </c>
      <c r="V257" s="12" t="s">
        <v>596</v>
      </c>
      <c r="W257" s="12" t="s">
        <v>596</v>
      </c>
      <c r="X257" s="12" t="s">
        <v>596</v>
      </c>
      <c r="Y257" s="12" t="s">
        <v>596</v>
      </c>
      <c r="Z257" s="12" t="s">
        <v>596</v>
      </c>
      <c r="AA257" s="12" t="s">
        <v>596</v>
      </c>
      <c r="AB257" s="12" t="s">
        <v>596</v>
      </c>
      <c r="AC257" s="12" t="s">
        <v>596</v>
      </c>
      <c r="AD257" s="12" t="s">
        <v>596</v>
      </c>
      <c r="AE257" s="12" t="s">
        <v>596</v>
      </c>
      <c r="AF257" s="12" t="s">
        <v>596</v>
      </c>
      <c r="AG257" s="12" t="s">
        <v>596</v>
      </c>
      <c r="AH257" s="12" t="s">
        <v>596</v>
      </c>
      <c r="AI257" s="12" t="s">
        <v>596</v>
      </c>
      <c r="AJ257" s="12" t="s">
        <v>596</v>
      </c>
      <c r="AK257" s="12" t="s">
        <v>596</v>
      </c>
      <c r="AL257" s="12" t="s">
        <v>596</v>
      </c>
      <c r="AM257" s="12" t="s">
        <v>596</v>
      </c>
      <c r="AN257" s="12" t="s">
        <v>596</v>
      </c>
      <c r="AO257" s="12" t="s">
        <v>596</v>
      </c>
      <c r="AP257" s="12" t="s">
        <v>596</v>
      </c>
      <c r="AQ257" s="12" t="s">
        <v>596</v>
      </c>
      <c r="AR257" s="12" t="s">
        <v>596</v>
      </c>
      <c r="AS257" s="12" t="s">
        <v>596</v>
      </c>
      <c r="AT257" s="12" t="s">
        <v>596</v>
      </c>
      <c r="AU257" s="12" t="s">
        <v>596</v>
      </c>
      <c r="AV257" s="12" t="s">
        <v>596</v>
      </c>
      <c r="AW257" s="12" t="s">
        <v>596</v>
      </c>
      <c r="AX257" s="12" t="s">
        <v>596</v>
      </c>
      <c r="AY257" s="12" t="s">
        <v>596</v>
      </c>
      <c r="AZ257" s="12" t="s">
        <v>596</v>
      </c>
      <c r="BA257" s="12" t="s">
        <v>596</v>
      </c>
      <c r="BB257" s="12" t="s">
        <v>596</v>
      </c>
      <c r="BC257" s="12" t="s">
        <v>596</v>
      </c>
      <c r="BD257" s="12" t="s">
        <v>596</v>
      </c>
      <c r="BE257" s="12" t="s">
        <v>596</v>
      </c>
      <c r="BF257" s="12" t="s">
        <v>596</v>
      </c>
      <c r="BG257" s="12" t="s">
        <v>596</v>
      </c>
      <c r="BH257" s="12" t="s">
        <v>596</v>
      </c>
      <c r="BI257" s="12" t="s">
        <v>596</v>
      </c>
      <c r="BJ257" s="12" t="s">
        <v>596</v>
      </c>
      <c r="BK257" s="12" t="s">
        <v>596</v>
      </c>
      <c r="BL257" s="12" t="s">
        <v>596</v>
      </c>
      <c r="BM257" s="12" t="s">
        <v>596</v>
      </c>
      <c r="BN257" s="12" t="s">
        <v>596</v>
      </c>
      <c r="BO257" s="12" t="s">
        <v>596</v>
      </c>
      <c r="BP257" s="12" t="s">
        <v>596</v>
      </c>
      <c r="BQ257" s="12" t="s">
        <v>596</v>
      </c>
      <c r="BR257" s="12" t="s">
        <v>596</v>
      </c>
      <c r="BS257" s="12" t="s">
        <v>596</v>
      </c>
      <c r="BT257" s="12" t="s">
        <v>596</v>
      </c>
      <c r="BU257" s="12" t="s">
        <v>596</v>
      </c>
      <c r="BV257" s="12" t="s">
        <v>641</v>
      </c>
      <c r="BW257" s="12" t="s">
        <v>641</v>
      </c>
      <c r="BX257" s="12" t="s">
        <v>690</v>
      </c>
      <c r="BY257" s="12" t="s">
        <v>690</v>
      </c>
      <c r="BZ257" s="12" t="s">
        <v>690</v>
      </c>
      <c r="CA257" s="12" t="s">
        <v>690</v>
      </c>
      <c r="CB257" s="12" t="s">
        <v>690</v>
      </c>
      <c r="CC257" s="12" t="s">
        <v>690</v>
      </c>
      <c r="CD257" s="12" t="s">
        <v>690</v>
      </c>
      <c r="CE257" s="12" t="s">
        <v>690</v>
      </c>
      <c r="CF257" s="12" t="s">
        <v>690</v>
      </c>
      <c r="CG257" s="12" t="s">
        <v>599</v>
      </c>
      <c r="CH257" s="12" t="s">
        <v>599</v>
      </c>
      <c r="CI257" s="12" t="s">
        <v>599</v>
      </c>
      <c r="CJ257" s="12" t="s">
        <v>599</v>
      </c>
      <c r="CK257" s="12" t="s">
        <v>599</v>
      </c>
      <c r="CL257" s="12" t="s">
        <v>599</v>
      </c>
      <c r="CM257" s="12" t="s">
        <v>599</v>
      </c>
      <c r="CN257" s="12" t="s">
        <v>599</v>
      </c>
      <c r="CO257" s="12" t="s">
        <v>599</v>
      </c>
      <c r="CP257" s="12" t="s">
        <v>599</v>
      </c>
      <c r="CQ257" s="12" t="s">
        <v>599</v>
      </c>
      <c r="CR257" s="12" t="s">
        <v>601</v>
      </c>
      <c r="CS257" s="12" t="s">
        <v>601</v>
      </c>
      <c r="CT257" s="12" t="s">
        <v>601</v>
      </c>
    </row>
    <row r="258" spans="1:98" hidden="1" x14ac:dyDescent="0.3">
      <c r="A258" s="12" t="s">
        <v>25</v>
      </c>
      <c r="B258" s="12" t="s">
        <v>4305</v>
      </c>
      <c r="C258" s="12" t="s">
        <v>4306</v>
      </c>
      <c r="D258" s="12" t="s">
        <v>4307</v>
      </c>
      <c r="E258" s="12" t="s">
        <v>596</v>
      </c>
      <c r="F258" s="12" t="s">
        <v>596</v>
      </c>
      <c r="G258" s="12" t="s">
        <v>596</v>
      </c>
      <c r="H258" s="12" t="s">
        <v>596</v>
      </c>
      <c r="I258" s="12" t="s">
        <v>596</v>
      </c>
      <c r="J258" s="12" t="s">
        <v>596</v>
      </c>
      <c r="K258" s="12" t="s">
        <v>596</v>
      </c>
      <c r="L258" s="12" t="s">
        <v>596</v>
      </c>
      <c r="M258" s="12" t="s">
        <v>596</v>
      </c>
      <c r="N258" s="12" t="s">
        <v>596</v>
      </c>
      <c r="O258" s="12" t="s">
        <v>596</v>
      </c>
      <c r="P258" s="12" t="s">
        <v>596</v>
      </c>
      <c r="Q258" s="12" t="s">
        <v>596</v>
      </c>
      <c r="R258" s="12" t="s">
        <v>596</v>
      </c>
      <c r="S258" s="12" t="s">
        <v>596</v>
      </c>
      <c r="T258" s="12" t="s">
        <v>596</v>
      </c>
      <c r="U258" s="12" t="s">
        <v>596</v>
      </c>
      <c r="V258" s="12" t="s">
        <v>596</v>
      </c>
      <c r="W258" s="12" t="s">
        <v>596</v>
      </c>
      <c r="X258" s="12" t="s">
        <v>596</v>
      </c>
      <c r="Y258" s="12" t="s">
        <v>596</v>
      </c>
      <c r="Z258" s="12" t="s">
        <v>596</v>
      </c>
      <c r="AA258" s="12" t="s">
        <v>596</v>
      </c>
      <c r="AB258" s="12" t="s">
        <v>596</v>
      </c>
      <c r="AC258" s="12" t="s">
        <v>596</v>
      </c>
      <c r="AD258" s="12" t="s">
        <v>596</v>
      </c>
      <c r="AE258" s="12" t="s">
        <v>596</v>
      </c>
      <c r="AF258" s="12" t="s">
        <v>596</v>
      </c>
      <c r="AG258" s="12" t="s">
        <v>596</v>
      </c>
      <c r="AH258" s="12" t="s">
        <v>596</v>
      </c>
      <c r="AI258" s="12" t="s">
        <v>596</v>
      </c>
      <c r="AJ258" s="12" t="s">
        <v>596</v>
      </c>
      <c r="AK258" s="12" t="s">
        <v>596</v>
      </c>
      <c r="AL258" s="12" t="s">
        <v>596</v>
      </c>
      <c r="AM258" s="12" t="s">
        <v>596</v>
      </c>
      <c r="AN258" s="12" t="s">
        <v>596</v>
      </c>
      <c r="AO258" s="12" t="s">
        <v>596</v>
      </c>
      <c r="AP258" s="12" t="s">
        <v>596</v>
      </c>
      <c r="AQ258" s="12" t="s">
        <v>596</v>
      </c>
      <c r="AR258" s="12" t="s">
        <v>596</v>
      </c>
      <c r="AS258" s="12" t="s">
        <v>596</v>
      </c>
      <c r="AT258" s="12" t="s">
        <v>596</v>
      </c>
      <c r="AU258" s="12" t="s">
        <v>596</v>
      </c>
      <c r="AV258" s="12" t="s">
        <v>596</v>
      </c>
      <c r="AW258" s="12" t="s">
        <v>596</v>
      </c>
      <c r="AX258" s="12" t="s">
        <v>596</v>
      </c>
      <c r="AY258" s="12" t="s">
        <v>596</v>
      </c>
      <c r="AZ258" s="12" t="s">
        <v>596</v>
      </c>
      <c r="BA258" s="12" t="s">
        <v>596</v>
      </c>
      <c r="BB258" s="12" t="s">
        <v>596</v>
      </c>
      <c r="BC258" s="12" t="s">
        <v>596</v>
      </c>
      <c r="BD258" s="12" t="s">
        <v>596</v>
      </c>
      <c r="BE258" s="12" t="s">
        <v>596</v>
      </c>
      <c r="BF258" s="12" t="s">
        <v>596</v>
      </c>
      <c r="BG258" s="12" t="s">
        <v>596</v>
      </c>
      <c r="BH258" s="12" t="s">
        <v>596</v>
      </c>
      <c r="BI258" s="12" t="s">
        <v>596</v>
      </c>
      <c r="BJ258" s="12" t="s">
        <v>596</v>
      </c>
      <c r="BK258" s="12" t="s">
        <v>596</v>
      </c>
      <c r="BL258" s="12" t="s">
        <v>596</v>
      </c>
      <c r="BM258" s="12" t="s">
        <v>596</v>
      </c>
      <c r="BN258" s="12" t="s">
        <v>596</v>
      </c>
      <c r="BO258" s="12" t="s">
        <v>596</v>
      </c>
      <c r="BP258" s="12" t="s">
        <v>596</v>
      </c>
      <c r="BQ258" s="12" t="s">
        <v>596</v>
      </c>
      <c r="BR258" s="12" t="s">
        <v>596</v>
      </c>
      <c r="BS258" s="12" t="s">
        <v>596</v>
      </c>
      <c r="BT258" s="12" t="s">
        <v>596</v>
      </c>
      <c r="BU258" s="12" t="s">
        <v>596</v>
      </c>
      <c r="BV258" s="12" t="s">
        <v>597</v>
      </c>
      <c r="BW258" s="12" t="s">
        <v>641</v>
      </c>
      <c r="BX258" s="12" t="s">
        <v>641</v>
      </c>
      <c r="BY258" s="12" t="s">
        <v>641</v>
      </c>
      <c r="BZ258" s="12" t="s">
        <v>598</v>
      </c>
      <c r="CA258" s="12" t="s">
        <v>869</v>
      </c>
      <c r="CB258" s="12" t="s">
        <v>869</v>
      </c>
      <c r="CC258" s="12" t="s">
        <v>869</v>
      </c>
      <c r="CD258" s="12" t="s">
        <v>600</v>
      </c>
      <c r="CE258" s="12" t="s">
        <v>600</v>
      </c>
      <c r="CF258" s="12" t="s">
        <v>773</v>
      </c>
      <c r="CG258" s="12" t="s">
        <v>773</v>
      </c>
      <c r="CH258" s="12" t="s">
        <v>642</v>
      </c>
      <c r="CI258" s="12" t="s">
        <v>642</v>
      </c>
      <c r="CJ258" s="12" t="s">
        <v>601</v>
      </c>
      <c r="CK258" s="12" t="s">
        <v>886</v>
      </c>
      <c r="CL258" s="12" t="s">
        <v>780</v>
      </c>
      <c r="CM258" s="12" t="s">
        <v>694</v>
      </c>
      <c r="CN258" s="12" t="s">
        <v>2036</v>
      </c>
      <c r="CO258" s="12" t="s">
        <v>935</v>
      </c>
      <c r="CP258" s="12" t="s">
        <v>1277</v>
      </c>
      <c r="CQ258" s="12" t="s">
        <v>972</v>
      </c>
      <c r="CR258" s="12" t="s">
        <v>937</v>
      </c>
      <c r="CS258" s="12" t="s">
        <v>651</v>
      </c>
      <c r="CT258" s="12" t="s">
        <v>994</v>
      </c>
    </row>
    <row r="259" spans="1:98" hidden="1" x14ac:dyDescent="0.3">
      <c r="A259" s="12" t="s">
        <v>4308</v>
      </c>
      <c r="B259" s="12" t="s">
        <v>3328</v>
      </c>
      <c r="C259" s="12" t="s">
        <v>4309</v>
      </c>
      <c r="D259" s="12" t="s">
        <v>4310</v>
      </c>
      <c r="E259" s="12" t="s">
        <v>596</v>
      </c>
      <c r="F259" s="12" t="s">
        <v>596</v>
      </c>
      <c r="G259" s="12" t="s">
        <v>596</v>
      </c>
      <c r="H259" s="12" t="s">
        <v>596</v>
      </c>
      <c r="I259" s="12" t="s">
        <v>596</v>
      </c>
      <c r="J259" s="12" t="s">
        <v>596</v>
      </c>
      <c r="K259" s="12" t="s">
        <v>596</v>
      </c>
      <c r="L259" s="12" t="s">
        <v>596</v>
      </c>
      <c r="M259" s="12" t="s">
        <v>596</v>
      </c>
      <c r="N259" s="12" t="s">
        <v>596</v>
      </c>
      <c r="O259" s="12" t="s">
        <v>596</v>
      </c>
      <c r="P259" s="12" t="s">
        <v>596</v>
      </c>
      <c r="Q259" s="12" t="s">
        <v>596</v>
      </c>
      <c r="R259" s="12" t="s">
        <v>596</v>
      </c>
      <c r="S259" s="12" t="s">
        <v>596</v>
      </c>
      <c r="T259" s="12" t="s">
        <v>596</v>
      </c>
      <c r="U259" s="12" t="s">
        <v>596</v>
      </c>
      <c r="V259" s="12" t="s">
        <v>596</v>
      </c>
      <c r="W259" s="12" t="s">
        <v>596</v>
      </c>
      <c r="X259" s="12" t="s">
        <v>596</v>
      </c>
      <c r="Y259" s="12" t="s">
        <v>596</v>
      </c>
      <c r="Z259" s="12" t="s">
        <v>596</v>
      </c>
      <c r="AA259" s="12" t="s">
        <v>596</v>
      </c>
      <c r="AB259" s="12" t="s">
        <v>596</v>
      </c>
      <c r="AC259" s="12" t="s">
        <v>596</v>
      </c>
      <c r="AD259" s="12" t="s">
        <v>596</v>
      </c>
      <c r="AE259" s="12" t="s">
        <v>596</v>
      </c>
      <c r="AF259" s="12" t="s">
        <v>596</v>
      </c>
      <c r="AG259" s="12" t="s">
        <v>596</v>
      </c>
      <c r="AH259" s="12" t="s">
        <v>596</v>
      </c>
      <c r="AI259" s="12" t="s">
        <v>596</v>
      </c>
      <c r="AJ259" s="12" t="s">
        <v>596</v>
      </c>
      <c r="AK259" s="12" t="s">
        <v>596</v>
      </c>
      <c r="AL259" s="12" t="s">
        <v>596</v>
      </c>
      <c r="AM259" s="12" t="s">
        <v>596</v>
      </c>
      <c r="AN259" s="12" t="s">
        <v>596</v>
      </c>
      <c r="AO259" s="12" t="s">
        <v>596</v>
      </c>
      <c r="AP259" s="12" t="s">
        <v>596</v>
      </c>
      <c r="AQ259" s="12" t="s">
        <v>596</v>
      </c>
      <c r="AR259" s="12" t="s">
        <v>596</v>
      </c>
      <c r="AS259" s="12" t="s">
        <v>596</v>
      </c>
      <c r="AT259" s="12" t="s">
        <v>596</v>
      </c>
      <c r="AU259" s="12" t="s">
        <v>596</v>
      </c>
      <c r="AV259" s="12" t="s">
        <v>596</v>
      </c>
      <c r="AW259" s="12" t="s">
        <v>596</v>
      </c>
      <c r="AX259" s="12" t="s">
        <v>596</v>
      </c>
      <c r="AY259" s="12" t="s">
        <v>596</v>
      </c>
      <c r="AZ259" s="12" t="s">
        <v>596</v>
      </c>
      <c r="BA259" s="12" t="s">
        <v>596</v>
      </c>
      <c r="BB259" s="12" t="s">
        <v>596</v>
      </c>
      <c r="BC259" s="12" t="s">
        <v>596</v>
      </c>
      <c r="BD259" s="12" t="s">
        <v>596</v>
      </c>
      <c r="BE259" s="12" t="s">
        <v>596</v>
      </c>
      <c r="BF259" s="12" t="s">
        <v>596</v>
      </c>
      <c r="BG259" s="12" t="s">
        <v>596</v>
      </c>
      <c r="BH259" s="12" t="s">
        <v>596</v>
      </c>
      <c r="BI259" s="12" t="s">
        <v>596</v>
      </c>
      <c r="BJ259" s="12" t="s">
        <v>596</v>
      </c>
      <c r="BK259" s="12" t="s">
        <v>596</v>
      </c>
      <c r="BL259" s="12" t="s">
        <v>596</v>
      </c>
      <c r="BM259" s="12" t="s">
        <v>596</v>
      </c>
      <c r="BN259" s="12" t="s">
        <v>596</v>
      </c>
      <c r="BO259" s="12" t="s">
        <v>596</v>
      </c>
      <c r="BP259" s="12" t="s">
        <v>596</v>
      </c>
      <c r="BQ259" s="12" t="s">
        <v>596</v>
      </c>
      <c r="BR259" s="12" t="s">
        <v>596</v>
      </c>
      <c r="BS259" s="12" t="s">
        <v>596</v>
      </c>
      <c r="BT259" s="12" t="s">
        <v>596</v>
      </c>
      <c r="BU259" s="12" t="s">
        <v>596</v>
      </c>
      <c r="BV259" s="12" t="s">
        <v>596</v>
      </c>
      <c r="BW259" s="12" t="s">
        <v>596</v>
      </c>
      <c r="BX259" s="12" t="s">
        <v>641</v>
      </c>
      <c r="BY259" s="12" t="s">
        <v>641</v>
      </c>
      <c r="BZ259" s="12" t="s">
        <v>641</v>
      </c>
      <c r="CA259" s="12" t="s">
        <v>641</v>
      </c>
      <c r="CB259" s="12" t="s">
        <v>641</v>
      </c>
      <c r="CC259" s="12" t="s">
        <v>641</v>
      </c>
      <c r="CD259" s="12" t="s">
        <v>641</v>
      </c>
      <c r="CE259" s="12" t="s">
        <v>641</v>
      </c>
      <c r="CF259" s="12" t="s">
        <v>641</v>
      </c>
      <c r="CG259" s="12" t="s">
        <v>641</v>
      </c>
      <c r="CH259" s="12" t="s">
        <v>690</v>
      </c>
      <c r="CI259" s="12" t="s">
        <v>690</v>
      </c>
      <c r="CJ259" s="12" t="s">
        <v>690</v>
      </c>
      <c r="CK259" s="12" t="s">
        <v>690</v>
      </c>
      <c r="CL259" s="12" t="s">
        <v>690</v>
      </c>
      <c r="CM259" s="12" t="s">
        <v>690</v>
      </c>
      <c r="CN259" s="12" t="s">
        <v>690</v>
      </c>
      <c r="CO259" s="12" t="s">
        <v>599</v>
      </c>
      <c r="CP259" s="12" t="s">
        <v>599</v>
      </c>
      <c r="CQ259" s="12" t="s">
        <v>599</v>
      </c>
      <c r="CR259" s="12" t="s">
        <v>599</v>
      </c>
      <c r="CS259" s="12" t="s">
        <v>599</v>
      </c>
      <c r="CT259" s="12" t="s">
        <v>599</v>
      </c>
    </row>
    <row r="260" spans="1:98" hidden="1" x14ac:dyDescent="0.3">
      <c r="A260" s="12" t="s">
        <v>25</v>
      </c>
      <c r="B260" s="12" t="s">
        <v>4311</v>
      </c>
      <c r="C260" s="12" t="s">
        <v>4312</v>
      </c>
      <c r="D260" s="12" t="s">
        <v>4313</v>
      </c>
      <c r="E260" s="12" t="s">
        <v>596</v>
      </c>
      <c r="F260" s="12" t="s">
        <v>596</v>
      </c>
      <c r="G260" s="12" t="s">
        <v>596</v>
      </c>
      <c r="H260" s="12" t="s">
        <v>596</v>
      </c>
      <c r="I260" s="12" t="s">
        <v>596</v>
      </c>
      <c r="J260" s="12" t="s">
        <v>596</v>
      </c>
      <c r="K260" s="12" t="s">
        <v>596</v>
      </c>
      <c r="L260" s="12" t="s">
        <v>596</v>
      </c>
      <c r="M260" s="12" t="s">
        <v>596</v>
      </c>
      <c r="N260" s="12" t="s">
        <v>596</v>
      </c>
      <c r="O260" s="12" t="s">
        <v>596</v>
      </c>
      <c r="P260" s="12" t="s">
        <v>596</v>
      </c>
      <c r="Q260" s="12" t="s">
        <v>596</v>
      </c>
      <c r="R260" s="12" t="s">
        <v>596</v>
      </c>
      <c r="S260" s="12" t="s">
        <v>596</v>
      </c>
      <c r="T260" s="12" t="s">
        <v>596</v>
      </c>
      <c r="U260" s="12" t="s">
        <v>596</v>
      </c>
      <c r="V260" s="12" t="s">
        <v>596</v>
      </c>
      <c r="W260" s="12" t="s">
        <v>596</v>
      </c>
      <c r="X260" s="12" t="s">
        <v>596</v>
      </c>
      <c r="Y260" s="12" t="s">
        <v>596</v>
      </c>
      <c r="Z260" s="12" t="s">
        <v>596</v>
      </c>
      <c r="AA260" s="12" t="s">
        <v>596</v>
      </c>
      <c r="AB260" s="12" t="s">
        <v>596</v>
      </c>
      <c r="AC260" s="12" t="s">
        <v>596</v>
      </c>
      <c r="AD260" s="12" t="s">
        <v>596</v>
      </c>
      <c r="AE260" s="12" t="s">
        <v>596</v>
      </c>
      <c r="AF260" s="12" t="s">
        <v>596</v>
      </c>
      <c r="AG260" s="12" t="s">
        <v>596</v>
      </c>
      <c r="AH260" s="12" t="s">
        <v>596</v>
      </c>
      <c r="AI260" s="12" t="s">
        <v>596</v>
      </c>
      <c r="AJ260" s="12" t="s">
        <v>596</v>
      </c>
      <c r="AK260" s="12" t="s">
        <v>596</v>
      </c>
      <c r="AL260" s="12" t="s">
        <v>596</v>
      </c>
      <c r="AM260" s="12" t="s">
        <v>596</v>
      </c>
      <c r="AN260" s="12" t="s">
        <v>596</v>
      </c>
      <c r="AO260" s="12" t="s">
        <v>596</v>
      </c>
      <c r="AP260" s="12" t="s">
        <v>596</v>
      </c>
      <c r="AQ260" s="12" t="s">
        <v>596</v>
      </c>
      <c r="AR260" s="12" t="s">
        <v>596</v>
      </c>
      <c r="AS260" s="12" t="s">
        <v>596</v>
      </c>
      <c r="AT260" s="12" t="s">
        <v>596</v>
      </c>
      <c r="AU260" s="12" t="s">
        <v>596</v>
      </c>
      <c r="AV260" s="12" t="s">
        <v>596</v>
      </c>
      <c r="AW260" s="12" t="s">
        <v>596</v>
      </c>
      <c r="AX260" s="12" t="s">
        <v>596</v>
      </c>
      <c r="AY260" s="12" t="s">
        <v>596</v>
      </c>
      <c r="AZ260" s="12" t="s">
        <v>596</v>
      </c>
      <c r="BA260" s="12" t="s">
        <v>596</v>
      </c>
      <c r="BB260" s="12" t="s">
        <v>596</v>
      </c>
      <c r="BC260" s="12" t="s">
        <v>596</v>
      </c>
      <c r="BD260" s="12" t="s">
        <v>596</v>
      </c>
      <c r="BE260" s="12" t="s">
        <v>596</v>
      </c>
      <c r="BF260" s="12" t="s">
        <v>596</v>
      </c>
      <c r="BG260" s="12" t="s">
        <v>596</v>
      </c>
      <c r="BH260" s="12" t="s">
        <v>596</v>
      </c>
      <c r="BI260" s="12" t="s">
        <v>596</v>
      </c>
      <c r="BJ260" s="12" t="s">
        <v>596</v>
      </c>
      <c r="BK260" s="12" t="s">
        <v>596</v>
      </c>
      <c r="BL260" s="12" t="s">
        <v>596</v>
      </c>
      <c r="BM260" s="12" t="s">
        <v>596</v>
      </c>
      <c r="BN260" s="12" t="s">
        <v>596</v>
      </c>
      <c r="BO260" s="12" t="s">
        <v>596</v>
      </c>
      <c r="BP260" s="12" t="s">
        <v>596</v>
      </c>
      <c r="BQ260" s="12" t="s">
        <v>596</v>
      </c>
      <c r="BR260" s="12" t="s">
        <v>596</v>
      </c>
      <c r="BS260" s="12" t="s">
        <v>596</v>
      </c>
      <c r="BT260" s="12" t="s">
        <v>596</v>
      </c>
      <c r="BU260" s="12" t="s">
        <v>596</v>
      </c>
      <c r="BV260" s="12" t="s">
        <v>596</v>
      </c>
      <c r="BW260" s="12" t="s">
        <v>596</v>
      </c>
      <c r="BX260" s="12" t="s">
        <v>690</v>
      </c>
      <c r="BY260" s="12" t="s">
        <v>690</v>
      </c>
      <c r="BZ260" s="12" t="s">
        <v>598</v>
      </c>
      <c r="CA260" s="12" t="s">
        <v>598</v>
      </c>
      <c r="CB260" s="12" t="s">
        <v>599</v>
      </c>
      <c r="CC260" s="12" t="s">
        <v>773</v>
      </c>
      <c r="CD260" s="12" t="s">
        <v>773</v>
      </c>
      <c r="CE260" s="12" t="s">
        <v>773</v>
      </c>
      <c r="CF260" s="12" t="s">
        <v>779</v>
      </c>
      <c r="CG260" s="12" t="s">
        <v>643</v>
      </c>
      <c r="CH260" s="12" t="s">
        <v>886</v>
      </c>
      <c r="CI260" s="12" t="s">
        <v>602</v>
      </c>
      <c r="CJ260" s="12" t="s">
        <v>602</v>
      </c>
      <c r="CK260" s="12" t="s">
        <v>602</v>
      </c>
      <c r="CL260" s="12" t="s">
        <v>602</v>
      </c>
      <c r="CM260" s="12" t="s">
        <v>691</v>
      </c>
      <c r="CN260" s="12" t="s">
        <v>691</v>
      </c>
      <c r="CO260" s="12" t="s">
        <v>691</v>
      </c>
      <c r="CP260" s="12" t="s">
        <v>691</v>
      </c>
      <c r="CQ260" s="12" t="s">
        <v>826</v>
      </c>
      <c r="CR260" s="12" t="s">
        <v>644</v>
      </c>
      <c r="CS260" s="12" t="s">
        <v>645</v>
      </c>
      <c r="CT260" s="12" t="s">
        <v>645</v>
      </c>
    </row>
    <row r="261" spans="1:98" hidden="1" x14ac:dyDescent="0.3">
      <c r="A261" s="12" t="s">
        <v>4314</v>
      </c>
      <c r="B261" s="12" t="s">
        <v>4112</v>
      </c>
      <c r="C261" s="12" t="s">
        <v>4315</v>
      </c>
      <c r="D261" s="12" t="s">
        <v>4316</v>
      </c>
      <c r="E261" s="12" t="s">
        <v>596</v>
      </c>
      <c r="F261" s="12" t="s">
        <v>596</v>
      </c>
      <c r="G261" s="12" t="s">
        <v>596</v>
      </c>
      <c r="H261" s="12" t="s">
        <v>596</v>
      </c>
      <c r="I261" s="12" t="s">
        <v>596</v>
      </c>
      <c r="J261" s="12" t="s">
        <v>596</v>
      </c>
      <c r="K261" s="12" t="s">
        <v>596</v>
      </c>
      <c r="L261" s="12" t="s">
        <v>596</v>
      </c>
      <c r="M261" s="12" t="s">
        <v>596</v>
      </c>
      <c r="N261" s="12" t="s">
        <v>596</v>
      </c>
      <c r="O261" s="12" t="s">
        <v>596</v>
      </c>
      <c r="P261" s="12" t="s">
        <v>596</v>
      </c>
      <c r="Q261" s="12" t="s">
        <v>596</v>
      </c>
      <c r="R261" s="12" t="s">
        <v>596</v>
      </c>
      <c r="S261" s="12" t="s">
        <v>596</v>
      </c>
      <c r="T261" s="12" t="s">
        <v>596</v>
      </c>
      <c r="U261" s="12" t="s">
        <v>596</v>
      </c>
      <c r="V261" s="12" t="s">
        <v>596</v>
      </c>
      <c r="W261" s="12" t="s">
        <v>596</v>
      </c>
      <c r="X261" s="12" t="s">
        <v>596</v>
      </c>
      <c r="Y261" s="12" t="s">
        <v>596</v>
      </c>
      <c r="Z261" s="12" t="s">
        <v>596</v>
      </c>
      <c r="AA261" s="12" t="s">
        <v>596</v>
      </c>
      <c r="AB261" s="12" t="s">
        <v>596</v>
      </c>
      <c r="AC261" s="12" t="s">
        <v>596</v>
      </c>
      <c r="AD261" s="12" t="s">
        <v>596</v>
      </c>
      <c r="AE261" s="12" t="s">
        <v>596</v>
      </c>
      <c r="AF261" s="12" t="s">
        <v>596</v>
      </c>
      <c r="AG261" s="12" t="s">
        <v>596</v>
      </c>
      <c r="AH261" s="12" t="s">
        <v>596</v>
      </c>
      <c r="AI261" s="12" t="s">
        <v>596</v>
      </c>
      <c r="AJ261" s="12" t="s">
        <v>596</v>
      </c>
      <c r="AK261" s="12" t="s">
        <v>596</v>
      </c>
      <c r="AL261" s="12" t="s">
        <v>596</v>
      </c>
      <c r="AM261" s="12" t="s">
        <v>596</v>
      </c>
      <c r="AN261" s="12" t="s">
        <v>596</v>
      </c>
      <c r="AO261" s="12" t="s">
        <v>596</v>
      </c>
      <c r="AP261" s="12" t="s">
        <v>596</v>
      </c>
      <c r="AQ261" s="12" t="s">
        <v>596</v>
      </c>
      <c r="AR261" s="12" t="s">
        <v>596</v>
      </c>
      <c r="AS261" s="12" t="s">
        <v>596</v>
      </c>
      <c r="AT261" s="12" t="s">
        <v>596</v>
      </c>
      <c r="AU261" s="12" t="s">
        <v>596</v>
      </c>
      <c r="AV261" s="12" t="s">
        <v>596</v>
      </c>
      <c r="AW261" s="12" t="s">
        <v>596</v>
      </c>
      <c r="AX261" s="12" t="s">
        <v>596</v>
      </c>
      <c r="AY261" s="12" t="s">
        <v>596</v>
      </c>
      <c r="AZ261" s="12" t="s">
        <v>596</v>
      </c>
      <c r="BA261" s="12" t="s">
        <v>596</v>
      </c>
      <c r="BB261" s="12" t="s">
        <v>596</v>
      </c>
      <c r="BC261" s="12" t="s">
        <v>596</v>
      </c>
      <c r="BD261" s="12" t="s">
        <v>596</v>
      </c>
      <c r="BE261" s="12" t="s">
        <v>596</v>
      </c>
      <c r="BF261" s="12" t="s">
        <v>596</v>
      </c>
      <c r="BG261" s="12" t="s">
        <v>596</v>
      </c>
      <c r="BH261" s="12" t="s">
        <v>596</v>
      </c>
      <c r="BI261" s="12" t="s">
        <v>596</v>
      </c>
      <c r="BJ261" s="12" t="s">
        <v>596</v>
      </c>
      <c r="BK261" s="12" t="s">
        <v>596</v>
      </c>
      <c r="BL261" s="12" t="s">
        <v>596</v>
      </c>
      <c r="BM261" s="12" t="s">
        <v>596</v>
      </c>
      <c r="BN261" s="12" t="s">
        <v>596</v>
      </c>
      <c r="BO261" s="12" t="s">
        <v>596</v>
      </c>
      <c r="BP261" s="12" t="s">
        <v>596</v>
      </c>
      <c r="BQ261" s="12" t="s">
        <v>596</v>
      </c>
      <c r="BR261" s="12" t="s">
        <v>596</v>
      </c>
      <c r="BS261" s="12" t="s">
        <v>596</v>
      </c>
      <c r="BT261" s="12" t="s">
        <v>596</v>
      </c>
      <c r="BU261" s="12" t="s">
        <v>596</v>
      </c>
      <c r="BV261" s="12" t="s">
        <v>596</v>
      </c>
      <c r="BW261" s="12" t="s">
        <v>596</v>
      </c>
      <c r="BX261" s="12" t="s">
        <v>596</v>
      </c>
      <c r="BY261" s="12" t="s">
        <v>596</v>
      </c>
      <c r="BZ261" s="12" t="s">
        <v>597</v>
      </c>
      <c r="CA261" s="12" t="s">
        <v>641</v>
      </c>
      <c r="CB261" s="12" t="s">
        <v>641</v>
      </c>
      <c r="CC261" s="12" t="s">
        <v>641</v>
      </c>
      <c r="CD261" s="12" t="s">
        <v>599</v>
      </c>
      <c r="CE261" s="12" t="s">
        <v>599</v>
      </c>
      <c r="CF261" s="12" t="s">
        <v>599</v>
      </c>
      <c r="CG261" s="12" t="s">
        <v>599</v>
      </c>
      <c r="CH261" s="12" t="s">
        <v>599</v>
      </c>
      <c r="CI261" s="12" t="s">
        <v>599</v>
      </c>
      <c r="CJ261" s="12" t="s">
        <v>601</v>
      </c>
      <c r="CK261" s="12" t="s">
        <v>601</v>
      </c>
      <c r="CL261" s="12" t="s">
        <v>601</v>
      </c>
      <c r="CM261" s="12" t="s">
        <v>601</v>
      </c>
      <c r="CN261" s="12" t="s">
        <v>601</v>
      </c>
      <c r="CO261" s="12" t="s">
        <v>601</v>
      </c>
      <c r="CP261" s="12" t="s">
        <v>601</v>
      </c>
      <c r="CQ261" s="12" t="s">
        <v>601</v>
      </c>
      <c r="CR261" s="12" t="s">
        <v>601</v>
      </c>
      <c r="CS261" s="12" t="s">
        <v>643</v>
      </c>
      <c r="CT261" s="12" t="s">
        <v>886</v>
      </c>
    </row>
    <row r="262" spans="1:98" hidden="1" x14ac:dyDescent="0.3">
      <c r="A262" s="12" t="s">
        <v>4317</v>
      </c>
      <c r="B262" s="12" t="s">
        <v>2501</v>
      </c>
      <c r="C262" s="12" t="s">
        <v>4318</v>
      </c>
      <c r="D262" s="12" t="s">
        <v>4319</v>
      </c>
      <c r="E262" s="12" t="s">
        <v>596</v>
      </c>
      <c r="F262" s="12" t="s">
        <v>596</v>
      </c>
      <c r="G262" s="12" t="s">
        <v>596</v>
      </c>
      <c r="H262" s="12" t="s">
        <v>596</v>
      </c>
      <c r="I262" s="12" t="s">
        <v>596</v>
      </c>
      <c r="J262" s="12" t="s">
        <v>596</v>
      </c>
      <c r="K262" s="12" t="s">
        <v>596</v>
      </c>
      <c r="L262" s="12" t="s">
        <v>596</v>
      </c>
      <c r="M262" s="12" t="s">
        <v>596</v>
      </c>
      <c r="N262" s="12" t="s">
        <v>596</v>
      </c>
      <c r="O262" s="12" t="s">
        <v>596</v>
      </c>
      <c r="P262" s="12" t="s">
        <v>596</v>
      </c>
      <c r="Q262" s="12" t="s">
        <v>596</v>
      </c>
      <c r="R262" s="12" t="s">
        <v>596</v>
      </c>
      <c r="S262" s="12" t="s">
        <v>596</v>
      </c>
      <c r="T262" s="12" t="s">
        <v>596</v>
      </c>
      <c r="U262" s="12" t="s">
        <v>596</v>
      </c>
      <c r="V262" s="12" t="s">
        <v>596</v>
      </c>
      <c r="W262" s="12" t="s">
        <v>596</v>
      </c>
      <c r="X262" s="12" t="s">
        <v>596</v>
      </c>
      <c r="Y262" s="12" t="s">
        <v>596</v>
      </c>
      <c r="Z262" s="12" t="s">
        <v>596</v>
      </c>
      <c r="AA262" s="12" t="s">
        <v>596</v>
      </c>
      <c r="AB262" s="12" t="s">
        <v>596</v>
      </c>
      <c r="AC262" s="12" t="s">
        <v>596</v>
      </c>
      <c r="AD262" s="12" t="s">
        <v>596</v>
      </c>
      <c r="AE262" s="12" t="s">
        <v>596</v>
      </c>
      <c r="AF262" s="12" t="s">
        <v>596</v>
      </c>
      <c r="AG262" s="12" t="s">
        <v>596</v>
      </c>
      <c r="AH262" s="12" t="s">
        <v>596</v>
      </c>
      <c r="AI262" s="12" t="s">
        <v>596</v>
      </c>
      <c r="AJ262" s="12" t="s">
        <v>596</v>
      </c>
      <c r="AK262" s="12" t="s">
        <v>596</v>
      </c>
      <c r="AL262" s="12" t="s">
        <v>596</v>
      </c>
      <c r="AM262" s="12" t="s">
        <v>596</v>
      </c>
      <c r="AN262" s="12" t="s">
        <v>596</v>
      </c>
      <c r="AO262" s="12" t="s">
        <v>596</v>
      </c>
      <c r="AP262" s="12" t="s">
        <v>596</v>
      </c>
      <c r="AQ262" s="12" t="s">
        <v>596</v>
      </c>
      <c r="AR262" s="12" t="s">
        <v>596</v>
      </c>
      <c r="AS262" s="12" t="s">
        <v>596</v>
      </c>
      <c r="AT262" s="12" t="s">
        <v>596</v>
      </c>
      <c r="AU262" s="12" t="s">
        <v>596</v>
      </c>
      <c r="AV262" s="12" t="s">
        <v>596</v>
      </c>
      <c r="AW262" s="12" t="s">
        <v>596</v>
      </c>
      <c r="AX262" s="12" t="s">
        <v>596</v>
      </c>
      <c r="AY262" s="12" t="s">
        <v>596</v>
      </c>
      <c r="AZ262" s="12" t="s">
        <v>596</v>
      </c>
      <c r="BA262" s="12" t="s">
        <v>596</v>
      </c>
      <c r="BB262" s="12" t="s">
        <v>596</v>
      </c>
      <c r="BC262" s="12" t="s">
        <v>596</v>
      </c>
      <c r="BD262" s="12" t="s">
        <v>596</v>
      </c>
      <c r="BE262" s="12" t="s">
        <v>596</v>
      </c>
      <c r="BF262" s="12" t="s">
        <v>596</v>
      </c>
      <c r="BG262" s="12" t="s">
        <v>596</v>
      </c>
      <c r="BH262" s="12" t="s">
        <v>596</v>
      </c>
      <c r="BI262" s="12" t="s">
        <v>596</v>
      </c>
      <c r="BJ262" s="12" t="s">
        <v>596</v>
      </c>
      <c r="BK262" s="12" t="s">
        <v>596</v>
      </c>
      <c r="BL262" s="12" t="s">
        <v>596</v>
      </c>
      <c r="BM262" s="12" t="s">
        <v>596</v>
      </c>
      <c r="BN262" s="12" t="s">
        <v>596</v>
      </c>
      <c r="BO262" s="12" t="s">
        <v>596</v>
      </c>
      <c r="BP262" s="12" t="s">
        <v>596</v>
      </c>
      <c r="BQ262" s="12" t="s">
        <v>596</v>
      </c>
      <c r="BR262" s="12" t="s">
        <v>596</v>
      </c>
      <c r="BS262" s="12" t="s">
        <v>596</v>
      </c>
      <c r="BT262" s="12" t="s">
        <v>596</v>
      </c>
      <c r="BU262" s="12" t="s">
        <v>596</v>
      </c>
      <c r="BV262" s="12" t="s">
        <v>596</v>
      </c>
      <c r="BW262" s="12" t="s">
        <v>596</v>
      </c>
      <c r="BX262" s="12" t="s">
        <v>596</v>
      </c>
      <c r="BY262" s="12" t="s">
        <v>596</v>
      </c>
      <c r="BZ262" s="12" t="s">
        <v>596</v>
      </c>
      <c r="CA262" s="12" t="s">
        <v>597</v>
      </c>
      <c r="CB262" s="12" t="s">
        <v>597</v>
      </c>
      <c r="CC262" s="12" t="s">
        <v>597</v>
      </c>
      <c r="CD262" s="12" t="s">
        <v>597</v>
      </c>
      <c r="CE262" s="12" t="s">
        <v>597</v>
      </c>
      <c r="CF262" s="12" t="s">
        <v>597</v>
      </c>
      <c r="CG262" s="12" t="s">
        <v>597</v>
      </c>
      <c r="CH262" s="12" t="s">
        <v>597</v>
      </c>
      <c r="CI262" s="12" t="s">
        <v>597</v>
      </c>
      <c r="CJ262" s="12" t="s">
        <v>597</v>
      </c>
      <c r="CK262" s="12" t="s">
        <v>597</v>
      </c>
      <c r="CL262" s="12" t="s">
        <v>597</v>
      </c>
      <c r="CM262" s="12" t="s">
        <v>597</v>
      </c>
      <c r="CN262" s="12" t="s">
        <v>597</v>
      </c>
      <c r="CO262" s="12" t="s">
        <v>597</v>
      </c>
      <c r="CP262" s="12" t="s">
        <v>597</v>
      </c>
      <c r="CQ262" s="12" t="s">
        <v>597</v>
      </c>
      <c r="CR262" s="12" t="s">
        <v>597</v>
      </c>
      <c r="CS262" s="12" t="s">
        <v>597</v>
      </c>
      <c r="CT262" s="12" t="s">
        <v>597</v>
      </c>
    </row>
    <row r="263" spans="1:98" hidden="1" x14ac:dyDescent="0.3">
      <c r="A263" s="12" t="s">
        <v>25</v>
      </c>
      <c r="B263" s="12" t="s">
        <v>4320</v>
      </c>
      <c r="C263" s="12" t="s">
        <v>4321</v>
      </c>
      <c r="D263" s="12" t="s">
        <v>4322</v>
      </c>
      <c r="E263" s="12" t="s">
        <v>596</v>
      </c>
      <c r="F263" s="12" t="s">
        <v>596</v>
      </c>
      <c r="G263" s="12" t="s">
        <v>596</v>
      </c>
      <c r="H263" s="12" t="s">
        <v>596</v>
      </c>
      <c r="I263" s="12" t="s">
        <v>596</v>
      </c>
      <c r="J263" s="12" t="s">
        <v>596</v>
      </c>
      <c r="K263" s="12" t="s">
        <v>596</v>
      </c>
      <c r="L263" s="12" t="s">
        <v>596</v>
      </c>
      <c r="M263" s="12" t="s">
        <v>596</v>
      </c>
      <c r="N263" s="12" t="s">
        <v>596</v>
      </c>
      <c r="O263" s="12" t="s">
        <v>596</v>
      </c>
      <c r="P263" s="12" t="s">
        <v>596</v>
      </c>
      <c r="Q263" s="12" t="s">
        <v>596</v>
      </c>
      <c r="R263" s="12" t="s">
        <v>596</v>
      </c>
      <c r="S263" s="12" t="s">
        <v>596</v>
      </c>
      <c r="T263" s="12" t="s">
        <v>596</v>
      </c>
      <c r="U263" s="12" t="s">
        <v>596</v>
      </c>
      <c r="V263" s="12" t="s">
        <v>596</v>
      </c>
      <c r="W263" s="12" t="s">
        <v>596</v>
      </c>
      <c r="X263" s="12" t="s">
        <v>596</v>
      </c>
      <c r="Y263" s="12" t="s">
        <v>596</v>
      </c>
      <c r="Z263" s="12" t="s">
        <v>596</v>
      </c>
      <c r="AA263" s="12" t="s">
        <v>596</v>
      </c>
      <c r="AB263" s="12" t="s">
        <v>596</v>
      </c>
      <c r="AC263" s="12" t="s">
        <v>596</v>
      </c>
      <c r="AD263" s="12" t="s">
        <v>596</v>
      </c>
      <c r="AE263" s="12" t="s">
        <v>596</v>
      </c>
      <c r="AF263" s="12" t="s">
        <v>596</v>
      </c>
      <c r="AG263" s="12" t="s">
        <v>596</v>
      </c>
      <c r="AH263" s="12" t="s">
        <v>596</v>
      </c>
      <c r="AI263" s="12" t="s">
        <v>596</v>
      </c>
      <c r="AJ263" s="12" t="s">
        <v>596</v>
      </c>
      <c r="AK263" s="12" t="s">
        <v>596</v>
      </c>
      <c r="AL263" s="12" t="s">
        <v>596</v>
      </c>
      <c r="AM263" s="12" t="s">
        <v>596</v>
      </c>
      <c r="AN263" s="12" t="s">
        <v>596</v>
      </c>
      <c r="AO263" s="12" t="s">
        <v>596</v>
      </c>
      <c r="AP263" s="12" t="s">
        <v>596</v>
      </c>
      <c r="AQ263" s="12" t="s">
        <v>596</v>
      </c>
      <c r="AR263" s="12" t="s">
        <v>596</v>
      </c>
      <c r="AS263" s="12" t="s">
        <v>596</v>
      </c>
      <c r="AT263" s="12" t="s">
        <v>596</v>
      </c>
      <c r="AU263" s="12" t="s">
        <v>596</v>
      </c>
      <c r="AV263" s="12" t="s">
        <v>596</v>
      </c>
      <c r="AW263" s="12" t="s">
        <v>596</v>
      </c>
      <c r="AX263" s="12" t="s">
        <v>596</v>
      </c>
      <c r="AY263" s="12" t="s">
        <v>596</v>
      </c>
      <c r="AZ263" s="12" t="s">
        <v>596</v>
      </c>
      <c r="BA263" s="12" t="s">
        <v>596</v>
      </c>
      <c r="BB263" s="12" t="s">
        <v>596</v>
      </c>
      <c r="BC263" s="12" t="s">
        <v>596</v>
      </c>
      <c r="BD263" s="12" t="s">
        <v>596</v>
      </c>
      <c r="BE263" s="12" t="s">
        <v>596</v>
      </c>
      <c r="BF263" s="12" t="s">
        <v>596</v>
      </c>
      <c r="BG263" s="12" t="s">
        <v>596</v>
      </c>
      <c r="BH263" s="12" t="s">
        <v>596</v>
      </c>
      <c r="BI263" s="12" t="s">
        <v>596</v>
      </c>
      <c r="BJ263" s="12" t="s">
        <v>596</v>
      </c>
      <c r="BK263" s="12" t="s">
        <v>596</v>
      </c>
      <c r="BL263" s="12" t="s">
        <v>596</v>
      </c>
      <c r="BM263" s="12" t="s">
        <v>596</v>
      </c>
      <c r="BN263" s="12" t="s">
        <v>596</v>
      </c>
      <c r="BO263" s="12" t="s">
        <v>596</v>
      </c>
      <c r="BP263" s="12" t="s">
        <v>596</v>
      </c>
      <c r="BQ263" s="12" t="s">
        <v>596</v>
      </c>
      <c r="BR263" s="12" t="s">
        <v>596</v>
      </c>
      <c r="BS263" s="12" t="s">
        <v>596</v>
      </c>
      <c r="BT263" s="12" t="s">
        <v>596</v>
      </c>
      <c r="BU263" s="12" t="s">
        <v>596</v>
      </c>
      <c r="BV263" s="12" t="s">
        <v>596</v>
      </c>
      <c r="BW263" s="12" t="s">
        <v>596</v>
      </c>
      <c r="BX263" s="12" t="s">
        <v>596</v>
      </c>
      <c r="BY263" s="12" t="s">
        <v>596</v>
      </c>
      <c r="BZ263" s="12" t="s">
        <v>596</v>
      </c>
      <c r="CA263" s="12" t="s">
        <v>597</v>
      </c>
      <c r="CB263" s="12" t="s">
        <v>597</v>
      </c>
      <c r="CC263" s="12" t="s">
        <v>641</v>
      </c>
      <c r="CD263" s="12" t="s">
        <v>641</v>
      </c>
      <c r="CE263" s="12" t="s">
        <v>690</v>
      </c>
      <c r="CF263" s="12" t="s">
        <v>598</v>
      </c>
      <c r="CG263" s="12" t="s">
        <v>598</v>
      </c>
      <c r="CH263" s="12" t="s">
        <v>598</v>
      </c>
      <c r="CI263" s="12" t="s">
        <v>598</v>
      </c>
      <c r="CJ263" s="12" t="s">
        <v>598</v>
      </c>
      <c r="CK263" s="12" t="s">
        <v>598</v>
      </c>
      <c r="CL263" s="12" t="s">
        <v>598</v>
      </c>
      <c r="CM263" s="12" t="s">
        <v>598</v>
      </c>
      <c r="CN263" s="12" t="s">
        <v>598</v>
      </c>
      <c r="CO263" s="12" t="s">
        <v>598</v>
      </c>
      <c r="CP263" s="12" t="s">
        <v>598</v>
      </c>
      <c r="CQ263" s="12" t="s">
        <v>598</v>
      </c>
      <c r="CR263" s="12" t="s">
        <v>598</v>
      </c>
      <c r="CS263" s="12" t="s">
        <v>599</v>
      </c>
      <c r="CT263" s="12" t="s">
        <v>599</v>
      </c>
    </row>
    <row r="264" spans="1:98" hidden="1" x14ac:dyDescent="0.3">
      <c r="A264" s="12" t="s">
        <v>25</v>
      </c>
      <c r="B264" s="12" t="s">
        <v>4323</v>
      </c>
      <c r="C264" s="12" t="s">
        <v>4324</v>
      </c>
      <c r="D264" s="12" t="s">
        <v>4325</v>
      </c>
      <c r="E264" s="12" t="s">
        <v>596</v>
      </c>
      <c r="F264" s="12" t="s">
        <v>596</v>
      </c>
      <c r="G264" s="12" t="s">
        <v>596</v>
      </c>
      <c r="H264" s="12" t="s">
        <v>596</v>
      </c>
      <c r="I264" s="12" t="s">
        <v>596</v>
      </c>
      <c r="J264" s="12" t="s">
        <v>596</v>
      </c>
      <c r="K264" s="12" t="s">
        <v>596</v>
      </c>
      <c r="L264" s="12" t="s">
        <v>596</v>
      </c>
      <c r="M264" s="12" t="s">
        <v>596</v>
      </c>
      <c r="N264" s="12" t="s">
        <v>596</v>
      </c>
      <c r="O264" s="12" t="s">
        <v>596</v>
      </c>
      <c r="P264" s="12" t="s">
        <v>596</v>
      </c>
      <c r="Q264" s="12" t="s">
        <v>596</v>
      </c>
      <c r="R264" s="12" t="s">
        <v>596</v>
      </c>
      <c r="S264" s="12" t="s">
        <v>596</v>
      </c>
      <c r="T264" s="12" t="s">
        <v>596</v>
      </c>
      <c r="U264" s="12" t="s">
        <v>596</v>
      </c>
      <c r="V264" s="12" t="s">
        <v>596</v>
      </c>
      <c r="W264" s="12" t="s">
        <v>596</v>
      </c>
      <c r="X264" s="12" t="s">
        <v>596</v>
      </c>
      <c r="Y264" s="12" t="s">
        <v>596</v>
      </c>
      <c r="Z264" s="12" t="s">
        <v>596</v>
      </c>
      <c r="AA264" s="12" t="s">
        <v>596</v>
      </c>
      <c r="AB264" s="12" t="s">
        <v>596</v>
      </c>
      <c r="AC264" s="12" t="s">
        <v>596</v>
      </c>
      <c r="AD264" s="12" t="s">
        <v>596</v>
      </c>
      <c r="AE264" s="12" t="s">
        <v>596</v>
      </c>
      <c r="AF264" s="12" t="s">
        <v>596</v>
      </c>
      <c r="AG264" s="12" t="s">
        <v>596</v>
      </c>
      <c r="AH264" s="12" t="s">
        <v>596</v>
      </c>
      <c r="AI264" s="12" t="s">
        <v>596</v>
      </c>
      <c r="AJ264" s="12" t="s">
        <v>596</v>
      </c>
      <c r="AK264" s="12" t="s">
        <v>596</v>
      </c>
      <c r="AL264" s="12" t="s">
        <v>596</v>
      </c>
      <c r="AM264" s="12" t="s">
        <v>596</v>
      </c>
      <c r="AN264" s="12" t="s">
        <v>596</v>
      </c>
      <c r="AO264" s="12" t="s">
        <v>596</v>
      </c>
      <c r="AP264" s="12" t="s">
        <v>596</v>
      </c>
      <c r="AQ264" s="12" t="s">
        <v>596</v>
      </c>
      <c r="AR264" s="12" t="s">
        <v>596</v>
      </c>
      <c r="AS264" s="12" t="s">
        <v>596</v>
      </c>
      <c r="AT264" s="12" t="s">
        <v>596</v>
      </c>
      <c r="AU264" s="12" t="s">
        <v>596</v>
      </c>
      <c r="AV264" s="12" t="s">
        <v>596</v>
      </c>
      <c r="AW264" s="12" t="s">
        <v>596</v>
      </c>
      <c r="AX264" s="12" t="s">
        <v>596</v>
      </c>
      <c r="AY264" s="12" t="s">
        <v>596</v>
      </c>
      <c r="AZ264" s="12" t="s">
        <v>596</v>
      </c>
      <c r="BA264" s="12" t="s">
        <v>596</v>
      </c>
      <c r="BB264" s="12" t="s">
        <v>596</v>
      </c>
      <c r="BC264" s="12" t="s">
        <v>596</v>
      </c>
      <c r="BD264" s="12" t="s">
        <v>596</v>
      </c>
      <c r="BE264" s="12" t="s">
        <v>596</v>
      </c>
      <c r="BF264" s="12" t="s">
        <v>596</v>
      </c>
      <c r="BG264" s="12" t="s">
        <v>596</v>
      </c>
      <c r="BH264" s="12" t="s">
        <v>596</v>
      </c>
      <c r="BI264" s="12" t="s">
        <v>596</v>
      </c>
      <c r="BJ264" s="12" t="s">
        <v>596</v>
      </c>
      <c r="BK264" s="12" t="s">
        <v>596</v>
      </c>
      <c r="BL264" s="12" t="s">
        <v>596</v>
      </c>
      <c r="BM264" s="12" t="s">
        <v>596</v>
      </c>
      <c r="BN264" s="12" t="s">
        <v>596</v>
      </c>
      <c r="BO264" s="12" t="s">
        <v>596</v>
      </c>
      <c r="BP264" s="12" t="s">
        <v>596</v>
      </c>
      <c r="BQ264" s="12" t="s">
        <v>596</v>
      </c>
      <c r="BR264" s="12" t="s">
        <v>596</v>
      </c>
      <c r="BS264" s="12" t="s">
        <v>596</v>
      </c>
      <c r="BT264" s="12" t="s">
        <v>596</v>
      </c>
      <c r="BU264" s="12" t="s">
        <v>596</v>
      </c>
      <c r="BV264" s="12" t="s">
        <v>596</v>
      </c>
      <c r="BW264" s="12" t="s">
        <v>596</v>
      </c>
      <c r="BX264" s="12" t="s">
        <v>596</v>
      </c>
      <c r="BY264" s="12" t="s">
        <v>596</v>
      </c>
      <c r="BZ264" s="12" t="s">
        <v>596</v>
      </c>
      <c r="CA264" s="12" t="s">
        <v>598</v>
      </c>
      <c r="CB264" s="12" t="s">
        <v>598</v>
      </c>
      <c r="CC264" s="12" t="s">
        <v>598</v>
      </c>
      <c r="CD264" s="12" t="s">
        <v>598</v>
      </c>
      <c r="CE264" s="12" t="s">
        <v>598</v>
      </c>
      <c r="CF264" s="12" t="s">
        <v>598</v>
      </c>
      <c r="CG264" s="12" t="s">
        <v>598</v>
      </c>
      <c r="CH264" s="12" t="s">
        <v>869</v>
      </c>
      <c r="CI264" s="12" t="s">
        <v>869</v>
      </c>
      <c r="CJ264" s="12" t="s">
        <v>869</v>
      </c>
      <c r="CK264" s="12" t="s">
        <v>869</v>
      </c>
      <c r="CL264" s="12" t="s">
        <v>869</v>
      </c>
      <c r="CM264" s="12" t="s">
        <v>869</v>
      </c>
      <c r="CN264" s="12" t="s">
        <v>869</v>
      </c>
      <c r="CO264" s="12" t="s">
        <v>869</v>
      </c>
      <c r="CP264" s="12" t="s">
        <v>869</v>
      </c>
      <c r="CQ264" s="12" t="s">
        <v>869</v>
      </c>
      <c r="CR264" s="12" t="s">
        <v>869</v>
      </c>
      <c r="CS264" s="12" t="s">
        <v>869</v>
      </c>
      <c r="CT264" s="12" t="s">
        <v>869</v>
      </c>
    </row>
    <row r="265" spans="1:98" hidden="1" x14ac:dyDescent="0.3">
      <c r="A265" s="12" t="s">
        <v>25</v>
      </c>
      <c r="B265" s="12" t="s">
        <v>4326</v>
      </c>
      <c r="C265" s="12" t="s">
        <v>4327</v>
      </c>
      <c r="D265" s="12" t="s">
        <v>4328</v>
      </c>
      <c r="E265" s="12" t="s">
        <v>596</v>
      </c>
      <c r="F265" s="12" t="s">
        <v>596</v>
      </c>
      <c r="G265" s="12" t="s">
        <v>596</v>
      </c>
      <c r="H265" s="12" t="s">
        <v>596</v>
      </c>
      <c r="I265" s="12" t="s">
        <v>596</v>
      </c>
      <c r="J265" s="12" t="s">
        <v>596</v>
      </c>
      <c r="K265" s="12" t="s">
        <v>596</v>
      </c>
      <c r="L265" s="12" t="s">
        <v>596</v>
      </c>
      <c r="M265" s="12" t="s">
        <v>596</v>
      </c>
      <c r="N265" s="12" t="s">
        <v>596</v>
      </c>
      <c r="O265" s="12" t="s">
        <v>596</v>
      </c>
      <c r="P265" s="12" t="s">
        <v>596</v>
      </c>
      <c r="Q265" s="12" t="s">
        <v>596</v>
      </c>
      <c r="R265" s="12" t="s">
        <v>596</v>
      </c>
      <c r="S265" s="12" t="s">
        <v>596</v>
      </c>
      <c r="T265" s="12" t="s">
        <v>596</v>
      </c>
      <c r="U265" s="12" t="s">
        <v>596</v>
      </c>
      <c r="V265" s="12" t="s">
        <v>596</v>
      </c>
      <c r="W265" s="12" t="s">
        <v>596</v>
      </c>
      <c r="X265" s="12" t="s">
        <v>596</v>
      </c>
      <c r="Y265" s="12" t="s">
        <v>596</v>
      </c>
      <c r="Z265" s="12" t="s">
        <v>596</v>
      </c>
      <c r="AA265" s="12" t="s">
        <v>596</v>
      </c>
      <c r="AB265" s="12" t="s">
        <v>596</v>
      </c>
      <c r="AC265" s="12" t="s">
        <v>596</v>
      </c>
      <c r="AD265" s="12" t="s">
        <v>596</v>
      </c>
      <c r="AE265" s="12" t="s">
        <v>596</v>
      </c>
      <c r="AF265" s="12" t="s">
        <v>596</v>
      </c>
      <c r="AG265" s="12" t="s">
        <v>596</v>
      </c>
      <c r="AH265" s="12" t="s">
        <v>596</v>
      </c>
      <c r="AI265" s="12" t="s">
        <v>596</v>
      </c>
      <c r="AJ265" s="12" t="s">
        <v>596</v>
      </c>
      <c r="AK265" s="12" t="s">
        <v>596</v>
      </c>
      <c r="AL265" s="12" t="s">
        <v>596</v>
      </c>
      <c r="AM265" s="12" t="s">
        <v>596</v>
      </c>
      <c r="AN265" s="12" t="s">
        <v>596</v>
      </c>
      <c r="AO265" s="12" t="s">
        <v>596</v>
      </c>
      <c r="AP265" s="12" t="s">
        <v>596</v>
      </c>
      <c r="AQ265" s="12" t="s">
        <v>596</v>
      </c>
      <c r="AR265" s="12" t="s">
        <v>596</v>
      </c>
      <c r="AS265" s="12" t="s">
        <v>596</v>
      </c>
      <c r="AT265" s="12" t="s">
        <v>596</v>
      </c>
      <c r="AU265" s="12" t="s">
        <v>596</v>
      </c>
      <c r="AV265" s="12" t="s">
        <v>596</v>
      </c>
      <c r="AW265" s="12" t="s">
        <v>596</v>
      </c>
      <c r="AX265" s="12" t="s">
        <v>596</v>
      </c>
      <c r="AY265" s="12" t="s">
        <v>596</v>
      </c>
      <c r="AZ265" s="12" t="s">
        <v>596</v>
      </c>
      <c r="BA265" s="12" t="s">
        <v>596</v>
      </c>
      <c r="BB265" s="12" t="s">
        <v>596</v>
      </c>
      <c r="BC265" s="12" t="s">
        <v>596</v>
      </c>
      <c r="BD265" s="12" t="s">
        <v>596</v>
      </c>
      <c r="BE265" s="12" t="s">
        <v>596</v>
      </c>
      <c r="BF265" s="12" t="s">
        <v>596</v>
      </c>
      <c r="BG265" s="12" t="s">
        <v>596</v>
      </c>
      <c r="BH265" s="12" t="s">
        <v>596</v>
      </c>
      <c r="BI265" s="12" t="s">
        <v>596</v>
      </c>
      <c r="BJ265" s="12" t="s">
        <v>596</v>
      </c>
      <c r="BK265" s="12" t="s">
        <v>596</v>
      </c>
      <c r="BL265" s="12" t="s">
        <v>596</v>
      </c>
      <c r="BM265" s="12" t="s">
        <v>596</v>
      </c>
      <c r="BN265" s="12" t="s">
        <v>596</v>
      </c>
      <c r="BO265" s="12" t="s">
        <v>596</v>
      </c>
      <c r="BP265" s="12" t="s">
        <v>596</v>
      </c>
      <c r="BQ265" s="12" t="s">
        <v>596</v>
      </c>
      <c r="BR265" s="12" t="s">
        <v>596</v>
      </c>
      <c r="BS265" s="12" t="s">
        <v>596</v>
      </c>
      <c r="BT265" s="12" t="s">
        <v>596</v>
      </c>
      <c r="BU265" s="12" t="s">
        <v>596</v>
      </c>
      <c r="BV265" s="12" t="s">
        <v>596</v>
      </c>
      <c r="BW265" s="12" t="s">
        <v>596</v>
      </c>
      <c r="BX265" s="12" t="s">
        <v>596</v>
      </c>
      <c r="BY265" s="12" t="s">
        <v>596</v>
      </c>
      <c r="BZ265" s="12" t="s">
        <v>596</v>
      </c>
      <c r="CA265" s="12" t="s">
        <v>596</v>
      </c>
      <c r="CB265" s="12" t="s">
        <v>598</v>
      </c>
      <c r="CC265" s="12" t="s">
        <v>598</v>
      </c>
      <c r="CD265" s="12" t="s">
        <v>598</v>
      </c>
      <c r="CE265" s="12" t="s">
        <v>598</v>
      </c>
      <c r="CF265" s="12" t="s">
        <v>598</v>
      </c>
      <c r="CG265" s="12" t="s">
        <v>598</v>
      </c>
      <c r="CH265" s="12" t="s">
        <v>598</v>
      </c>
      <c r="CI265" s="12" t="s">
        <v>598</v>
      </c>
      <c r="CJ265" s="12" t="s">
        <v>598</v>
      </c>
      <c r="CK265" s="12" t="s">
        <v>598</v>
      </c>
      <c r="CL265" s="12" t="s">
        <v>598</v>
      </c>
      <c r="CM265" s="12" t="s">
        <v>598</v>
      </c>
      <c r="CN265" s="12" t="s">
        <v>598</v>
      </c>
      <c r="CO265" s="12" t="s">
        <v>598</v>
      </c>
      <c r="CP265" s="12" t="s">
        <v>598</v>
      </c>
      <c r="CQ265" s="12" t="s">
        <v>598</v>
      </c>
      <c r="CR265" s="12" t="s">
        <v>598</v>
      </c>
      <c r="CS265" s="12" t="s">
        <v>598</v>
      </c>
      <c r="CT265" s="12" t="s">
        <v>598</v>
      </c>
    </row>
    <row r="266" spans="1:98" hidden="1" x14ac:dyDescent="0.3">
      <c r="A266" s="12" t="s">
        <v>25</v>
      </c>
      <c r="B266" s="12" t="s">
        <v>4329</v>
      </c>
      <c r="C266" s="12" t="s">
        <v>4330</v>
      </c>
      <c r="D266" s="12" t="s">
        <v>4331</v>
      </c>
      <c r="E266" s="12" t="s">
        <v>596</v>
      </c>
      <c r="F266" s="12" t="s">
        <v>596</v>
      </c>
      <c r="G266" s="12" t="s">
        <v>596</v>
      </c>
      <c r="H266" s="12" t="s">
        <v>596</v>
      </c>
      <c r="I266" s="12" t="s">
        <v>596</v>
      </c>
      <c r="J266" s="12" t="s">
        <v>596</v>
      </c>
      <c r="K266" s="12" t="s">
        <v>596</v>
      </c>
      <c r="L266" s="12" t="s">
        <v>596</v>
      </c>
      <c r="M266" s="12" t="s">
        <v>596</v>
      </c>
      <c r="N266" s="12" t="s">
        <v>596</v>
      </c>
      <c r="O266" s="12" t="s">
        <v>596</v>
      </c>
      <c r="P266" s="12" t="s">
        <v>596</v>
      </c>
      <c r="Q266" s="12" t="s">
        <v>596</v>
      </c>
      <c r="R266" s="12" t="s">
        <v>596</v>
      </c>
      <c r="S266" s="12" t="s">
        <v>596</v>
      </c>
      <c r="T266" s="12" t="s">
        <v>596</v>
      </c>
      <c r="U266" s="12" t="s">
        <v>596</v>
      </c>
      <c r="V266" s="12" t="s">
        <v>596</v>
      </c>
      <c r="W266" s="12" t="s">
        <v>596</v>
      </c>
      <c r="X266" s="12" t="s">
        <v>596</v>
      </c>
      <c r="Y266" s="12" t="s">
        <v>596</v>
      </c>
      <c r="Z266" s="12" t="s">
        <v>596</v>
      </c>
      <c r="AA266" s="12" t="s">
        <v>596</v>
      </c>
      <c r="AB266" s="12" t="s">
        <v>596</v>
      </c>
      <c r="AC266" s="12" t="s">
        <v>596</v>
      </c>
      <c r="AD266" s="12" t="s">
        <v>596</v>
      </c>
      <c r="AE266" s="12" t="s">
        <v>596</v>
      </c>
      <c r="AF266" s="12" t="s">
        <v>596</v>
      </c>
      <c r="AG266" s="12" t="s">
        <v>596</v>
      </c>
      <c r="AH266" s="12" t="s">
        <v>596</v>
      </c>
      <c r="AI266" s="12" t="s">
        <v>596</v>
      </c>
      <c r="AJ266" s="12" t="s">
        <v>596</v>
      </c>
      <c r="AK266" s="12" t="s">
        <v>596</v>
      </c>
      <c r="AL266" s="12" t="s">
        <v>596</v>
      </c>
      <c r="AM266" s="12" t="s">
        <v>596</v>
      </c>
      <c r="AN266" s="12" t="s">
        <v>596</v>
      </c>
      <c r="AO266" s="12" t="s">
        <v>596</v>
      </c>
      <c r="AP266" s="12" t="s">
        <v>596</v>
      </c>
      <c r="AQ266" s="12" t="s">
        <v>596</v>
      </c>
      <c r="AR266" s="12" t="s">
        <v>596</v>
      </c>
      <c r="AS266" s="12" t="s">
        <v>596</v>
      </c>
      <c r="AT266" s="12" t="s">
        <v>596</v>
      </c>
      <c r="AU266" s="12" t="s">
        <v>596</v>
      </c>
      <c r="AV266" s="12" t="s">
        <v>596</v>
      </c>
      <c r="AW266" s="12" t="s">
        <v>596</v>
      </c>
      <c r="AX266" s="12" t="s">
        <v>596</v>
      </c>
      <c r="AY266" s="12" t="s">
        <v>596</v>
      </c>
      <c r="AZ266" s="12" t="s">
        <v>596</v>
      </c>
      <c r="BA266" s="12" t="s">
        <v>596</v>
      </c>
      <c r="BB266" s="12" t="s">
        <v>596</v>
      </c>
      <c r="BC266" s="12" t="s">
        <v>596</v>
      </c>
      <c r="BD266" s="12" t="s">
        <v>596</v>
      </c>
      <c r="BE266" s="12" t="s">
        <v>596</v>
      </c>
      <c r="BF266" s="12" t="s">
        <v>596</v>
      </c>
      <c r="BG266" s="12" t="s">
        <v>596</v>
      </c>
      <c r="BH266" s="12" t="s">
        <v>596</v>
      </c>
      <c r="BI266" s="12" t="s">
        <v>596</v>
      </c>
      <c r="BJ266" s="12" t="s">
        <v>596</v>
      </c>
      <c r="BK266" s="12" t="s">
        <v>596</v>
      </c>
      <c r="BL266" s="12" t="s">
        <v>596</v>
      </c>
      <c r="BM266" s="12" t="s">
        <v>596</v>
      </c>
      <c r="BN266" s="12" t="s">
        <v>596</v>
      </c>
      <c r="BO266" s="12" t="s">
        <v>596</v>
      </c>
      <c r="BP266" s="12" t="s">
        <v>596</v>
      </c>
      <c r="BQ266" s="12" t="s">
        <v>596</v>
      </c>
      <c r="BR266" s="12" t="s">
        <v>596</v>
      </c>
      <c r="BS266" s="12" t="s">
        <v>596</v>
      </c>
      <c r="BT266" s="12" t="s">
        <v>596</v>
      </c>
      <c r="BU266" s="12" t="s">
        <v>596</v>
      </c>
      <c r="BV266" s="12" t="s">
        <v>596</v>
      </c>
      <c r="BW266" s="12" t="s">
        <v>596</v>
      </c>
      <c r="BX266" s="12" t="s">
        <v>596</v>
      </c>
      <c r="BY266" s="12" t="s">
        <v>596</v>
      </c>
      <c r="BZ266" s="12" t="s">
        <v>596</v>
      </c>
      <c r="CA266" s="12" t="s">
        <v>596</v>
      </c>
      <c r="CB266" s="12" t="s">
        <v>596</v>
      </c>
      <c r="CC266" s="12" t="s">
        <v>596</v>
      </c>
      <c r="CD266" s="12" t="s">
        <v>596</v>
      </c>
      <c r="CE266" s="12" t="s">
        <v>596</v>
      </c>
      <c r="CF266" s="12" t="s">
        <v>597</v>
      </c>
      <c r="CG266" s="12" t="s">
        <v>597</v>
      </c>
      <c r="CH266" s="12" t="s">
        <v>597</v>
      </c>
      <c r="CI266" s="12" t="s">
        <v>597</v>
      </c>
      <c r="CJ266" s="12" t="s">
        <v>597</v>
      </c>
      <c r="CK266" s="12" t="s">
        <v>597</v>
      </c>
      <c r="CL266" s="12" t="s">
        <v>597</v>
      </c>
      <c r="CM266" s="12" t="s">
        <v>597</v>
      </c>
      <c r="CN266" s="12" t="s">
        <v>597</v>
      </c>
      <c r="CO266" s="12" t="s">
        <v>597</v>
      </c>
      <c r="CP266" s="12" t="s">
        <v>597</v>
      </c>
      <c r="CQ266" s="12" t="s">
        <v>597</v>
      </c>
      <c r="CR266" s="12" t="s">
        <v>597</v>
      </c>
      <c r="CS266" s="12" t="s">
        <v>597</v>
      </c>
      <c r="CT266" s="12" t="s">
        <v>597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3CF35-3B7D-42E1-B4D0-DDB86726833D}">
  <dimension ref="A1:P66"/>
  <sheetViews>
    <sheetView topLeftCell="F52" zoomScale="130" zoomScaleNormal="130" workbookViewId="0">
      <selection activeCell="H66" sqref="H66"/>
    </sheetView>
  </sheetViews>
  <sheetFormatPr defaultRowHeight="14.4" x14ac:dyDescent="0.3"/>
  <cols>
    <col min="1" max="1" width="15.6640625" bestFit="1" customWidth="1"/>
    <col min="2" max="2" width="7.44140625" bestFit="1" customWidth="1"/>
    <col min="3" max="3" width="22.6640625" bestFit="1" customWidth="1"/>
    <col min="4" max="4" width="17.77734375" bestFit="1" customWidth="1"/>
    <col min="5" max="5" width="20" bestFit="1" customWidth="1"/>
    <col min="6" max="6" width="23" bestFit="1" customWidth="1"/>
    <col min="7" max="7" width="15.109375" bestFit="1" customWidth="1"/>
    <col min="8" max="8" width="25" bestFit="1" customWidth="1"/>
    <col min="9" max="9" width="15" bestFit="1" customWidth="1"/>
    <col min="10" max="10" width="15.88671875" bestFit="1" customWidth="1"/>
    <col min="11" max="11" width="10.5546875" bestFit="1" customWidth="1"/>
    <col min="12" max="12" width="12.21875" bestFit="1" customWidth="1"/>
    <col min="13" max="13" width="10.33203125" bestFit="1" customWidth="1"/>
    <col min="14" max="14" width="12.5546875" bestFit="1" customWidth="1"/>
    <col min="15" max="15" width="19.5546875" bestFit="1" customWidth="1"/>
    <col min="16" max="16" width="21.33203125" bestFit="1" customWidth="1"/>
  </cols>
  <sheetData>
    <row r="1" spans="1:16" x14ac:dyDescent="0.3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91</v>
      </c>
      <c r="H1" t="s">
        <v>92</v>
      </c>
      <c r="I1" t="s">
        <v>93</v>
      </c>
      <c r="J1" t="s">
        <v>18</v>
      </c>
      <c r="K1" t="s">
        <v>19</v>
      </c>
      <c r="L1" t="s">
        <v>20</v>
      </c>
      <c r="M1" t="s">
        <v>21</v>
      </c>
      <c r="N1" t="s">
        <v>195</v>
      </c>
      <c r="O1" t="s">
        <v>23</v>
      </c>
      <c r="P1" t="s">
        <v>24</v>
      </c>
    </row>
    <row r="2" spans="1:16" x14ac:dyDescent="0.3">
      <c r="A2" s="13">
        <v>43885.75</v>
      </c>
      <c r="B2" s="12" t="s">
        <v>22</v>
      </c>
      <c r="C2" s="101">
        <v>101</v>
      </c>
      <c r="D2" s="101">
        <v>26</v>
      </c>
      <c r="E2" s="101">
        <v>127</v>
      </c>
      <c r="F2" s="101">
        <v>94</v>
      </c>
      <c r="G2" s="101">
        <v>221</v>
      </c>
      <c r="H2" s="101">
        <v>0</v>
      </c>
      <c r="I2" s="101">
        <v>221</v>
      </c>
      <c r="J2" s="101">
        <v>1</v>
      </c>
      <c r="K2" s="101">
        <v>7</v>
      </c>
      <c r="L2" s="101">
        <v>229</v>
      </c>
      <c r="M2" s="101">
        <v>4324</v>
      </c>
      <c r="N2" s="101"/>
      <c r="O2" s="12" t="s">
        <v>25</v>
      </c>
      <c r="P2" s="12" t="s">
        <v>25</v>
      </c>
    </row>
    <row r="3" spans="1:16" x14ac:dyDescent="0.3">
      <c r="A3" s="13">
        <v>43886.75</v>
      </c>
      <c r="B3" s="12" t="s">
        <v>22</v>
      </c>
      <c r="C3" s="101">
        <v>114</v>
      </c>
      <c r="D3" s="101">
        <v>35</v>
      </c>
      <c r="E3" s="101">
        <v>150</v>
      </c>
      <c r="F3" s="101">
        <v>162</v>
      </c>
      <c r="G3" s="101">
        <v>311</v>
      </c>
      <c r="H3" s="101">
        <v>90</v>
      </c>
      <c r="I3" s="101">
        <v>93</v>
      </c>
      <c r="J3" s="101">
        <v>1</v>
      </c>
      <c r="K3" s="101">
        <v>10</v>
      </c>
      <c r="L3" s="101">
        <v>322</v>
      </c>
      <c r="M3" s="101">
        <v>8623</v>
      </c>
      <c r="N3" s="101"/>
      <c r="O3" s="12" t="s">
        <v>25</v>
      </c>
      <c r="P3" s="12" t="s">
        <v>25</v>
      </c>
    </row>
    <row r="4" spans="1:16" x14ac:dyDescent="0.3">
      <c r="A4" s="13">
        <v>43887.75</v>
      </c>
      <c r="B4" s="12" t="s">
        <v>22</v>
      </c>
      <c r="C4" s="101">
        <v>128</v>
      </c>
      <c r="D4" s="101">
        <v>36</v>
      </c>
      <c r="E4" s="101">
        <v>164</v>
      </c>
      <c r="F4" s="101">
        <v>221</v>
      </c>
      <c r="G4" s="101">
        <v>385</v>
      </c>
      <c r="H4" s="101">
        <v>74</v>
      </c>
      <c r="I4" s="101">
        <v>78</v>
      </c>
      <c r="J4" s="101">
        <v>3</v>
      </c>
      <c r="K4" s="101">
        <v>12</v>
      </c>
      <c r="L4" s="101">
        <v>400</v>
      </c>
      <c r="M4" s="101">
        <v>9587</v>
      </c>
      <c r="N4" s="101"/>
      <c r="O4" s="12" t="s">
        <v>25</v>
      </c>
      <c r="P4" s="12" t="s">
        <v>25</v>
      </c>
    </row>
    <row r="5" spans="1:16" x14ac:dyDescent="0.3">
      <c r="A5" s="13">
        <v>43888.75</v>
      </c>
      <c r="B5" s="12" t="s">
        <v>22</v>
      </c>
      <c r="C5" s="101">
        <v>248</v>
      </c>
      <c r="D5" s="101">
        <v>56</v>
      </c>
      <c r="E5" s="101">
        <v>304</v>
      </c>
      <c r="F5" s="101">
        <v>284</v>
      </c>
      <c r="G5" s="101">
        <v>588</v>
      </c>
      <c r="H5" s="101">
        <v>203</v>
      </c>
      <c r="I5" s="101">
        <v>250</v>
      </c>
      <c r="J5" s="101">
        <v>45</v>
      </c>
      <c r="K5" s="101">
        <v>17</v>
      </c>
      <c r="L5" s="101">
        <v>650</v>
      </c>
      <c r="M5" s="101">
        <v>12014</v>
      </c>
      <c r="N5" s="101"/>
      <c r="O5" s="12" t="s">
        <v>25</v>
      </c>
      <c r="P5" s="12" t="s">
        <v>25</v>
      </c>
    </row>
    <row r="6" spans="1:16" x14ac:dyDescent="0.3">
      <c r="A6" s="13">
        <v>43889.75</v>
      </c>
      <c r="B6" s="12" t="s">
        <v>22</v>
      </c>
      <c r="C6" s="101">
        <v>345</v>
      </c>
      <c r="D6" s="101">
        <v>64</v>
      </c>
      <c r="E6" s="101">
        <v>409</v>
      </c>
      <c r="F6" s="101">
        <v>412</v>
      </c>
      <c r="G6" s="101">
        <v>821</v>
      </c>
      <c r="H6" s="101">
        <v>233</v>
      </c>
      <c r="I6" s="101">
        <v>238</v>
      </c>
      <c r="J6" s="101">
        <v>46</v>
      </c>
      <c r="K6" s="101">
        <v>21</v>
      </c>
      <c r="L6" s="101">
        <v>888</v>
      </c>
      <c r="M6" s="101">
        <v>15695</v>
      </c>
      <c r="N6" s="101"/>
      <c r="O6" s="12" t="s">
        <v>25</v>
      </c>
      <c r="P6" s="12" t="s">
        <v>25</v>
      </c>
    </row>
    <row r="7" spans="1:16" x14ac:dyDescent="0.3">
      <c r="A7" s="13">
        <v>43890.75</v>
      </c>
      <c r="B7" s="12" t="s">
        <v>22</v>
      </c>
      <c r="C7" s="101">
        <v>401</v>
      </c>
      <c r="D7" s="101">
        <v>105</v>
      </c>
      <c r="E7" s="101">
        <v>506</v>
      </c>
      <c r="F7" s="101">
        <v>543</v>
      </c>
      <c r="G7" s="101">
        <v>1049</v>
      </c>
      <c r="H7" s="101">
        <v>228</v>
      </c>
      <c r="I7" s="101">
        <v>240</v>
      </c>
      <c r="J7" s="101">
        <v>50</v>
      </c>
      <c r="K7" s="101">
        <v>29</v>
      </c>
      <c r="L7" s="101">
        <v>1128</v>
      </c>
      <c r="M7" s="101">
        <v>18661</v>
      </c>
      <c r="N7" s="101"/>
      <c r="O7" s="12" t="s">
        <v>25</v>
      </c>
      <c r="P7" s="12" t="s">
        <v>25</v>
      </c>
    </row>
    <row r="8" spans="1:16" x14ac:dyDescent="0.3">
      <c r="A8" s="13">
        <v>43891.75</v>
      </c>
      <c r="B8" s="12" t="s">
        <v>22</v>
      </c>
      <c r="C8" s="101">
        <v>639</v>
      </c>
      <c r="D8" s="101">
        <v>140</v>
      </c>
      <c r="E8" s="101">
        <v>779</v>
      </c>
      <c r="F8" s="101">
        <v>798</v>
      </c>
      <c r="G8" s="101">
        <v>1577</v>
      </c>
      <c r="H8" s="101">
        <v>528</v>
      </c>
      <c r="I8" s="101">
        <v>566</v>
      </c>
      <c r="J8" s="101">
        <v>83</v>
      </c>
      <c r="K8" s="101">
        <v>34</v>
      </c>
      <c r="L8" s="101">
        <v>1694</v>
      </c>
      <c r="M8" s="101">
        <v>21127</v>
      </c>
      <c r="N8" s="101"/>
      <c r="O8" s="12" t="s">
        <v>25</v>
      </c>
      <c r="P8" s="12" t="s">
        <v>25</v>
      </c>
    </row>
    <row r="9" spans="1:16" x14ac:dyDescent="0.3">
      <c r="A9" s="13">
        <v>43892.75</v>
      </c>
      <c r="B9" s="12" t="s">
        <v>22</v>
      </c>
      <c r="C9" s="101">
        <v>742</v>
      </c>
      <c r="D9" s="101">
        <v>166</v>
      </c>
      <c r="E9" s="101">
        <v>908</v>
      </c>
      <c r="F9" s="101">
        <v>927</v>
      </c>
      <c r="G9" s="101">
        <v>1835</v>
      </c>
      <c r="H9" s="101">
        <v>258</v>
      </c>
      <c r="I9" s="101">
        <v>342</v>
      </c>
      <c r="J9" s="101">
        <v>149</v>
      </c>
      <c r="K9" s="101">
        <v>52</v>
      </c>
      <c r="L9" s="101">
        <v>2036</v>
      </c>
      <c r="M9" s="101">
        <v>23345</v>
      </c>
      <c r="N9" s="101"/>
      <c r="O9" s="12" t="s">
        <v>25</v>
      </c>
      <c r="P9" s="12" t="s">
        <v>25</v>
      </c>
    </row>
    <row r="10" spans="1:16" x14ac:dyDescent="0.3">
      <c r="A10" s="13">
        <v>43893.75</v>
      </c>
      <c r="B10" s="12" t="s">
        <v>22</v>
      </c>
      <c r="C10" s="101">
        <v>1034</v>
      </c>
      <c r="D10" s="101">
        <v>229</v>
      </c>
      <c r="E10" s="101">
        <v>1263</v>
      </c>
      <c r="F10" s="101">
        <v>1000</v>
      </c>
      <c r="G10" s="101">
        <v>2263</v>
      </c>
      <c r="H10" s="101">
        <v>428</v>
      </c>
      <c r="I10" s="101">
        <v>466</v>
      </c>
      <c r="J10" s="101">
        <v>160</v>
      </c>
      <c r="K10" s="101">
        <v>79</v>
      </c>
      <c r="L10" s="101">
        <v>2502</v>
      </c>
      <c r="M10" s="101">
        <v>25856</v>
      </c>
      <c r="N10" s="101"/>
      <c r="O10" s="12" t="s">
        <v>25</v>
      </c>
      <c r="P10" s="12" t="s">
        <v>25</v>
      </c>
    </row>
    <row r="11" spans="1:16" x14ac:dyDescent="0.3">
      <c r="A11" s="13">
        <v>43894.75</v>
      </c>
      <c r="B11" s="12" t="s">
        <v>22</v>
      </c>
      <c r="C11" s="101">
        <v>1346</v>
      </c>
      <c r="D11" s="101">
        <v>295</v>
      </c>
      <c r="E11" s="101">
        <v>1641</v>
      </c>
      <c r="F11" s="101">
        <v>1065</v>
      </c>
      <c r="G11" s="101">
        <v>2706</v>
      </c>
      <c r="H11" s="101">
        <v>443</v>
      </c>
      <c r="I11" s="101">
        <v>587</v>
      </c>
      <c r="J11" s="101">
        <v>276</v>
      </c>
      <c r="K11" s="101">
        <v>107</v>
      </c>
      <c r="L11" s="101">
        <v>3089</v>
      </c>
      <c r="M11" s="101">
        <v>29837</v>
      </c>
      <c r="N11" s="101"/>
      <c r="O11" s="12" t="s">
        <v>25</v>
      </c>
      <c r="P11" s="12" t="s">
        <v>25</v>
      </c>
    </row>
    <row r="12" spans="1:16" x14ac:dyDescent="0.3">
      <c r="A12" s="13">
        <v>43895.75</v>
      </c>
      <c r="B12" s="12" t="s">
        <v>22</v>
      </c>
      <c r="C12" s="101">
        <v>1790</v>
      </c>
      <c r="D12" s="101">
        <v>351</v>
      </c>
      <c r="E12" s="101">
        <v>2141</v>
      </c>
      <c r="F12" s="101">
        <v>1155</v>
      </c>
      <c r="G12" s="101">
        <v>3296</v>
      </c>
      <c r="H12" s="101">
        <v>590</v>
      </c>
      <c r="I12" s="101">
        <v>769</v>
      </c>
      <c r="J12" s="101">
        <v>414</v>
      </c>
      <c r="K12" s="101">
        <v>148</v>
      </c>
      <c r="L12" s="101">
        <v>3858</v>
      </c>
      <c r="M12" s="101">
        <v>32362</v>
      </c>
      <c r="N12" s="101"/>
      <c r="O12" s="12" t="s">
        <v>25</v>
      </c>
      <c r="P12" s="12" t="s">
        <v>25</v>
      </c>
    </row>
    <row r="13" spans="1:16" x14ac:dyDescent="0.3">
      <c r="A13" s="13">
        <v>43896.75</v>
      </c>
      <c r="B13" s="12" t="s">
        <v>22</v>
      </c>
      <c r="C13" s="101">
        <v>2394</v>
      </c>
      <c r="D13" s="101">
        <v>462</v>
      </c>
      <c r="E13" s="101">
        <v>2856</v>
      </c>
      <c r="F13" s="101">
        <v>1060</v>
      </c>
      <c r="G13" s="101">
        <v>3916</v>
      </c>
      <c r="H13" s="101">
        <v>620</v>
      </c>
      <c r="I13" s="101">
        <v>778</v>
      </c>
      <c r="J13" s="101">
        <v>523</v>
      </c>
      <c r="K13" s="101">
        <v>197</v>
      </c>
      <c r="L13" s="101">
        <v>4636</v>
      </c>
      <c r="M13" s="101">
        <v>36359</v>
      </c>
      <c r="N13" s="101"/>
      <c r="O13" s="12" t="s">
        <v>25</v>
      </c>
      <c r="P13" s="12" t="s">
        <v>25</v>
      </c>
    </row>
    <row r="14" spans="1:16" x14ac:dyDescent="0.3">
      <c r="A14" s="13">
        <v>43897.75</v>
      </c>
      <c r="B14" s="12" t="s">
        <v>22</v>
      </c>
      <c r="C14" s="101">
        <v>2651</v>
      </c>
      <c r="D14" s="101">
        <v>567</v>
      </c>
      <c r="E14" s="101">
        <v>3218</v>
      </c>
      <c r="F14" s="101">
        <v>1843</v>
      </c>
      <c r="G14" s="101">
        <v>5061</v>
      </c>
      <c r="H14" s="101">
        <v>1145</v>
      </c>
      <c r="I14" s="101">
        <v>1247</v>
      </c>
      <c r="J14" s="101">
        <v>589</v>
      </c>
      <c r="K14" s="101">
        <v>233</v>
      </c>
      <c r="L14" s="101">
        <v>5883</v>
      </c>
      <c r="M14" s="101">
        <v>42062</v>
      </c>
      <c r="N14" s="101"/>
      <c r="O14" s="12" t="s">
        <v>26</v>
      </c>
      <c r="P14" s="12" t="s">
        <v>27</v>
      </c>
    </row>
    <row r="15" spans="1:16" x14ac:dyDescent="0.3">
      <c r="A15" s="13">
        <v>43898.75</v>
      </c>
      <c r="B15" s="12" t="s">
        <v>22</v>
      </c>
      <c r="C15" s="101">
        <v>3557</v>
      </c>
      <c r="D15" s="101">
        <v>650</v>
      </c>
      <c r="E15" s="101">
        <v>4207</v>
      </c>
      <c r="F15" s="101">
        <v>2180</v>
      </c>
      <c r="G15" s="101">
        <v>6387</v>
      </c>
      <c r="H15" s="101">
        <v>1326</v>
      </c>
      <c r="I15" s="101">
        <v>1492</v>
      </c>
      <c r="J15" s="101">
        <v>622</v>
      </c>
      <c r="K15" s="101">
        <v>366</v>
      </c>
      <c r="L15" s="101">
        <v>7375</v>
      </c>
      <c r="M15" s="101">
        <v>49937</v>
      </c>
      <c r="N15" s="101"/>
      <c r="O15" s="12" t="s">
        <v>25</v>
      </c>
      <c r="P15" s="12" t="s">
        <v>25</v>
      </c>
    </row>
    <row r="16" spans="1:16" x14ac:dyDescent="0.3">
      <c r="A16" s="13">
        <v>43899.75</v>
      </c>
      <c r="B16" s="12" t="s">
        <v>22</v>
      </c>
      <c r="C16" s="101">
        <v>4316</v>
      </c>
      <c r="D16" s="101">
        <v>733</v>
      </c>
      <c r="E16" s="101">
        <v>5049</v>
      </c>
      <c r="F16" s="101">
        <v>2936</v>
      </c>
      <c r="G16" s="101">
        <v>7985</v>
      </c>
      <c r="H16" s="101">
        <v>1598</v>
      </c>
      <c r="I16" s="101">
        <v>1797</v>
      </c>
      <c r="J16" s="101">
        <v>724</v>
      </c>
      <c r="K16" s="101">
        <v>463</v>
      </c>
      <c r="L16" s="101">
        <v>9172</v>
      </c>
      <c r="M16" s="101">
        <v>53826</v>
      </c>
      <c r="N16" s="101"/>
      <c r="O16" s="12" t="s">
        <v>25</v>
      </c>
      <c r="P16" s="12" t="s">
        <v>25</v>
      </c>
    </row>
    <row r="17" spans="1:16" x14ac:dyDescent="0.3">
      <c r="A17" s="13">
        <v>43900.75</v>
      </c>
      <c r="B17" s="12" t="s">
        <v>22</v>
      </c>
      <c r="C17" s="101">
        <v>5038</v>
      </c>
      <c r="D17" s="101">
        <v>877</v>
      </c>
      <c r="E17" s="101">
        <v>5915</v>
      </c>
      <c r="F17" s="101">
        <v>2599</v>
      </c>
      <c r="G17" s="101">
        <v>8514</v>
      </c>
      <c r="H17" s="101">
        <v>529</v>
      </c>
      <c r="I17" s="101">
        <v>977</v>
      </c>
      <c r="J17" s="101">
        <v>1004</v>
      </c>
      <c r="K17" s="101">
        <v>631</v>
      </c>
      <c r="L17" s="101">
        <v>10149</v>
      </c>
      <c r="M17" s="101">
        <v>60761</v>
      </c>
      <c r="N17" s="101"/>
      <c r="O17" s="12" t="s">
        <v>28</v>
      </c>
      <c r="P17" s="12" t="s">
        <v>29</v>
      </c>
    </row>
    <row r="18" spans="1:16" x14ac:dyDescent="0.3">
      <c r="A18" s="13">
        <v>43901.708333333336</v>
      </c>
      <c r="B18" s="12" t="s">
        <v>22</v>
      </c>
      <c r="C18" s="101">
        <v>5838</v>
      </c>
      <c r="D18" s="101">
        <v>1028</v>
      </c>
      <c r="E18" s="101">
        <v>6866</v>
      </c>
      <c r="F18" s="101">
        <v>3724</v>
      </c>
      <c r="G18" s="101">
        <v>10590</v>
      </c>
      <c r="H18" s="101">
        <v>2076</v>
      </c>
      <c r="I18" s="101">
        <v>2313</v>
      </c>
      <c r="J18" s="101">
        <v>1045</v>
      </c>
      <c r="K18" s="101">
        <v>827</v>
      </c>
      <c r="L18" s="101">
        <v>12462</v>
      </c>
      <c r="M18" s="101">
        <v>73154</v>
      </c>
      <c r="N18" s="101"/>
      <c r="O18" s="12" t="s">
        <v>30</v>
      </c>
      <c r="P18" s="12" t="s">
        <v>31</v>
      </c>
    </row>
    <row r="19" spans="1:16" x14ac:dyDescent="0.3">
      <c r="A19" s="13">
        <v>43902.708333333336</v>
      </c>
      <c r="B19" s="12" t="s">
        <v>22</v>
      </c>
      <c r="C19" s="101">
        <v>6650</v>
      </c>
      <c r="D19" s="101">
        <v>1153</v>
      </c>
      <c r="E19" s="101">
        <v>7803</v>
      </c>
      <c r="F19" s="101">
        <v>5036</v>
      </c>
      <c r="G19" s="101">
        <v>12839</v>
      </c>
      <c r="H19" s="101">
        <v>2249</v>
      </c>
      <c r="I19" s="101">
        <v>2651</v>
      </c>
      <c r="J19" s="101">
        <v>1258</v>
      </c>
      <c r="K19" s="101">
        <v>1016</v>
      </c>
      <c r="L19" s="101">
        <v>15113</v>
      </c>
      <c r="M19" s="101">
        <v>86011</v>
      </c>
      <c r="N19" s="101"/>
      <c r="O19" s="12" t="s">
        <v>25</v>
      </c>
      <c r="P19" s="12" t="s">
        <v>25</v>
      </c>
    </row>
    <row r="20" spans="1:16" x14ac:dyDescent="0.3">
      <c r="A20" s="13">
        <v>43903.708333333336</v>
      </c>
      <c r="B20" s="12" t="s">
        <v>22</v>
      </c>
      <c r="C20" s="101">
        <v>7426</v>
      </c>
      <c r="D20" s="101">
        <v>1328</v>
      </c>
      <c r="E20" s="101">
        <v>8754</v>
      </c>
      <c r="F20" s="101">
        <v>6201</v>
      </c>
      <c r="G20" s="101">
        <v>14955</v>
      </c>
      <c r="H20" s="101">
        <v>2116</v>
      </c>
      <c r="I20" s="101">
        <v>2547</v>
      </c>
      <c r="J20" s="101">
        <v>1439</v>
      </c>
      <c r="K20" s="101">
        <v>1266</v>
      </c>
      <c r="L20" s="101">
        <v>17660</v>
      </c>
      <c r="M20" s="101">
        <v>97488</v>
      </c>
      <c r="N20" s="101"/>
      <c r="O20" s="12" t="s">
        <v>25</v>
      </c>
      <c r="P20" s="12" t="s">
        <v>25</v>
      </c>
    </row>
    <row r="21" spans="1:16" x14ac:dyDescent="0.3">
      <c r="A21" s="13">
        <v>43904.708333333336</v>
      </c>
      <c r="B21" s="12" t="s">
        <v>22</v>
      </c>
      <c r="C21" s="101">
        <v>8372</v>
      </c>
      <c r="D21" s="101">
        <v>1518</v>
      </c>
      <c r="E21" s="101">
        <v>9890</v>
      </c>
      <c r="F21" s="101">
        <v>7860</v>
      </c>
      <c r="G21" s="101">
        <v>17750</v>
      </c>
      <c r="H21" s="101">
        <v>2795</v>
      </c>
      <c r="I21" s="101">
        <v>3497</v>
      </c>
      <c r="J21" s="101">
        <v>1966</v>
      </c>
      <c r="K21" s="101">
        <v>1441</v>
      </c>
      <c r="L21" s="101">
        <v>21157</v>
      </c>
      <c r="M21" s="101">
        <v>109170</v>
      </c>
      <c r="N21" s="101"/>
      <c r="O21" s="12" t="s">
        <v>25</v>
      </c>
      <c r="P21" s="12" t="s">
        <v>25</v>
      </c>
    </row>
    <row r="22" spans="1:16" x14ac:dyDescent="0.3">
      <c r="A22" s="13">
        <v>43905.708333333336</v>
      </c>
      <c r="B22" s="12" t="s">
        <v>22</v>
      </c>
      <c r="C22" s="101">
        <v>9663</v>
      </c>
      <c r="D22" s="101">
        <v>1672</v>
      </c>
      <c r="E22" s="101">
        <v>11335</v>
      </c>
      <c r="F22" s="101">
        <v>9268</v>
      </c>
      <c r="G22" s="101">
        <v>20603</v>
      </c>
      <c r="H22" s="101">
        <v>2853</v>
      </c>
      <c r="I22" s="101">
        <v>3590</v>
      </c>
      <c r="J22" s="101">
        <v>2335</v>
      </c>
      <c r="K22" s="101">
        <v>1809</v>
      </c>
      <c r="L22" s="101">
        <v>24747</v>
      </c>
      <c r="M22" s="101">
        <v>124899</v>
      </c>
      <c r="N22" s="101"/>
      <c r="O22" s="12" t="s">
        <v>25</v>
      </c>
      <c r="P22" s="12" t="s">
        <v>25</v>
      </c>
    </row>
    <row r="23" spans="1:16" x14ac:dyDescent="0.3">
      <c r="A23" s="13">
        <v>43906.708333333336</v>
      </c>
      <c r="B23" s="12" t="s">
        <v>22</v>
      </c>
      <c r="C23" s="101">
        <v>11025</v>
      </c>
      <c r="D23" s="101">
        <v>1851</v>
      </c>
      <c r="E23" s="101">
        <v>12876</v>
      </c>
      <c r="F23" s="101">
        <v>10197</v>
      </c>
      <c r="G23" s="101">
        <v>23073</v>
      </c>
      <c r="H23" s="101">
        <v>2470</v>
      </c>
      <c r="I23" s="101">
        <v>3233</v>
      </c>
      <c r="J23" s="101">
        <v>2749</v>
      </c>
      <c r="K23" s="101">
        <v>2158</v>
      </c>
      <c r="L23" s="101">
        <v>27980</v>
      </c>
      <c r="M23" s="101">
        <v>137962</v>
      </c>
      <c r="N23" s="101"/>
      <c r="O23" s="12" t="s">
        <v>32</v>
      </c>
      <c r="P23" s="12" t="s">
        <v>33</v>
      </c>
    </row>
    <row r="24" spans="1:16" x14ac:dyDescent="0.3">
      <c r="A24" s="13">
        <v>43907.708333333336</v>
      </c>
      <c r="B24" s="12" t="s">
        <v>22</v>
      </c>
      <c r="C24" s="101">
        <v>12894</v>
      </c>
      <c r="D24" s="101">
        <v>2060</v>
      </c>
      <c r="E24" s="101">
        <v>14954</v>
      </c>
      <c r="F24" s="101">
        <v>11108</v>
      </c>
      <c r="G24" s="101">
        <v>26062</v>
      </c>
      <c r="H24" s="101">
        <v>2989</v>
      </c>
      <c r="I24" s="101">
        <v>3526</v>
      </c>
      <c r="J24" s="101">
        <v>2941</v>
      </c>
      <c r="K24" s="101">
        <v>2503</v>
      </c>
      <c r="L24" s="101">
        <v>31506</v>
      </c>
      <c r="M24" s="101">
        <v>148657</v>
      </c>
      <c r="N24" s="101"/>
      <c r="O24" s="12" t="s">
        <v>34</v>
      </c>
      <c r="P24" s="12" t="s">
        <v>35</v>
      </c>
    </row>
    <row r="25" spans="1:16" x14ac:dyDescent="0.3">
      <c r="A25" s="13">
        <v>43908.708333333336</v>
      </c>
      <c r="B25" s="12" t="s">
        <v>22</v>
      </c>
      <c r="C25" s="101">
        <v>14363</v>
      </c>
      <c r="D25" s="101">
        <v>2257</v>
      </c>
      <c r="E25" s="101">
        <v>16620</v>
      </c>
      <c r="F25" s="101">
        <v>12090</v>
      </c>
      <c r="G25" s="101">
        <v>28710</v>
      </c>
      <c r="H25" s="101">
        <v>2648</v>
      </c>
      <c r="I25" s="101">
        <v>4207</v>
      </c>
      <c r="J25" s="101">
        <v>4025</v>
      </c>
      <c r="K25" s="101">
        <v>2978</v>
      </c>
      <c r="L25" s="101">
        <v>35713</v>
      </c>
      <c r="M25" s="101">
        <v>165541</v>
      </c>
      <c r="N25" s="101"/>
      <c r="O25" s="12" t="s">
        <v>36</v>
      </c>
      <c r="P25" s="12" t="s">
        <v>37</v>
      </c>
    </row>
    <row r="26" spans="1:16" x14ac:dyDescent="0.3">
      <c r="A26" s="13">
        <v>43909.708333333336</v>
      </c>
      <c r="B26" s="12" t="s">
        <v>22</v>
      </c>
      <c r="C26" s="101">
        <v>15757</v>
      </c>
      <c r="D26" s="101">
        <v>2498</v>
      </c>
      <c r="E26" s="101">
        <v>18255</v>
      </c>
      <c r="F26" s="101">
        <v>14935</v>
      </c>
      <c r="G26" s="101">
        <v>33190</v>
      </c>
      <c r="H26" s="101">
        <v>4480</v>
      </c>
      <c r="I26" s="101">
        <v>5322</v>
      </c>
      <c r="J26" s="101">
        <v>4440</v>
      </c>
      <c r="K26" s="101">
        <v>3405</v>
      </c>
      <c r="L26" s="101">
        <v>41035</v>
      </c>
      <c r="M26" s="101">
        <v>182777</v>
      </c>
      <c r="N26" s="101"/>
      <c r="O26" s="12" t="s">
        <v>25</v>
      </c>
      <c r="P26" s="12" t="s">
        <v>25</v>
      </c>
    </row>
    <row r="27" spans="1:16" x14ac:dyDescent="0.3">
      <c r="A27" s="13">
        <v>43910.708333333336</v>
      </c>
      <c r="B27" s="12" t="s">
        <v>22</v>
      </c>
      <c r="C27" s="101">
        <v>16020</v>
      </c>
      <c r="D27" s="101">
        <v>2655</v>
      </c>
      <c r="E27" s="101">
        <v>18675</v>
      </c>
      <c r="F27" s="101">
        <v>19185</v>
      </c>
      <c r="G27" s="101">
        <v>37860</v>
      </c>
      <c r="H27" s="101">
        <v>4670</v>
      </c>
      <c r="I27" s="101">
        <v>5986</v>
      </c>
      <c r="J27" s="101">
        <v>5129</v>
      </c>
      <c r="K27" s="101">
        <v>4032</v>
      </c>
      <c r="L27" s="101">
        <v>47021</v>
      </c>
      <c r="M27" s="101">
        <v>206886</v>
      </c>
      <c r="N27" s="101"/>
      <c r="O27" s="12" t="s">
        <v>25</v>
      </c>
      <c r="P27" s="12" t="s">
        <v>25</v>
      </c>
    </row>
    <row r="28" spans="1:16" x14ac:dyDescent="0.3">
      <c r="A28" s="13">
        <v>43911.708333333336</v>
      </c>
      <c r="B28" s="12" t="s">
        <v>22</v>
      </c>
      <c r="C28" s="101">
        <v>17708</v>
      </c>
      <c r="D28" s="101">
        <v>2857</v>
      </c>
      <c r="E28" s="101">
        <v>20565</v>
      </c>
      <c r="F28" s="101">
        <v>22116</v>
      </c>
      <c r="G28" s="101">
        <v>42681</v>
      </c>
      <c r="H28" s="101">
        <v>4821</v>
      </c>
      <c r="I28" s="101">
        <v>6557</v>
      </c>
      <c r="J28" s="101">
        <v>6072</v>
      </c>
      <c r="K28" s="101">
        <v>4825</v>
      </c>
      <c r="L28" s="101">
        <v>53578</v>
      </c>
      <c r="M28" s="101">
        <v>233222</v>
      </c>
      <c r="N28" s="101"/>
      <c r="O28" s="12" t="s">
        <v>25</v>
      </c>
      <c r="P28" s="12" t="s">
        <v>25</v>
      </c>
    </row>
    <row r="29" spans="1:16" x14ac:dyDescent="0.3">
      <c r="A29" s="13">
        <v>43912.708333333336</v>
      </c>
      <c r="B29" s="12" t="s">
        <v>22</v>
      </c>
      <c r="C29" s="101">
        <v>19846</v>
      </c>
      <c r="D29" s="101">
        <v>3009</v>
      </c>
      <c r="E29" s="101">
        <v>22855</v>
      </c>
      <c r="F29" s="101">
        <v>23783</v>
      </c>
      <c r="G29" s="101">
        <v>46638</v>
      </c>
      <c r="H29" s="101">
        <v>3957</v>
      </c>
      <c r="I29" s="101">
        <v>5560</v>
      </c>
      <c r="J29" s="101">
        <v>7024</v>
      </c>
      <c r="K29" s="101">
        <v>5476</v>
      </c>
      <c r="L29" s="101">
        <v>59138</v>
      </c>
      <c r="M29" s="101">
        <v>258402</v>
      </c>
      <c r="N29" s="101"/>
      <c r="O29" s="12" t="s">
        <v>25</v>
      </c>
      <c r="P29" s="12" t="s">
        <v>25</v>
      </c>
    </row>
    <row r="30" spans="1:16" x14ac:dyDescent="0.3">
      <c r="A30" s="13">
        <v>43913.708333333336</v>
      </c>
      <c r="B30" s="12" t="s">
        <v>22</v>
      </c>
      <c r="C30" s="101">
        <v>20692</v>
      </c>
      <c r="D30" s="101">
        <v>3204</v>
      </c>
      <c r="E30" s="101">
        <v>23896</v>
      </c>
      <c r="F30" s="101">
        <v>26522</v>
      </c>
      <c r="G30" s="101">
        <v>50418</v>
      </c>
      <c r="H30" s="101">
        <v>3780</v>
      </c>
      <c r="I30" s="101">
        <v>4789</v>
      </c>
      <c r="J30" s="101">
        <v>7432</v>
      </c>
      <c r="K30" s="101">
        <v>6077</v>
      </c>
      <c r="L30" s="101">
        <v>63927</v>
      </c>
      <c r="M30" s="101">
        <v>275468</v>
      </c>
      <c r="N30" s="101"/>
      <c r="O30" s="12" t="s">
        <v>25</v>
      </c>
      <c r="P30" s="12" t="s">
        <v>25</v>
      </c>
    </row>
    <row r="31" spans="1:16" x14ac:dyDescent="0.3">
      <c r="A31" s="13">
        <v>43914.708333333336</v>
      </c>
      <c r="B31" s="12" t="s">
        <v>22</v>
      </c>
      <c r="C31" s="101">
        <v>21937</v>
      </c>
      <c r="D31" s="101">
        <v>3396</v>
      </c>
      <c r="E31" s="101">
        <v>25333</v>
      </c>
      <c r="F31" s="101">
        <v>28697</v>
      </c>
      <c r="G31" s="101">
        <v>54030</v>
      </c>
      <c r="H31" s="101">
        <v>3612</v>
      </c>
      <c r="I31" s="101">
        <v>5249</v>
      </c>
      <c r="J31" s="101">
        <v>8326</v>
      </c>
      <c r="K31" s="101">
        <v>6820</v>
      </c>
      <c r="L31" s="101">
        <v>69176</v>
      </c>
      <c r="M31" s="101">
        <v>296964</v>
      </c>
      <c r="N31" s="101"/>
      <c r="O31" s="12" t="s">
        <v>25</v>
      </c>
      <c r="P31" s="12" t="s">
        <v>25</v>
      </c>
    </row>
    <row r="32" spans="1:16" x14ac:dyDescent="0.3">
      <c r="A32" s="13">
        <v>43915.708333333336</v>
      </c>
      <c r="B32" s="12" t="s">
        <v>22</v>
      </c>
      <c r="C32" s="101">
        <v>23112</v>
      </c>
      <c r="D32" s="101">
        <v>3489</v>
      </c>
      <c r="E32" s="101">
        <v>26601</v>
      </c>
      <c r="F32" s="101">
        <v>30920</v>
      </c>
      <c r="G32" s="101">
        <v>57521</v>
      </c>
      <c r="H32" s="101">
        <v>3491</v>
      </c>
      <c r="I32" s="101">
        <v>5210</v>
      </c>
      <c r="J32" s="101">
        <v>9362</v>
      </c>
      <c r="K32" s="101">
        <v>7503</v>
      </c>
      <c r="L32" s="101">
        <v>74386</v>
      </c>
      <c r="M32" s="101">
        <v>324445</v>
      </c>
      <c r="N32" s="101"/>
      <c r="O32" s="12" t="s">
        <v>25</v>
      </c>
      <c r="P32" s="12" t="s">
        <v>25</v>
      </c>
    </row>
    <row r="33" spans="1:16" x14ac:dyDescent="0.3">
      <c r="A33" s="13">
        <v>43916.708333333336</v>
      </c>
      <c r="B33" s="12" t="s">
        <v>22</v>
      </c>
      <c r="C33" s="101">
        <v>24753</v>
      </c>
      <c r="D33" s="101">
        <v>3612</v>
      </c>
      <c r="E33" s="101">
        <v>28365</v>
      </c>
      <c r="F33" s="101">
        <v>33648</v>
      </c>
      <c r="G33" s="101">
        <v>62013</v>
      </c>
      <c r="H33" s="101">
        <v>4492</v>
      </c>
      <c r="I33" s="101">
        <v>6153</v>
      </c>
      <c r="J33" s="101">
        <v>10361</v>
      </c>
      <c r="K33" s="101">
        <v>8165</v>
      </c>
      <c r="L33" s="101">
        <v>80539</v>
      </c>
      <c r="M33" s="101">
        <v>361060</v>
      </c>
      <c r="N33" s="101"/>
      <c r="O33" s="12" t="s">
        <v>87</v>
      </c>
      <c r="P33" s="12" t="s">
        <v>88</v>
      </c>
    </row>
    <row r="34" spans="1:16" x14ac:dyDescent="0.3">
      <c r="A34" s="13">
        <v>43917.708333333336</v>
      </c>
      <c r="B34" s="12" t="s">
        <v>22</v>
      </c>
      <c r="C34" s="101">
        <v>26029</v>
      </c>
      <c r="D34" s="101">
        <v>3732</v>
      </c>
      <c r="E34" s="101">
        <v>29761</v>
      </c>
      <c r="F34" s="101">
        <v>36653</v>
      </c>
      <c r="G34" s="101">
        <v>66414</v>
      </c>
      <c r="H34" s="101">
        <v>4401</v>
      </c>
      <c r="I34" s="101">
        <v>5959</v>
      </c>
      <c r="J34" s="101">
        <v>10950</v>
      </c>
      <c r="K34" s="101">
        <v>9134</v>
      </c>
      <c r="L34" s="101">
        <v>86498</v>
      </c>
      <c r="M34" s="101">
        <v>394079</v>
      </c>
      <c r="N34" s="101"/>
      <c r="O34" s="12" t="s">
        <v>25</v>
      </c>
      <c r="P34" s="12" t="s">
        <v>25</v>
      </c>
    </row>
    <row r="35" spans="1:16" x14ac:dyDescent="0.3">
      <c r="A35" s="13">
        <v>43918.708333333336</v>
      </c>
      <c r="B35" s="12" t="s">
        <v>22</v>
      </c>
      <c r="C35" s="101">
        <v>26676</v>
      </c>
      <c r="D35" s="101">
        <v>3856</v>
      </c>
      <c r="E35" s="101">
        <v>30532</v>
      </c>
      <c r="F35" s="101">
        <v>39533</v>
      </c>
      <c r="G35" s="101">
        <v>70065</v>
      </c>
      <c r="H35" s="101">
        <v>3651</v>
      </c>
      <c r="I35" s="101">
        <v>5974</v>
      </c>
      <c r="J35" s="101">
        <v>12384</v>
      </c>
      <c r="K35" s="101">
        <v>10023</v>
      </c>
      <c r="L35" s="101">
        <v>92472</v>
      </c>
      <c r="M35" s="101">
        <v>429526</v>
      </c>
      <c r="N35" s="101"/>
      <c r="O35" s="12" t="s">
        <v>25</v>
      </c>
      <c r="P35" s="12" t="s">
        <v>25</v>
      </c>
    </row>
    <row r="36" spans="1:16" x14ac:dyDescent="0.3">
      <c r="A36" s="13">
        <v>43919.708333333336</v>
      </c>
      <c r="B36" s="12" t="s">
        <v>22</v>
      </c>
      <c r="C36" s="101">
        <v>27386</v>
      </c>
      <c r="D36" s="101">
        <v>3906</v>
      </c>
      <c r="E36" s="101">
        <v>31292</v>
      </c>
      <c r="F36" s="101">
        <v>42588</v>
      </c>
      <c r="G36" s="101">
        <v>73880</v>
      </c>
      <c r="H36" s="101">
        <v>3815</v>
      </c>
      <c r="I36" s="101">
        <v>5217</v>
      </c>
      <c r="J36" s="101">
        <v>13030</v>
      </c>
      <c r="K36" s="101">
        <v>10779</v>
      </c>
      <c r="L36" s="101">
        <v>97689</v>
      </c>
      <c r="M36" s="101">
        <v>454030</v>
      </c>
      <c r="N36" s="101"/>
      <c r="O36" s="12" t="s">
        <v>94</v>
      </c>
      <c r="P36" s="12" t="s">
        <v>95</v>
      </c>
    </row>
    <row r="37" spans="1:16" x14ac:dyDescent="0.3">
      <c r="A37" s="13">
        <v>43920.708333333336</v>
      </c>
      <c r="B37" s="12" t="s">
        <v>22</v>
      </c>
      <c r="C37" s="101">
        <v>27795</v>
      </c>
      <c r="D37" s="101">
        <v>3981</v>
      </c>
      <c r="E37" s="101">
        <v>31776</v>
      </c>
      <c r="F37" s="101">
        <v>43752</v>
      </c>
      <c r="G37" s="101">
        <v>75528</v>
      </c>
      <c r="H37" s="101">
        <v>1648</v>
      </c>
      <c r="I37" s="101">
        <v>4050</v>
      </c>
      <c r="J37" s="101">
        <v>14620</v>
      </c>
      <c r="K37" s="101">
        <v>11591</v>
      </c>
      <c r="L37" s="101">
        <v>101739</v>
      </c>
      <c r="M37" s="101">
        <v>477359</v>
      </c>
      <c r="N37" s="101"/>
      <c r="O37" s="12" t="s">
        <v>25</v>
      </c>
      <c r="P37" s="12" t="s">
        <v>25</v>
      </c>
    </row>
    <row r="38" spans="1:16" x14ac:dyDescent="0.3">
      <c r="A38" s="13">
        <v>43921.708333333336</v>
      </c>
      <c r="B38" s="12" t="s">
        <v>22</v>
      </c>
      <c r="C38" s="101">
        <v>28192</v>
      </c>
      <c r="D38" s="101">
        <v>4023</v>
      </c>
      <c r="E38" s="101">
        <v>32215</v>
      </c>
      <c r="F38" s="101">
        <v>45420</v>
      </c>
      <c r="G38" s="101">
        <v>77635</v>
      </c>
      <c r="H38" s="101">
        <v>2107</v>
      </c>
      <c r="I38" s="101">
        <v>4053</v>
      </c>
      <c r="J38" s="101">
        <v>15729</v>
      </c>
      <c r="K38" s="101">
        <v>12428</v>
      </c>
      <c r="L38" s="101">
        <v>105792</v>
      </c>
      <c r="M38" s="101">
        <v>506968</v>
      </c>
      <c r="N38" s="101"/>
      <c r="O38" s="12" t="s">
        <v>25</v>
      </c>
      <c r="P38" s="12" t="s">
        <v>25</v>
      </c>
    </row>
    <row r="39" spans="1:16" x14ac:dyDescent="0.3">
      <c r="A39" s="13">
        <v>43922.708333333336</v>
      </c>
      <c r="B39" s="12" t="s">
        <v>22</v>
      </c>
      <c r="C39" s="101">
        <v>28403</v>
      </c>
      <c r="D39" s="101">
        <v>4035</v>
      </c>
      <c r="E39" s="101">
        <v>32438</v>
      </c>
      <c r="F39" s="101">
        <v>48134</v>
      </c>
      <c r="G39" s="101">
        <v>80572</v>
      </c>
      <c r="H39" s="101">
        <v>2937</v>
      </c>
      <c r="I39" s="101">
        <v>4782</v>
      </c>
      <c r="J39" s="101">
        <v>16847</v>
      </c>
      <c r="K39" s="101">
        <v>13155</v>
      </c>
      <c r="L39" s="101">
        <v>110574</v>
      </c>
      <c r="M39" s="101">
        <v>541423</v>
      </c>
      <c r="N39" s="101"/>
      <c r="O39" s="12" t="s">
        <v>25</v>
      </c>
      <c r="P39" s="12" t="s">
        <v>25</v>
      </c>
    </row>
    <row r="40" spans="1:16" x14ac:dyDescent="0.3">
      <c r="A40" s="13">
        <v>43923.708333333336</v>
      </c>
      <c r="B40" s="12" t="s">
        <v>22</v>
      </c>
      <c r="C40" s="101">
        <v>28540</v>
      </c>
      <c r="D40" s="101">
        <v>4053</v>
      </c>
      <c r="E40" s="101">
        <v>32593</v>
      </c>
      <c r="F40" s="101">
        <v>50456</v>
      </c>
      <c r="G40" s="101">
        <v>83049</v>
      </c>
      <c r="H40" s="101">
        <v>2477</v>
      </c>
      <c r="I40" s="101">
        <v>4668</v>
      </c>
      <c r="J40" s="101">
        <v>18278</v>
      </c>
      <c r="K40" s="101">
        <v>13915</v>
      </c>
      <c r="L40" s="101">
        <v>115242</v>
      </c>
      <c r="M40" s="101">
        <v>581232</v>
      </c>
      <c r="N40" s="101"/>
      <c r="O40" s="12" t="s">
        <v>25</v>
      </c>
      <c r="P40" s="12" t="s">
        <v>25</v>
      </c>
    </row>
    <row r="41" spans="1:16" x14ac:dyDescent="0.3">
      <c r="A41" s="13">
        <v>43924.708333333336</v>
      </c>
      <c r="B41" s="12" t="s">
        <v>22</v>
      </c>
      <c r="C41" s="101">
        <v>28741</v>
      </c>
      <c r="D41" s="101">
        <v>4068</v>
      </c>
      <c r="E41" s="101">
        <v>32809</v>
      </c>
      <c r="F41" s="101">
        <v>52579</v>
      </c>
      <c r="G41" s="101">
        <v>85388</v>
      </c>
      <c r="H41" s="101">
        <v>2339</v>
      </c>
      <c r="I41" s="101">
        <v>4585</v>
      </c>
      <c r="J41" s="101">
        <v>19758</v>
      </c>
      <c r="K41" s="101">
        <v>14681</v>
      </c>
      <c r="L41" s="101">
        <v>119827</v>
      </c>
      <c r="M41" s="101">
        <v>619849</v>
      </c>
      <c r="N41" s="101"/>
      <c r="O41" s="12" t="s">
        <v>25</v>
      </c>
      <c r="P41" s="12" t="s">
        <v>25</v>
      </c>
    </row>
    <row r="42" spans="1:16" x14ac:dyDescent="0.3">
      <c r="A42" s="13">
        <v>43925.708333333336</v>
      </c>
      <c r="B42" s="12" t="s">
        <v>22</v>
      </c>
      <c r="C42" s="101">
        <v>29010</v>
      </c>
      <c r="D42" s="101">
        <v>3994</v>
      </c>
      <c r="E42" s="101">
        <v>33004</v>
      </c>
      <c r="F42" s="101">
        <v>55270</v>
      </c>
      <c r="G42" s="101">
        <v>88274</v>
      </c>
      <c r="H42" s="101">
        <v>2886</v>
      </c>
      <c r="I42" s="101">
        <v>4805</v>
      </c>
      <c r="J42" s="101">
        <v>20996</v>
      </c>
      <c r="K42" s="101">
        <v>15362</v>
      </c>
      <c r="L42" s="101">
        <v>124632</v>
      </c>
      <c r="M42" s="101">
        <v>657224</v>
      </c>
      <c r="N42" s="101"/>
      <c r="O42" s="12" t="s">
        <v>25</v>
      </c>
      <c r="P42" s="12" t="s">
        <v>25</v>
      </c>
    </row>
    <row r="43" spans="1:16" x14ac:dyDescent="0.3">
      <c r="A43" s="13">
        <v>43926.708333333336</v>
      </c>
      <c r="B43" s="12" t="s">
        <v>22</v>
      </c>
      <c r="C43" s="101">
        <v>28949</v>
      </c>
      <c r="D43" s="101">
        <v>3977</v>
      </c>
      <c r="E43" s="101">
        <v>32926</v>
      </c>
      <c r="F43" s="101">
        <v>58320</v>
      </c>
      <c r="G43" s="101">
        <v>91246</v>
      </c>
      <c r="H43" s="101">
        <v>2972</v>
      </c>
      <c r="I43" s="101">
        <v>4316</v>
      </c>
      <c r="J43" s="101">
        <v>21815</v>
      </c>
      <c r="K43" s="101">
        <v>15887</v>
      </c>
      <c r="L43" s="101">
        <v>128948</v>
      </c>
      <c r="M43" s="101">
        <v>691461</v>
      </c>
      <c r="N43" s="101"/>
      <c r="O43" s="12" t="s">
        <v>25</v>
      </c>
      <c r="P43" s="12" t="s">
        <v>25</v>
      </c>
    </row>
    <row r="44" spans="1:16" x14ac:dyDescent="0.3">
      <c r="A44" s="13">
        <v>43927.708333333336</v>
      </c>
      <c r="B44" s="12" t="s">
        <v>22</v>
      </c>
      <c r="C44" s="101">
        <v>28976</v>
      </c>
      <c r="D44" s="101">
        <v>3898</v>
      </c>
      <c r="E44" s="101">
        <v>32874</v>
      </c>
      <c r="F44" s="101">
        <v>60313</v>
      </c>
      <c r="G44" s="101">
        <v>93187</v>
      </c>
      <c r="H44" s="101">
        <v>1941</v>
      </c>
      <c r="I44" s="101">
        <v>3599</v>
      </c>
      <c r="J44" s="101">
        <v>22837</v>
      </c>
      <c r="K44" s="101">
        <v>16523</v>
      </c>
      <c r="L44" s="101">
        <v>132547</v>
      </c>
      <c r="M44" s="101">
        <v>721732</v>
      </c>
      <c r="N44" s="101"/>
      <c r="O44" s="12" t="s">
        <v>25</v>
      </c>
      <c r="P44" s="12" t="s">
        <v>25</v>
      </c>
    </row>
    <row r="45" spans="1:16" x14ac:dyDescent="0.3">
      <c r="A45" s="13">
        <v>43928.708333333336</v>
      </c>
      <c r="B45" s="12" t="s">
        <v>22</v>
      </c>
      <c r="C45" s="101">
        <v>28718</v>
      </c>
      <c r="D45" s="101">
        <v>3792</v>
      </c>
      <c r="E45" s="101">
        <v>32510</v>
      </c>
      <c r="F45" s="101">
        <v>61557</v>
      </c>
      <c r="G45" s="101">
        <v>94067</v>
      </c>
      <c r="H45" s="101">
        <v>880</v>
      </c>
      <c r="I45" s="101">
        <v>3039</v>
      </c>
      <c r="J45" s="101">
        <v>24392</v>
      </c>
      <c r="K45" s="101">
        <v>17127</v>
      </c>
      <c r="L45" s="101">
        <v>135586</v>
      </c>
      <c r="M45" s="101">
        <v>755445</v>
      </c>
      <c r="N45" s="101"/>
      <c r="O45" s="12" t="s">
        <v>25</v>
      </c>
      <c r="P45" s="12" t="s">
        <v>25</v>
      </c>
    </row>
    <row r="46" spans="1:16" x14ac:dyDescent="0.3">
      <c r="A46" s="13">
        <v>43929.708333333336</v>
      </c>
      <c r="B46" s="12" t="s">
        <v>22</v>
      </c>
      <c r="C46" s="101">
        <v>28485</v>
      </c>
      <c r="D46" s="101">
        <v>3693</v>
      </c>
      <c r="E46" s="101">
        <v>32178</v>
      </c>
      <c r="F46" s="101">
        <v>63084</v>
      </c>
      <c r="G46" s="101">
        <v>95262</v>
      </c>
      <c r="H46" s="101">
        <v>1195</v>
      </c>
      <c r="I46" s="101">
        <v>3836</v>
      </c>
      <c r="J46" s="101">
        <v>26491</v>
      </c>
      <c r="K46" s="101">
        <v>17669</v>
      </c>
      <c r="L46" s="101">
        <v>139422</v>
      </c>
      <c r="M46" s="101">
        <v>807125</v>
      </c>
      <c r="N46" s="101"/>
      <c r="O46" s="12" t="s">
        <v>25</v>
      </c>
      <c r="P46" s="12" t="s">
        <v>25</v>
      </c>
    </row>
    <row r="47" spans="1:16" x14ac:dyDescent="0.3">
      <c r="A47" s="13">
        <v>43930.708333333336</v>
      </c>
      <c r="B47" s="12" t="s">
        <v>22</v>
      </c>
      <c r="C47" s="101">
        <v>28399</v>
      </c>
      <c r="D47" s="101">
        <v>3605</v>
      </c>
      <c r="E47" s="101">
        <v>32004</v>
      </c>
      <c r="F47" s="101">
        <v>64873</v>
      </c>
      <c r="G47" s="101">
        <v>96877</v>
      </c>
      <c r="H47" s="101">
        <v>1615</v>
      </c>
      <c r="I47" s="101">
        <v>4204</v>
      </c>
      <c r="J47" s="101">
        <v>28470</v>
      </c>
      <c r="K47" s="101">
        <v>18279</v>
      </c>
      <c r="L47" s="101">
        <v>143626</v>
      </c>
      <c r="M47" s="101">
        <v>853369</v>
      </c>
      <c r="N47" s="101"/>
      <c r="O47" s="12" t="s">
        <v>25</v>
      </c>
      <c r="P47" s="12" t="s">
        <v>25</v>
      </c>
    </row>
    <row r="48" spans="1:16" x14ac:dyDescent="0.3">
      <c r="A48" s="13">
        <v>43931.708333333336</v>
      </c>
      <c r="B48" s="12" t="s">
        <v>22</v>
      </c>
      <c r="C48" s="101">
        <v>28242</v>
      </c>
      <c r="D48" s="101">
        <v>3497</v>
      </c>
      <c r="E48" s="101">
        <v>31739</v>
      </c>
      <c r="F48" s="101">
        <v>66534</v>
      </c>
      <c r="G48" s="101">
        <v>98273</v>
      </c>
      <c r="H48" s="101">
        <v>1396</v>
      </c>
      <c r="I48" s="101">
        <v>3951</v>
      </c>
      <c r="J48" s="101">
        <v>30455</v>
      </c>
      <c r="K48" s="101">
        <v>18849</v>
      </c>
      <c r="L48" s="101">
        <v>147577</v>
      </c>
      <c r="M48" s="101">
        <v>906864</v>
      </c>
      <c r="N48" s="101"/>
      <c r="O48" s="12" t="s">
        <v>108</v>
      </c>
      <c r="P48" s="12" t="s">
        <v>109</v>
      </c>
    </row>
    <row r="49" spans="1:16" x14ac:dyDescent="0.3">
      <c r="A49" s="13">
        <v>43932.708333333336</v>
      </c>
      <c r="B49" s="12" t="s">
        <v>22</v>
      </c>
      <c r="C49" s="101">
        <v>28144</v>
      </c>
      <c r="D49" s="101">
        <v>3381</v>
      </c>
      <c r="E49" s="101">
        <v>31525</v>
      </c>
      <c r="F49" s="101">
        <v>68744</v>
      </c>
      <c r="G49" s="101">
        <v>100269</v>
      </c>
      <c r="H49" s="101">
        <v>1996</v>
      </c>
      <c r="I49" s="101">
        <v>4694</v>
      </c>
      <c r="J49" s="101">
        <v>32534</v>
      </c>
      <c r="K49" s="101">
        <v>19468</v>
      </c>
      <c r="L49" s="101">
        <v>152271</v>
      </c>
      <c r="M49" s="101">
        <v>963473</v>
      </c>
      <c r="N49" s="101"/>
      <c r="O49" s="12" t="s">
        <v>25</v>
      </c>
      <c r="P49" s="12" t="s">
        <v>25</v>
      </c>
    </row>
    <row r="50" spans="1:16" x14ac:dyDescent="0.3">
      <c r="A50" s="13">
        <v>43933.708333333336</v>
      </c>
      <c r="B50" s="12" t="s">
        <v>22</v>
      </c>
      <c r="C50" s="101">
        <v>27847</v>
      </c>
      <c r="D50" s="101">
        <v>3343</v>
      </c>
      <c r="E50" s="101">
        <v>31190</v>
      </c>
      <c r="F50" s="101">
        <v>71063</v>
      </c>
      <c r="G50" s="101">
        <v>102253</v>
      </c>
      <c r="H50" s="101">
        <v>1984</v>
      </c>
      <c r="I50" s="101">
        <v>4092</v>
      </c>
      <c r="J50" s="101">
        <v>34211</v>
      </c>
      <c r="K50" s="101">
        <v>19899</v>
      </c>
      <c r="L50" s="101">
        <v>156363</v>
      </c>
      <c r="M50" s="101">
        <v>1010193</v>
      </c>
      <c r="N50" s="101"/>
      <c r="O50" s="12" t="s">
        <v>110</v>
      </c>
      <c r="P50" s="12" t="s">
        <v>111</v>
      </c>
    </row>
    <row r="51" spans="1:16" x14ac:dyDescent="0.3">
      <c r="A51" s="13">
        <v>43934.708333333336</v>
      </c>
      <c r="B51" s="12" t="s">
        <v>22</v>
      </c>
      <c r="C51" s="101">
        <v>28023</v>
      </c>
      <c r="D51" s="101">
        <v>3260</v>
      </c>
      <c r="E51" s="101">
        <v>31283</v>
      </c>
      <c r="F51" s="101">
        <v>72333</v>
      </c>
      <c r="G51" s="101">
        <v>103616</v>
      </c>
      <c r="H51" s="101">
        <v>1363</v>
      </c>
      <c r="I51" s="101">
        <v>3153</v>
      </c>
      <c r="J51" s="101">
        <v>35435</v>
      </c>
      <c r="K51" s="101">
        <v>20465</v>
      </c>
      <c r="L51" s="101">
        <v>159516</v>
      </c>
      <c r="M51" s="101">
        <v>1046910</v>
      </c>
      <c r="N51" s="101"/>
      <c r="O51" s="12" t="s">
        <v>25</v>
      </c>
      <c r="P51" s="12" t="s">
        <v>25</v>
      </c>
    </row>
    <row r="52" spans="1:16" x14ac:dyDescent="0.3">
      <c r="A52" s="13">
        <v>43935.708333333336</v>
      </c>
      <c r="B52" s="12" t="s">
        <v>22</v>
      </c>
      <c r="C52" s="101">
        <v>28011</v>
      </c>
      <c r="D52" s="101">
        <v>3186</v>
      </c>
      <c r="E52" s="101">
        <v>31197</v>
      </c>
      <c r="F52" s="101">
        <v>73094</v>
      </c>
      <c r="G52" s="101">
        <v>104291</v>
      </c>
      <c r="H52" s="101">
        <v>675</v>
      </c>
      <c r="I52" s="101">
        <v>2972</v>
      </c>
      <c r="J52" s="101">
        <v>37130</v>
      </c>
      <c r="K52" s="101">
        <v>21067</v>
      </c>
      <c r="L52" s="101">
        <v>162488</v>
      </c>
      <c r="M52" s="101">
        <v>1073689</v>
      </c>
      <c r="N52" s="101"/>
      <c r="O52" s="12" t="s">
        <v>25</v>
      </c>
      <c r="P52" s="12" t="s">
        <v>25</v>
      </c>
    </row>
    <row r="53" spans="1:16" x14ac:dyDescent="0.3">
      <c r="A53" s="13">
        <v>43936.708333333336</v>
      </c>
      <c r="B53" s="12" t="s">
        <v>22</v>
      </c>
      <c r="C53" s="101">
        <v>27643</v>
      </c>
      <c r="D53" s="101">
        <v>3079</v>
      </c>
      <c r="E53" s="101">
        <v>30722</v>
      </c>
      <c r="F53" s="101">
        <v>74696</v>
      </c>
      <c r="G53" s="101">
        <v>105418</v>
      </c>
      <c r="H53" s="101">
        <v>1127</v>
      </c>
      <c r="I53" s="101">
        <v>2667</v>
      </c>
      <c r="J53" s="101">
        <v>38092</v>
      </c>
      <c r="K53" s="101">
        <v>21645</v>
      </c>
      <c r="L53" s="101">
        <v>165155</v>
      </c>
      <c r="M53" s="101">
        <v>1117404</v>
      </c>
      <c r="N53" s="101"/>
      <c r="O53" s="12" t="s">
        <v>187</v>
      </c>
      <c r="P53" s="12" t="s">
        <v>188</v>
      </c>
    </row>
    <row r="54" spans="1:16" x14ac:dyDescent="0.3">
      <c r="A54" s="13">
        <v>43937.708333333336</v>
      </c>
      <c r="B54" s="12" t="s">
        <v>22</v>
      </c>
      <c r="C54" s="101">
        <v>26893</v>
      </c>
      <c r="D54" s="101">
        <v>2936</v>
      </c>
      <c r="E54" s="101">
        <v>29829</v>
      </c>
      <c r="F54" s="101">
        <v>76778</v>
      </c>
      <c r="G54" s="101">
        <v>106607</v>
      </c>
      <c r="H54" s="101">
        <v>1189</v>
      </c>
      <c r="I54" s="101">
        <v>3786</v>
      </c>
      <c r="J54" s="101">
        <v>40164</v>
      </c>
      <c r="K54" s="101">
        <v>22170</v>
      </c>
      <c r="L54" s="101">
        <v>168941</v>
      </c>
      <c r="M54" s="101">
        <v>1178403</v>
      </c>
      <c r="N54" s="101"/>
      <c r="O54" s="12" t="s">
        <v>25</v>
      </c>
      <c r="P54" s="12" t="s">
        <v>25</v>
      </c>
    </row>
    <row r="55" spans="1:16" x14ac:dyDescent="0.3">
      <c r="A55" s="13">
        <v>43938.708333333336</v>
      </c>
      <c r="B55" s="12" t="s">
        <v>22</v>
      </c>
      <c r="C55" s="101">
        <v>25786</v>
      </c>
      <c r="D55" s="101">
        <v>2812</v>
      </c>
      <c r="E55" s="101">
        <v>28598</v>
      </c>
      <c r="F55" s="101">
        <v>78364</v>
      </c>
      <c r="G55" s="101">
        <v>106962</v>
      </c>
      <c r="H55" s="101">
        <v>355</v>
      </c>
      <c r="I55" s="101">
        <v>3493</v>
      </c>
      <c r="J55" s="101">
        <v>42727</v>
      </c>
      <c r="K55" s="101">
        <v>22745</v>
      </c>
      <c r="L55" s="101">
        <v>172434</v>
      </c>
      <c r="M55" s="101">
        <v>1244108</v>
      </c>
      <c r="N55" s="101"/>
      <c r="O55" s="12" t="s">
        <v>25</v>
      </c>
      <c r="P55" s="12" t="s">
        <v>25</v>
      </c>
    </row>
    <row r="56" spans="1:16" x14ac:dyDescent="0.3">
      <c r="A56" s="13">
        <v>43939.708333333336</v>
      </c>
      <c r="B56" s="12" t="s">
        <v>22</v>
      </c>
      <c r="C56" s="101">
        <v>25007</v>
      </c>
      <c r="D56" s="101">
        <v>2733</v>
      </c>
      <c r="E56" s="101">
        <v>27740</v>
      </c>
      <c r="F56" s="101">
        <v>80031</v>
      </c>
      <c r="G56" s="101">
        <v>107771</v>
      </c>
      <c r="H56" s="101">
        <v>809</v>
      </c>
      <c r="I56" s="101">
        <v>3491</v>
      </c>
      <c r="J56" s="101">
        <v>44927</v>
      </c>
      <c r="K56" s="101">
        <v>23227</v>
      </c>
      <c r="L56" s="101">
        <v>175925</v>
      </c>
      <c r="M56" s="101">
        <v>1305833</v>
      </c>
      <c r="N56" s="101"/>
      <c r="O56" s="12" t="s">
        <v>25</v>
      </c>
      <c r="P56" s="12" t="s">
        <v>25</v>
      </c>
    </row>
    <row r="57" spans="1:16" x14ac:dyDescent="0.3">
      <c r="A57" s="13">
        <v>43940.708333333336</v>
      </c>
      <c r="B57" s="12" t="s">
        <v>22</v>
      </c>
      <c r="C57" s="101">
        <v>25033</v>
      </c>
      <c r="D57" s="101">
        <v>2635</v>
      </c>
      <c r="E57" s="101">
        <v>27668</v>
      </c>
      <c r="F57" s="101">
        <v>80589</v>
      </c>
      <c r="G57" s="101">
        <v>108257</v>
      </c>
      <c r="H57" s="101">
        <v>486</v>
      </c>
      <c r="I57" s="101">
        <v>3047</v>
      </c>
      <c r="J57" s="101">
        <v>47055</v>
      </c>
      <c r="K57" s="101">
        <v>23660</v>
      </c>
      <c r="L57" s="101">
        <v>178972</v>
      </c>
      <c r="M57" s="101">
        <v>1356541</v>
      </c>
      <c r="N57" s="101">
        <v>935310</v>
      </c>
      <c r="O57" s="12" t="s">
        <v>25</v>
      </c>
      <c r="P57" s="12" t="s">
        <v>25</v>
      </c>
    </row>
    <row r="58" spans="1:16" x14ac:dyDescent="0.3">
      <c r="A58" s="13">
        <v>43941.708333333336</v>
      </c>
      <c r="B58" s="12" t="s">
        <v>22</v>
      </c>
      <c r="C58" s="101">
        <v>24906</v>
      </c>
      <c r="D58" s="101">
        <v>2573</v>
      </c>
      <c r="E58" s="101">
        <v>27479</v>
      </c>
      <c r="F58" s="101">
        <v>80758</v>
      </c>
      <c r="G58" s="101">
        <v>108237</v>
      </c>
      <c r="H58" s="101">
        <v>-20</v>
      </c>
      <c r="I58" s="101">
        <v>2256</v>
      </c>
      <c r="J58" s="101">
        <v>48877</v>
      </c>
      <c r="K58" s="101">
        <v>24114</v>
      </c>
      <c r="L58" s="101">
        <v>181228</v>
      </c>
      <c r="M58" s="101">
        <v>1398024</v>
      </c>
      <c r="N58" s="101">
        <v>943151</v>
      </c>
      <c r="O58" s="12" t="s">
        <v>196</v>
      </c>
      <c r="P58" s="12" t="s">
        <v>197</v>
      </c>
    </row>
    <row r="59" spans="1:16" x14ac:dyDescent="0.3">
      <c r="A59" s="13">
        <v>43942.708333333336</v>
      </c>
      <c r="B59" s="12" t="s">
        <v>22</v>
      </c>
      <c r="C59" s="102">
        <v>24134</v>
      </c>
      <c r="D59" s="102">
        <v>2471</v>
      </c>
      <c r="E59" s="102">
        <v>26605</v>
      </c>
      <c r="F59" s="102">
        <v>81104</v>
      </c>
      <c r="G59" s="102">
        <v>107709</v>
      </c>
      <c r="H59" s="102">
        <v>-528</v>
      </c>
      <c r="I59" s="102">
        <v>2729</v>
      </c>
      <c r="J59" s="102">
        <v>51600</v>
      </c>
      <c r="K59" s="102">
        <v>24648</v>
      </c>
      <c r="L59" s="102">
        <v>183957</v>
      </c>
      <c r="M59" s="102">
        <v>1450150</v>
      </c>
      <c r="N59" s="102">
        <v>971246</v>
      </c>
      <c r="O59" s="12" t="s">
        <v>198</v>
      </c>
      <c r="P59" s="12" t="s">
        <v>199</v>
      </c>
    </row>
    <row r="60" spans="1:16" x14ac:dyDescent="0.3">
      <c r="A60" s="13">
        <v>43943.708333333336</v>
      </c>
      <c r="B60" s="12" t="s">
        <v>22</v>
      </c>
      <c r="C60" s="105">
        <v>23805</v>
      </c>
      <c r="D60" s="105">
        <v>2384</v>
      </c>
      <c r="E60" s="105">
        <v>26189</v>
      </c>
      <c r="F60" s="105">
        <v>81510</v>
      </c>
      <c r="G60" s="105">
        <v>107699</v>
      </c>
      <c r="H60" s="105">
        <v>-10</v>
      </c>
      <c r="I60" s="105">
        <v>3370</v>
      </c>
      <c r="J60" s="105">
        <v>54543</v>
      </c>
      <c r="K60" s="105">
        <v>25085</v>
      </c>
      <c r="L60" s="105">
        <v>187327</v>
      </c>
      <c r="M60" s="105">
        <v>1513251</v>
      </c>
      <c r="N60" s="105">
        <v>1015494</v>
      </c>
      <c r="O60" s="12" t="s">
        <v>25</v>
      </c>
      <c r="P60" s="12" t="s">
        <v>25</v>
      </c>
    </row>
    <row r="61" spans="1:16" x14ac:dyDescent="0.3">
      <c r="A61" s="13">
        <v>43944.708333333336</v>
      </c>
      <c r="B61" s="12" t="s">
        <v>22</v>
      </c>
      <c r="C61" s="123">
        <v>22871</v>
      </c>
      <c r="D61" s="123">
        <v>2267</v>
      </c>
      <c r="E61" s="123">
        <v>25138</v>
      </c>
      <c r="F61" s="123">
        <v>81710</v>
      </c>
      <c r="G61" s="123">
        <v>106848</v>
      </c>
      <c r="H61" s="123">
        <v>-851</v>
      </c>
      <c r="I61" s="123">
        <v>2646</v>
      </c>
      <c r="J61" s="123">
        <v>57576</v>
      </c>
      <c r="K61" s="123">
        <v>25549</v>
      </c>
      <c r="L61" s="123">
        <v>189973</v>
      </c>
      <c r="M61" s="123">
        <v>1579909</v>
      </c>
      <c r="N61" s="123">
        <v>1052577</v>
      </c>
      <c r="O61" s="12" t="s">
        <v>345</v>
      </c>
      <c r="P61" s="12" t="s">
        <v>346</v>
      </c>
    </row>
    <row r="62" spans="1:16" x14ac:dyDescent="0.3">
      <c r="A62" s="13">
        <v>43945.708333333336</v>
      </c>
      <c r="B62" s="12" t="s">
        <v>22</v>
      </c>
      <c r="C62" s="150">
        <v>22068</v>
      </c>
      <c r="D62" s="150">
        <v>2173</v>
      </c>
      <c r="E62" s="150">
        <v>24241</v>
      </c>
      <c r="F62" s="150">
        <v>82286</v>
      </c>
      <c r="G62" s="150">
        <v>106527</v>
      </c>
      <c r="H62" s="150">
        <v>-321</v>
      </c>
      <c r="I62" s="150">
        <v>3021</v>
      </c>
      <c r="J62" s="150">
        <v>60498</v>
      </c>
      <c r="K62" s="150">
        <v>25969</v>
      </c>
      <c r="L62" s="150">
        <v>192994</v>
      </c>
      <c r="M62" s="150">
        <v>1642356</v>
      </c>
      <c r="N62" s="150">
        <v>1147850</v>
      </c>
      <c r="O62" s="12" t="s">
        <v>4332</v>
      </c>
      <c r="P62" s="12" t="s">
        <v>4333</v>
      </c>
    </row>
    <row r="63" spans="1:16" x14ac:dyDescent="0.3">
      <c r="A63" s="13">
        <v>43946.708333333336</v>
      </c>
      <c r="B63" s="12" t="s">
        <v>22</v>
      </c>
      <c r="C63" s="151">
        <v>21533</v>
      </c>
      <c r="D63" s="151">
        <v>2102</v>
      </c>
      <c r="E63" s="151">
        <v>23635</v>
      </c>
      <c r="F63" s="151">
        <v>82212</v>
      </c>
      <c r="G63" s="151">
        <v>105847</v>
      </c>
      <c r="H63" s="151">
        <v>-680</v>
      </c>
      <c r="I63" s="151">
        <v>2357</v>
      </c>
      <c r="J63" s="151">
        <v>63120</v>
      </c>
      <c r="K63" s="151">
        <v>26384</v>
      </c>
      <c r="L63" s="151">
        <v>195351</v>
      </c>
      <c r="M63" s="151">
        <v>1707743</v>
      </c>
      <c r="N63" s="151">
        <v>1186526</v>
      </c>
      <c r="O63" s="12" t="s">
        <v>25</v>
      </c>
      <c r="P63" s="12" t="s">
        <v>25</v>
      </c>
    </row>
    <row r="64" spans="1:16" x14ac:dyDescent="0.3">
      <c r="A64" s="13">
        <v>43947.708333333336</v>
      </c>
      <c r="B64" s="12" t="s">
        <v>22</v>
      </c>
      <c r="C64" s="178">
        <v>21372</v>
      </c>
      <c r="D64" s="178">
        <v>2009</v>
      </c>
      <c r="E64" s="178">
        <v>23381</v>
      </c>
      <c r="F64" s="178">
        <v>82722</v>
      </c>
      <c r="G64" s="178">
        <v>106103</v>
      </c>
      <c r="H64" s="178">
        <v>256</v>
      </c>
      <c r="I64" s="178">
        <v>2324</v>
      </c>
      <c r="J64" s="178">
        <v>64928</v>
      </c>
      <c r="K64" s="178">
        <v>26644</v>
      </c>
      <c r="L64" s="178">
        <v>197675</v>
      </c>
      <c r="M64" s="178">
        <v>1757659</v>
      </c>
      <c r="N64" s="178">
        <v>1210639</v>
      </c>
      <c r="O64" s="12" t="s">
        <v>4334</v>
      </c>
      <c r="P64" s="12" t="s">
        <v>4335</v>
      </c>
    </row>
    <row r="65" spans="1:16" x14ac:dyDescent="0.3">
      <c r="A65" s="13">
        <v>43948.708333333336</v>
      </c>
      <c r="B65" s="12" t="s">
        <v>22</v>
      </c>
      <c r="C65" s="260">
        <v>20353</v>
      </c>
      <c r="D65" s="260">
        <v>1956</v>
      </c>
      <c r="E65" s="260">
        <v>22309</v>
      </c>
      <c r="F65" s="260">
        <v>83504</v>
      </c>
      <c r="G65" s="260">
        <v>105813</v>
      </c>
      <c r="H65" s="260">
        <v>-290</v>
      </c>
      <c r="I65" s="260">
        <v>1739</v>
      </c>
      <c r="J65" s="260">
        <v>66624</v>
      </c>
      <c r="K65" s="260">
        <v>26977</v>
      </c>
      <c r="L65" s="260">
        <v>199414</v>
      </c>
      <c r="M65" s="260">
        <v>1789662</v>
      </c>
      <c r="N65" s="260">
        <v>1237317</v>
      </c>
      <c r="O65" s="12" t="s">
        <v>25</v>
      </c>
      <c r="P65" s="12" t="s">
        <v>25</v>
      </c>
    </row>
    <row r="66" spans="1:16" x14ac:dyDescent="0.3">
      <c r="A66" s="13">
        <v>43949.708333333336</v>
      </c>
      <c r="B66" s="12" t="s">
        <v>22</v>
      </c>
      <c r="C66" s="260">
        <v>19723</v>
      </c>
      <c r="D66" s="260">
        <v>1863</v>
      </c>
      <c r="E66" s="260">
        <v>21586</v>
      </c>
      <c r="F66" s="260">
        <v>83619</v>
      </c>
      <c r="G66" s="260">
        <v>105205</v>
      </c>
      <c r="H66" s="260">
        <v>-608</v>
      </c>
      <c r="I66" s="260">
        <v>2091</v>
      </c>
      <c r="J66" s="260">
        <v>68941</v>
      </c>
      <c r="K66" s="260">
        <v>27359</v>
      </c>
      <c r="L66" s="260">
        <v>201505</v>
      </c>
      <c r="M66" s="260">
        <v>1846934</v>
      </c>
      <c r="N66" s="260">
        <v>1274871</v>
      </c>
      <c r="O66" s="12" t="s">
        <v>25</v>
      </c>
      <c r="P66" s="12" t="s">
        <v>25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EF6F9-923D-422A-9A53-198F3DB97684}">
  <dimension ref="A1:T1366"/>
  <sheetViews>
    <sheetView topLeftCell="A1366" workbookViewId="0">
      <selection activeCell="A1292" sqref="A1292:XFD1292"/>
    </sheetView>
  </sheetViews>
  <sheetFormatPr defaultRowHeight="14.4" x14ac:dyDescent="0.3"/>
  <cols>
    <col min="1" max="1" width="15.6640625" bestFit="1" customWidth="1"/>
    <col min="2" max="2" width="7.44140625" bestFit="1" customWidth="1"/>
    <col min="3" max="3" width="16.109375" bestFit="1" customWidth="1"/>
    <col min="4" max="4" width="23.88671875" bestFit="1" customWidth="1"/>
    <col min="5" max="6" width="11" bestFit="1" customWidth="1"/>
    <col min="7" max="7" width="22.6640625" bestFit="1" customWidth="1"/>
    <col min="8" max="8" width="17.77734375" bestFit="1" customWidth="1"/>
    <col min="9" max="9" width="20" bestFit="1" customWidth="1"/>
    <col min="10" max="10" width="23" bestFit="1" customWidth="1"/>
    <col min="11" max="11" width="15.109375" bestFit="1" customWidth="1"/>
    <col min="12" max="12" width="25" bestFit="1" customWidth="1"/>
    <col min="13" max="13" width="15" bestFit="1" customWidth="1"/>
    <col min="14" max="14" width="15.88671875" bestFit="1" customWidth="1"/>
    <col min="15" max="15" width="10.5546875" bestFit="1" customWidth="1"/>
    <col min="16" max="16" width="12.21875" bestFit="1" customWidth="1"/>
    <col min="17" max="17" width="10.33203125" bestFit="1" customWidth="1"/>
    <col min="18" max="18" width="12.5546875" bestFit="1" customWidth="1"/>
    <col min="19" max="19" width="9.88671875" bestFit="1" customWidth="1"/>
    <col min="20" max="20" width="10.6640625" bestFit="1" customWidth="1"/>
  </cols>
  <sheetData>
    <row r="1" spans="1:20" x14ac:dyDescent="0.3">
      <c r="A1" t="s">
        <v>12</v>
      </c>
      <c r="B1" t="s">
        <v>13</v>
      </c>
      <c r="C1" t="s">
        <v>38</v>
      </c>
      <c r="D1" t="s">
        <v>39</v>
      </c>
      <c r="E1" t="s">
        <v>40</v>
      </c>
      <c r="F1" t="s">
        <v>41</v>
      </c>
      <c r="G1" t="s">
        <v>14</v>
      </c>
      <c r="H1" t="s">
        <v>15</v>
      </c>
      <c r="I1" t="s">
        <v>16</v>
      </c>
      <c r="J1" t="s">
        <v>17</v>
      </c>
      <c r="K1" t="s">
        <v>91</v>
      </c>
      <c r="L1" t="s">
        <v>92</v>
      </c>
      <c r="M1" t="s">
        <v>93</v>
      </c>
      <c r="N1" t="s">
        <v>18</v>
      </c>
      <c r="O1" t="s">
        <v>19</v>
      </c>
      <c r="P1" t="s">
        <v>20</v>
      </c>
      <c r="Q1" t="s">
        <v>21</v>
      </c>
      <c r="R1" t="s">
        <v>195</v>
      </c>
      <c r="S1" t="s">
        <v>23</v>
      </c>
      <c r="T1" t="s">
        <v>24</v>
      </c>
    </row>
    <row r="2" spans="1:20" x14ac:dyDescent="0.3">
      <c r="A2" s="13">
        <v>43885.75</v>
      </c>
      <c r="B2" s="12" t="s">
        <v>22</v>
      </c>
      <c r="C2" s="101">
        <v>13</v>
      </c>
      <c r="D2" s="12" t="s">
        <v>42</v>
      </c>
      <c r="E2" s="101">
        <v>4235122196</v>
      </c>
      <c r="F2" s="101">
        <v>1339843823</v>
      </c>
      <c r="G2" s="101">
        <v>0</v>
      </c>
      <c r="H2" s="101">
        <v>0</v>
      </c>
      <c r="I2" s="101">
        <v>0</v>
      </c>
      <c r="J2" s="101">
        <v>0</v>
      </c>
      <c r="K2" s="101">
        <v>0</v>
      </c>
      <c r="L2" s="101">
        <v>0</v>
      </c>
      <c r="M2" s="101">
        <v>0</v>
      </c>
      <c r="N2" s="101">
        <v>0</v>
      </c>
      <c r="O2" s="101">
        <v>0</v>
      </c>
      <c r="P2" s="101">
        <v>0</v>
      </c>
      <c r="Q2" s="101">
        <v>5</v>
      </c>
      <c r="R2" s="12" t="s">
        <v>25</v>
      </c>
      <c r="S2" s="12" t="s">
        <v>25</v>
      </c>
      <c r="T2" s="12" t="s">
        <v>25</v>
      </c>
    </row>
    <row r="3" spans="1:20" x14ac:dyDescent="0.3">
      <c r="A3" s="13">
        <v>43885.75</v>
      </c>
      <c r="B3" s="12" t="s">
        <v>22</v>
      </c>
      <c r="C3" s="101">
        <v>17</v>
      </c>
      <c r="D3" s="12" t="s">
        <v>43</v>
      </c>
      <c r="E3" s="101">
        <v>4063947052</v>
      </c>
      <c r="F3" s="101">
        <v>1580514834</v>
      </c>
      <c r="G3" s="101">
        <v>0</v>
      </c>
      <c r="H3" s="101">
        <v>0</v>
      </c>
      <c r="I3" s="101">
        <v>0</v>
      </c>
      <c r="J3" s="101">
        <v>0</v>
      </c>
      <c r="K3" s="101">
        <v>0</v>
      </c>
      <c r="L3" s="101">
        <v>0</v>
      </c>
      <c r="M3" s="101">
        <v>0</v>
      </c>
      <c r="N3" s="101">
        <v>0</v>
      </c>
      <c r="O3" s="101">
        <v>0</v>
      </c>
      <c r="P3" s="101">
        <v>0</v>
      </c>
      <c r="Q3" s="101">
        <v>0</v>
      </c>
      <c r="R3" s="12" t="s">
        <v>25</v>
      </c>
      <c r="S3" s="12" t="s">
        <v>25</v>
      </c>
      <c r="T3" s="12" t="s">
        <v>25</v>
      </c>
    </row>
    <row r="4" spans="1:20" x14ac:dyDescent="0.3">
      <c r="A4" s="13">
        <v>43885.75</v>
      </c>
      <c r="B4" s="12" t="s">
        <v>22</v>
      </c>
      <c r="C4" s="101">
        <v>4</v>
      </c>
      <c r="D4" s="12" t="s">
        <v>44</v>
      </c>
      <c r="E4" s="101">
        <v>4649933453</v>
      </c>
      <c r="F4" s="101">
        <v>1135662422</v>
      </c>
      <c r="G4" s="101">
        <v>0</v>
      </c>
      <c r="H4" s="101">
        <v>0</v>
      </c>
      <c r="I4" s="101">
        <v>0</v>
      </c>
      <c r="J4" s="101">
        <v>0</v>
      </c>
      <c r="K4" s="101">
        <v>0</v>
      </c>
      <c r="L4" s="101">
        <v>0</v>
      </c>
      <c r="M4" s="101">
        <v>0</v>
      </c>
      <c r="N4" s="101">
        <v>0</v>
      </c>
      <c r="O4" s="101">
        <v>0</v>
      </c>
      <c r="P4" s="101">
        <v>0</v>
      </c>
      <c r="Q4" s="101">
        <v>1</v>
      </c>
      <c r="R4" s="12" t="s">
        <v>25</v>
      </c>
      <c r="S4" s="12" t="s">
        <v>25</v>
      </c>
      <c r="T4" s="12" t="s">
        <v>25</v>
      </c>
    </row>
    <row r="5" spans="1:20" x14ac:dyDescent="0.3">
      <c r="A5" s="13">
        <v>43885.75</v>
      </c>
      <c r="B5" s="12" t="s">
        <v>22</v>
      </c>
      <c r="C5" s="101">
        <v>18</v>
      </c>
      <c r="D5" s="12" t="s">
        <v>45</v>
      </c>
      <c r="E5" s="101">
        <v>3890597598</v>
      </c>
      <c r="F5" s="101">
        <v>1659440194</v>
      </c>
      <c r="G5" s="101">
        <v>0</v>
      </c>
      <c r="H5" s="101">
        <v>0</v>
      </c>
      <c r="I5" s="101">
        <v>0</v>
      </c>
      <c r="J5" s="101">
        <v>0</v>
      </c>
      <c r="K5" s="101">
        <v>0</v>
      </c>
      <c r="L5" s="101">
        <v>0</v>
      </c>
      <c r="M5" s="101">
        <v>0</v>
      </c>
      <c r="N5" s="101">
        <v>0</v>
      </c>
      <c r="O5" s="101">
        <v>0</v>
      </c>
      <c r="P5" s="101">
        <v>0</v>
      </c>
      <c r="Q5" s="101">
        <v>1</v>
      </c>
      <c r="R5" s="12" t="s">
        <v>25</v>
      </c>
      <c r="S5" s="12" t="s">
        <v>25</v>
      </c>
      <c r="T5" s="12" t="s">
        <v>25</v>
      </c>
    </row>
    <row r="6" spans="1:20" x14ac:dyDescent="0.3">
      <c r="A6" s="13">
        <v>43885.75</v>
      </c>
      <c r="B6" s="12" t="s">
        <v>22</v>
      </c>
      <c r="C6" s="101">
        <v>15</v>
      </c>
      <c r="D6" s="12" t="s">
        <v>46</v>
      </c>
      <c r="E6" s="101">
        <v>4083956555</v>
      </c>
      <c r="F6" s="101">
        <v>1425084984</v>
      </c>
      <c r="G6" s="101">
        <v>0</v>
      </c>
      <c r="H6" s="101">
        <v>0</v>
      </c>
      <c r="I6" s="101">
        <v>0</v>
      </c>
      <c r="J6" s="101">
        <v>0</v>
      </c>
      <c r="K6" s="101">
        <v>0</v>
      </c>
      <c r="L6" s="101">
        <v>0</v>
      </c>
      <c r="M6" s="101">
        <v>0</v>
      </c>
      <c r="N6" s="101">
        <v>0</v>
      </c>
      <c r="O6" s="101">
        <v>0</v>
      </c>
      <c r="P6" s="101">
        <v>0</v>
      </c>
      <c r="Q6" s="101">
        <v>10</v>
      </c>
      <c r="R6" s="12" t="s">
        <v>25</v>
      </c>
      <c r="S6" s="12" t="s">
        <v>25</v>
      </c>
      <c r="T6" s="12" t="s">
        <v>25</v>
      </c>
    </row>
    <row r="7" spans="1:20" x14ac:dyDescent="0.3">
      <c r="A7" s="13">
        <v>43885.75</v>
      </c>
      <c r="B7" s="12" t="s">
        <v>22</v>
      </c>
      <c r="C7" s="101">
        <v>8</v>
      </c>
      <c r="D7" s="12" t="s">
        <v>96</v>
      </c>
      <c r="E7" s="101">
        <v>4449436681</v>
      </c>
      <c r="F7" s="101">
        <v>113417208</v>
      </c>
      <c r="G7" s="101">
        <v>10</v>
      </c>
      <c r="H7" s="101">
        <v>2</v>
      </c>
      <c r="I7" s="101">
        <v>12</v>
      </c>
      <c r="J7" s="101">
        <v>6</v>
      </c>
      <c r="K7" s="101">
        <v>18</v>
      </c>
      <c r="L7" s="101">
        <v>0</v>
      </c>
      <c r="M7" s="101">
        <v>18</v>
      </c>
      <c r="N7" s="101">
        <v>0</v>
      </c>
      <c r="O7" s="101">
        <v>0</v>
      </c>
      <c r="P7" s="101">
        <v>18</v>
      </c>
      <c r="Q7" s="101">
        <v>148</v>
      </c>
      <c r="R7" s="12" t="s">
        <v>25</v>
      </c>
      <c r="S7" s="12" t="s">
        <v>25</v>
      </c>
      <c r="T7" s="12" t="s">
        <v>25</v>
      </c>
    </row>
    <row r="8" spans="1:20" x14ac:dyDescent="0.3">
      <c r="A8" s="13">
        <v>43885.75</v>
      </c>
      <c r="B8" s="12" t="s">
        <v>22</v>
      </c>
      <c r="C8" s="101">
        <v>6</v>
      </c>
      <c r="D8" s="12" t="s">
        <v>47</v>
      </c>
      <c r="E8" s="101">
        <v>456494354</v>
      </c>
      <c r="F8" s="101">
        <v>1376813649</v>
      </c>
      <c r="G8" s="101">
        <v>0</v>
      </c>
      <c r="H8" s="101">
        <v>0</v>
      </c>
      <c r="I8" s="101">
        <v>0</v>
      </c>
      <c r="J8" s="101">
        <v>0</v>
      </c>
      <c r="K8" s="101">
        <v>0</v>
      </c>
      <c r="L8" s="101">
        <v>0</v>
      </c>
      <c r="M8" s="101">
        <v>0</v>
      </c>
      <c r="N8" s="101">
        <v>0</v>
      </c>
      <c r="O8" s="101">
        <v>0</v>
      </c>
      <c r="P8" s="101">
        <v>0</v>
      </c>
      <c r="Q8" s="101">
        <v>58</v>
      </c>
      <c r="R8" s="12" t="s">
        <v>25</v>
      </c>
      <c r="S8" s="12" t="s">
        <v>25</v>
      </c>
      <c r="T8" s="12" t="s">
        <v>25</v>
      </c>
    </row>
    <row r="9" spans="1:20" x14ac:dyDescent="0.3">
      <c r="A9" s="13">
        <v>43885.75</v>
      </c>
      <c r="B9" s="12" t="s">
        <v>22</v>
      </c>
      <c r="C9" s="101">
        <v>12</v>
      </c>
      <c r="D9" s="12" t="s">
        <v>48</v>
      </c>
      <c r="E9" s="101">
        <v>4189277044</v>
      </c>
      <c r="F9" s="101">
        <v>1248366722</v>
      </c>
      <c r="G9" s="101">
        <v>1</v>
      </c>
      <c r="H9" s="101">
        <v>1</v>
      </c>
      <c r="I9" s="101">
        <v>2</v>
      </c>
      <c r="J9" s="101">
        <v>0</v>
      </c>
      <c r="K9" s="101">
        <v>2</v>
      </c>
      <c r="L9" s="101">
        <v>0</v>
      </c>
      <c r="M9" s="101">
        <v>2</v>
      </c>
      <c r="N9" s="101">
        <v>1</v>
      </c>
      <c r="O9" s="101">
        <v>0</v>
      </c>
      <c r="P9" s="101">
        <v>3</v>
      </c>
      <c r="Q9" s="101">
        <v>124</v>
      </c>
      <c r="R9" s="12" t="s">
        <v>25</v>
      </c>
      <c r="S9" s="12" t="s">
        <v>25</v>
      </c>
      <c r="T9" s="12" t="s">
        <v>25</v>
      </c>
    </row>
    <row r="10" spans="1:20" x14ac:dyDescent="0.3">
      <c r="A10" s="13">
        <v>43885.75</v>
      </c>
      <c r="B10" s="12" t="s">
        <v>22</v>
      </c>
      <c r="C10" s="101">
        <v>7</v>
      </c>
      <c r="D10" s="12" t="s">
        <v>49</v>
      </c>
      <c r="E10" s="101">
        <v>4441149315</v>
      </c>
      <c r="F10" s="101">
        <v>89326992</v>
      </c>
      <c r="G10" s="101">
        <v>0</v>
      </c>
      <c r="H10" s="101">
        <v>0</v>
      </c>
      <c r="I10" s="101">
        <v>0</v>
      </c>
      <c r="J10" s="101">
        <v>0</v>
      </c>
      <c r="K10" s="101">
        <v>0</v>
      </c>
      <c r="L10" s="101">
        <v>0</v>
      </c>
      <c r="M10" s="101">
        <v>0</v>
      </c>
      <c r="N10" s="101">
        <v>0</v>
      </c>
      <c r="O10" s="101">
        <v>0</v>
      </c>
      <c r="P10" s="101">
        <v>0</v>
      </c>
      <c r="Q10" s="101">
        <v>1</v>
      </c>
      <c r="R10" s="12" t="s">
        <v>25</v>
      </c>
      <c r="S10" s="12" t="s">
        <v>25</v>
      </c>
      <c r="T10" s="12" t="s">
        <v>25</v>
      </c>
    </row>
    <row r="11" spans="1:20" x14ac:dyDescent="0.3">
      <c r="A11" s="13">
        <v>43885.75</v>
      </c>
      <c r="B11" s="12" t="s">
        <v>22</v>
      </c>
      <c r="C11" s="101">
        <v>3</v>
      </c>
      <c r="D11" s="12" t="s">
        <v>50</v>
      </c>
      <c r="E11" s="101">
        <v>4546679409</v>
      </c>
      <c r="F11" s="101">
        <v>9190347404</v>
      </c>
      <c r="G11" s="101">
        <v>76</v>
      </c>
      <c r="H11" s="101">
        <v>19</v>
      </c>
      <c r="I11" s="101">
        <v>95</v>
      </c>
      <c r="J11" s="101">
        <v>71</v>
      </c>
      <c r="K11" s="101">
        <v>166</v>
      </c>
      <c r="L11" s="101">
        <v>0</v>
      </c>
      <c r="M11" s="101">
        <v>166</v>
      </c>
      <c r="N11" s="101">
        <v>0</v>
      </c>
      <c r="O11" s="101">
        <v>6</v>
      </c>
      <c r="P11" s="101">
        <v>172</v>
      </c>
      <c r="Q11" s="101">
        <v>1463</v>
      </c>
      <c r="R11" s="12" t="s">
        <v>25</v>
      </c>
      <c r="S11" s="12" t="s">
        <v>25</v>
      </c>
      <c r="T11" s="12" t="s">
        <v>25</v>
      </c>
    </row>
    <row r="12" spans="1:20" x14ac:dyDescent="0.3">
      <c r="A12" s="13">
        <v>43885.75</v>
      </c>
      <c r="B12" s="12" t="s">
        <v>22</v>
      </c>
      <c r="C12" s="101">
        <v>11</v>
      </c>
      <c r="D12" s="12" t="s">
        <v>51</v>
      </c>
      <c r="E12" s="101">
        <v>4361675973</v>
      </c>
      <c r="F12" s="101">
        <v>135188753</v>
      </c>
      <c r="G12" s="101">
        <v>0</v>
      </c>
      <c r="H12" s="101">
        <v>0</v>
      </c>
      <c r="I12" s="101">
        <v>0</v>
      </c>
      <c r="J12" s="101">
        <v>0</v>
      </c>
      <c r="K12" s="101">
        <v>0</v>
      </c>
      <c r="L12" s="101">
        <v>0</v>
      </c>
      <c r="M12" s="101">
        <v>0</v>
      </c>
      <c r="N12" s="101">
        <v>0</v>
      </c>
      <c r="O12" s="101">
        <v>0</v>
      </c>
      <c r="P12" s="101">
        <v>0</v>
      </c>
      <c r="Q12" s="101">
        <v>16</v>
      </c>
      <c r="R12" s="12" t="s">
        <v>25</v>
      </c>
      <c r="S12" s="12" t="s">
        <v>25</v>
      </c>
      <c r="T12" s="12" t="s">
        <v>25</v>
      </c>
    </row>
    <row r="13" spans="1:20" x14ac:dyDescent="0.3">
      <c r="A13" s="13">
        <v>43885.75</v>
      </c>
      <c r="B13" s="12" t="s">
        <v>22</v>
      </c>
      <c r="C13" s="101">
        <v>14</v>
      </c>
      <c r="D13" s="12" t="s">
        <v>52</v>
      </c>
      <c r="E13" s="101">
        <v>4155774754</v>
      </c>
      <c r="F13" s="101">
        <v>1465916051</v>
      </c>
      <c r="G13" s="101">
        <v>0</v>
      </c>
      <c r="H13" s="101">
        <v>0</v>
      </c>
      <c r="I13" s="101">
        <v>0</v>
      </c>
      <c r="J13" s="101">
        <v>0</v>
      </c>
      <c r="K13" s="101">
        <v>0</v>
      </c>
      <c r="L13" s="101">
        <v>0</v>
      </c>
      <c r="M13" s="101">
        <v>0</v>
      </c>
      <c r="N13" s="101">
        <v>0</v>
      </c>
      <c r="O13" s="101">
        <v>0</v>
      </c>
      <c r="P13" s="101">
        <v>0</v>
      </c>
      <c r="Q13" s="101">
        <v>0</v>
      </c>
      <c r="R13" s="12" t="s">
        <v>25</v>
      </c>
      <c r="S13" s="12" t="s">
        <v>25</v>
      </c>
      <c r="T13" s="12" t="s">
        <v>25</v>
      </c>
    </row>
    <row r="14" spans="1:20" x14ac:dyDescent="0.3">
      <c r="A14" s="13">
        <v>43885.75</v>
      </c>
      <c r="B14" s="12" t="s">
        <v>22</v>
      </c>
      <c r="C14" s="101">
        <v>1</v>
      </c>
      <c r="D14" s="12" t="s">
        <v>53</v>
      </c>
      <c r="E14" s="101">
        <v>450732745</v>
      </c>
      <c r="F14" s="101">
        <v>7680687483</v>
      </c>
      <c r="G14" s="101">
        <v>2</v>
      </c>
      <c r="H14" s="101">
        <v>0</v>
      </c>
      <c r="I14" s="101">
        <v>2</v>
      </c>
      <c r="J14" s="101">
        <v>1</v>
      </c>
      <c r="K14" s="101">
        <v>3</v>
      </c>
      <c r="L14" s="101">
        <v>0</v>
      </c>
      <c r="M14" s="101">
        <v>3</v>
      </c>
      <c r="N14" s="101">
        <v>0</v>
      </c>
      <c r="O14" s="101">
        <v>0</v>
      </c>
      <c r="P14" s="101">
        <v>3</v>
      </c>
      <c r="Q14" s="101">
        <v>141</v>
      </c>
      <c r="R14" s="12" t="s">
        <v>25</v>
      </c>
      <c r="S14" s="12" t="s">
        <v>25</v>
      </c>
      <c r="T14" s="12" t="s">
        <v>25</v>
      </c>
    </row>
    <row r="15" spans="1:20" x14ac:dyDescent="0.3">
      <c r="A15" s="13">
        <v>43885.75</v>
      </c>
      <c r="B15" s="12" t="s">
        <v>22</v>
      </c>
      <c r="C15" s="101">
        <v>16</v>
      </c>
      <c r="D15" s="12" t="s">
        <v>54</v>
      </c>
      <c r="E15" s="101">
        <v>4112559576</v>
      </c>
      <c r="F15" s="101">
        <v>1686736689</v>
      </c>
      <c r="G15" s="101">
        <v>0</v>
      </c>
      <c r="H15" s="101">
        <v>0</v>
      </c>
      <c r="I15" s="101">
        <v>0</v>
      </c>
      <c r="J15" s="101">
        <v>0</v>
      </c>
      <c r="K15" s="101">
        <v>0</v>
      </c>
      <c r="L15" s="101">
        <v>0</v>
      </c>
      <c r="M15" s="101">
        <v>0</v>
      </c>
      <c r="N15" s="101">
        <v>0</v>
      </c>
      <c r="O15" s="101">
        <v>0</v>
      </c>
      <c r="P15" s="101">
        <v>0</v>
      </c>
      <c r="Q15" s="101">
        <v>0</v>
      </c>
      <c r="R15" s="12" t="s">
        <v>25</v>
      </c>
      <c r="S15" s="12" t="s">
        <v>25</v>
      </c>
      <c r="T15" s="12" t="s">
        <v>25</v>
      </c>
    </row>
    <row r="16" spans="1:20" x14ac:dyDescent="0.3">
      <c r="A16" s="13">
        <v>43885.75</v>
      </c>
      <c r="B16" s="12" t="s">
        <v>22</v>
      </c>
      <c r="C16" s="101">
        <v>20</v>
      </c>
      <c r="D16" s="12" t="s">
        <v>55</v>
      </c>
      <c r="E16" s="101">
        <v>3921531192</v>
      </c>
      <c r="F16" s="101">
        <v>9110616306</v>
      </c>
      <c r="G16" s="101">
        <v>0</v>
      </c>
      <c r="H16" s="101">
        <v>0</v>
      </c>
      <c r="I16" s="101">
        <v>0</v>
      </c>
      <c r="J16" s="101">
        <v>0</v>
      </c>
      <c r="K16" s="101">
        <v>0</v>
      </c>
      <c r="L16" s="101">
        <v>0</v>
      </c>
      <c r="M16" s="101">
        <v>0</v>
      </c>
      <c r="N16" s="101">
        <v>0</v>
      </c>
      <c r="O16" s="101">
        <v>0</v>
      </c>
      <c r="P16" s="101">
        <v>0</v>
      </c>
      <c r="Q16" s="101">
        <v>1</v>
      </c>
      <c r="R16" s="12" t="s">
        <v>25</v>
      </c>
      <c r="S16" s="12" t="s">
        <v>25</v>
      </c>
      <c r="T16" s="12" t="s">
        <v>25</v>
      </c>
    </row>
    <row r="17" spans="1:20" x14ac:dyDescent="0.3">
      <c r="A17" s="13">
        <v>43885.75</v>
      </c>
      <c r="B17" s="12" t="s">
        <v>22</v>
      </c>
      <c r="C17" s="101">
        <v>19</v>
      </c>
      <c r="D17" s="12" t="s">
        <v>56</v>
      </c>
      <c r="E17" s="101">
        <v>3811569725</v>
      </c>
      <c r="F17" s="101">
        <v>133623567</v>
      </c>
      <c r="G17" s="101">
        <v>0</v>
      </c>
      <c r="H17" s="101">
        <v>0</v>
      </c>
      <c r="I17" s="101">
        <v>0</v>
      </c>
      <c r="J17" s="101">
        <v>0</v>
      </c>
      <c r="K17" s="101">
        <v>0</v>
      </c>
      <c r="L17" s="101">
        <v>0</v>
      </c>
      <c r="M17" s="101">
        <v>0</v>
      </c>
      <c r="N17" s="101">
        <v>0</v>
      </c>
      <c r="O17" s="101">
        <v>0</v>
      </c>
      <c r="P17" s="101">
        <v>0</v>
      </c>
      <c r="Q17" s="101">
        <v>5</v>
      </c>
      <c r="R17" s="12" t="s">
        <v>25</v>
      </c>
      <c r="S17" s="12" t="s">
        <v>25</v>
      </c>
      <c r="T17" s="12" t="s">
        <v>25</v>
      </c>
    </row>
    <row r="18" spans="1:20" x14ac:dyDescent="0.3">
      <c r="A18" s="13">
        <v>43885.75</v>
      </c>
      <c r="B18" s="12" t="s">
        <v>22</v>
      </c>
      <c r="C18" s="101">
        <v>9</v>
      </c>
      <c r="D18" s="12" t="s">
        <v>57</v>
      </c>
      <c r="E18" s="101">
        <v>4376923077</v>
      </c>
      <c r="F18" s="101">
        <v>1125588885</v>
      </c>
      <c r="G18" s="101">
        <v>0</v>
      </c>
      <c r="H18" s="101">
        <v>0</v>
      </c>
      <c r="I18" s="101">
        <v>0</v>
      </c>
      <c r="J18" s="101">
        <v>0</v>
      </c>
      <c r="K18" s="101">
        <v>0</v>
      </c>
      <c r="L18" s="101">
        <v>0</v>
      </c>
      <c r="M18" s="101">
        <v>0</v>
      </c>
      <c r="N18" s="101">
        <v>0</v>
      </c>
      <c r="O18" s="101">
        <v>0</v>
      </c>
      <c r="P18" s="101">
        <v>0</v>
      </c>
      <c r="Q18" s="101">
        <v>140</v>
      </c>
      <c r="R18" s="12" t="s">
        <v>25</v>
      </c>
      <c r="S18" s="12" t="s">
        <v>25</v>
      </c>
      <c r="T18" s="12" t="s">
        <v>25</v>
      </c>
    </row>
    <row r="19" spans="1:20" x14ac:dyDescent="0.3">
      <c r="A19" s="13">
        <v>43885.75</v>
      </c>
      <c r="B19" s="12" t="s">
        <v>22</v>
      </c>
      <c r="C19" s="101">
        <v>4</v>
      </c>
      <c r="D19" s="12" t="s">
        <v>58</v>
      </c>
      <c r="E19" s="101">
        <v>4606893511</v>
      </c>
      <c r="F19" s="101">
        <v>1112123097</v>
      </c>
      <c r="G19" s="101">
        <v>0</v>
      </c>
      <c r="H19" s="101">
        <v>0</v>
      </c>
      <c r="I19" s="101">
        <v>0</v>
      </c>
      <c r="J19" s="101">
        <v>0</v>
      </c>
      <c r="K19" s="101">
        <v>0</v>
      </c>
      <c r="L19" s="101">
        <v>0</v>
      </c>
      <c r="M19" s="101">
        <v>0</v>
      </c>
      <c r="N19" s="101">
        <v>0</v>
      </c>
      <c r="O19" s="101">
        <v>0</v>
      </c>
      <c r="P19" s="101">
        <v>0</v>
      </c>
      <c r="Q19" s="101">
        <v>3</v>
      </c>
      <c r="R19" s="12" t="s">
        <v>25</v>
      </c>
      <c r="S19" s="12" t="s">
        <v>25</v>
      </c>
      <c r="T19" s="12" t="s">
        <v>25</v>
      </c>
    </row>
    <row r="20" spans="1:20" x14ac:dyDescent="0.3">
      <c r="A20" s="13">
        <v>43885.75</v>
      </c>
      <c r="B20" s="12" t="s">
        <v>22</v>
      </c>
      <c r="C20" s="101">
        <v>10</v>
      </c>
      <c r="D20" s="12" t="s">
        <v>59</v>
      </c>
      <c r="E20" s="101">
        <v>4310675841</v>
      </c>
      <c r="F20" s="101">
        <v>1238824698</v>
      </c>
      <c r="G20" s="101">
        <v>0</v>
      </c>
      <c r="H20" s="101">
        <v>0</v>
      </c>
      <c r="I20" s="101">
        <v>0</v>
      </c>
      <c r="J20" s="101">
        <v>0</v>
      </c>
      <c r="K20" s="101">
        <v>0</v>
      </c>
      <c r="L20" s="101">
        <v>0</v>
      </c>
      <c r="M20" s="101">
        <v>0</v>
      </c>
      <c r="N20" s="101">
        <v>0</v>
      </c>
      <c r="O20" s="101">
        <v>0</v>
      </c>
      <c r="P20" s="101">
        <v>0</v>
      </c>
      <c r="Q20" s="101">
        <v>0</v>
      </c>
      <c r="R20" s="12" t="s">
        <v>25</v>
      </c>
      <c r="S20" s="12" t="s">
        <v>25</v>
      </c>
      <c r="T20" s="12" t="s">
        <v>25</v>
      </c>
    </row>
    <row r="21" spans="1:20" x14ac:dyDescent="0.3">
      <c r="A21" s="13">
        <v>43885.75</v>
      </c>
      <c r="B21" s="12" t="s">
        <v>22</v>
      </c>
      <c r="C21" s="101">
        <v>2</v>
      </c>
      <c r="D21" s="12" t="s">
        <v>60</v>
      </c>
      <c r="E21" s="101">
        <v>4573750286</v>
      </c>
      <c r="F21" s="101">
        <v>7320149366</v>
      </c>
      <c r="G21" s="101">
        <v>0</v>
      </c>
      <c r="H21" s="101">
        <v>0</v>
      </c>
      <c r="I21" s="101">
        <v>0</v>
      </c>
      <c r="J21" s="101">
        <v>0</v>
      </c>
      <c r="K21" s="101">
        <v>0</v>
      </c>
      <c r="L21" s="101">
        <v>0</v>
      </c>
      <c r="M21" s="101">
        <v>0</v>
      </c>
      <c r="N21" s="101">
        <v>0</v>
      </c>
      <c r="O21" s="101">
        <v>0</v>
      </c>
      <c r="P21" s="101">
        <v>0</v>
      </c>
      <c r="Q21" s="101">
        <v>7</v>
      </c>
      <c r="R21" s="12" t="s">
        <v>25</v>
      </c>
      <c r="S21" s="12" t="s">
        <v>25</v>
      </c>
      <c r="T21" s="12" t="s">
        <v>25</v>
      </c>
    </row>
    <row r="22" spans="1:20" x14ac:dyDescent="0.3">
      <c r="A22" s="13">
        <v>43885.75</v>
      </c>
      <c r="B22" s="12" t="s">
        <v>22</v>
      </c>
      <c r="C22" s="101">
        <v>5</v>
      </c>
      <c r="D22" s="12" t="s">
        <v>61</v>
      </c>
      <c r="E22" s="101">
        <v>4543490485</v>
      </c>
      <c r="F22" s="101">
        <v>1233845213</v>
      </c>
      <c r="G22" s="101">
        <v>12</v>
      </c>
      <c r="H22" s="101">
        <v>4</v>
      </c>
      <c r="I22" s="101">
        <v>16</v>
      </c>
      <c r="J22" s="101">
        <v>16</v>
      </c>
      <c r="K22" s="101">
        <v>32</v>
      </c>
      <c r="L22" s="101">
        <v>0</v>
      </c>
      <c r="M22" s="101">
        <v>32</v>
      </c>
      <c r="N22" s="101">
        <v>0</v>
      </c>
      <c r="O22" s="101">
        <v>1</v>
      </c>
      <c r="P22" s="101">
        <v>33</v>
      </c>
      <c r="Q22" s="101">
        <v>2200</v>
      </c>
      <c r="R22" s="12" t="s">
        <v>25</v>
      </c>
      <c r="S22" s="12" t="s">
        <v>25</v>
      </c>
      <c r="T22" s="12" t="s">
        <v>25</v>
      </c>
    </row>
    <row r="23" spans="1:20" x14ac:dyDescent="0.3">
      <c r="A23" s="13">
        <v>43886.75</v>
      </c>
      <c r="B23" s="12" t="s">
        <v>22</v>
      </c>
      <c r="C23" s="101">
        <v>13</v>
      </c>
      <c r="D23" s="12" t="s">
        <v>42</v>
      </c>
      <c r="E23" s="101">
        <v>4235122196</v>
      </c>
      <c r="F23" s="101">
        <v>1339843823</v>
      </c>
      <c r="G23" s="101">
        <v>0</v>
      </c>
      <c r="H23" s="101">
        <v>0</v>
      </c>
      <c r="I23" s="101">
        <v>0</v>
      </c>
      <c r="J23" s="101">
        <v>0</v>
      </c>
      <c r="K23" s="101">
        <v>0</v>
      </c>
      <c r="L23" s="101">
        <v>0</v>
      </c>
      <c r="M23" s="101">
        <v>0</v>
      </c>
      <c r="N23" s="101">
        <v>0</v>
      </c>
      <c r="O23" s="101">
        <v>0</v>
      </c>
      <c r="P23" s="101">
        <v>0</v>
      </c>
      <c r="Q23" s="101">
        <v>5</v>
      </c>
      <c r="R23" s="12" t="s">
        <v>25</v>
      </c>
      <c r="S23" s="12" t="s">
        <v>25</v>
      </c>
      <c r="T23" s="12" t="s">
        <v>25</v>
      </c>
    </row>
    <row r="24" spans="1:20" x14ac:dyDescent="0.3">
      <c r="A24" s="13">
        <v>43886.75</v>
      </c>
      <c r="B24" s="12" t="s">
        <v>22</v>
      </c>
      <c r="C24" s="101">
        <v>17</v>
      </c>
      <c r="D24" s="12" t="s">
        <v>43</v>
      </c>
      <c r="E24" s="101">
        <v>4063947052</v>
      </c>
      <c r="F24" s="101">
        <v>1580514834</v>
      </c>
      <c r="G24" s="101">
        <v>0</v>
      </c>
      <c r="H24" s="101">
        <v>0</v>
      </c>
      <c r="I24" s="101">
        <v>0</v>
      </c>
      <c r="J24" s="101">
        <v>0</v>
      </c>
      <c r="K24" s="101">
        <v>0</v>
      </c>
      <c r="L24" s="101">
        <v>0</v>
      </c>
      <c r="M24" s="101">
        <v>0</v>
      </c>
      <c r="N24" s="101">
        <v>0</v>
      </c>
      <c r="O24" s="101">
        <v>0</v>
      </c>
      <c r="P24" s="101">
        <v>0</v>
      </c>
      <c r="Q24" s="101">
        <v>0</v>
      </c>
      <c r="R24" s="12" t="s">
        <v>25</v>
      </c>
      <c r="S24" s="12" t="s">
        <v>25</v>
      </c>
      <c r="T24" s="12" t="s">
        <v>25</v>
      </c>
    </row>
    <row r="25" spans="1:20" x14ac:dyDescent="0.3">
      <c r="A25" s="13">
        <v>43886.75</v>
      </c>
      <c r="B25" s="12" t="s">
        <v>22</v>
      </c>
      <c r="C25" s="101">
        <v>4</v>
      </c>
      <c r="D25" s="12" t="s">
        <v>44</v>
      </c>
      <c r="E25" s="101">
        <v>4649933453</v>
      </c>
      <c r="F25" s="101">
        <v>1135662422</v>
      </c>
      <c r="G25" s="101">
        <v>1</v>
      </c>
      <c r="H25" s="101">
        <v>0</v>
      </c>
      <c r="I25" s="101">
        <v>1</v>
      </c>
      <c r="J25" s="101">
        <v>0</v>
      </c>
      <c r="K25" s="101">
        <v>1</v>
      </c>
      <c r="L25" s="101">
        <v>1</v>
      </c>
      <c r="M25" s="101">
        <v>1</v>
      </c>
      <c r="N25" s="101">
        <v>0</v>
      </c>
      <c r="O25" s="101">
        <v>0</v>
      </c>
      <c r="P25" s="101">
        <v>1</v>
      </c>
      <c r="Q25" s="101">
        <v>1</v>
      </c>
      <c r="R25" s="12" t="s">
        <v>25</v>
      </c>
      <c r="S25" s="12" t="s">
        <v>25</v>
      </c>
      <c r="T25" s="12" t="s">
        <v>25</v>
      </c>
    </row>
    <row r="26" spans="1:20" x14ac:dyDescent="0.3">
      <c r="A26" s="13">
        <v>43886.75</v>
      </c>
      <c r="B26" s="12" t="s">
        <v>22</v>
      </c>
      <c r="C26" s="101">
        <v>18</v>
      </c>
      <c r="D26" s="12" t="s">
        <v>45</v>
      </c>
      <c r="E26" s="101">
        <v>3890597598</v>
      </c>
      <c r="F26" s="101">
        <v>1659440194</v>
      </c>
      <c r="G26" s="101">
        <v>0</v>
      </c>
      <c r="H26" s="101">
        <v>0</v>
      </c>
      <c r="I26" s="101">
        <v>0</v>
      </c>
      <c r="J26" s="101">
        <v>0</v>
      </c>
      <c r="K26" s="101">
        <v>0</v>
      </c>
      <c r="L26" s="101">
        <v>0</v>
      </c>
      <c r="M26" s="101">
        <v>0</v>
      </c>
      <c r="N26" s="101">
        <v>0</v>
      </c>
      <c r="O26" s="101">
        <v>0</v>
      </c>
      <c r="P26" s="101">
        <v>0</v>
      </c>
      <c r="Q26" s="101">
        <v>2</v>
      </c>
      <c r="R26" s="12" t="s">
        <v>25</v>
      </c>
      <c r="S26" s="12" t="s">
        <v>25</v>
      </c>
      <c r="T26" s="12" t="s">
        <v>25</v>
      </c>
    </row>
    <row r="27" spans="1:20" x14ac:dyDescent="0.3">
      <c r="A27" s="13">
        <v>43886.75</v>
      </c>
      <c r="B27" s="12" t="s">
        <v>22</v>
      </c>
      <c r="C27" s="101">
        <v>15</v>
      </c>
      <c r="D27" s="12" t="s">
        <v>46</v>
      </c>
      <c r="E27" s="101">
        <v>4083956555</v>
      </c>
      <c r="F27" s="101">
        <v>1425084984</v>
      </c>
      <c r="G27" s="101">
        <v>0</v>
      </c>
      <c r="H27" s="101">
        <v>0</v>
      </c>
      <c r="I27" s="101">
        <v>0</v>
      </c>
      <c r="J27" s="101">
        <v>0</v>
      </c>
      <c r="K27" s="101">
        <v>0</v>
      </c>
      <c r="L27" s="101">
        <v>0</v>
      </c>
      <c r="M27" s="101">
        <v>0</v>
      </c>
      <c r="N27" s="101">
        <v>0</v>
      </c>
      <c r="O27" s="101">
        <v>0</v>
      </c>
      <c r="P27" s="101">
        <v>0</v>
      </c>
      <c r="Q27" s="101">
        <v>10</v>
      </c>
      <c r="R27" s="12" t="s">
        <v>25</v>
      </c>
      <c r="S27" s="12" t="s">
        <v>25</v>
      </c>
      <c r="T27" s="12" t="s">
        <v>25</v>
      </c>
    </row>
    <row r="28" spans="1:20" x14ac:dyDescent="0.3">
      <c r="A28" s="13">
        <v>43886.75</v>
      </c>
      <c r="B28" s="12" t="s">
        <v>22</v>
      </c>
      <c r="C28" s="101">
        <v>8</v>
      </c>
      <c r="D28" s="12" t="s">
        <v>96</v>
      </c>
      <c r="E28" s="101">
        <v>4449436681</v>
      </c>
      <c r="F28" s="101">
        <v>113417208</v>
      </c>
      <c r="G28" s="101">
        <v>15</v>
      </c>
      <c r="H28" s="101">
        <v>2</v>
      </c>
      <c r="I28" s="101">
        <v>17</v>
      </c>
      <c r="J28" s="101">
        <v>9</v>
      </c>
      <c r="K28" s="101">
        <v>26</v>
      </c>
      <c r="L28" s="101">
        <v>8</v>
      </c>
      <c r="M28" s="101">
        <v>8</v>
      </c>
      <c r="N28" s="101">
        <v>0</v>
      </c>
      <c r="O28" s="101">
        <v>0</v>
      </c>
      <c r="P28" s="101">
        <v>26</v>
      </c>
      <c r="Q28" s="101">
        <v>391</v>
      </c>
      <c r="R28" s="12" t="s">
        <v>25</v>
      </c>
      <c r="S28" s="12" t="s">
        <v>25</v>
      </c>
      <c r="T28" s="12" t="s">
        <v>25</v>
      </c>
    </row>
    <row r="29" spans="1:20" x14ac:dyDescent="0.3">
      <c r="A29" s="13">
        <v>43886.75</v>
      </c>
      <c r="B29" s="12" t="s">
        <v>22</v>
      </c>
      <c r="C29" s="101">
        <v>6</v>
      </c>
      <c r="D29" s="12" t="s">
        <v>47</v>
      </c>
      <c r="E29" s="101">
        <v>456494354</v>
      </c>
      <c r="F29" s="101">
        <v>1376813649</v>
      </c>
      <c r="G29" s="101">
        <v>0</v>
      </c>
      <c r="H29" s="101">
        <v>0</v>
      </c>
      <c r="I29" s="101">
        <v>0</v>
      </c>
      <c r="J29" s="101">
        <v>0</v>
      </c>
      <c r="K29" s="101">
        <v>0</v>
      </c>
      <c r="L29" s="101">
        <v>0</v>
      </c>
      <c r="M29" s="101">
        <v>0</v>
      </c>
      <c r="N29" s="101">
        <v>0</v>
      </c>
      <c r="O29" s="101">
        <v>0</v>
      </c>
      <c r="P29" s="101">
        <v>0</v>
      </c>
      <c r="Q29" s="101">
        <v>89</v>
      </c>
      <c r="R29" s="12" t="s">
        <v>25</v>
      </c>
      <c r="S29" s="12" t="s">
        <v>25</v>
      </c>
      <c r="T29" s="12" t="s">
        <v>25</v>
      </c>
    </row>
    <row r="30" spans="1:20" x14ac:dyDescent="0.3">
      <c r="A30" s="13">
        <v>43886.75</v>
      </c>
      <c r="B30" s="12" t="s">
        <v>22</v>
      </c>
      <c r="C30" s="101">
        <v>12</v>
      </c>
      <c r="D30" s="12" t="s">
        <v>48</v>
      </c>
      <c r="E30" s="101">
        <v>4189277044</v>
      </c>
      <c r="F30" s="101">
        <v>1248366722</v>
      </c>
      <c r="G30" s="101">
        <v>1</v>
      </c>
      <c r="H30" s="101">
        <v>1</v>
      </c>
      <c r="I30" s="101">
        <v>2</v>
      </c>
      <c r="J30" s="101">
        <v>0</v>
      </c>
      <c r="K30" s="101">
        <v>2</v>
      </c>
      <c r="L30" s="101">
        <v>0</v>
      </c>
      <c r="M30" s="101">
        <v>0</v>
      </c>
      <c r="N30" s="101">
        <v>1</v>
      </c>
      <c r="O30" s="101">
        <v>0</v>
      </c>
      <c r="P30" s="101">
        <v>3</v>
      </c>
      <c r="Q30" s="101">
        <v>124</v>
      </c>
      <c r="R30" s="12" t="s">
        <v>25</v>
      </c>
      <c r="S30" s="12" t="s">
        <v>25</v>
      </c>
      <c r="T30" s="12" t="s">
        <v>25</v>
      </c>
    </row>
    <row r="31" spans="1:20" x14ac:dyDescent="0.3">
      <c r="A31" s="13">
        <v>43886.75</v>
      </c>
      <c r="B31" s="12" t="s">
        <v>22</v>
      </c>
      <c r="C31" s="101">
        <v>7</v>
      </c>
      <c r="D31" s="12" t="s">
        <v>49</v>
      </c>
      <c r="E31" s="101">
        <v>4441149315</v>
      </c>
      <c r="F31" s="101">
        <v>89326992</v>
      </c>
      <c r="G31" s="101">
        <v>1</v>
      </c>
      <c r="H31" s="101">
        <v>0</v>
      </c>
      <c r="I31" s="101">
        <v>1</v>
      </c>
      <c r="J31" s="101">
        <v>0</v>
      </c>
      <c r="K31" s="101">
        <v>1</v>
      </c>
      <c r="L31" s="101">
        <v>1</v>
      </c>
      <c r="M31" s="101">
        <v>1</v>
      </c>
      <c r="N31" s="101">
        <v>0</v>
      </c>
      <c r="O31" s="101">
        <v>0</v>
      </c>
      <c r="P31" s="101">
        <v>1</v>
      </c>
      <c r="Q31" s="101">
        <v>39</v>
      </c>
      <c r="R31" s="12" t="s">
        <v>25</v>
      </c>
      <c r="S31" s="12" t="s">
        <v>25</v>
      </c>
      <c r="T31" s="12" t="s">
        <v>25</v>
      </c>
    </row>
    <row r="32" spans="1:20" x14ac:dyDescent="0.3">
      <c r="A32" s="13">
        <v>43886.75</v>
      </c>
      <c r="B32" s="12" t="s">
        <v>22</v>
      </c>
      <c r="C32" s="101">
        <v>3</v>
      </c>
      <c r="D32" s="12" t="s">
        <v>50</v>
      </c>
      <c r="E32" s="101">
        <v>4546679409</v>
      </c>
      <c r="F32" s="101">
        <v>9190347404</v>
      </c>
      <c r="G32" s="101">
        <v>79</v>
      </c>
      <c r="H32" s="101">
        <v>25</v>
      </c>
      <c r="I32" s="101">
        <v>104</v>
      </c>
      <c r="J32" s="101">
        <v>127</v>
      </c>
      <c r="K32" s="101">
        <v>231</v>
      </c>
      <c r="L32" s="101">
        <v>65</v>
      </c>
      <c r="M32" s="101">
        <v>68</v>
      </c>
      <c r="N32" s="101">
        <v>0</v>
      </c>
      <c r="O32" s="101">
        <v>9</v>
      </c>
      <c r="P32" s="101">
        <v>240</v>
      </c>
      <c r="Q32" s="101">
        <v>3700</v>
      </c>
      <c r="R32" s="12" t="s">
        <v>25</v>
      </c>
      <c r="S32" s="12" t="s">
        <v>25</v>
      </c>
      <c r="T32" s="12" t="s">
        <v>25</v>
      </c>
    </row>
    <row r="33" spans="1:20" x14ac:dyDescent="0.3">
      <c r="A33" s="13">
        <v>43886.75</v>
      </c>
      <c r="B33" s="12" t="s">
        <v>22</v>
      </c>
      <c r="C33" s="101">
        <v>11</v>
      </c>
      <c r="D33" s="12" t="s">
        <v>51</v>
      </c>
      <c r="E33" s="101">
        <v>4361675973</v>
      </c>
      <c r="F33" s="101">
        <v>135188753</v>
      </c>
      <c r="G33" s="101">
        <v>0</v>
      </c>
      <c r="H33" s="101">
        <v>0</v>
      </c>
      <c r="I33" s="101">
        <v>0</v>
      </c>
      <c r="J33" s="101">
        <v>0</v>
      </c>
      <c r="K33" s="101">
        <v>0</v>
      </c>
      <c r="L33" s="101">
        <v>0</v>
      </c>
      <c r="M33" s="101">
        <v>0</v>
      </c>
      <c r="N33" s="101">
        <v>0</v>
      </c>
      <c r="O33" s="101">
        <v>0</v>
      </c>
      <c r="P33" s="101">
        <v>0</v>
      </c>
      <c r="Q33" s="101">
        <v>21</v>
      </c>
      <c r="R33" s="12" t="s">
        <v>25</v>
      </c>
      <c r="S33" s="12" t="s">
        <v>25</v>
      </c>
      <c r="T33" s="12" t="s">
        <v>25</v>
      </c>
    </row>
    <row r="34" spans="1:20" x14ac:dyDescent="0.3">
      <c r="A34" s="13">
        <v>43886.75</v>
      </c>
      <c r="B34" s="12" t="s">
        <v>22</v>
      </c>
      <c r="C34" s="101">
        <v>14</v>
      </c>
      <c r="D34" s="12" t="s">
        <v>52</v>
      </c>
      <c r="E34" s="101">
        <v>4155774754</v>
      </c>
      <c r="F34" s="101">
        <v>1465916051</v>
      </c>
      <c r="G34" s="101">
        <v>0</v>
      </c>
      <c r="H34" s="101">
        <v>0</v>
      </c>
      <c r="I34" s="101">
        <v>0</v>
      </c>
      <c r="J34" s="101">
        <v>0</v>
      </c>
      <c r="K34" s="101">
        <v>0</v>
      </c>
      <c r="L34" s="101">
        <v>0</v>
      </c>
      <c r="M34" s="101">
        <v>0</v>
      </c>
      <c r="N34" s="101">
        <v>0</v>
      </c>
      <c r="O34" s="101">
        <v>0</v>
      </c>
      <c r="P34" s="101">
        <v>0</v>
      </c>
      <c r="Q34" s="101">
        <v>0</v>
      </c>
      <c r="R34" s="12" t="s">
        <v>25</v>
      </c>
      <c r="S34" s="12" t="s">
        <v>25</v>
      </c>
      <c r="T34" s="12" t="s">
        <v>25</v>
      </c>
    </row>
    <row r="35" spans="1:20" x14ac:dyDescent="0.3">
      <c r="A35" s="13">
        <v>43886.75</v>
      </c>
      <c r="B35" s="12" t="s">
        <v>22</v>
      </c>
      <c r="C35" s="101">
        <v>1</v>
      </c>
      <c r="D35" s="12" t="s">
        <v>53</v>
      </c>
      <c r="E35" s="101">
        <v>450732745</v>
      </c>
      <c r="F35" s="101">
        <v>7680687483</v>
      </c>
      <c r="G35" s="101">
        <v>2</v>
      </c>
      <c r="H35" s="101">
        <v>0</v>
      </c>
      <c r="I35" s="101">
        <v>2</v>
      </c>
      <c r="J35" s="101">
        <v>1</v>
      </c>
      <c r="K35" s="101">
        <v>3</v>
      </c>
      <c r="L35" s="101">
        <v>0</v>
      </c>
      <c r="M35" s="101">
        <v>0</v>
      </c>
      <c r="N35" s="101">
        <v>0</v>
      </c>
      <c r="O35" s="101">
        <v>0</v>
      </c>
      <c r="P35" s="101">
        <v>3</v>
      </c>
      <c r="Q35" s="101">
        <v>141</v>
      </c>
      <c r="R35" s="12" t="s">
        <v>25</v>
      </c>
      <c r="S35" s="12" t="s">
        <v>25</v>
      </c>
      <c r="T35" s="12" t="s">
        <v>25</v>
      </c>
    </row>
    <row r="36" spans="1:20" x14ac:dyDescent="0.3">
      <c r="A36" s="13">
        <v>43886.75</v>
      </c>
      <c r="B36" s="12" t="s">
        <v>22</v>
      </c>
      <c r="C36" s="101">
        <v>16</v>
      </c>
      <c r="D36" s="12" t="s">
        <v>54</v>
      </c>
      <c r="E36" s="101">
        <v>4112559576</v>
      </c>
      <c r="F36" s="101">
        <v>1686736689</v>
      </c>
      <c r="G36" s="101">
        <v>0</v>
      </c>
      <c r="H36" s="101">
        <v>0</v>
      </c>
      <c r="I36" s="101">
        <v>0</v>
      </c>
      <c r="J36" s="101">
        <v>0</v>
      </c>
      <c r="K36" s="101">
        <v>0</v>
      </c>
      <c r="L36" s="101">
        <v>0</v>
      </c>
      <c r="M36" s="101">
        <v>0</v>
      </c>
      <c r="N36" s="101">
        <v>0</v>
      </c>
      <c r="O36" s="101">
        <v>0</v>
      </c>
      <c r="P36" s="101">
        <v>0</v>
      </c>
      <c r="Q36" s="101">
        <v>0</v>
      </c>
      <c r="R36" s="12" t="s">
        <v>25</v>
      </c>
      <c r="S36" s="12" t="s">
        <v>25</v>
      </c>
      <c r="T36" s="12" t="s">
        <v>25</v>
      </c>
    </row>
    <row r="37" spans="1:20" x14ac:dyDescent="0.3">
      <c r="A37" s="13">
        <v>43886.75</v>
      </c>
      <c r="B37" s="12" t="s">
        <v>22</v>
      </c>
      <c r="C37" s="101">
        <v>20</v>
      </c>
      <c r="D37" s="12" t="s">
        <v>55</v>
      </c>
      <c r="E37" s="101">
        <v>3921531192</v>
      </c>
      <c r="F37" s="101">
        <v>9110616306</v>
      </c>
      <c r="G37" s="101">
        <v>0</v>
      </c>
      <c r="H37" s="101">
        <v>0</v>
      </c>
      <c r="I37" s="101">
        <v>0</v>
      </c>
      <c r="J37" s="101">
        <v>0</v>
      </c>
      <c r="K37" s="101">
        <v>0</v>
      </c>
      <c r="L37" s="101">
        <v>0</v>
      </c>
      <c r="M37" s="101">
        <v>0</v>
      </c>
      <c r="N37" s="101">
        <v>0</v>
      </c>
      <c r="O37" s="101">
        <v>0</v>
      </c>
      <c r="P37" s="101">
        <v>0</v>
      </c>
      <c r="Q37" s="101">
        <v>1</v>
      </c>
      <c r="R37" s="12" t="s">
        <v>25</v>
      </c>
      <c r="S37" s="12" t="s">
        <v>25</v>
      </c>
      <c r="T37" s="12" t="s">
        <v>25</v>
      </c>
    </row>
    <row r="38" spans="1:20" x14ac:dyDescent="0.3">
      <c r="A38" s="13">
        <v>43886.75</v>
      </c>
      <c r="B38" s="12" t="s">
        <v>22</v>
      </c>
      <c r="C38" s="101">
        <v>19</v>
      </c>
      <c r="D38" s="12" t="s">
        <v>56</v>
      </c>
      <c r="E38" s="101">
        <v>3811569725</v>
      </c>
      <c r="F38" s="101">
        <v>133623567</v>
      </c>
      <c r="G38" s="101">
        <v>1</v>
      </c>
      <c r="H38" s="101">
        <v>0</v>
      </c>
      <c r="I38" s="101">
        <v>1</v>
      </c>
      <c r="J38" s="101">
        <v>2</v>
      </c>
      <c r="K38" s="101">
        <v>3</v>
      </c>
      <c r="L38" s="101">
        <v>3</v>
      </c>
      <c r="M38" s="101">
        <v>3</v>
      </c>
      <c r="N38" s="101">
        <v>0</v>
      </c>
      <c r="O38" s="101">
        <v>0</v>
      </c>
      <c r="P38" s="101">
        <v>3</v>
      </c>
      <c r="Q38" s="101">
        <v>5</v>
      </c>
      <c r="R38" s="12" t="s">
        <v>25</v>
      </c>
      <c r="S38" s="12" t="s">
        <v>25</v>
      </c>
      <c r="T38" s="12" t="s">
        <v>25</v>
      </c>
    </row>
    <row r="39" spans="1:20" x14ac:dyDescent="0.3">
      <c r="A39" s="13">
        <v>43886.75</v>
      </c>
      <c r="B39" s="12" t="s">
        <v>22</v>
      </c>
      <c r="C39" s="101">
        <v>9</v>
      </c>
      <c r="D39" s="12" t="s">
        <v>57</v>
      </c>
      <c r="E39" s="101">
        <v>4376923077</v>
      </c>
      <c r="F39" s="101">
        <v>1125588885</v>
      </c>
      <c r="G39" s="101">
        <v>2</v>
      </c>
      <c r="H39" s="101">
        <v>0</v>
      </c>
      <c r="I39" s="101">
        <v>2</v>
      </c>
      <c r="J39" s="101">
        <v>0</v>
      </c>
      <c r="K39" s="101">
        <v>2</v>
      </c>
      <c r="L39" s="101">
        <v>2</v>
      </c>
      <c r="M39" s="101">
        <v>2</v>
      </c>
      <c r="N39" s="101">
        <v>0</v>
      </c>
      <c r="O39" s="101">
        <v>0</v>
      </c>
      <c r="P39" s="101">
        <v>2</v>
      </c>
      <c r="Q39" s="101">
        <v>296</v>
      </c>
      <c r="R39" s="12" t="s">
        <v>25</v>
      </c>
      <c r="S39" s="12" t="s">
        <v>25</v>
      </c>
      <c r="T39" s="12" t="s">
        <v>25</v>
      </c>
    </row>
    <row r="40" spans="1:20" x14ac:dyDescent="0.3">
      <c r="A40" s="13">
        <v>43886.75</v>
      </c>
      <c r="B40" s="12" t="s">
        <v>22</v>
      </c>
      <c r="C40" s="101">
        <v>4</v>
      </c>
      <c r="D40" s="12" t="s">
        <v>58</v>
      </c>
      <c r="E40" s="101">
        <v>4606893511</v>
      </c>
      <c r="F40" s="101">
        <v>1112123097</v>
      </c>
      <c r="G40" s="101">
        <v>0</v>
      </c>
      <c r="H40" s="101">
        <v>0</v>
      </c>
      <c r="I40" s="101">
        <v>0</v>
      </c>
      <c r="J40" s="101">
        <v>0</v>
      </c>
      <c r="K40" s="101">
        <v>0</v>
      </c>
      <c r="L40" s="101">
        <v>0</v>
      </c>
      <c r="M40" s="101">
        <v>0</v>
      </c>
      <c r="N40" s="101">
        <v>0</v>
      </c>
      <c r="O40" s="101">
        <v>0</v>
      </c>
      <c r="P40" s="101">
        <v>0</v>
      </c>
      <c r="Q40" s="101">
        <v>3</v>
      </c>
      <c r="R40" s="12" t="s">
        <v>25</v>
      </c>
      <c r="S40" s="12" t="s">
        <v>25</v>
      </c>
      <c r="T40" s="12" t="s">
        <v>25</v>
      </c>
    </row>
    <row r="41" spans="1:20" x14ac:dyDescent="0.3">
      <c r="A41" s="13">
        <v>43886.75</v>
      </c>
      <c r="B41" s="12" t="s">
        <v>22</v>
      </c>
      <c r="C41" s="101">
        <v>10</v>
      </c>
      <c r="D41" s="12" t="s">
        <v>59</v>
      </c>
      <c r="E41" s="101">
        <v>4310675841</v>
      </c>
      <c r="F41" s="101">
        <v>1238824698</v>
      </c>
      <c r="G41" s="101">
        <v>0</v>
      </c>
      <c r="H41" s="101">
        <v>0</v>
      </c>
      <c r="I41" s="101">
        <v>0</v>
      </c>
      <c r="J41" s="101">
        <v>0</v>
      </c>
      <c r="K41" s="101">
        <v>0</v>
      </c>
      <c r="L41" s="101">
        <v>0</v>
      </c>
      <c r="M41" s="101">
        <v>0</v>
      </c>
      <c r="N41" s="101">
        <v>0</v>
      </c>
      <c r="O41" s="101">
        <v>0</v>
      </c>
      <c r="P41" s="101">
        <v>0</v>
      </c>
      <c r="Q41" s="101">
        <v>8</v>
      </c>
      <c r="R41" s="12" t="s">
        <v>25</v>
      </c>
      <c r="S41" s="12" t="s">
        <v>25</v>
      </c>
      <c r="T41" s="12" t="s">
        <v>25</v>
      </c>
    </row>
    <row r="42" spans="1:20" x14ac:dyDescent="0.3">
      <c r="A42" s="13">
        <v>43886.75</v>
      </c>
      <c r="B42" s="12" t="s">
        <v>22</v>
      </c>
      <c r="C42" s="101">
        <v>2</v>
      </c>
      <c r="D42" s="12" t="s">
        <v>60</v>
      </c>
      <c r="E42" s="101">
        <v>4573750286</v>
      </c>
      <c r="F42" s="101">
        <v>7320149366</v>
      </c>
      <c r="G42" s="101">
        <v>0</v>
      </c>
      <c r="H42" s="101">
        <v>0</v>
      </c>
      <c r="I42" s="101">
        <v>0</v>
      </c>
      <c r="J42" s="101">
        <v>0</v>
      </c>
      <c r="K42" s="101">
        <v>0</v>
      </c>
      <c r="L42" s="101">
        <v>0</v>
      </c>
      <c r="M42" s="101">
        <v>0</v>
      </c>
      <c r="N42" s="101">
        <v>0</v>
      </c>
      <c r="O42" s="101">
        <v>0</v>
      </c>
      <c r="P42" s="101">
        <v>0</v>
      </c>
      <c r="Q42" s="101">
        <v>7</v>
      </c>
      <c r="R42" s="12" t="s">
        <v>25</v>
      </c>
      <c r="S42" s="12" t="s">
        <v>25</v>
      </c>
      <c r="T42" s="12" t="s">
        <v>25</v>
      </c>
    </row>
    <row r="43" spans="1:20" x14ac:dyDescent="0.3">
      <c r="A43" s="13">
        <v>43886.75</v>
      </c>
      <c r="B43" s="12" t="s">
        <v>22</v>
      </c>
      <c r="C43" s="101">
        <v>5</v>
      </c>
      <c r="D43" s="12" t="s">
        <v>61</v>
      </c>
      <c r="E43" s="101">
        <v>4543490485</v>
      </c>
      <c r="F43" s="101">
        <v>1233845213</v>
      </c>
      <c r="G43" s="101">
        <v>12</v>
      </c>
      <c r="H43" s="101">
        <v>7</v>
      </c>
      <c r="I43" s="101">
        <v>19</v>
      </c>
      <c r="J43" s="101">
        <v>23</v>
      </c>
      <c r="K43" s="101">
        <v>42</v>
      </c>
      <c r="L43" s="101">
        <v>10</v>
      </c>
      <c r="M43" s="101">
        <v>10</v>
      </c>
      <c r="N43" s="101">
        <v>0</v>
      </c>
      <c r="O43" s="101">
        <v>1</v>
      </c>
      <c r="P43" s="101">
        <v>43</v>
      </c>
      <c r="Q43" s="101">
        <v>3780</v>
      </c>
      <c r="R43" s="12" t="s">
        <v>25</v>
      </c>
      <c r="S43" s="12" t="s">
        <v>25</v>
      </c>
      <c r="T43" s="12" t="s">
        <v>25</v>
      </c>
    </row>
    <row r="44" spans="1:20" x14ac:dyDescent="0.3">
      <c r="A44" s="13">
        <v>43887.75</v>
      </c>
      <c r="B44" s="12" t="s">
        <v>22</v>
      </c>
      <c r="C44" s="101">
        <v>13</v>
      </c>
      <c r="D44" s="12" t="s">
        <v>42</v>
      </c>
      <c r="E44" s="101">
        <v>4235122196</v>
      </c>
      <c r="F44" s="101">
        <v>1339843823</v>
      </c>
      <c r="G44" s="101">
        <v>0</v>
      </c>
      <c r="H44" s="101">
        <v>0</v>
      </c>
      <c r="I44" s="101">
        <v>0</v>
      </c>
      <c r="J44" s="101">
        <v>0</v>
      </c>
      <c r="K44" s="101">
        <v>0</v>
      </c>
      <c r="L44" s="101">
        <v>0</v>
      </c>
      <c r="M44" s="101">
        <v>0</v>
      </c>
      <c r="N44" s="101">
        <v>0</v>
      </c>
      <c r="O44" s="101">
        <v>0</v>
      </c>
      <c r="P44" s="101">
        <v>0</v>
      </c>
      <c r="Q44" s="101">
        <v>13</v>
      </c>
      <c r="R44" s="12" t="s">
        <v>25</v>
      </c>
      <c r="S44" s="12" t="s">
        <v>25</v>
      </c>
      <c r="T44" s="12" t="s">
        <v>25</v>
      </c>
    </row>
    <row r="45" spans="1:20" x14ac:dyDescent="0.3">
      <c r="A45" s="13">
        <v>43887.75</v>
      </c>
      <c r="B45" s="12" t="s">
        <v>22</v>
      </c>
      <c r="C45" s="101">
        <v>17</v>
      </c>
      <c r="D45" s="12" t="s">
        <v>43</v>
      </c>
      <c r="E45" s="101">
        <v>4063947052</v>
      </c>
      <c r="F45" s="101">
        <v>1580514834</v>
      </c>
      <c r="G45" s="101">
        <v>0</v>
      </c>
      <c r="H45" s="101">
        <v>0</v>
      </c>
      <c r="I45" s="101">
        <v>0</v>
      </c>
      <c r="J45" s="101">
        <v>0</v>
      </c>
      <c r="K45" s="101">
        <v>0</v>
      </c>
      <c r="L45" s="101">
        <v>0</v>
      </c>
      <c r="M45" s="101">
        <v>0</v>
      </c>
      <c r="N45" s="101">
        <v>0</v>
      </c>
      <c r="O45" s="101">
        <v>0</v>
      </c>
      <c r="P45" s="101">
        <v>0</v>
      </c>
      <c r="Q45" s="101">
        <v>0</v>
      </c>
      <c r="R45" s="12" t="s">
        <v>25</v>
      </c>
      <c r="S45" s="12" t="s">
        <v>25</v>
      </c>
      <c r="T45" s="12" t="s">
        <v>25</v>
      </c>
    </row>
    <row r="46" spans="1:20" x14ac:dyDescent="0.3">
      <c r="A46" s="13">
        <v>43887.75</v>
      </c>
      <c r="B46" s="12" t="s">
        <v>22</v>
      </c>
      <c r="C46" s="101">
        <v>4</v>
      </c>
      <c r="D46" s="12" t="s">
        <v>44</v>
      </c>
      <c r="E46" s="101">
        <v>4649933453</v>
      </c>
      <c r="F46" s="101">
        <v>1135662422</v>
      </c>
      <c r="G46" s="101">
        <v>1</v>
      </c>
      <c r="H46" s="101">
        <v>0</v>
      </c>
      <c r="I46" s="101">
        <v>1</v>
      </c>
      <c r="J46" s="101">
        <v>0</v>
      </c>
      <c r="K46" s="101">
        <v>1</v>
      </c>
      <c r="L46" s="101">
        <v>0</v>
      </c>
      <c r="M46" s="101">
        <v>0</v>
      </c>
      <c r="N46" s="101">
        <v>0</v>
      </c>
      <c r="O46" s="101">
        <v>0</v>
      </c>
      <c r="P46" s="101">
        <v>1</v>
      </c>
      <c r="Q46" s="101">
        <v>1</v>
      </c>
      <c r="R46" s="12" t="s">
        <v>25</v>
      </c>
      <c r="S46" s="12" t="s">
        <v>25</v>
      </c>
      <c r="T46" s="12" t="s">
        <v>25</v>
      </c>
    </row>
    <row r="47" spans="1:20" x14ac:dyDescent="0.3">
      <c r="A47" s="13">
        <v>43887.75</v>
      </c>
      <c r="B47" s="12" t="s">
        <v>22</v>
      </c>
      <c r="C47" s="101">
        <v>18</v>
      </c>
      <c r="D47" s="12" t="s">
        <v>45</v>
      </c>
      <c r="E47" s="101">
        <v>3890597598</v>
      </c>
      <c r="F47" s="101">
        <v>1659440194</v>
      </c>
      <c r="G47" s="101">
        <v>0</v>
      </c>
      <c r="H47" s="101">
        <v>0</v>
      </c>
      <c r="I47" s="101">
        <v>0</v>
      </c>
      <c r="J47" s="101">
        <v>0</v>
      </c>
      <c r="K47" s="101">
        <v>0</v>
      </c>
      <c r="L47" s="101">
        <v>0</v>
      </c>
      <c r="M47" s="101">
        <v>0</v>
      </c>
      <c r="N47" s="101">
        <v>0</v>
      </c>
      <c r="O47" s="101">
        <v>0</v>
      </c>
      <c r="P47" s="101">
        <v>0</v>
      </c>
      <c r="Q47" s="101">
        <v>3</v>
      </c>
      <c r="R47" s="12" t="s">
        <v>25</v>
      </c>
      <c r="S47" s="12" t="s">
        <v>25</v>
      </c>
      <c r="T47" s="12" t="s">
        <v>25</v>
      </c>
    </row>
    <row r="48" spans="1:20" x14ac:dyDescent="0.3">
      <c r="A48" s="13">
        <v>43887.75</v>
      </c>
      <c r="B48" s="12" t="s">
        <v>22</v>
      </c>
      <c r="C48" s="101">
        <v>15</v>
      </c>
      <c r="D48" s="12" t="s">
        <v>46</v>
      </c>
      <c r="E48" s="101">
        <v>4083956555</v>
      </c>
      <c r="F48" s="101">
        <v>1425084984</v>
      </c>
      <c r="G48" s="101">
        <v>0</v>
      </c>
      <c r="H48" s="101">
        <v>0</v>
      </c>
      <c r="I48" s="101">
        <v>0</v>
      </c>
      <c r="J48" s="101">
        <v>0</v>
      </c>
      <c r="K48" s="101">
        <v>0</v>
      </c>
      <c r="L48" s="101">
        <v>0</v>
      </c>
      <c r="M48" s="101">
        <v>0</v>
      </c>
      <c r="N48" s="101">
        <v>0</v>
      </c>
      <c r="O48" s="101">
        <v>0</v>
      </c>
      <c r="P48" s="101">
        <v>0</v>
      </c>
      <c r="Q48" s="101">
        <v>10</v>
      </c>
      <c r="R48" s="12" t="s">
        <v>25</v>
      </c>
      <c r="S48" s="12" t="s">
        <v>25</v>
      </c>
      <c r="T48" s="12" t="s">
        <v>25</v>
      </c>
    </row>
    <row r="49" spans="1:20" x14ac:dyDescent="0.3">
      <c r="A49" s="13">
        <v>43887.75</v>
      </c>
      <c r="B49" s="12" t="s">
        <v>22</v>
      </c>
      <c r="C49" s="101">
        <v>8</v>
      </c>
      <c r="D49" s="12" t="s">
        <v>96</v>
      </c>
      <c r="E49" s="101">
        <v>4449436681</v>
      </c>
      <c r="F49" s="101">
        <v>113417208</v>
      </c>
      <c r="G49" s="101">
        <v>20</v>
      </c>
      <c r="H49" s="101">
        <v>3</v>
      </c>
      <c r="I49" s="101">
        <v>23</v>
      </c>
      <c r="J49" s="101">
        <v>23</v>
      </c>
      <c r="K49" s="101">
        <v>46</v>
      </c>
      <c r="L49" s="101">
        <v>20</v>
      </c>
      <c r="M49" s="101">
        <v>21</v>
      </c>
      <c r="N49" s="101">
        <v>0</v>
      </c>
      <c r="O49" s="101">
        <v>1</v>
      </c>
      <c r="P49" s="101">
        <v>47</v>
      </c>
      <c r="Q49" s="101">
        <v>577</v>
      </c>
      <c r="R49" s="12" t="s">
        <v>25</v>
      </c>
      <c r="S49" s="12" t="s">
        <v>25</v>
      </c>
      <c r="T49" s="12" t="s">
        <v>25</v>
      </c>
    </row>
    <row r="50" spans="1:20" x14ac:dyDescent="0.3">
      <c r="A50" s="13">
        <v>43887.75</v>
      </c>
      <c r="B50" s="12" t="s">
        <v>22</v>
      </c>
      <c r="C50" s="101">
        <v>6</v>
      </c>
      <c r="D50" s="12" t="s">
        <v>47</v>
      </c>
      <c r="E50" s="101">
        <v>456494354</v>
      </c>
      <c r="F50" s="101">
        <v>1376813649</v>
      </c>
      <c r="G50" s="101">
        <v>0</v>
      </c>
      <c r="H50" s="101">
        <v>0</v>
      </c>
      <c r="I50" s="101">
        <v>0</v>
      </c>
      <c r="J50" s="101">
        <v>0</v>
      </c>
      <c r="K50" s="101">
        <v>0</v>
      </c>
      <c r="L50" s="101">
        <v>0</v>
      </c>
      <c r="M50" s="101">
        <v>0</v>
      </c>
      <c r="N50" s="101">
        <v>0</v>
      </c>
      <c r="O50" s="101">
        <v>0</v>
      </c>
      <c r="P50" s="101">
        <v>0</v>
      </c>
      <c r="Q50" s="101">
        <v>114</v>
      </c>
      <c r="R50" s="12" t="s">
        <v>25</v>
      </c>
      <c r="S50" s="12" t="s">
        <v>25</v>
      </c>
      <c r="T50" s="12" t="s">
        <v>25</v>
      </c>
    </row>
    <row r="51" spans="1:20" x14ac:dyDescent="0.3">
      <c r="A51" s="13">
        <v>43887.75</v>
      </c>
      <c r="B51" s="12" t="s">
        <v>22</v>
      </c>
      <c r="C51" s="101">
        <v>12</v>
      </c>
      <c r="D51" s="12" t="s">
        <v>48</v>
      </c>
      <c r="E51" s="101">
        <v>4189277044</v>
      </c>
      <c r="F51" s="101">
        <v>1248366722</v>
      </c>
      <c r="G51" s="101">
        <v>0</v>
      </c>
      <c r="H51" s="101">
        <v>0</v>
      </c>
      <c r="I51" s="101">
        <v>0</v>
      </c>
      <c r="J51" s="101">
        <v>0</v>
      </c>
      <c r="K51" s="101">
        <v>0</v>
      </c>
      <c r="L51" s="101">
        <v>-2</v>
      </c>
      <c r="M51" s="101">
        <v>0</v>
      </c>
      <c r="N51" s="101">
        <v>3</v>
      </c>
      <c r="O51" s="101">
        <v>0</v>
      </c>
      <c r="P51" s="101">
        <v>3</v>
      </c>
      <c r="Q51" s="101">
        <v>124</v>
      </c>
      <c r="R51" s="12" t="s">
        <v>25</v>
      </c>
      <c r="S51" s="12" t="s">
        <v>25</v>
      </c>
      <c r="T51" s="12" t="s">
        <v>25</v>
      </c>
    </row>
    <row r="52" spans="1:20" x14ac:dyDescent="0.3">
      <c r="A52" s="13">
        <v>43887.75</v>
      </c>
      <c r="B52" s="12" t="s">
        <v>22</v>
      </c>
      <c r="C52" s="101">
        <v>7</v>
      </c>
      <c r="D52" s="12" t="s">
        <v>49</v>
      </c>
      <c r="E52" s="101">
        <v>4441149315</v>
      </c>
      <c r="F52" s="101">
        <v>89326992</v>
      </c>
      <c r="G52" s="101">
        <v>6</v>
      </c>
      <c r="H52" s="101">
        <v>0</v>
      </c>
      <c r="I52" s="101">
        <v>6</v>
      </c>
      <c r="J52" s="101">
        <v>5</v>
      </c>
      <c r="K52" s="101">
        <v>11</v>
      </c>
      <c r="L52" s="101">
        <v>10</v>
      </c>
      <c r="M52" s="101">
        <v>10</v>
      </c>
      <c r="N52" s="101">
        <v>0</v>
      </c>
      <c r="O52" s="101">
        <v>0</v>
      </c>
      <c r="P52" s="101">
        <v>11</v>
      </c>
      <c r="Q52" s="101">
        <v>66</v>
      </c>
      <c r="R52" s="12" t="s">
        <v>25</v>
      </c>
      <c r="S52" s="12" t="s">
        <v>25</v>
      </c>
      <c r="T52" s="12" t="s">
        <v>25</v>
      </c>
    </row>
    <row r="53" spans="1:20" x14ac:dyDescent="0.3">
      <c r="A53" s="13">
        <v>43887.75</v>
      </c>
      <c r="B53" s="12" t="s">
        <v>22</v>
      </c>
      <c r="C53" s="101">
        <v>3</v>
      </c>
      <c r="D53" s="12" t="s">
        <v>50</v>
      </c>
      <c r="E53" s="101">
        <v>4546679409</v>
      </c>
      <c r="F53" s="101">
        <v>9190347404</v>
      </c>
      <c r="G53" s="101">
        <v>79</v>
      </c>
      <c r="H53" s="101">
        <v>25</v>
      </c>
      <c r="I53" s="101">
        <v>104</v>
      </c>
      <c r="J53" s="101">
        <v>145</v>
      </c>
      <c r="K53" s="101">
        <v>249</v>
      </c>
      <c r="L53" s="101">
        <v>18</v>
      </c>
      <c r="M53" s="101">
        <v>18</v>
      </c>
      <c r="N53" s="101">
        <v>0</v>
      </c>
      <c r="O53" s="101">
        <v>9</v>
      </c>
      <c r="P53" s="101">
        <v>258</v>
      </c>
      <c r="Q53" s="101">
        <v>3208</v>
      </c>
      <c r="R53" s="12" t="s">
        <v>25</v>
      </c>
      <c r="S53" s="12" t="s">
        <v>25</v>
      </c>
      <c r="T53" s="12" t="s">
        <v>25</v>
      </c>
    </row>
    <row r="54" spans="1:20" x14ac:dyDescent="0.3">
      <c r="A54" s="13">
        <v>43887.75</v>
      </c>
      <c r="B54" s="12" t="s">
        <v>22</v>
      </c>
      <c r="C54" s="101">
        <v>11</v>
      </c>
      <c r="D54" s="12" t="s">
        <v>51</v>
      </c>
      <c r="E54" s="101">
        <v>4361675973</v>
      </c>
      <c r="F54" s="101">
        <v>135188753</v>
      </c>
      <c r="G54" s="101">
        <v>1</v>
      </c>
      <c r="H54" s="101">
        <v>0</v>
      </c>
      <c r="I54" s="101">
        <v>1</v>
      </c>
      <c r="J54" s="101">
        <v>0</v>
      </c>
      <c r="K54" s="101">
        <v>1</v>
      </c>
      <c r="L54" s="101">
        <v>1</v>
      </c>
      <c r="M54" s="101">
        <v>1</v>
      </c>
      <c r="N54" s="101">
        <v>0</v>
      </c>
      <c r="O54" s="101">
        <v>0</v>
      </c>
      <c r="P54" s="101">
        <v>1</v>
      </c>
      <c r="Q54" s="101">
        <v>28</v>
      </c>
      <c r="R54" s="12" t="s">
        <v>25</v>
      </c>
      <c r="S54" s="12" t="s">
        <v>25</v>
      </c>
      <c r="T54" s="12" t="s">
        <v>25</v>
      </c>
    </row>
    <row r="55" spans="1:20" x14ac:dyDescent="0.3">
      <c r="A55" s="13">
        <v>43887.75</v>
      </c>
      <c r="B55" s="12" t="s">
        <v>22</v>
      </c>
      <c r="C55" s="101">
        <v>14</v>
      </c>
      <c r="D55" s="12" t="s">
        <v>52</v>
      </c>
      <c r="E55" s="101">
        <v>4155774754</v>
      </c>
      <c r="F55" s="101">
        <v>1465916051</v>
      </c>
      <c r="G55" s="101">
        <v>0</v>
      </c>
      <c r="H55" s="101">
        <v>0</v>
      </c>
      <c r="I55" s="101">
        <v>0</v>
      </c>
      <c r="J55" s="101">
        <v>0</v>
      </c>
      <c r="K55" s="101">
        <v>0</v>
      </c>
      <c r="L55" s="101">
        <v>0</v>
      </c>
      <c r="M55" s="101">
        <v>0</v>
      </c>
      <c r="N55" s="101">
        <v>0</v>
      </c>
      <c r="O55" s="101">
        <v>0</v>
      </c>
      <c r="P55" s="101">
        <v>0</v>
      </c>
      <c r="Q55" s="101">
        <v>0</v>
      </c>
      <c r="R55" s="12" t="s">
        <v>25</v>
      </c>
      <c r="S55" s="12" t="s">
        <v>25</v>
      </c>
      <c r="T55" s="12" t="s">
        <v>25</v>
      </c>
    </row>
    <row r="56" spans="1:20" x14ac:dyDescent="0.3">
      <c r="A56" s="13">
        <v>43887.75</v>
      </c>
      <c r="B56" s="12" t="s">
        <v>22</v>
      </c>
      <c r="C56" s="101">
        <v>1</v>
      </c>
      <c r="D56" s="12" t="s">
        <v>53</v>
      </c>
      <c r="E56" s="101">
        <v>450732745</v>
      </c>
      <c r="F56" s="101">
        <v>7680687483</v>
      </c>
      <c r="G56" s="101">
        <v>2</v>
      </c>
      <c r="H56" s="101">
        <v>0</v>
      </c>
      <c r="I56" s="101">
        <v>2</v>
      </c>
      <c r="J56" s="101">
        <v>1</v>
      </c>
      <c r="K56" s="101">
        <v>3</v>
      </c>
      <c r="L56" s="101">
        <v>0</v>
      </c>
      <c r="M56" s="101">
        <v>0</v>
      </c>
      <c r="N56" s="101">
        <v>0</v>
      </c>
      <c r="O56" s="101">
        <v>0</v>
      </c>
      <c r="P56" s="101">
        <v>3</v>
      </c>
      <c r="Q56" s="101">
        <v>156</v>
      </c>
      <c r="R56" s="12" t="s">
        <v>25</v>
      </c>
      <c r="S56" s="12" t="s">
        <v>25</v>
      </c>
      <c r="T56" s="12" t="s">
        <v>25</v>
      </c>
    </row>
    <row r="57" spans="1:20" x14ac:dyDescent="0.3">
      <c r="A57" s="13">
        <v>43887.75</v>
      </c>
      <c r="B57" s="12" t="s">
        <v>22</v>
      </c>
      <c r="C57" s="101">
        <v>16</v>
      </c>
      <c r="D57" s="12" t="s">
        <v>54</v>
      </c>
      <c r="E57" s="101">
        <v>4112559576</v>
      </c>
      <c r="F57" s="101">
        <v>1686736689</v>
      </c>
      <c r="G57" s="101">
        <v>0</v>
      </c>
      <c r="H57" s="101">
        <v>0</v>
      </c>
      <c r="I57" s="101">
        <v>0</v>
      </c>
      <c r="J57" s="101">
        <v>0</v>
      </c>
      <c r="K57" s="101">
        <v>0</v>
      </c>
      <c r="L57" s="101">
        <v>0</v>
      </c>
      <c r="M57" s="101">
        <v>0</v>
      </c>
      <c r="N57" s="101">
        <v>0</v>
      </c>
      <c r="O57" s="101">
        <v>0</v>
      </c>
      <c r="P57" s="101">
        <v>0</v>
      </c>
      <c r="Q57" s="101">
        <v>0</v>
      </c>
      <c r="R57" s="12" t="s">
        <v>25</v>
      </c>
      <c r="S57" s="12" t="s">
        <v>25</v>
      </c>
      <c r="T57" s="12" t="s">
        <v>25</v>
      </c>
    </row>
    <row r="58" spans="1:20" x14ac:dyDescent="0.3">
      <c r="A58" s="13">
        <v>43887.75</v>
      </c>
      <c r="B58" s="12" t="s">
        <v>22</v>
      </c>
      <c r="C58" s="101">
        <v>20</v>
      </c>
      <c r="D58" s="12" t="s">
        <v>55</v>
      </c>
      <c r="E58" s="101">
        <v>3921531192</v>
      </c>
      <c r="F58" s="101">
        <v>9110616306</v>
      </c>
      <c r="G58" s="101">
        <v>0</v>
      </c>
      <c r="H58" s="101">
        <v>0</v>
      </c>
      <c r="I58" s="101">
        <v>0</v>
      </c>
      <c r="J58" s="101">
        <v>0</v>
      </c>
      <c r="K58" s="101">
        <v>0</v>
      </c>
      <c r="L58" s="101">
        <v>0</v>
      </c>
      <c r="M58" s="101">
        <v>0</v>
      </c>
      <c r="N58" s="101">
        <v>0</v>
      </c>
      <c r="O58" s="101">
        <v>0</v>
      </c>
      <c r="P58" s="101">
        <v>0</v>
      </c>
      <c r="Q58" s="101">
        <v>1</v>
      </c>
      <c r="R58" s="12" t="s">
        <v>25</v>
      </c>
      <c r="S58" s="12" t="s">
        <v>25</v>
      </c>
      <c r="T58" s="12" t="s">
        <v>25</v>
      </c>
    </row>
    <row r="59" spans="1:20" x14ac:dyDescent="0.3">
      <c r="A59" s="13">
        <v>43887.75</v>
      </c>
      <c r="B59" s="12" t="s">
        <v>22</v>
      </c>
      <c r="C59" s="101">
        <v>19</v>
      </c>
      <c r="D59" s="12" t="s">
        <v>56</v>
      </c>
      <c r="E59" s="101">
        <v>3811569725</v>
      </c>
      <c r="F59" s="101">
        <v>133623567</v>
      </c>
      <c r="G59" s="101">
        <v>1</v>
      </c>
      <c r="H59" s="101">
        <v>0</v>
      </c>
      <c r="I59" s="101">
        <v>1</v>
      </c>
      <c r="J59" s="101">
        <v>2</v>
      </c>
      <c r="K59" s="101">
        <v>3</v>
      </c>
      <c r="L59" s="101">
        <v>0</v>
      </c>
      <c r="M59" s="101">
        <v>0</v>
      </c>
      <c r="N59" s="101">
        <v>0</v>
      </c>
      <c r="O59" s="101">
        <v>0</v>
      </c>
      <c r="P59" s="101">
        <v>3</v>
      </c>
      <c r="Q59" s="101">
        <v>5</v>
      </c>
      <c r="R59" s="12" t="s">
        <v>25</v>
      </c>
      <c r="S59" s="12" t="s">
        <v>25</v>
      </c>
      <c r="T59" s="12" t="s">
        <v>25</v>
      </c>
    </row>
    <row r="60" spans="1:20" x14ac:dyDescent="0.3">
      <c r="A60" s="13">
        <v>43887.75</v>
      </c>
      <c r="B60" s="12" t="s">
        <v>22</v>
      </c>
      <c r="C60" s="101">
        <v>9</v>
      </c>
      <c r="D60" s="12" t="s">
        <v>57</v>
      </c>
      <c r="E60" s="101">
        <v>4376923077</v>
      </c>
      <c r="F60" s="101">
        <v>1125588885</v>
      </c>
      <c r="G60" s="101">
        <v>2</v>
      </c>
      <c r="H60" s="101">
        <v>0</v>
      </c>
      <c r="I60" s="101">
        <v>2</v>
      </c>
      <c r="J60" s="101">
        <v>0</v>
      </c>
      <c r="K60" s="101">
        <v>2</v>
      </c>
      <c r="L60" s="101">
        <v>0</v>
      </c>
      <c r="M60" s="101">
        <v>0</v>
      </c>
      <c r="N60" s="101">
        <v>0</v>
      </c>
      <c r="O60" s="101">
        <v>0</v>
      </c>
      <c r="P60" s="101">
        <v>2</v>
      </c>
      <c r="Q60" s="101">
        <v>363</v>
      </c>
      <c r="R60" s="12" t="s">
        <v>25</v>
      </c>
      <c r="S60" s="12" t="s">
        <v>25</v>
      </c>
      <c r="T60" s="12" t="s">
        <v>25</v>
      </c>
    </row>
    <row r="61" spans="1:20" x14ac:dyDescent="0.3">
      <c r="A61" s="13">
        <v>43887.75</v>
      </c>
      <c r="B61" s="12" t="s">
        <v>22</v>
      </c>
      <c r="C61" s="101">
        <v>4</v>
      </c>
      <c r="D61" s="12" t="s">
        <v>58</v>
      </c>
      <c r="E61" s="101">
        <v>4606893511</v>
      </c>
      <c r="F61" s="101">
        <v>1112123097</v>
      </c>
      <c r="G61" s="101">
        <v>0</v>
      </c>
      <c r="H61" s="101">
        <v>0</v>
      </c>
      <c r="I61" s="101">
        <v>0</v>
      </c>
      <c r="J61" s="101">
        <v>0</v>
      </c>
      <c r="K61" s="101">
        <v>0</v>
      </c>
      <c r="L61" s="101">
        <v>0</v>
      </c>
      <c r="M61" s="101">
        <v>0</v>
      </c>
      <c r="N61" s="101">
        <v>0</v>
      </c>
      <c r="O61" s="101">
        <v>0</v>
      </c>
      <c r="P61" s="101">
        <v>0</v>
      </c>
      <c r="Q61" s="101">
        <v>3</v>
      </c>
      <c r="R61" s="12" t="s">
        <v>25</v>
      </c>
      <c r="S61" s="12" t="s">
        <v>25</v>
      </c>
      <c r="T61" s="12" t="s">
        <v>25</v>
      </c>
    </row>
    <row r="62" spans="1:20" x14ac:dyDescent="0.3">
      <c r="A62" s="13">
        <v>43887.75</v>
      </c>
      <c r="B62" s="12" t="s">
        <v>22</v>
      </c>
      <c r="C62" s="101">
        <v>10</v>
      </c>
      <c r="D62" s="12" t="s">
        <v>59</v>
      </c>
      <c r="E62" s="101">
        <v>4310675841</v>
      </c>
      <c r="F62" s="101">
        <v>1238824698</v>
      </c>
      <c r="G62" s="101">
        <v>0</v>
      </c>
      <c r="H62" s="101">
        <v>0</v>
      </c>
      <c r="I62" s="101">
        <v>0</v>
      </c>
      <c r="J62" s="101">
        <v>0</v>
      </c>
      <c r="K62" s="101">
        <v>0</v>
      </c>
      <c r="L62" s="101">
        <v>0</v>
      </c>
      <c r="M62" s="101">
        <v>0</v>
      </c>
      <c r="N62" s="101">
        <v>0</v>
      </c>
      <c r="O62" s="101">
        <v>0</v>
      </c>
      <c r="P62" s="101">
        <v>0</v>
      </c>
      <c r="Q62" s="101">
        <v>8</v>
      </c>
      <c r="R62" s="12" t="s">
        <v>25</v>
      </c>
      <c r="S62" s="12" t="s">
        <v>25</v>
      </c>
      <c r="T62" s="12" t="s">
        <v>25</v>
      </c>
    </row>
    <row r="63" spans="1:20" x14ac:dyDescent="0.3">
      <c r="A63" s="13">
        <v>43887.75</v>
      </c>
      <c r="B63" s="12" t="s">
        <v>22</v>
      </c>
      <c r="C63" s="101">
        <v>2</v>
      </c>
      <c r="D63" s="12" t="s">
        <v>60</v>
      </c>
      <c r="E63" s="101">
        <v>4573750286</v>
      </c>
      <c r="F63" s="101">
        <v>7320149366</v>
      </c>
      <c r="G63" s="101">
        <v>0</v>
      </c>
      <c r="H63" s="101">
        <v>0</v>
      </c>
      <c r="I63" s="101">
        <v>0</v>
      </c>
      <c r="J63" s="101">
        <v>0</v>
      </c>
      <c r="K63" s="101">
        <v>0</v>
      </c>
      <c r="L63" s="101">
        <v>0</v>
      </c>
      <c r="M63" s="101">
        <v>0</v>
      </c>
      <c r="N63" s="101">
        <v>0</v>
      </c>
      <c r="O63" s="101">
        <v>0</v>
      </c>
      <c r="P63" s="101">
        <v>0</v>
      </c>
      <c r="Q63" s="101">
        <v>7</v>
      </c>
      <c r="R63" s="12" t="s">
        <v>25</v>
      </c>
      <c r="S63" s="12" t="s">
        <v>25</v>
      </c>
      <c r="T63" s="12" t="s">
        <v>25</v>
      </c>
    </row>
    <row r="64" spans="1:20" x14ac:dyDescent="0.3">
      <c r="A64" s="13">
        <v>43887.75</v>
      </c>
      <c r="B64" s="12" t="s">
        <v>22</v>
      </c>
      <c r="C64" s="101">
        <v>5</v>
      </c>
      <c r="D64" s="12" t="s">
        <v>61</v>
      </c>
      <c r="E64" s="101">
        <v>4543490485</v>
      </c>
      <c r="F64" s="101">
        <v>1233845213</v>
      </c>
      <c r="G64" s="101">
        <v>16</v>
      </c>
      <c r="H64" s="101">
        <v>8</v>
      </c>
      <c r="I64" s="101">
        <v>24</v>
      </c>
      <c r="J64" s="101">
        <v>45</v>
      </c>
      <c r="K64" s="101">
        <v>69</v>
      </c>
      <c r="L64" s="101">
        <v>27</v>
      </c>
      <c r="M64" s="101">
        <v>28</v>
      </c>
      <c r="N64" s="101">
        <v>0</v>
      </c>
      <c r="O64" s="101">
        <v>2</v>
      </c>
      <c r="P64" s="101">
        <v>71</v>
      </c>
      <c r="Q64" s="101">
        <v>4900</v>
      </c>
      <c r="R64" s="12" t="s">
        <v>25</v>
      </c>
      <c r="S64" s="12" t="s">
        <v>25</v>
      </c>
      <c r="T64" s="12" t="s">
        <v>25</v>
      </c>
    </row>
    <row r="65" spans="1:20" x14ac:dyDescent="0.3">
      <c r="A65" s="13">
        <v>43888.75</v>
      </c>
      <c r="B65" s="12" t="s">
        <v>22</v>
      </c>
      <c r="C65" s="101">
        <v>13</v>
      </c>
      <c r="D65" s="12" t="s">
        <v>42</v>
      </c>
      <c r="E65" s="101">
        <v>4235122196</v>
      </c>
      <c r="F65" s="101">
        <v>1339843823</v>
      </c>
      <c r="G65" s="101">
        <v>1</v>
      </c>
      <c r="H65" s="101">
        <v>0</v>
      </c>
      <c r="I65" s="101">
        <v>1</v>
      </c>
      <c r="J65" s="101">
        <v>0</v>
      </c>
      <c r="K65" s="101">
        <v>1</v>
      </c>
      <c r="L65" s="101">
        <v>1</v>
      </c>
      <c r="M65" s="101">
        <v>1</v>
      </c>
      <c r="N65" s="101">
        <v>0</v>
      </c>
      <c r="O65" s="101">
        <v>0</v>
      </c>
      <c r="P65" s="101">
        <v>1</v>
      </c>
      <c r="Q65" s="101">
        <v>33</v>
      </c>
      <c r="R65" s="12" t="s">
        <v>25</v>
      </c>
      <c r="S65" s="12" t="s">
        <v>25</v>
      </c>
      <c r="T65" s="12" t="s">
        <v>25</v>
      </c>
    </row>
    <row r="66" spans="1:20" x14ac:dyDescent="0.3">
      <c r="A66" s="13">
        <v>43888.75</v>
      </c>
      <c r="B66" s="12" t="s">
        <v>22</v>
      </c>
      <c r="C66" s="101">
        <v>17</v>
      </c>
      <c r="D66" s="12" t="s">
        <v>43</v>
      </c>
      <c r="E66" s="101">
        <v>4063947052</v>
      </c>
      <c r="F66" s="101">
        <v>1580514834</v>
      </c>
      <c r="G66" s="101">
        <v>0</v>
      </c>
      <c r="H66" s="101">
        <v>0</v>
      </c>
      <c r="I66" s="101">
        <v>0</v>
      </c>
      <c r="J66" s="101">
        <v>0</v>
      </c>
      <c r="K66" s="101">
        <v>0</v>
      </c>
      <c r="L66" s="101">
        <v>0</v>
      </c>
      <c r="M66" s="101">
        <v>0</v>
      </c>
      <c r="N66" s="101">
        <v>0</v>
      </c>
      <c r="O66" s="101">
        <v>0</v>
      </c>
      <c r="P66" s="101">
        <v>0</v>
      </c>
      <c r="Q66" s="101">
        <v>0</v>
      </c>
      <c r="R66" s="12" t="s">
        <v>25</v>
      </c>
      <c r="S66" s="12" t="s">
        <v>25</v>
      </c>
      <c r="T66" s="12" t="s">
        <v>25</v>
      </c>
    </row>
    <row r="67" spans="1:20" x14ac:dyDescent="0.3">
      <c r="A67" s="13">
        <v>43888.75</v>
      </c>
      <c r="B67" s="12" t="s">
        <v>22</v>
      </c>
      <c r="C67" s="101">
        <v>4</v>
      </c>
      <c r="D67" s="12" t="s">
        <v>44</v>
      </c>
      <c r="E67" s="101">
        <v>4649933453</v>
      </c>
      <c r="F67" s="101">
        <v>1135662422</v>
      </c>
      <c r="G67" s="101">
        <v>1</v>
      </c>
      <c r="H67" s="101">
        <v>0</v>
      </c>
      <c r="I67" s="101">
        <v>1</v>
      </c>
      <c r="J67" s="101">
        <v>0</v>
      </c>
      <c r="K67" s="101">
        <v>1</v>
      </c>
      <c r="L67" s="101">
        <v>0</v>
      </c>
      <c r="M67" s="101">
        <v>0</v>
      </c>
      <c r="N67" s="101">
        <v>0</v>
      </c>
      <c r="O67" s="101">
        <v>0</v>
      </c>
      <c r="P67" s="101">
        <v>1</v>
      </c>
      <c r="Q67" s="101">
        <v>2</v>
      </c>
      <c r="R67" s="12" t="s">
        <v>25</v>
      </c>
      <c r="S67" s="12" t="s">
        <v>25</v>
      </c>
      <c r="T67" s="12" t="s">
        <v>25</v>
      </c>
    </row>
    <row r="68" spans="1:20" x14ac:dyDescent="0.3">
      <c r="A68" s="13">
        <v>43888.75</v>
      </c>
      <c r="B68" s="12" t="s">
        <v>22</v>
      </c>
      <c r="C68" s="101">
        <v>18</v>
      </c>
      <c r="D68" s="12" t="s">
        <v>45</v>
      </c>
      <c r="E68" s="101">
        <v>3890597598</v>
      </c>
      <c r="F68" s="101">
        <v>1659440194</v>
      </c>
      <c r="G68" s="101">
        <v>0</v>
      </c>
      <c r="H68" s="101">
        <v>0</v>
      </c>
      <c r="I68" s="101">
        <v>0</v>
      </c>
      <c r="J68" s="101">
        <v>0</v>
      </c>
      <c r="K68" s="101">
        <v>0</v>
      </c>
      <c r="L68" s="101">
        <v>0</v>
      </c>
      <c r="M68" s="101">
        <v>0</v>
      </c>
      <c r="N68" s="101">
        <v>0</v>
      </c>
      <c r="O68" s="101">
        <v>0</v>
      </c>
      <c r="P68" s="101">
        <v>0</v>
      </c>
      <c r="Q68" s="101">
        <v>14</v>
      </c>
      <c r="R68" s="12" t="s">
        <v>25</v>
      </c>
      <c r="S68" s="12" t="s">
        <v>25</v>
      </c>
      <c r="T68" s="12" t="s">
        <v>25</v>
      </c>
    </row>
    <row r="69" spans="1:20" x14ac:dyDescent="0.3">
      <c r="A69" s="13">
        <v>43888.75</v>
      </c>
      <c r="B69" s="12" t="s">
        <v>22</v>
      </c>
      <c r="C69" s="101">
        <v>15</v>
      </c>
      <c r="D69" s="12" t="s">
        <v>46</v>
      </c>
      <c r="E69" s="101">
        <v>4083956555</v>
      </c>
      <c r="F69" s="101">
        <v>1425084984</v>
      </c>
      <c r="G69" s="101">
        <v>2</v>
      </c>
      <c r="H69" s="101">
        <v>0</v>
      </c>
      <c r="I69" s="101">
        <v>2</v>
      </c>
      <c r="J69" s="101">
        <v>1</v>
      </c>
      <c r="K69" s="101">
        <v>3</v>
      </c>
      <c r="L69" s="101">
        <v>3</v>
      </c>
      <c r="M69" s="101">
        <v>3</v>
      </c>
      <c r="N69" s="101">
        <v>0</v>
      </c>
      <c r="O69" s="101">
        <v>0</v>
      </c>
      <c r="P69" s="101">
        <v>3</v>
      </c>
      <c r="Q69" s="101">
        <v>10</v>
      </c>
      <c r="R69" s="12" t="s">
        <v>25</v>
      </c>
      <c r="S69" s="12" t="s">
        <v>25</v>
      </c>
      <c r="T69" s="12" t="s">
        <v>25</v>
      </c>
    </row>
    <row r="70" spans="1:20" x14ac:dyDescent="0.3">
      <c r="A70" s="13">
        <v>43888.75</v>
      </c>
      <c r="B70" s="12" t="s">
        <v>22</v>
      </c>
      <c r="C70" s="101">
        <v>8</v>
      </c>
      <c r="D70" s="12" t="s">
        <v>96</v>
      </c>
      <c r="E70" s="101">
        <v>4449436681</v>
      </c>
      <c r="F70" s="101">
        <v>113417208</v>
      </c>
      <c r="G70" s="101">
        <v>36</v>
      </c>
      <c r="H70" s="101">
        <v>6</v>
      </c>
      <c r="I70" s="101">
        <v>42</v>
      </c>
      <c r="J70" s="101">
        <v>54</v>
      </c>
      <c r="K70" s="101">
        <v>96</v>
      </c>
      <c r="L70" s="101">
        <v>50</v>
      </c>
      <c r="M70" s="101">
        <v>50</v>
      </c>
      <c r="N70" s="101">
        <v>0</v>
      </c>
      <c r="O70" s="101">
        <v>1</v>
      </c>
      <c r="P70" s="101">
        <v>97</v>
      </c>
      <c r="Q70" s="101">
        <v>1033</v>
      </c>
      <c r="R70" s="12" t="s">
        <v>25</v>
      </c>
      <c r="S70" s="12" t="s">
        <v>25</v>
      </c>
      <c r="T70" s="12" t="s">
        <v>25</v>
      </c>
    </row>
    <row r="71" spans="1:20" x14ac:dyDescent="0.3">
      <c r="A71" s="13">
        <v>43888.75</v>
      </c>
      <c r="B71" s="12" t="s">
        <v>22</v>
      </c>
      <c r="C71" s="101">
        <v>6</v>
      </c>
      <c r="D71" s="12" t="s">
        <v>47</v>
      </c>
      <c r="E71" s="101">
        <v>456494354</v>
      </c>
      <c r="F71" s="101">
        <v>1376813649</v>
      </c>
      <c r="G71" s="101">
        <v>0</v>
      </c>
      <c r="H71" s="101">
        <v>0</v>
      </c>
      <c r="I71" s="101">
        <v>0</v>
      </c>
      <c r="J71" s="101">
        <v>0</v>
      </c>
      <c r="K71" s="101">
        <v>0</v>
      </c>
      <c r="L71" s="101">
        <v>0</v>
      </c>
      <c r="M71" s="101">
        <v>0</v>
      </c>
      <c r="N71" s="101">
        <v>0</v>
      </c>
      <c r="O71" s="101">
        <v>0</v>
      </c>
      <c r="P71" s="101">
        <v>0</v>
      </c>
      <c r="Q71" s="101">
        <v>141</v>
      </c>
      <c r="R71" s="12" t="s">
        <v>25</v>
      </c>
      <c r="S71" s="12" t="s">
        <v>25</v>
      </c>
      <c r="T71" s="12" t="s">
        <v>25</v>
      </c>
    </row>
    <row r="72" spans="1:20" x14ac:dyDescent="0.3">
      <c r="A72" s="13">
        <v>43888.75</v>
      </c>
      <c r="B72" s="12" t="s">
        <v>22</v>
      </c>
      <c r="C72" s="101">
        <v>12</v>
      </c>
      <c r="D72" s="12" t="s">
        <v>48</v>
      </c>
      <c r="E72" s="101">
        <v>4189277044</v>
      </c>
      <c r="F72" s="101">
        <v>1248366722</v>
      </c>
      <c r="G72" s="101">
        <v>0</v>
      </c>
      <c r="H72" s="101">
        <v>0</v>
      </c>
      <c r="I72" s="101">
        <v>0</v>
      </c>
      <c r="J72" s="101">
        <v>0</v>
      </c>
      <c r="K72" s="101">
        <v>0</v>
      </c>
      <c r="L72" s="101">
        <v>0</v>
      </c>
      <c r="M72" s="101">
        <v>0</v>
      </c>
      <c r="N72" s="101">
        <v>3</v>
      </c>
      <c r="O72" s="101">
        <v>0</v>
      </c>
      <c r="P72" s="101">
        <v>3</v>
      </c>
      <c r="Q72" s="101">
        <v>552</v>
      </c>
      <c r="R72" s="12" t="s">
        <v>25</v>
      </c>
      <c r="S72" s="12" t="s">
        <v>25</v>
      </c>
      <c r="T72" s="12" t="s">
        <v>25</v>
      </c>
    </row>
    <row r="73" spans="1:20" x14ac:dyDescent="0.3">
      <c r="A73" s="13">
        <v>43888.75</v>
      </c>
      <c r="B73" s="12" t="s">
        <v>22</v>
      </c>
      <c r="C73" s="101">
        <v>7</v>
      </c>
      <c r="D73" s="12" t="s">
        <v>49</v>
      </c>
      <c r="E73" s="101">
        <v>4441149315</v>
      </c>
      <c r="F73" s="101">
        <v>89326992</v>
      </c>
      <c r="G73" s="101">
        <v>9</v>
      </c>
      <c r="H73" s="101">
        <v>0</v>
      </c>
      <c r="I73" s="101">
        <v>9</v>
      </c>
      <c r="J73" s="101">
        <v>10</v>
      </c>
      <c r="K73" s="101">
        <v>19</v>
      </c>
      <c r="L73" s="101">
        <v>8</v>
      </c>
      <c r="M73" s="101">
        <v>8</v>
      </c>
      <c r="N73" s="101">
        <v>0</v>
      </c>
      <c r="O73" s="101">
        <v>0</v>
      </c>
      <c r="P73" s="101">
        <v>19</v>
      </c>
      <c r="Q73" s="101">
        <v>78</v>
      </c>
      <c r="R73" s="12" t="s">
        <v>25</v>
      </c>
      <c r="S73" s="12" t="s">
        <v>25</v>
      </c>
      <c r="T73" s="12" t="s">
        <v>25</v>
      </c>
    </row>
    <row r="74" spans="1:20" x14ac:dyDescent="0.3">
      <c r="A74" s="13">
        <v>43888.75</v>
      </c>
      <c r="B74" s="12" t="s">
        <v>22</v>
      </c>
      <c r="C74" s="101">
        <v>3</v>
      </c>
      <c r="D74" s="12" t="s">
        <v>50</v>
      </c>
      <c r="E74" s="101">
        <v>4546679409</v>
      </c>
      <c r="F74" s="101">
        <v>9190347404</v>
      </c>
      <c r="G74" s="101">
        <v>172</v>
      </c>
      <c r="H74" s="101">
        <v>41</v>
      </c>
      <c r="I74" s="101">
        <v>213</v>
      </c>
      <c r="J74" s="101">
        <v>136</v>
      </c>
      <c r="K74" s="101">
        <v>349</v>
      </c>
      <c r="L74" s="101">
        <v>100</v>
      </c>
      <c r="M74" s="101">
        <v>145</v>
      </c>
      <c r="N74" s="101">
        <v>40</v>
      </c>
      <c r="O74" s="101">
        <v>14</v>
      </c>
      <c r="P74" s="101">
        <v>403</v>
      </c>
      <c r="Q74" s="101">
        <v>3320</v>
      </c>
      <c r="R74" s="12" t="s">
        <v>25</v>
      </c>
      <c r="S74" s="12" t="s">
        <v>25</v>
      </c>
      <c r="T74" s="12" t="s">
        <v>25</v>
      </c>
    </row>
    <row r="75" spans="1:20" x14ac:dyDescent="0.3">
      <c r="A75" s="13">
        <v>43888.75</v>
      </c>
      <c r="B75" s="12" t="s">
        <v>22</v>
      </c>
      <c r="C75" s="101">
        <v>11</v>
      </c>
      <c r="D75" s="12" t="s">
        <v>51</v>
      </c>
      <c r="E75" s="101">
        <v>4361675973</v>
      </c>
      <c r="F75" s="101">
        <v>135188753</v>
      </c>
      <c r="G75" s="101">
        <v>2</v>
      </c>
      <c r="H75" s="101">
        <v>1</v>
      </c>
      <c r="I75" s="101">
        <v>3</v>
      </c>
      <c r="J75" s="101">
        <v>0</v>
      </c>
      <c r="K75" s="101">
        <v>3</v>
      </c>
      <c r="L75" s="101">
        <v>2</v>
      </c>
      <c r="M75" s="101">
        <v>2</v>
      </c>
      <c r="N75" s="101">
        <v>0</v>
      </c>
      <c r="O75" s="101">
        <v>0</v>
      </c>
      <c r="P75" s="101">
        <v>3</v>
      </c>
      <c r="Q75" s="101">
        <v>46</v>
      </c>
      <c r="R75" s="12" t="s">
        <v>25</v>
      </c>
      <c r="S75" s="12" t="s">
        <v>25</v>
      </c>
      <c r="T75" s="12" t="s">
        <v>25</v>
      </c>
    </row>
    <row r="76" spans="1:20" x14ac:dyDescent="0.3">
      <c r="A76" s="13">
        <v>43888.75</v>
      </c>
      <c r="B76" s="12" t="s">
        <v>22</v>
      </c>
      <c r="C76" s="101">
        <v>14</v>
      </c>
      <c r="D76" s="12" t="s">
        <v>52</v>
      </c>
      <c r="E76" s="101">
        <v>4155774754</v>
      </c>
      <c r="F76" s="101">
        <v>1465916051</v>
      </c>
      <c r="G76" s="101">
        <v>0</v>
      </c>
      <c r="H76" s="101">
        <v>0</v>
      </c>
      <c r="I76" s="101">
        <v>0</v>
      </c>
      <c r="J76" s="101">
        <v>0</v>
      </c>
      <c r="K76" s="101">
        <v>0</v>
      </c>
      <c r="L76" s="101">
        <v>0</v>
      </c>
      <c r="M76" s="101">
        <v>0</v>
      </c>
      <c r="N76" s="101">
        <v>0</v>
      </c>
      <c r="O76" s="101">
        <v>0</v>
      </c>
      <c r="P76" s="101">
        <v>0</v>
      </c>
      <c r="Q76" s="101">
        <v>0</v>
      </c>
      <c r="R76" s="12" t="s">
        <v>25</v>
      </c>
      <c r="S76" s="12" t="s">
        <v>25</v>
      </c>
      <c r="T76" s="12" t="s">
        <v>25</v>
      </c>
    </row>
    <row r="77" spans="1:20" x14ac:dyDescent="0.3">
      <c r="A77" s="13">
        <v>43888.75</v>
      </c>
      <c r="B77" s="12" t="s">
        <v>22</v>
      </c>
      <c r="C77" s="101">
        <v>1</v>
      </c>
      <c r="D77" s="12" t="s">
        <v>53</v>
      </c>
      <c r="E77" s="101">
        <v>450732745</v>
      </c>
      <c r="F77" s="101">
        <v>7680687483</v>
      </c>
      <c r="G77" s="101">
        <v>2</v>
      </c>
      <c r="H77" s="101">
        <v>0</v>
      </c>
      <c r="I77" s="101">
        <v>2</v>
      </c>
      <c r="J77" s="101">
        <v>0</v>
      </c>
      <c r="K77" s="101">
        <v>2</v>
      </c>
      <c r="L77" s="101">
        <v>-1</v>
      </c>
      <c r="M77" s="101">
        <v>-1</v>
      </c>
      <c r="N77" s="101">
        <v>0</v>
      </c>
      <c r="O77" s="101">
        <v>0</v>
      </c>
      <c r="P77" s="101">
        <v>2</v>
      </c>
      <c r="Q77" s="101">
        <v>156</v>
      </c>
      <c r="R77" s="12" t="s">
        <v>25</v>
      </c>
      <c r="S77" s="12" t="s">
        <v>25</v>
      </c>
      <c r="T77" s="12" t="s">
        <v>25</v>
      </c>
    </row>
    <row r="78" spans="1:20" x14ac:dyDescent="0.3">
      <c r="A78" s="13">
        <v>43888.75</v>
      </c>
      <c r="B78" s="12" t="s">
        <v>22</v>
      </c>
      <c r="C78" s="101">
        <v>16</v>
      </c>
      <c r="D78" s="12" t="s">
        <v>54</v>
      </c>
      <c r="E78" s="101">
        <v>4112559576</v>
      </c>
      <c r="F78" s="101">
        <v>1686736689</v>
      </c>
      <c r="G78" s="101">
        <v>1</v>
      </c>
      <c r="H78" s="101">
        <v>0</v>
      </c>
      <c r="I78" s="101">
        <v>1</v>
      </c>
      <c r="J78" s="101">
        <v>0</v>
      </c>
      <c r="K78" s="101">
        <v>1</v>
      </c>
      <c r="L78" s="101">
        <v>1</v>
      </c>
      <c r="M78" s="101">
        <v>1</v>
      </c>
      <c r="N78" s="101">
        <v>0</v>
      </c>
      <c r="O78" s="101">
        <v>0</v>
      </c>
      <c r="P78" s="101">
        <v>1</v>
      </c>
      <c r="Q78" s="101">
        <v>0</v>
      </c>
      <c r="R78" s="12" t="s">
        <v>25</v>
      </c>
      <c r="S78" s="12" t="s">
        <v>25</v>
      </c>
      <c r="T78" s="12" t="s">
        <v>25</v>
      </c>
    </row>
    <row r="79" spans="1:20" x14ac:dyDescent="0.3">
      <c r="A79" s="13">
        <v>43888.75</v>
      </c>
      <c r="B79" s="12" t="s">
        <v>22</v>
      </c>
      <c r="C79" s="101">
        <v>20</v>
      </c>
      <c r="D79" s="12" t="s">
        <v>55</v>
      </c>
      <c r="E79" s="101">
        <v>3921531192</v>
      </c>
      <c r="F79" s="101">
        <v>9110616306</v>
      </c>
      <c r="G79" s="101">
        <v>0</v>
      </c>
      <c r="H79" s="101">
        <v>0</v>
      </c>
      <c r="I79" s="101">
        <v>0</v>
      </c>
      <c r="J79" s="101">
        <v>0</v>
      </c>
      <c r="K79" s="101">
        <v>0</v>
      </c>
      <c r="L79" s="101">
        <v>0</v>
      </c>
      <c r="M79" s="101">
        <v>0</v>
      </c>
      <c r="N79" s="101">
        <v>0</v>
      </c>
      <c r="O79" s="101">
        <v>0</v>
      </c>
      <c r="P79" s="101">
        <v>0</v>
      </c>
      <c r="Q79" s="101">
        <v>1</v>
      </c>
      <c r="R79" s="12" t="s">
        <v>25</v>
      </c>
      <c r="S79" s="12" t="s">
        <v>25</v>
      </c>
      <c r="T79" s="12" t="s">
        <v>25</v>
      </c>
    </row>
    <row r="80" spans="1:20" x14ac:dyDescent="0.3">
      <c r="A80" s="13">
        <v>43888.75</v>
      </c>
      <c r="B80" s="12" t="s">
        <v>22</v>
      </c>
      <c r="C80" s="101">
        <v>19</v>
      </c>
      <c r="D80" s="12" t="s">
        <v>56</v>
      </c>
      <c r="E80" s="101">
        <v>3811569725</v>
      </c>
      <c r="F80" s="101">
        <v>133623567</v>
      </c>
      <c r="G80" s="101">
        <v>1</v>
      </c>
      <c r="H80" s="101">
        <v>0</v>
      </c>
      <c r="I80" s="101">
        <v>1</v>
      </c>
      <c r="J80" s="101">
        <v>1</v>
      </c>
      <c r="K80" s="101">
        <v>2</v>
      </c>
      <c r="L80" s="101">
        <v>-1</v>
      </c>
      <c r="M80" s="101">
        <v>1</v>
      </c>
      <c r="N80" s="101">
        <v>2</v>
      </c>
      <c r="O80" s="101">
        <v>0</v>
      </c>
      <c r="P80" s="101">
        <v>4</v>
      </c>
      <c r="Q80" s="101">
        <v>5</v>
      </c>
      <c r="R80" s="12" t="s">
        <v>25</v>
      </c>
      <c r="S80" s="12" t="s">
        <v>25</v>
      </c>
      <c r="T80" s="12" t="s">
        <v>25</v>
      </c>
    </row>
    <row r="81" spans="1:20" x14ac:dyDescent="0.3">
      <c r="A81" s="13">
        <v>43888.75</v>
      </c>
      <c r="B81" s="12" t="s">
        <v>22</v>
      </c>
      <c r="C81" s="101">
        <v>9</v>
      </c>
      <c r="D81" s="12" t="s">
        <v>57</v>
      </c>
      <c r="E81" s="101">
        <v>4376923077</v>
      </c>
      <c r="F81" s="101">
        <v>1125588885</v>
      </c>
      <c r="G81" s="101">
        <v>2</v>
      </c>
      <c r="H81" s="101">
        <v>0</v>
      </c>
      <c r="I81" s="101">
        <v>2</v>
      </c>
      <c r="J81" s="101">
        <v>0</v>
      </c>
      <c r="K81" s="101">
        <v>2</v>
      </c>
      <c r="L81" s="101">
        <v>0</v>
      </c>
      <c r="M81" s="101">
        <v>0</v>
      </c>
      <c r="N81" s="101">
        <v>0</v>
      </c>
      <c r="O81" s="101">
        <v>0</v>
      </c>
      <c r="P81" s="101">
        <v>2</v>
      </c>
      <c r="Q81" s="101">
        <v>410</v>
      </c>
      <c r="R81" s="12" t="s">
        <v>25</v>
      </c>
      <c r="S81" s="12" t="s">
        <v>25</v>
      </c>
      <c r="T81" s="12" t="s">
        <v>25</v>
      </c>
    </row>
    <row r="82" spans="1:20" x14ac:dyDescent="0.3">
      <c r="A82" s="13">
        <v>43888.75</v>
      </c>
      <c r="B82" s="12" t="s">
        <v>22</v>
      </c>
      <c r="C82" s="101">
        <v>4</v>
      </c>
      <c r="D82" s="12" t="s">
        <v>58</v>
      </c>
      <c r="E82" s="101">
        <v>4606893511</v>
      </c>
      <c r="F82" s="101">
        <v>1112123097</v>
      </c>
      <c r="G82" s="101">
        <v>0</v>
      </c>
      <c r="H82" s="101">
        <v>0</v>
      </c>
      <c r="I82" s="101">
        <v>0</v>
      </c>
      <c r="J82" s="101">
        <v>0</v>
      </c>
      <c r="K82" s="101">
        <v>0</v>
      </c>
      <c r="L82" s="101">
        <v>0</v>
      </c>
      <c r="M82" s="101">
        <v>0</v>
      </c>
      <c r="N82" s="101">
        <v>0</v>
      </c>
      <c r="O82" s="101">
        <v>0</v>
      </c>
      <c r="P82" s="101">
        <v>0</v>
      </c>
      <c r="Q82" s="101">
        <v>32</v>
      </c>
      <c r="R82" s="12" t="s">
        <v>25</v>
      </c>
      <c r="S82" s="12" t="s">
        <v>25</v>
      </c>
      <c r="T82" s="12" t="s">
        <v>25</v>
      </c>
    </row>
    <row r="83" spans="1:20" x14ac:dyDescent="0.3">
      <c r="A83" s="13">
        <v>43888.75</v>
      </c>
      <c r="B83" s="12" t="s">
        <v>22</v>
      </c>
      <c r="C83" s="101">
        <v>10</v>
      </c>
      <c r="D83" s="12" t="s">
        <v>59</v>
      </c>
      <c r="E83" s="101">
        <v>4310675841</v>
      </c>
      <c r="F83" s="101">
        <v>1238824698</v>
      </c>
      <c r="G83" s="101">
        <v>0</v>
      </c>
      <c r="H83" s="101">
        <v>0</v>
      </c>
      <c r="I83" s="101">
        <v>0</v>
      </c>
      <c r="J83" s="101">
        <v>0</v>
      </c>
      <c r="K83" s="101">
        <v>0</v>
      </c>
      <c r="L83" s="101">
        <v>0</v>
      </c>
      <c r="M83" s="101">
        <v>0</v>
      </c>
      <c r="N83" s="101">
        <v>0</v>
      </c>
      <c r="O83" s="101">
        <v>0</v>
      </c>
      <c r="P83" s="101">
        <v>0</v>
      </c>
      <c r="Q83" s="101">
        <v>8</v>
      </c>
      <c r="R83" s="12" t="s">
        <v>25</v>
      </c>
      <c r="S83" s="12" t="s">
        <v>25</v>
      </c>
      <c r="T83" s="12" t="s">
        <v>25</v>
      </c>
    </row>
    <row r="84" spans="1:20" x14ac:dyDescent="0.3">
      <c r="A84" s="13">
        <v>43888.75</v>
      </c>
      <c r="B84" s="12" t="s">
        <v>22</v>
      </c>
      <c r="C84" s="101">
        <v>2</v>
      </c>
      <c r="D84" s="12" t="s">
        <v>60</v>
      </c>
      <c r="E84" s="101">
        <v>4573750286</v>
      </c>
      <c r="F84" s="101">
        <v>7320149366</v>
      </c>
      <c r="G84" s="101">
        <v>0</v>
      </c>
      <c r="H84" s="101">
        <v>0</v>
      </c>
      <c r="I84" s="101">
        <v>0</v>
      </c>
      <c r="J84" s="101">
        <v>0</v>
      </c>
      <c r="K84" s="101">
        <v>0</v>
      </c>
      <c r="L84" s="101">
        <v>0</v>
      </c>
      <c r="M84" s="101">
        <v>0</v>
      </c>
      <c r="N84" s="101">
        <v>0</v>
      </c>
      <c r="O84" s="101">
        <v>0</v>
      </c>
      <c r="P84" s="101">
        <v>0</v>
      </c>
      <c r="Q84" s="101">
        <v>9</v>
      </c>
      <c r="R84" s="12" t="s">
        <v>25</v>
      </c>
      <c r="S84" s="12" t="s">
        <v>25</v>
      </c>
      <c r="T84" s="12" t="s">
        <v>25</v>
      </c>
    </row>
    <row r="85" spans="1:20" x14ac:dyDescent="0.3">
      <c r="A85" s="13">
        <v>43888.75</v>
      </c>
      <c r="B85" s="12" t="s">
        <v>22</v>
      </c>
      <c r="C85" s="101">
        <v>5</v>
      </c>
      <c r="D85" s="12" t="s">
        <v>61</v>
      </c>
      <c r="E85" s="101">
        <v>4543490485</v>
      </c>
      <c r="F85" s="101">
        <v>1233845213</v>
      </c>
      <c r="G85" s="101">
        <v>19</v>
      </c>
      <c r="H85" s="101">
        <v>8</v>
      </c>
      <c r="I85" s="101">
        <v>27</v>
      </c>
      <c r="J85" s="101">
        <v>82</v>
      </c>
      <c r="K85" s="101">
        <v>109</v>
      </c>
      <c r="L85" s="101">
        <v>40</v>
      </c>
      <c r="M85" s="101">
        <v>40</v>
      </c>
      <c r="N85" s="101">
        <v>0</v>
      </c>
      <c r="O85" s="101">
        <v>2</v>
      </c>
      <c r="P85" s="101">
        <v>111</v>
      </c>
      <c r="Q85" s="101">
        <v>6164</v>
      </c>
      <c r="R85" s="12" t="s">
        <v>25</v>
      </c>
      <c r="S85" s="12" t="s">
        <v>25</v>
      </c>
      <c r="T85" s="12" t="s">
        <v>25</v>
      </c>
    </row>
    <row r="86" spans="1:20" x14ac:dyDescent="0.3">
      <c r="A86" s="13">
        <v>43889.75</v>
      </c>
      <c r="B86" s="12" t="s">
        <v>22</v>
      </c>
      <c r="C86" s="101">
        <v>13</v>
      </c>
      <c r="D86" s="12" t="s">
        <v>42</v>
      </c>
      <c r="E86" s="101">
        <v>4235122196</v>
      </c>
      <c r="F86" s="101">
        <v>1339843823</v>
      </c>
      <c r="G86" s="101">
        <v>1</v>
      </c>
      <c r="H86" s="101">
        <v>0</v>
      </c>
      <c r="I86" s="101">
        <v>1</v>
      </c>
      <c r="J86" s="101">
        <v>0</v>
      </c>
      <c r="K86" s="101">
        <v>1</v>
      </c>
      <c r="L86" s="101">
        <v>0</v>
      </c>
      <c r="M86" s="101">
        <v>0</v>
      </c>
      <c r="N86" s="101">
        <v>0</v>
      </c>
      <c r="O86" s="101">
        <v>0</v>
      </c>
      <c r="P86" s="101">
        <v>1</v>
      </c>
      <c r="Q86" s="101">
        <v>33</v>
      </c>
      <c r="R86" s="12" t="s">
        <v>25</v>
      </c>
      <c r="S86" s="12" t="s">
        <v>25</v>
      </c>
      <c r="T86" s="12" t="s">
        <v>25</v>
      </c>
    </row>
    <row r="87" spans="1:20" x14ac:dyDescent="0.3">
      <c r="A87" s="13">
        <v>43889.75</v>
      </c>
      <c r="B87" s="12" t="s">
        <v>22</v>
      </c>
      <c r="C87" s="101">
        <v>17</v>
      </c>
      <c r="D87" s="12" t="s">
        <v>43</v>
      </c>
      <c r="E87" s="101">
        <v>4063947052</v>
      </c>
      <c r="F87" s="101">
        <v>1580514834</v>
      </c>
      <c r="G87" s="101">
        <v>0</v>
      </c>
      <c r="H87" s="101">
        <v>0</v>
      </c>
      <c r="I87" s="101">
        <v>0</v>
      </c>
      <c r="J87" s="101">
        <v>0</v>
      </c>
      <c r="K87" s="101">
        <v>0</v>
      </c>
      <c r="L87" s="101">
        <v>0</v>
      </c>
      <c r="M87" s="101">
        <v>0</v>
      </c>
      <c r="N87" s="101">
        <v>0</v>
      </c>
      <c r="O87" s="101">
        <v>0</v>
      </c>
      <c r="P87" s="101">
        <v>0</v>
      </c>
      <c r="Q87" s="101">
        <v>0</v>
      </c>
      <c r="R87" s="12" t="s">
        <v>25</v>
      </c>
      <c r="S87" s="12" t="s">
        <v>25</v>
      </c>
      <c r="T87" s="12" t="s">
        <v>25</v>
      </c>
    </row>
    <row r="88" spans="1:20" x14ac:dyDescent="0.3">
      <c r="A88" s="13">
        <v>43889.75</v>
      </c>
      <c r="B88" s="12" t="s">
        <v>22</v>
      </c>
      <c r="C88" s="101">
        <v>4</v>
      </c>
      <c r="D88" s="12" t="s">
        <v>44</v>
      </c>
      <c r="E88" s="101">
        <v>4649933453</v>
      </c>
      <c r="F88" s="101">
        <v>1135662422</v>
      </c>
      <c r="G88" s="101">
        <v>1</v>
      </c>
      <c r="H88" s="101">
        <v>0</v>
      </c>
      <c r="I88" s="101">
        <v>1</v>
      </c>
      <c r="J88" s="101">
        <v>0</v>
      </c>
      <c r="K88" s="101">
        <v>1</v>
      </c>
      <c r="L88" s="101">
        <v>0</v>
      </c>
      <c r="M88" s="101">
        <v>0</v>
      </c>
      <c r="N88" s="101">
        <v>0</v>
      </c>
      <c r="O88" s="101">
        <v>0</v>
      </c>
      <c r="P88" s="101">
        <v>1</v>
      </c>
      <c r="Q88" s="101">
        <v>2</v>
      </c>
      <c r="R88" s="12" t="s">
        <v>25</v>
      </c>
      <c r="S88" s="12" t="s">
        <v>25</v>
      </c>
      <c r="T88" s="12" t="s">
        <v>25</v>
      </c>
    </row>
    <row r="89" spans="1:20" x14ac:dyDescent="0.3">
      <c r="A89" s="13">
        <v>43889.75</v>
      </c>
      <c r="B89" s="12" t="s">
        <v>22</v>
      </c>
      <c r="C89" s="101">
        <v>18</v>
      </c>
      <c r="D89" s="12" t="s">
        <v>45</v>
      </c>
      <c r="E89" s="101">
        <v>3890597598</v>
      </c>
      <c r="F89" s="101">
        <v>1659440194</v>
      </c>
      <c r="G89" s="101">
        <v>0</v>
      </c>
      <c r="H89" s="101">
        <v>0</v>
      </c>
      <c r="I89" s="101">
        <v>0</v>
      </c>
      <c r="J89" s="101">
        <v>1</v>
      </c>
      <c r="K89" s="101">
        <v>1</v>
      </c>
      <c r="L89" s="101">
        <v>1</v>
      </c>
      <c r="M89" s="101">
        <v>1</v>
      </c>
      <c r="N89" s="101">
        <v>0</v>
      </c>
      <c r="O89" s="101">
        <v>0</v>
      </c>
      <c r="P89" s="101">
        <v>1</v>
      </c>
      <c r="Q89" s="101">
        <v>21</v>
      </c>
      <c r="R89" s="12" t="s">
        <v>25</v>
      </c>
      <c r="S89" s="12" t="s">
        <v>25</v>
      </c>
      <c r="T89" s="12" t="s">
        <v>25</v>
      </c>
    </row>
    <row r="90" spans="1:20" x14ac:dyDescent="0.3">
      <c r="A90" s="13">
        <v>43889.75</v>
      </c>
      <c r="B90" s="12" t="s">
        <v>22</v>
      </c>
      <c r="C90" s="101">
        <v>15</v>
      </c>
      <c r="D90" s="12" t="s">
        <v>46</v>
      </c>
      <c r="E90" s="101">
        <v>4083956555</v>
      </c>
      <c r="F90" s="101">
        <v>1425084984</v>
      </c>
      <c r="G90" s="101">
        <v>2</v>
      </c>
      <c r="H90" s="101">
        <v>0</v>
      </c>
      <c r="I90" s="101">
        <v>2</v>
      </c>
      <c r="J90" s="101">
        <v>2</v>
      </c>
      <c r="K90" s="101">
        <v>4</v>
      </c>
      <c r="L90" s="101">
        <v>1</v>
      </c>
      <c r="M90" s="101">
        <v>1</v>
      </c>
      <c r="N90" s="101">
        <v>0</v>
      </c>
      <c r="O90" s="101">
        <v>0</v>
      </c>
      <c r="P90" s="101">
        <v>4</v>
      </c>
      <c r="Q90" s="101">
        <v>213</v>
      </c>
      <c r="R90" s="12" t="s">
        <v>25</v>
      </c>
      <c r="S90" s="12" t="s">
        <v>25</v>
      </c>
      <c r="T90" s="12" t="s">
        <v>25</v>
      </c>
    </row>
    <row r="91" spans="1:20" x14ac:dyDescent="0.3">
      <c r="A91" s="13">
        <v>43889.75</v>
      </c>
      <c r="B91" s="12" t="s">
        <v>22</v>
      </c>
      <c r="C91" s="101">
        <v>8</v>
      </c>
      <c r="D91" s="12" t="s">
        <v>96</v>
      </c>
      <c r="E91" s="101">
        <v>4449436681</v>
      </c>
      <c r="F91" s="101">
        <v>113417208</v>
      </c>
      <c r="G91" s="101">
        <v>56</v>
      </c>
      <c r="H91" s="101">
        <v>6</v>
      </c>
      <c r="I91" s="101">
        <v>62</v>
      </c>
      <c r="J91" s="101">
        <v>81</v>
      </c>
      <c r="K91" s="101">
        <v>143</v>
      </c>
      <c r="L91" s="101">
        <v>47</v>
      </c>
      <c r="M91" s="101">
        <v>48</v>
      </c>
      <c r="N91" s="101">
        <v>0</v>
      </c>
      <c r="O91" s="101">
        <v>2</v>
      </c>
      <c r="P91" s="101">
        <v>145</v>
      </c>
      <c r="Q91" s="101">
        <v>1277</v>
      </c>
      <c r="R91" s="12" t="s">
        <v>25</v>
      </c>
      <c r="S91" s="12" t="s">
        <v>25</v>
      </c>
      <c r="T91" s="12" t="s">
        <v>25</v>
      </c>
    </row>
    <row r="92" spans="1:20" x14ac:dyDescent="0.3">
      <c r="A92" s="13">
        <v>43889.75</v>
      </c>
      <c r="B92" s="12" t="s">
        <v>22</v>
      </c>
      <c r="C92" s="101">
        <v>6</v>
      </c>
      <c r="D92" s="12" t="s">
        <v>47</v>
      </c>
      <c r="E92" s="101">
        <v>456494354</v>
      </c>
      <c r="F92" s="101">
        <v>1376813649</v>
      </c>
      <c r="G92" s="101">
        <v>0</v>
      </c>
      <c r="H92" s="101">
        <v>0</v>
      </c>
      <c r="I92" s="101">
        <v>0</v>
      </c>
      <c r="J92" s="101">
        <v>0</v>
      </c>
      <c r="K92" s="101">
        <v>0</v>
      </c>
      <c r="L92" s="101">
        <v>0</v>
      </c>
      <c r="M92" s="101">
        <v>0</v>
      </c>
      <c r="N92" s="101">
        <v>0</v>
      </c>
      <c r="O92" s="101">
        <v>0</v>
      </c>
      <c r="P92" s="101">
        <v>0</v>
      </c>
      <c r="Q92" s="101">
        <v>169</v>
      </c>
      <c r="R92" s="12" t="s">
        <v>25</v>
      </c>
      <c r="S92" s="12" t="s">
        <v>25</v>
      </c>
      <c r="T92" s="12" t="s">
        <v>25</v>
      </c>
    </row>
    <row r="93" spans="1:20" x14ac:dyDescent="0.3">
      <c r="A93" s="13">
        <v>43889.75</v>
      </c>
      <c r="B93" s="12" t="s">
        <v>22</v>
      </c>
      <c r="C93" s="101">
        <v>12</v>
      </c>
      <c r="D93" s="12" t="s">
        <v>48</v>
      </c>
      <c r="E93" s="101">
        <v>4189277044</v>
      </c>
      <c r="F93" s="101">
        <v>1248366722</v>
      </c>
      <c r="G93" s="101">
        <v>0</v>
      </c>
      <c r="H93" s="101">
        <v>0</v>
      </c>
      <c r="I93" s="101">
        <v>0</v>
      </c>
      <c r="J93" s="101">
        <v>0</v>
      </c>
      <c r="K93" s="101">
        <v>0</v>
      </c>
      <c r="L93" s="101">
        <v>0</v>
      </c>
      <c r="M93" s="101">
        <v>0</v>
      </c>
      <c r="N93" s="101">
        <v>3</v>
      </c>
      <c r="O93" s="101">
        <v>0</v>
      </c>
      <c r="P93" s="101">
        <v>3</v>
      </c>
      <c r="Q93" s="101">
        <v>611</v>
      </c>
      <c r="R93" s="12" t="s">
        <v>25</v>
      </c>
      <c r="S93" s="12" t="s">
        <v>25</v>
      </c>
      <c r="T93" s="12" t="s">
        <v>25</v>
      </c>
    </row>
    <row r="94" spans="1:20" x14ac:dyDescent="0.3">
      <c r="A94" s="13">
        <v>43889.75</v>
      </c>
      <c r="B94" s="12" t="s">
        <v>22</v>
      </c>
      <c r="C94" s="101">
        <v>7</v>
      </c>
      <c r="D94" s="12" t="s">
        <v>49</v>
      </c>
      <c r="E94" s="101">
        <v>4441149315</v>
      </c>
      <c r="F94" s="101">
        <v>89326992</v>
      </c>
      <c r="G94" s="101">
        <v>9</v>
      </c>
      <c r="H94" s="101">
        <v>0</v>
      </c>
      <c r="I94" s="101">
        <v>9</v>
      </c>
      <c r="J94" s="101">
        <v>10</v>
      </c>
      <c r="K94" s="101">
        <v>19</v>
      </c>
      <c r="L94" s="101">
        <v>0</v>
      </c>
      <c r="M94" s="101">
        <v>0</v>
      </c>
      <c r="N94" s="101">
        <v>0</v>
      </c>
      <c r="O94" s="101">
        <v>0</v>
      </c>
      <c r="P94" s="101">
        <v>19</v>
      </c>
      <c r="Q94" s="101">
        <v>112</v>
      </c>
      <c r="R94" s="12" t="s">
        <v>25</v>
      </c>
      <c r="S94" s="12" t="s">
        <v>25</v>
      </c>
      <c r="T94" s="12" t="s">
        <v>25</v>
      </c>
    </row>
    <row r="95" spans="1:20" x14ac:dyDescent="0.3">
      <c r="A95" s="13">
        <v>43889.75</v>
      </c>
      <c r="B95" s="12" t="s">
        <v>22</v>
      </c>
      <c r="C95" s="101">
        <v>3</v>
      </c>
      <c r="D95" s="12" t="s">
        <v>50</v>
      </c>
      <c r="E95" s="101">
        <v>4546679409</v>
      </c>
      <c r="F95" s="101">
        <v>9190347404</v>
      </c>
      <c r="G95" s="101">
        <v>235</v>
      </c>
      <c r="H95" s="101">
        <v>47</v>
      </c>
      <c r="I95" s="101">
        <v>282</v>
      </c>
      <c r="J95" s="101">
        <v>192</v>
      </c>
      <c r="K95" s="101">
        <v>474</v>
      </c>
      <c r="L95" s="101">
        <v>125</v>
      </c>
      <c r="M95" s="101">
        <v>128</v>
      </c>
      <c r="N95" s="101">
        <v>40</v>
      </c>
      <c r="O95" s="101">
        <v>17</v>
      </c>
      <c r="P95" s="101">
        <v>531</v>
      </c>
      <c r="Q95" s="101">
        <v>4835</v>
      </c>
      <c r="R95" s="12" t="s">
        <v>25</v>
      </c>
      <c r="S95" s="12" t="s">
        <v>25</v>
      </c>
      <c r="T95" s="12" t="s">
        <v>25</v>
      </c>
    </row>
    <row r="96" spans="1:20" x14ac:dyDescent="0.3">
      <c r="A96" s="13">
        <v>43889.75</v>
      </c>
      <c r="B96" s="12" t="s">
        <v>22</v>
      </c>
      <c r="C96" s="101">
        <v>11</v>
      </c>
      <c r="D96" s="12" t="s">
        <v>51</v>
      </c>
      <c r="E96" s="101">
        <v>4361675973</v>
      </c>
      <c r="F96" s="101">
        <v>135188753</v>
      </c>
      <c r="G96" s="101">
        <v>3</v>
      </c>
      <c r="H96" s="101">
        <v>2</v>
      </c>
      <c r="I96" s="101">
        <v>5</v>
      </c>
      <c r="J96" s="101">
        <v>1</v>
      </c>
      <c r="K96" s="101">
        <v>6</v>
      </c>
      <c r="L96" s="101">
        <v>3</v>
      </c>
      <c r="M96" s="101">
        <v>3</v>
      </c>
      <c r="N96" s="101">
        <v>0</v>
      </c>
      <c r="O96" s="101">
        <v>0</v>
      </c>
      <c r="P96" s="101">
        <v>6</v>
      </c>
      <c r="Q96" s="101">
        <v>47</v>
      </c>
      <c r="R96" s="12" t="s">
        <v>25</v>
      </c>
      <c r="S96" s="12" t="s">
        <v>25</v>
      </c>
      <c r="T96" s="12" t="s">
        <v>25</v>
      </c>
    </row>
    <row r="97" spans="1:20" x14ac:dyDescent="0.3">
      <c r="A97" s="13">
        <v>43889.75</v>
      </c>
      <c r="B97" s="12" t="s">
        <v>22</v>
      </c>
      <c r="C97" s="101">
        <v>14</v>
      </c>
      <c r="D97" s="12" t="s">
        <v>52</v>
      </c>
      <c r="E97" s="101">
        <v>4155774754</v>
      </c>
      <c r="F97" s="101">
        <v>1465916051</v>
      </c>
      <c r="G97" s="101">
        <v>0</v>
      </c>
      <c r="H97" s="101">
        <v>0</v>
      </c>
      <c r="I97" s="101">
        <v>0</v>
      </c>
      <c r="J97" s="101">
        <v>0</v>
      </c>
      <c r="K97" s="101">
        <v>0</v>
      </c>
      <c r="L97" s="101">
        <v>0</v>
      </c>
      <c r="M97" s="101">
        <v>0</v>
      </c>
      <c r="N97" s="101">
        <v>0</v>
      </c>
      <c r="O97" s="101">
        <v>0</v>
      </c>
      <c r="P97" s="101">
        <v>0</v>
      </c>
      <c r="Q97" s="101">
        <v>0</v>
      </c>
      <c r="R97" s="12" t="s">
        <v>25</v>
      </c>
      <c r="S97" s="12" t="s">
        <v>25</v>
      </c>
      <c r="T97" s="12" t="s">
        <v>25</v>
      </c>
    </row>
    <row r="98" spans="1:20" x14ac:dyDescent="0.3">
      <c r="A98" s="13">
        <v>43889.75</v>
      </c>
      <c r="B98" s="12" t="s">
        <v>22</v>
      </c>
      <c r="C98" s="101">
        <v>1</v>
      </c>
      <c r="D98" s="12" t="s">
        <v>53</v>
      </c>
      <c r="E98" s="101">
        <v>450732745</v>
      </c>
      <c r="F98" s="101">
        <v>7680687483</v>
      </c>
      <c r="G98" s="101">
        <v>7</v>
      </c>
      <c r="H98" s="101">
        <v>0</v>
      </c>
      <c r="I98" s="101">
        <v>7</v>
      </c>
      <c r="J98" s="101">
        <v>4</v>
      </c>
      <c r="K98" s="101">
        <v>11</v>
      </c>
      <c r="L98" s="101">
        <v>9</v>
      </c>
      <c r="M98" s="101">
        <v>9</v>
      </c>
      <c r="N98" s="101">
        <v>0</v>
      </c>
      <c r="O98" s="101">
        <v>0</v>
      </c>
      <c r="P98" s="101">
        <v>11</v>
      </c>
      <c r="Q98" s="101">
        <v>227</v>
      </c>
      <c r="R98" s="12" t="s">
        <v>25</v>
      </c>
      <c r="S98" s="12" t="s">
        <v>25</v>
      </c>
      <c r="T98" s="12" t="s">
        <v>25</v>
      </c>
    </row>
    <row r="99" spans="1:20" x14ac:dyDescent="0.3">
      <c r="A99" s="13">
        <v>43889.75</v>
      </c>
      <c r="B99" s="12" t="s">
        <v>22</v>
      </c>
      <c r="C99" s="101">
        <v>16</v>
      </c>
      <c r="D99" s="12" t="s">
        <v>54</v>
      </c>
      <c r="E99" s="101">
        <v>4112559576</v>
      </c>
      <c r="F99" s="101">
        <v>1686736689</v>
      </c>
      <c r="G99" s="101">
        <v>1</v>
      </c>
      <c r="H99" s="101">
        <v>0</v>
      </c>
      <c r="I99" s="101">
        <v>1</v>
      </c>
      <c r="J99" s="101">
        <v>2</v>
      </c>
      <c r="K99" s="101">
        <v>3</v>
      </c>
      <c r="L99" s="101">
        <v>2</v>
      </c>
      <c r="M99" s="101">
        <v>2</v>
      </c>
      <c r="N99" s="101">
        <v>0</v>
      </c>
      <c r="O99" s="101">
        <v>0</v>
      </c>
      <c r="P99" s="101">
        <v>3</v>
      </c>
      <c r="Q99" s="101">
        <v>242</v>
      </c>
      <c r="R99" s="12" t="s">
        <v>25</v>
      </c>
      <c r="S99" s="12" t="s">
        <v>25</v>
      </c>
      <c r="T99" s="12" t="s">
        <v>25</v>
      </c>
    </row>
    <row r="100" spans="1:20" x14ac:dyDescent="0.3">
      <c r="A100" s="13">
        <v>43889.75</v>
      </c>
      <c r="B100" s="12" t="s">
        <v>22</v>
      </c>
      <c r="C100" s="101">
        <v>20</v>
      </c>
      <c r="D100" s="12" t="s">
        <v>55</v>
      </c>
      <c r="E100" s="101">
        <v>3921531192</v>
      </c>
      <c r="F100" s="101">
        <v>9110616306</v>
      </c>
      <c r="G100" s="101">
        <v>0</v>
      </c>
      <c r="H100" s="101">
        <v>0</v>
      </c>
      <c r="I100" s="101">
        <v>0</v>
      </c>
      <c r="J100" s="101">
        <v>0</v>
      </c>
      <c r="K100" s="101">
        <v>0</v>
      </c>
      <c r="L100" s="101">
        <v>0</v>
      </c>
      <c r="M100" s="101">
        <v>0</v>
      </c>
      <c r="N100" s="101">
        <v>0</v>
      </c>
      <c r="O100" s="101">
        <v>0</v>
      </c>
      <c r="P100" s="101">
        <v>0</v>
      </c>
      <c r="Q100" s="101">
        <v>1</v>
      </c>
      <c r="R100" s="12" t="s">
        <v>25</v>
      </c>
      <c r="S100" s="12" t="s">
        <v>25</v>
      </c>
      <c r="T100" s="12" t="s">
        <v>25</v>
      </c>
    </row>
    <row r="101" spans="1:20" x14ac:dyDescent="0.3">
      <c r="A101" s="13">
        <v>43889.75</v>
      </c>
      <c r="B101" s="12" t="s">
        <v>22</v>
      </c>
      <c r="C101" s="101">
        <v>19</v>
      </c>
      <c r="D101" s="12" t="s">
        <v>56</v>
      </c>
      <c r="E101" s="101">
        <v>3811569725</v>
      </c>
      <c r="F101" s="101">
        <v>133623567</v>
      </c>
      <c r="G101" s="101">
        <v>1</v>
      </c>
      <c r="H101" s="101">
        <v>0</v>
      </c>
      <c r="I101" s="101">
        <v>1</v>
      </c>
      <c r="J101" s="101">
        <v>1</v>
      </c>
      <c r="K101" s="101">
        <v>2</v>
      </c>
      <c r="L101" s="101">
        <v>0</v>
      </c>
      <c r="M101" s="101">
        <v>0</v>
      </c>
      <c r="N101" s="101">
        <v>2</v>
      </c>
      <c r="O101" s="101">
        <v>0</v>
      </c>
      <c r="P101" s="101">
        <v>4</v>
      </c>
      <c r="Q101" s="101">
        <v>5</v>
      </c>
      <c r="R101" s="12" t="s">
        <v>25</v>
      </c>
      <c r="S101" s="12" t="s">
        <v>25</v>
      </c>
      <c r="T101" s="12" t="s">
        <v>25</v>
      </c>
    </row>
    <row r="102" spans="1:20" x14ac:dyDescent="0.3">
      <c r="A102" s="13">
        <v>43889.75</v>
      </c>
      <c r="B102" s="12" t="s">
        <v>22</v>
      </c>
      <c r="C102" s="101">
        <v>9</v>
      </c>
      <c r="D102" s="12" t="s">
        <v>57</v>
      </c>
      <c r="E102" s="101">
        <v>4376923077</v>
      </c>
      <c r="F102" s="101">
        <v>1125588885</v>
      </c>
      <c r="G102" s="101">
        <v>5</v>
      </c>
      <c r="H102" s="101">
        <v>0</v>
      </c>
      <c r="I102" s="101">
        <v>5</v>
      </c>
      <c r="J102" s="101">
        <v>2</v>
      </c>
      <c r="K102" s="101">
        <v>7</v>
      </c>
      <c r="L102" s="101">
        <v>5</v>
      </c>
      <c r="M102" s="101">
        <v>6</v>
      </c>
      <c r="N102" s="101">
        <v>1</v>
      </c>
      <c r="O102" s="101">
        <v>0</v>
      </c>
      <c r="P102" s="101">
        <v>8</v>
      </c>
      <c r="Q102" s="101">
        <v>437</v>
      </c>
      <c r="R102" s="12" t="s">
        <v>25</v>
      </c>
      <c r="S102" s="12" t="s">
        <v>25</v>
      </c>
      <c r="T102" s="12" t="s">
        <v>25</v>
      </c>
    </row>
    <row r="103" spans="1:20" x14ac:dyDescent="0.3">
      <c r="A103" s="13">
        <v>43889.75</v>
      </c>
      <c r="B103" s="12" t="s">
        <v>22</v>
      </c>
      <c r="C103" s="101">
        <v>4</v>
      </c>
      <c r="D103" s="12" t="s">
        <v>58</v>
      </c>
      <c r="E103" s="101">
        <v>4606893511</v>
      </c>
      <c r="F103" s="101">
        <v>1112123097</v>
      </c>
      <c r="G103" s="101">
        <v>0</v>
      </c>
      <c r="H103" s="101">
        <v>0</v>
      </c>
      <c r="I103" s="101">
        <v>0</v>
      </c>
      <c r="J103" s="101">
        <v>0</v>
      </c>
      <c r="K103" s="101">
        <v>0</v>
      </c>
      <c r="L103" s="101">
        <v>0</v>
      </c>
      <c r="M103" s="101">
        <v>0</v>
      </c>
      <c r="N103" s="101">
        <v>0</v>
      </c>
      <c r="O103" s="101">
        <v>0</v>
      </c>
      <c r="P103" s="101">
        <v>0</v>
      </c>
      <c r="Q103" s="101">
        <v>32</v>
      </c>
      <c r="R103" s="12" t="s">
        <v>25</v>
      </c>
      <c r="S103" s="12" t="s">
        <v>25</v>
      </c>
      <c r="T103" s="12" t="s">
        <v>25</v>
      </c>
    </row>
    <row r="104" spans="1:20" x14ac:dyDescent="0.3">
      <c r="A104" s="13">
        <v>43889.75</v>
      </c>
      <c r="B104" s="12" t="s">
        <v>22</v>
      </c>
      <c r="C104" s="101">
        <v>10</v>
      </c>
      <c r="D104" s="12" t="s">
        <v>59</v>
      </c>
      <c r="E104" s="101">
        <v>4310675841</v>
      </c>
      <c r="F104" s="101">
        <v>1238824698</v>
      </c>
      <c r="G104" s="101">
        <v>0</v>
      </c>
      <c r="H104" s="101">
        <v>0</v>
      </c>
      <c r="I104" s="101">
        <v>0</v>
      </c>
      <c r="J104" s="101">
        <v>0</v>
      </c>
      <c r="K104" s="101">
        <v>0</v>
      </c>
      <c r="L104" s="101">
        <v>0</v>
      </c>
      <c r="M104" s="101">
        <v>0</v>
      </c>
      <c r="N104" s="101">
        <v>0</v>
      </c>
      <c r="O104" s="101">
        <v>0</v>
      </c>
      <c r="P104" s="101">
        <v>0</v>
      </c>
      <c r="Q104" s="101">
        <v>8</v>
      </c>
      <c r="R104" s="12" t="s">
        <v>25</v>
      </c>
      <c r="S104" s="12" t="s">
        <v>25</v>
      </c>
      <c r="T104" s="12" t="s">
        <v>25</v>
      </c>
    </row>
    <row r="105" spans="1:20" x14ac:dyDescent="0.3">
      <c r="A105" s="13">
        <v>43889.75</v>
      </c>
      <c r="B105" s="12" t="s">
        <v>22</v>
      </c>
      <c r="C105" s="101">
        <v>2</v>
      </c>
      <c r="D105" s="12" t="s">
        <v>60</v>
      </c>
      <c r="E105" s="101">
        <v>4573750286</v>
      </c>
      <c r="F105" s="101">
        <v>7320149366</v>
      </c>
      <c r="G105" s="101">
        <v>0</v>
      </c>
      <c r="H105" s="101">
        <v>0</v>
      </c>
      <c r="I105" s="101">
        <v>0</v>
      </c>
      <c r="J105" s="101">
        <v>0</v>
      </c>
      <c r="K105" s="101">
        <v>0</v>
      </c>
      <c r="L105" s="101">
        <v>0</v>
      </c>
      <c r="M105" s="101">
        <v>0</v>
      </c>
      <c r="N105" s="101">
        <v>0</v>
      </c>
      <c r="O105" s="101">
        <v>0</v>
      </c>
      <c r="P105" s="101">
        <v>0</v>
      </c>
      <c r="Q105" s="101">
        <v>9</v>
      </c>
      <c r="R105" s="12" t="s">
        <v>25</v>
      </c>
      <c r="S105" s="12" t="s">
        <v>25</v>
      </c>
      <c r="T105" s="12" t="s">
        <v>25</v>
      </c>
    </row>
    <row r="106" spans="1:20" x14ac:dyDescent="0.3">
      <c r="A106" s="13">
        <v>43889.75</v>
      </c>
      <c r="B106" s="12" t="s">
        <v>22</v>
      </c>
      <c r="C106" s="101">
        <v>5</v>
      </c>
      <c r="D106" s="12" t="s">
        <v>61</v>
      </c>
      <c r="E106" s="101">
        <v>4543490485</v>
      </c>
      <c r="F106" s="101">
        <v>1233845213</v>
      </c>
      <c r="G106" s="101">
        <v>24</v>
      </c>
      <c r="H106" s="101">
        <v>9</v>
      </c>
      <c r="I106" s="101">
        <v>33</v>
      </c>
      <c r="J106" s="101">
        <v>116</v>
      </c>
      <c r="K106" s="101">
        <v>149</v>
      </c>
      <c r="L106" s="101">
        <v>40</v>
      </c>
      <c r="M106" s="101">
        <v>40</v>
      </c>
      <c r="N106" s="101">
        <v>0</v>
      </c>
      <c r="O106" s="101">
        <v>2</v>
      </c>
      <c r="P106" s="101">
        <v>151</v>
      </c>
      <c r="Q106" s="101">
        <v>7414</v>
      </c>
      <c r="R106" s="12" t="s">
        <v>25</v>
      </c>
      <c r="S106" s="12" t="s">
        <v>25</v>
      </c>
      <c r="T106" s="12" t="s">
        <v>25</v>
      </c>
    </row>
    <row r="107" spans="1:20" x14ac:dyDescent="0.3">
      <c r="A107" s="13">
        <v>43890.708333333336</v>
      </c>
      <c r="B107" s="12" t="s">
        <v>22</v>
      </c>
      <c r="C107" s="101">
        <v>13</v>
      </c>
      <c r="D107" s="12" t="s">
        <v>42</v>
      </c>
      <c r="E107" s="101">
        <v>4235122196</v>
      </c>
      <c r="F107" s="101">
        <v>1339843823</v>
      </c>
      <c r="G107" s="101">
        <v>2</v>
      </c>
      <c r="H107" s="101">
        <v>0</v>
      </c>
      <c r="I107" s="101">
        <v>2</v>
      </c>
      <c r="J107" s="101">
        <v>0</v>
      </c>
      <c r="K107" s="101">
        <v>2</v>
      </c>
      <c r="L107" s="101">
        <v>1</v>
      </c>
      <c r="M107" s="101">
        <v>1</v>
      </c>
      <c r="N107" s="101">
        <v>0</v>
      </c>
      <c r="O107" s="101">
        <v>0</v>
      </c>
      <c r="P107" s="101">
        <v>2</v>
      </c>
      <c r="Q107" s="101">
        <v>43</v>
      </c>
      <c r="R107" s="12" t="s">
        <v>25</v>
      </c>
      <c r="S107" s="12" t="s">
        <v>25</v>
      </c>
      <c r="T107" s="12" t="s">
        <v>25</v>
      </c>
    </row>
    <row r="108" spans="1:20" x14ac:dyDescent="0.3">
      <c r="A108" s="13">
        <v>43890.708333333336</v>
      </c>
      <c r="B108" s="12" t="s">
        <v>22</v>
      </c>
      <c r="C108" s="101">
        <v>17</v>
      </c>
      <c r="D108" s="12" t="s">
        <v>43</v>
      </c>
      <c r="E108" s="101">
        <v>4063947052</v>
      </c>
      <c r="F108" s="101">
        <v>1580514834</v>
      </c>
      <c r="G108" s="101">
        <v>0</v>
      </c>
      <c r="H108" s="101">
        <v>0</v>
      </c>
      <c r="I108" s="101">
        <v>0</v>
      </c>
      <c r="J108" s="101">
        <v>0</v>
      </c>
      <c r="K108" s="101">
        <v>0</v>
      </c>
      <c r="L108" s="101">
        <v>0</v>
      </c>
      <c r="M108" s="101">
        <v>0</v>
      </c>
      <c r="N108" s="101">
        <v>0</v>
      </c>
      <c r="O108" s="101">
        <v>0</v>
      </c>
      <c r="P108" s="101">
        <v>0</v>
      </c>
      <c r="Q108" s="101">
        <v>32</v>
      </c>
      <c r="R108" s="12" t="s">
        <v>25</v>
      </c>
      <c r="S108" s="12" t="s">
        <v>25</v>
      </c>
      <c r="T108" s="12" t="s">
        <v>25</v>
      </c>
    </row>
    <row r="109" spans="1:20" x14ac:dyDescent="0.3">
      <c r="A109" s="13">
        <v>43890.708333333336</v>
      </c>
      <c r="B109" s="12" t="s">
        <v>22</v>
      </c>
      <c r="C109" s="101">
        <v>4</v>
      </c>
      <c r="D109" s="12" t="s">
        <v>44</v>
      </c>
      <c r="E109" s="101">
        <v>4649933453</v>
      </c>
      <c r="F109" s="101">
        <v>1135662422</v>
      </c>
      <c r="G109" s="101">
        <v>1</v>
      </c>
      <c r="H109" s="101">
        <v>0</v>
      </c>
      <c r="I109" s="101">
        <v>1</v>
      </c>
      <c r="J109" s="101">
        <v>0</v>
      </c>
      <c r="K109" s="101">
        <v>1</v>
      </c>
      <c r="L109" s="101">
        <v>0</v>
      </c>
      <c r="M109" s="101">
        <v>0</v>
      </c>
      <c r="N109" s="101">
        <v>0</v>
      </c>
      <c r="O109" s="101">
        <v>0</v>
      </c>
      <c r="P109" s="101">
        <v>1</v>
      </c>
      <c r="Q109" s="101">
        <v>16</v>
      </c>
      <c r="R109" s="12" t="s">
        <v>25</v>
      </c>
      <c r="S109" s="12" t="s">
        <v>25</v>
      </c>
      <c r="T109" s="12" t="s">
        <v>25</v>
      </c>
    </row>
    <row r="110" spans="1:20" x14ac:dyDescent="0.3">
      <c r="A110" s="13">
        <v>43890.708333333336</v>
      </c>
      <c r="B110" s="12" t="s">
        <v>22</v>
      </c>
      <c r="C110" s="101">
        <v>18</v>
      </c>
      <c r="D110" s="12" t="s">
        <v>45</v>
      </c>
      <c r="E110" s="101">
        <v>3890597598</v>
      </c>
      <c r="F110" s="101">
        <v>1659440194</v>
      </c>
      <c r="G110" s="101">
        <v>0</v>
      </c>
      <c r="H110" s="101">
        <v>0</v>
      </c>
      <c r="I110" s="101">
        <v>0</v>
      </c>
      <c r="J110" s="101">
        <v>1</v>
      </c>
      <c r="K110" s="101">
        <v>1</v>
      </c>
      <c r="L110" s="101">
        <v>0</v>
      </c>
      <c r="M110" s="101">
        <v>0</v>
      </c>
      <c r="N110" s="101">
        <v>0</v>
      </c>
      <c r="O110" s="101">
        <v>0</v>
      </c>
      <c r="P110" s="101">
        <v>1</v>
      </c>
      <c r="Q110" s="101">
        <v>27</v>
      </c>
      <c r="R110" s="12" t="s">
        <v>25</v>
      </c>
      <c r="S110" s="12" t="s">
        <v>25</v>
      </c>
      <c r="T110" s="12" t="s">
        <v>25</v>
      </c>
    </row>
    <row r="111" spans="1:20" x14ac:dyDescent="0.3">
      <c r="A111" s="13">
        <v>43890.708333333336</v>
      </c>
      <c r="B111" s="12" t="s">
        <v>22</v>
      </c>
      <c r="C111" s="101">
        <v>15</v>
      </c>
      <c r="D111" s="12" t="s">
        <v>46</v>
      </c>
      <c r="E111" s="101">
        <v>4083956555</v>
      </c>
      <c r="F111" s="101">
        <v>1425084984</v>
      </c>
      <c r="G111" s="101">
        <v>3</v>
      </c>
      <c r="H111" s="101">
        <v>0</v>
      </c>
      <c r="I111" s="101">
        <v>3</v>
      </c>
      <c r="J111" s="101">
        <v>10</v>
      </c>
      <c r="K111" s="101">
        <v>13</v>
      </c>
      <c r="L111" s="101">
        <v>9</v>
      </c>
      <c r="M111" s="101">
        <v>9</v>
      </c>
      <c r="N111" s="101">
        <v>0</v>
      </c>
      <c r="O111" s="101">
        <v>0</v>
      </c>
      <c r="P111" s="101">
        <v>13</v>
      </c>
      <c r="Q111" s="101">
        <v>373</v>
      </c>
      <c r="R111" s="12" t="s">
        <v>25</v>
      </c>
      <c r="S111" s="12" t="s">
        <v>25</v>
      </c>
      <c r="T111" s="12" t="s">
        <v>25</v>
      </c>
    </row>
    <row r="112" spans="1:20" x14ac:dyDescent="0.3">
      <c r="A112" s="13">
        <v>43890.708333333336</v>
      </c>
      <c r="B112" s="12" t="s">
        <v>22</v>
      </c>
      <c r="C112" s="101">
        <v>8</v>
      </c>
      <c r="D112" s="12" t="s">
        <v>96</v>
      </c>
      <c r="E112" s="101">
        <v>4449436681</v>
      </c>
      <c r="F112" s="101">
        <v>113417208</v>
      </c>
      <c r="G112" s="101">
        <v>86</v>
      </c>
      <c r="H112" s="101">
        <v>11</v>
      </c>
      <c r="I112" s="101">
        <v>97</v>
      </c>
      <c r="J112" s="101">
        <v>116</v>
      </c>
      <c r="K112" s="101">
        <v>213</v>
      </c>
      <c r="L112" s="101">
        <v>70</v>
      </c>
      <c r="M112" s="101">
        <v>72</v>
      </c>
      <c r="N112" s="101">
        <v>0</v>
      </c>
      <c r="O112" s="101">
        <v>4</v>
      </c>
      <c r="P112" s="101">
        <v>217</v>
      </c>
      <c r="Q112" s="101">
        <v>1550</v>
      </c>
      <c r="R112" s="12" t="s">
        <v>25</v>
      </c>
      <c r="S112" s="12" t="s">
        <v>25</v>
      </c>
      <c r="T112" s="12" t="s">
        <v>25</v>
      </c>
    </row>
    <row r="113" spans="1:20" x14ac:dyDescent="0.3">
      <c r="A113" s="13">
        <v>43890.708333333336</v>
      </c>
      <c r="B113" s="12" t="s">
        <v>22</v>
      </c>
      <c r="C113" s="101">
        <v>6</v>
      </c>
      <c r="D113" s="12" t="s">
        <v>47</v>
      </c>
      <c r="E113" s="101">
        <v>456494354</v>
      </c>
      <c r="F113" s="101">
        <v>1376813649</v>
      </c>
      <c r="G113" s="101">
        <v>0</v>
      </c>
      <c r="H113" s="101">
        <v>0</v>
      </c>
      <c r="I113" s="101">
        <v>0</v>
      </c>
      <c r="J113" s="101">
        <v>0</v>
      </c>
      <c r="K113" s="101">
        <v>0</v>
      </c>
      <c r="L113" s="101">
        <v>0</v>
      </c>
      <c r="M113" s="101">
        <v>0</v>
      </c>
      <c r="N113" s="101">
        <v>0</v>
      </c>
      <c r="O113" s="101">
        <v>0</v>
      </c>
      <c r="P113" s="101">
        <v>0</v>
      </c>
      <c r="Q113" s="101">
        <v>189</v>
      </c>
      <c r="R113" s="12" t="s">
        <v>25</v>
      </c>
      <c r="S113" s="12" t="s">
        <v>25</v>
      </c>
      <c r="T113" s="12" t="s">
        <v>25</v>
      </c>
    </row>
    <row r="114" spans="1:20" x14ac:dyDescent="0.3">
      <c r="A114" s="13">
        <v>43890.708333333336</v>
      </c>
      <c r="B114" s="12" t="s">
        <v>22</v>
      </c>
      <c r="C114" s="101">
        <v>12</v>
      </c>
      <c r="D114" s="12" t="s">
        <v>48</v>
      </c>
      <c r="E114" s="101">
        <v>4189277044</v>
      </c>
      <c r="F114" s="101">
        <v>1248366722</v>
      </c>
      <c r="G114" s="101">
        <v>3</v>
      </c>
      <c r="H114" s="101">
        <v>0</v>
      </c>
      <c r="I114" s="101">
        <v>3</v>
      </c>
      <c r="J114" s="101">
        <v>0</v>
      </c>
      <c r="K114" s="101">
        <v>3</v>
      </c>
      <c r="L114" s="101">
        <v>3</v>
      </c>
      <c r="M114" s="101">
        <v>3</v>
      </c>
      <c r="N114" s="101">
        <v>3</v>
      </c>
      <c r="O114" s="101">
        <v>0</v>
      </c>
      <c r="P114" s="101">
        <v>6</v>
      </c>
      <c r="Q114" s="101">
        <v>679</v>
      </c>
      <c r="R114" s="12" t="s">
        <v>25</v>
      </c>
      <c r="S114" s="12" t="s">
        <v>25</v>
      </c>
      <c r="T114" s="12" t="s">
        <v>25</v>
      </c>
    </row>
    <row r="115" spans="1:20" x14ac:dyDescent="0.3">
      <c r="A115" s="13">
        <v>43890.708333333336</v>
      </c>
      <c r="B115" s="12" t="s">
        <v>22</v>
      </c>
      <c r="C115" s="101">
        <v>7</v>
      </c>
      <c r="D115" s="12" t="s">
        <v>49</v>
      </c>
      <c r="E115" s="101">
        <v>4441149315</v>
      </c>
      <c r="F115" s="101">
        <v>89326992</v>
      </c>
      <c r="G115" s="101">
        <v>4</v>
      </c>
      <c r="H115" s="101">
        <v>1</v>
      </c>
      <c r="I115" s="101">
        <v>5</v>
      </c>
      <c r="J115" s="101">
        <v>33</v>
      </c>
      <c r="K115" s="101">
        <v>38</v>
      </c>
      <c r="L115" s="101">
        <v>19</v>
      </c>
      <c r="M115" s="101">
        <v>23</v>
      </c>
      <c r="N115" s="101">
        <v>4</v>
      </c>
      <c r="O115" s="101">
        <v>0</v>
      </c>
      <c r="P115" s="101">
        <v>42</v>
      </c>
      <c r="Q115" s="101">
        <v>121</v>
      </c>
      <c r="R115" s="12" t="s">
        <v>25</v>
      </c>
      <c r="S115" s="12" t="s">
        <v>25</v>
      </c>
      <c r="T115" s="12" t="s">
        <v>25</v>
      </c>
    </row>
    <row r="116" spans="1:20" x14ac:dyDescent="0.3">
      <c r="A116" s="13">
        <v>43890.708333333336</v>
      </c>
      <c r="B116" s="12" t="s">
        <v>22</v>
      </c>
      <c r="C116" s="101">
        <v>3</v>
      </c>
      <c r="D116" s="12" t="s">
        <v>50</v>
      </c>
      <c r="E116" s="101">
        <v>4546679409</v>
      </c>
      <c r="F116" s="101">
        <v>9190347404</v>
      </c>
      <c r="G116" s="101">
        <v>256</v>
      </c>
      <c r="H116" s="101">
        <v>80</v>
      </c>
      <c r="I116" s="101">
        <v>336</v>
      </c>
      <c r="J116" s="101">
        <v>216</v>
      </c>
      <c r="K116" s="101">
        <v>552</v>
      </c>
      <c r="L116" s="101">
        <v>78</v>
      </c>
      <c r="M116" s="101">
        <v>84</v>
      </c>
      <c r="N116" s="101">
        <v>40</v>
      </c>
      <c r="O116" s="101">
        <v>23</v>
      </c>
      <c r="P116" s="101">
        <v>615</v>
      </c>
      <c r="Q116" s="101">
        <v>5723</v>
      </c>
      <c r="R116" s="12" t="s">
        <v>25</v>
      </c>
      <c r="S116" s="12" t="s">
        <v>25</v>
      </c>
      <c r="T116" s="12" t="s">
        <v>25</v>
      </c>
    </row>
    <row r="117" spans="1:20" x14ac:dyDescent="0.3">
      <c r="A117" s="13">
        <v>43890.708333333336</v>
      </c>
      <c r="B117" s="12" t="s">
        <v>22</v>
      </c>
      <c r="C117" s="101">
        <v>11</v>
      </c>
      <c r="D117" s="12" t="s">
        <v>51</v>
      </c>
      <c r="E117" s="101">
        <v>4361675973</v>
      </c>
      <c r="F117" s="101">
        <v>135188753</v>
      </c>
      <c r="G117" s="101">
        <v>6</v>
      </c>
      <c r="H117" s="101">
        <v>2</v>
      </c>
      <c r="I117" s="101">
        <v>8</v>
      </c>
      <c r="J117" s="101">
        <v>3</v>
      </c>
      <c r="K117" s="101">
        <v>11</v>
      </c>
      <c r="L117" s="101">
        <v>5</v>
      </c>
      <c r="M117" s="101">
        <v>5</v>
      </c>
      <c r="N117" s="101">
        <v>0</v>
      </c>
      <c r="O117" s="101">
        <v>0</v>
      </c>
      <c r="P117" s="101">
        <v>11</v>
      </c>
      <c r="Q117" s="101">
        <v>68</v>
      </c>
      <c r="R117" s="12" t="s">
        <v>25</v>
      </c>
      <c r="S117" s="12" t="s">
        <v>25</v>
      </c>
      <c r="T117" s="12" t="s">
        <v>25</v>
      </c>
    </row>
    <row r="118" spans="1:20" x14ac:dyDescent="0.3">
      <c r="A118" s="13">
        <v>43890.708333333336</v>
      </c>
      <c r="B118" s="12" t="s">
        <v>22</v>
      </c>
      <c r="C118" s="101">
        <v>14</v>
      </c>
      <c r="D118" s="12" t="s">
        <v>52</v>
      </c>
      <c r="E118" s="101">
        <v>4155774754</v>
      </c>
      <c r="F118" s="101">
        <v>1465916051</v>
      </c>
      <c r="G118" s="101">
        <v>0</v>
      </c>
      <c r="H118" s="101">
        <v>0</v>
      </c>
      <c r="I118" s="101">
        <v>0</v>
      </c>
      <c r="J118" s="101">
        <v>0</v>
      </c>
      <c r="K118" s="101">
        <v>0</v>
      </c>
      <c r="L118" s="101">
        <v>0</v>
      </c>
      <c r="M118" s="101">
        <v>0</v>
      </c>
      <c r="N118" s="101">
        <v>0</v>
      </c>
      <c r="O118" s="101">
        <v>0</v>
      </c>
      <c r="P118" s="101">
        <v>0</v>
      </c>
      <c r="Q118" s="101">
        <v>0</v>
      </c>
      <c r="R118" s="12" t="s">
        <v>25</v>
      </c>
      <c r="S118" s="12" t="s">
        <v>25</v>
      </c>
      <c r="T118" s="12" t="s">
        <v>25</v>
      </c>
    </row>
    <row r="119" spans="1:20" x14ac:dyDescent="0.3">
      <c r="A119" s="13">
        <v>43890.708333333336</v>
      </c>
      <c r="B119" s="12" t="s">
        <v>22</v>
      </c>
      <c r="C119" s="101">
        <v>1</v>
      </c>
      <c r="D119" s="12" t="s">
        <v>53</v>
      </c>
      <c r="E119" s="101">
        <v>450732745</v>
      </c>
      <c r="F119" s="101">
        <v>7680687483</v>
      </c>
      <c r="G119" s="101">
        <v>7</v>
      </c>
      <c r="H119" s="101">
        <v>0</v>
      </c>
      <c r="I119" s="101">
        <v>7</v>
      </c>
      <c r="J119" s="101">
        <v>4</v>
      </c>
      <c r="K119" s="101">
        <v>11</v>
      </c>
      <c r="L119" s="101">
        <v>0</v>
      </c>
      <c r="M119" s="101">
        <v>0</v>
      </c>
      <c r="N119" s="101">
        <v>0</v>
      </c>
      <c r="O119" s="101">
        <v>0</v>
      </c>
      <c r="P119" s="101">
        <v>11</v>
      </c>
      <c r="Q119" s="101">
        <v>308</v>
      </c>
      <c r="R119" s="12" t="s">
        <v>25</v>
      </c>
      <c r="S119" s="12" t="s">
        <v>25</v>
      </c>
      <c r="T119" s="12" t="s">
        <v>25</v>
      </c>
    </row>
    <row r="120" spans="1:20" x14ac:dyDescent="0.3">
      <c r="A120" s="13">
        <v>43890.708333333336</v>
      </c>
      <c r="B120" s="12" t="s">
        <v>22</v>
      </c>
      <c r="C120" s="101">
        <v>16</v>
      </c>
      <c r="D120" s="12" t="s">
        <v>54</v>
      </c>
      <c r="E120" s="101">
        <v>4112559576</v>
      </c>
      <c r="F120" s="101">
        <v>1686736689</v>
      </c>
      <c r="G120" s="101">
        <v>1</v>
      </c>
      <c r="H120" s="101">
        <v>0</v>
      </c>
      <c r="I120" s="101">
        <v>1</v>
      </c>
      <c r="J120" s="101">
        <v>2</v>
      </c>
      <c r="K120" s="101">
        <v>3</v>
      </c>
      <c r="L120" s="101">
        <v>0</v>
      </c>
      <c r="M120" s="101">
        <v>0</v>
      </c>
      <c r="N120" s="101">
        <v>0</v>
      </c>
      <c r="O120" s="101">
        <v>0</v>
      </c>
      <c r="P120" s="101">
        <v>3</v>
      </c>
      <c r="Q120" s="101">
        <v>252</v>
      </c>
      <c r="R120" s="12" t="s">
        <v>25</v>
      </c>
      <c r="S120" s="12" t="s">
        <v>25</v>
      </c>
      <c r="T120" s="12" t="s">
        <v>25</v>
      </c>
    </row>
    <row r="121" spans="1:20" x14ac:dyDescent="0.3">
      <c r="A121" s="13">
        <v>43890.708333333336</v>
      </c>
      <c r="B121" s="12" t="s">
        <v>22</v>
      </c>
      <c r="C121" s="101">
        <v>20</v>
      </c>
      <c r="D121" s="12" t="s">
        <v>55</v>
      </c>
      <c r="E121" s="101">
        <v>3921531192</v>
      </c>
      <c r="F121" s="101">
        <v>9110616306</v>
      </c>
      <c r="G121" s="101">
        <v>0</v>
      </c>
      <c r="H121" s="101">
        <v>0</v>
      </c>
      <c r="I121" s="101">
        <v>0</v>
      </c>
      <c r="J121" s="101">
        <v>0</v>
      </c>
      <c r="K121" s="101">
        <v>0</v>
      </c>
      <c r="L121" s="101">
        <v>0</v>
      </c>
      <c r="M121" s="101">
        <v>0</v>
      </c>
      <c r="N121" s="101">
        <v>0</v>
      </c>
      <c r="O121" s="101">
        <v>0</v>
      </c>
      <c r="P121" s="101">
        <v>0</v>
      </c>
      <c r="Q121" s="101">
        <v>1</v>
      </c>
      <c r="R121" s="12" t="s">
        <v>25</v>
      </c>
      <c r="S121" s="12" t="s">
        <v>25</v>
      </c>
      <c r="T121" s="12" t="s">
        <v>25</v>
      </c>
    </row>
    <row r="122" spans="1:20" x14ac:dyDescent="0.3">
      <c r="A122" s="13">
        <v>43890.708333333336</v>
      </c>
      <c r="B122" s="12" t="s">
        <v>22</v>
      </c>
      <c r="C122" s="101">
        <v>19</v>
      </c>
      <c r="D122" s="12" t="s">
        <v>56</v>
      </c>
      <c r="E122" s="101">
        <v>3811569725</v>
      </c>
      <c r="F122" s="101">
        <v>133623567</v>
      </c>
      <c r="G122" s="101">
        <v>1</v>
      </c>
      <c r="H122" s="101">
        <v>0</v>
      </c>
      <c r="I122" s="101">
        <v>1</v>
      </c>
      <c r="J122" s="101">
        <v>1</v>
      </c>
      <c r="K122" s="101">
        <v>2</v>
      </c>
      <c r="L122" s="101">
        <v>0</v>
      </c>
      <c r="M122" s="101">
        <v>0</v>
      </c>
      <c r="N122" s="101">
        <v>2</v>
      </c>
      <c r="O122" s="101">
        <v>0</v>
      </c>
      <c r="P122" s="101">
        <v>4</v>
      </c>
      <c r="Q122" s="101">
        <v>6</v>
      </c>
      <c r="R122" s="12" t="s">
        <v>25</v>
      </c>
      <c r="S122" s="12" t="s">
        <v>25</v>
      </c>
      <c r="T122" s="12" t="s">
        <v>25</v>
      </c>
    </row>
    <row r="123" spans="1:20" x14ac:dyDescent="0.3">
      <c r="A123" s="13">
        <v>43890.708333333336</v>
      </c>
      <c r="B123" s="12" t="s">
        <v>22</v>
      </c>
      <c r="C123" s="101">
        <v>9</v>
      </c>
      <c r="D123" s="12" t="s">
        <v>57</v>
      </c>
      <c r="E123" s="101">
        <v>4376923077</v>
      </c>
      <c r="F123" s="101">
        <v>1125588885</v>
      </c>
      <c r="G123" s="101">
        <v>7</v>
      </c>
      <c r="H123" s="101">
        <v>0</v>
      </c>
      <c r="I123" s="101">
        <v>7</v>
      </c>
      <c r="J123" s="101">
        <v>3</v>
      </c>
      <c r="K123" s="101">
        <v>10</v>
      </c>
      <c r="L123" s="101">
        <v>3</v>
      </c>
      <c r="M123" s="101">
        <v>3</v>
      </c>
      <c r="N123" s="101">
        <v>1</v>
      </c>
      <c r="O123" s="101">
        <v>0</v>
      </c>
      <c r="P123" s="101">
        <v>11</v>
      </c>
      <c r="Q123" s="101">
        <v>531</v>
      </c>
      <c r="R123" s="12" t="s">
        <v>25</v>
      </c>
      <c r="S123" s="12" t="s">
        <v>25</v>
      </c>
      <c r="T123" s="12" t="s">
        <v>25</v>
      </c>
    </row>
    <row r="124" spans="1:20" x14ac:dyDescent="0.3">
      <c r="A124" s="13">
        <v>43890.708333333336</v>
      </c>
      <c r="B124" s="12" t="s">
        <v>22</v>
      </c>
      <c r="C124" s="101">
        <v>4</v>
      </c>
      <c r="D124" s="12" t="s">
        <v>58</v>
      </c>
      <c r="E124" s="101">
        <v>4606893511</v>
      </c>
      <c r="F124" s="101">
        <v>1112123097</v>
      </c>
      <c r="G124" s="101">
        <v>0</v>
      </c>
      <c r="H124" s="101">
        <v>0</v>
      </c>
      <c r="I124" s="101">
        <v>0</v>
      </c>
      <c r="J124" s="101">
        <v>0</v>
      </c>
      <c r="K124" s="101">
        <v>0</v>
      </c>
      <c r="L124" s="101">
        <v>0</v>
      </c>
      <c r="M124" s="101">
        <v>0</v>
      </c>
      <c r="N124" s="101">
        <v>0</v>
      </c>
      <c r="O124" s="101">
        <v>0</v>
      </c>
      <c r="P124" s="101">
        <v>0</v>
      </c>
      <c r="Q124" s="101">
        <v>43</v>
      </c>
      <c r="R124" s="12" t="s">
        <v>25</v>
      </c>
      <c r="S124" s="12" t="s">
        <v>25</v>
      </c>
      <c r="T124" s="12" t="s">
        <v>25</v>
      </c>
    </row>
    <row r="125" spans="1:20" x14ac:dyDescent="0.3">
      <c r="A125" s="13">
        <v>43890.708333333336</v>
      </c>
      <c r="B125" s="12" t="s">
        <v>22</v>
      </c>
      <c r="C125" s="101">
        <v>10</v>
      </c>
      <c r="D125" s="12" t="s">
        <v>59</v>
      </c>
      <c r="E125" s="101">
        <v>4310675841</v>
      </c>
      <c r="F125" s="101">
        <v>1238824698</v>
      </c>
      <c r="G125" s="101">
        <v>0</v>
      </c>
      <c r="H125" s="101">
        <v>0</v>
      </c>
      <c r="I125" s="101">
        <v>0</v>
      </c>
      <c r="J125" s="101">
        <v>0</v>
      </c>
      <c r="K125" s="101">
        <v>0</v>
      </c>
      <c r="L125" s="101">
        <v>0</v>
      </c>
      <c r="M125" s="101">
        <v>0</v>
      </c>
      <c r="N125" s="101">
        <v>0</v>
      </c>
      <c r="O125" s="101">
        <v>0</v>
      </c>
      <c r="P125" s="101">
        <v>0</v>
      </c>
      <c r="Q125" s="101">
        <v>31</v>
      </c>
      <c r="R125" s="12" t="s">
        <v>25</v>
      </c>
      <c r="S125" s="12" t="s">
        <v>25</v>
      </c>
      <c r="T125" s="12" t="s">
        <v>25</v>
      </c>
    </row>
    <row r="126" spans="1:20" x14ac:dyDescent="0.3">
      <c r="A126" s="13">
        <v>43890.708333333336</v>
      </c>
      <c r="B126" s="12" t="s">
        <v>22</v>
      </c>
      <c r="C126" s="101">
        <v>2</v>
      </c>
      <c r="D126" s="12" t="s">
        <v>60</v>
      </c>
      <c r="E126" s="101">
        <v>4573750286</v>
      </c>
      <c r="F126" s="101">
        <v>7320149366</v>
      </c>
      <c r="G126" s="101">
        <v>0</v>
      </c>
      <c r="H126" s="101">
        <v>0</v>
      </c>
      <c r="I126" s="101">
        <v>0</v>
      </c>
      <c r="J126" s="101">
        <v>0</v>
      </c>
      <c r="K126" s="101">
        <v>0</v>
      </c>
      <c r="L126" s="101">
        <v>0</v>
      </c>
      <c r="M126" s="101">
        <v>0</v>
      </c>
      <c r="N126" s="101">
        <v>0</v>
      </c>
      <c r="O126" s="101">
        <v>0</v>
      </c>
      <c r="P126" s="101">
        <v>0</v>
      </c>
      <c r="Q126" s="101">
        <v>9</v>
      </c>
      <c r="R126" s="12" t="s">
        <v>25</v>
      </c>
      <c r="S126" s="12" t="s">
        <v>25</v>
      </c>
      <c r="T126" s="12" t="s">
        <v>25</v>
      </c>
    </row>
    <row r="127" spans="1:20" x14ac:dyDescent="0.3">
      <c r="A127" s="13">
        <v>43890.708333333336</v>
      </c>
      <c r="B127" s="12" t="s">
        <v>22</v>
      </c>
      <c r="C127" s="101">
        <v>5</v>
      </c>
      <c r="D127" s="12" t="s">
        <v>61</v>
      </c>
      <c r="E127" s="101">
        <v>4543490485</v>
      </c>
      <c r="F127" s="101">
        <v>1233845213</v>
      </c>
      <c r="G127" s="101">
        <v>24</v>
      </c>
      <c r="H127" s="101">
        <v>11</v>
      </c>
      <c r="I127" s="101">
        <v>35</v>
      </c>
      <c r="J127" s="101">
        <v>154</v>
      </c>
      <c r="K127" s="101">
        <v>189</v>
      </c>
      <c r="L127" s="101">
        <v>40</v>
      </c>
      <c r="M127" s="101">
        <v>40</v>
      </c>
      <c r="N127" s="101">
        <v>0</v>
      </c>
      <c r="O127" s="101">
        <v>2</v>
      </c>
      <c r="P127" s="101">
        <v>191</v>
      </c>
      <c r="Q127" s="101">
        <v>8659</v>
      </c>
      <c r="R127" s="12" t="s">
        <v>25</v>
      </c>
      <c r="S127" s="12" t="s">
        <v>25</v>
      </c>
      <c r="T127" s="12" t="s">
        <v>25</v>
      </c>
    </row>
    <row r="128" spans="1:20" x14ac:dyDescent="0.3">
      <c r="A128" s="13">
        <v>43891.708333333336</v>
      </c>
      <c r="B128" s="12" t="s">
        <v>22</v>
      </c>
      <c r="C128" s="101">
        <v>13</v>
      </c>
      <c r="D128" s="12" t="s">
        <v>42</v>
      </c>
      <c r="E128" s="101">
        <v>4235122196</v>
      </c>
      <c r="F128" s="101">
        <v>1339843823</v>
      </c>
      <c r="G128" s="101">
        <v>3</v>
      </c>
      <c r="H128" s="101">
        <v>0</v>
      </c>
      <c r="I128" s="101">
        <v>3</v>
      </c>
      <c r="J128" s="101">
        <v>2</v>
      </c>
      <c r="K128" s="101">
        <v>5</v>
      </c>
      <c r="L128" s="101">
        <v>3</v>
      </c>
      <c r="M128" s="101">
        <v>3</v>
      </c>
      <c r="N128" s="101">
        <v>0</v>
      </c>
      <c r="O128" s="101">
        <v>0</v>
      </c>
      <c r="P128" s="101">
        <v>5</v>
      </c>
      <c r="Q128" s="101">
        <v>52</v>
      </c>
      <c r="R128" s="12" t="s">
        <v>25</v>
      </c>
      <c r="S128" s="12" t="s">
        <v>25</v>
      </c>
      <c r="T128" s="12" t="s">
        <v>25</v>
      </c>
    </row>
    <row r="129" spans="1:20" x14ac:dyDescent="0.3">
      <c r="A129" s="13">
        <v>43891.708333333336</v>
      </c>
      <c r="B129" s="12" t="s">
        <v>22</v>
      </c>
      <c r="C129" s="101">
        <v>17</v>
      </c>
      <c r="D129" s="12" t="s">
        <v>43</v>
      </c>
      <c r="E129" s="101">
        <v>4063947052</v>
      </c>
      <c r="F129" s="101">
        <v>1580514834</v>
      </c>
      <c r="G129" s="101">
        <v>0</v>
      </c>
      <c r="H129" s="101">
        <v>0</v>
      </c>
      <c r="I129" s="101">
        <v>0</v>
      </c>
      <c r="J129" s="101">
        <v>0</v>
      </c>
      <c r="K129" s="101">
        <v>0</v>
      </c>
      <c r="L129" s="101">
        <v>0</v>
      </c>
      <c r="M129" s="101">
        <v>0</v>
      </c>
      <c r="N129" s="101">
        <v>0</v>
      </c>
      <c r="O129" s="101">
        <v>0</v>
      </c>
      <c r="P129" s="101">
        <v>0</v>
      </c>
      <c r="Q129" s="101">
        <v>39</v>
      </c>
      <c r="R129" s="12" t="s">
        <v>25</v>
      </c>
      <c r="S129" s="12" t="s">
        <v>25</v>
      </c>
      <c r="T129" s="12" t="s">
        <v>25</v>
      </c>
    </row>
    <row r="130" spans="1:20" x14ac:dyDescent="0.3">
      <c r="A130" s="13">
        <v>43891.708333333336</v>
      </c>
      <c r="B130" s="12" t="s">
        <v>22</v>
      </c>
      <c r="C130" s="101">
        <v>4</v>
      </c>
      <c r="D130" s="12" t="s">
        <v>44</v>
      </c>
      <c r="E130" s="101">
        <v>4649933453</v>
      </c>
      <c r="F130" s="101">
        <v>1135662422</v>
      </c>
      <c r="G130" s="101">
        <v>1</v>
      </c>
      <c r="H130" s="101">
        <v>0</v>
      </c>
      <c r="I130" s="101">
        <v>1</v>
      </c>
      <c r="J130" s="101">
        <v>0</v>
      </c>
      <c r="K130" s="101">
        <v>1</v>
      </c>
      <c r="L130" s="101">
        <v>0</v>
      </c>
      <c r="M130" s="101">
        <v>0</v>
      </c>
      <c r="N130" s="101">
        <v>0</v>
      </c>
      <c r="O130" s="101">
        <v>0</v>
      </c>
      <c r="P130" s="101">
        <v>1</v>
      </c>
      <c r="Q130" s="101">
        <v>20</v>
      </c>
      <c r="R130" s="12" t="s">
        <v>25</v>
      </c>
      <c r="S130" s="12" t="s">
        <v>25</v>
      </c>
      <c r="T130" s="12" t="s">
        <v>25</v>
      </c>
    </row>
    <row r="131" spans="1:20" x14ac:dyDescent="0.3">
      <c r="A131" s="13">
        <v>43891.708333333336</v>
      </c>
      <c r="B131" s="12" t="s">
        <v>22</v>
      </c>
      <c r="C131" s="101">
        <v>18</v>
      </c>
      <c r="D131" s="12" t="s">
        <v>45</v>
      </c>
      <c r="E131" s="101">
        <v>3890597598</v>
      </c>
      <c r="F131" s="101">
        <v>1659440194</v>
      </c>
      <c r="G131" s="101">
        <v>0</v>
      </c>
      <c r="H131" s="101">
        <v>0</v>
      </c>
      <c r="I131" s="101">
        <v>0</v>
      </c>
      <c r="J131" s="101">
        <v>1</v>
      </c>
      <c r="K131" s="101">
        <v>1</v>
      </c>
      <c r="L131" s="101">
        <v>0</v>
      </c>
      <c r="M131" s="101">
        <v>0</v>
      </c>
      <c r="N131" s="101">
        <v>0</v>
      </c>
      <c r="O131" s="101">
        <v>0</v>
      </c>
      <c r="P131" s="101">
        <v>1</v>
      </c>
      <c r="Q131" s="101">
        <v>35</v>
      </c>
      <c r="R131" s="12" t="s">
        <v>25</v>
      </c>
      <c r="S131" s="12" t="s">
        <v>25</v>
      </c>
      <c r="T131" s="12" t="s">
        <v>25</v>
      </c>
    </row>
    <row r="132" spans="1:20" x14ac:dyDescent="0.3">
      <c r="A132" s="13">
        <v>43891.708333333336</v>
      </c>
      <c r="B132" s="12" t="s">
        <v>22</v>
      </c>
      <c r="C132" s="101">
        <v>15</v>
      </c>
      <c r="D132" s="12" t="s">
        <v>46</v>
      </c>
      <c r="E132" s="101">
        <v>4083956555</v>
      </c>
      <c r="F132" s="101">
        <v>1425084984</v>
      </c>
      <c r="G132" s="101">
        <v>4</v>
      </c>
      <c r="H132" s="101">
        <v>0</v>
      </c>
      <c r="I132" s="101">
        <v>4</v>
      </c>
      <c r="J132" s="101">
        <v>13</v>
      </c>
      <c r="K132" s="101">
        <v>17</v>
      </c>
      <c r="L132" s="101">
        <v>4</v>
      </c>
      <c r="M132" s="101">
        <v>4</v>
      </c>
      <c r="N132" s="101">
        <v>0</v>
      </c>
      <c r="O132" s="101">
        <v>0</v>
      </c>
      <c r="P132" s="101">
        <v>17</v>
      </c>
      <c r="Q132" s="101">
        <v>373</v>
      </c>
      <c r="R132" s="12" t="s">
        <v>25</v>
      </c>
      <c r="S132" s="12" t="s">
        <v>25</v>
      </c>
      <c r="T132" s="12" t="s">
        <v>25</v>
      </c>
    </row>
    <row r="133" spans="1:20" x14ac:dyDescent="0.3">
      <c r="A133" s="13">
        <v>43891.708333333336</v>
      </c>
      <c r="B133" s="12" t="s">
        <v>22</v>
      </c>
      <c r="C133" s="101">
        <v>8</v>
      </c>
      <c r="D133" s="12" t="s">
        <v>96</v>
      </c>
      <c r="E133" s="101">
        <v>4449436681</v>
      </c>
      <c r="F133" s="101">
        <v>113417208</v>
      </c>
      <c r="G133" s="101">
        <v>127</v>
      </c>
      <c r="H133" s="101">
        <v>13</v>
      </c>
      <c r="I133" s="101">
        <v>140</v>
      </c>
      <c r="J133" s="101">
        <v>137</v>
      </c>
      <c r="K133" s="101">
        <v>277</v>
      </c>
      <c r="L133" s="101">
        <v>64</v>
      </c>
      <c r="M133" s="101">
        <v>68</v>
      </c>
      <c r="N133" s="101">
        <v>0</v>
      </c>
      <c r="O133" s="101">
        <v>8</v>
      </c>
      <c r="P133" s="101">
        <v>285</v>
      </c>
      <c r="Q133" s="101">
        <v>1795</v>
      </c>
      <c r="R133" s="12" t="s">
        <v>25</v>
      </c>
      <c r="S133" s="12" t="s">
        <v>25</v>
      </c>
      <c r="T133" s="12" t="s">
        <v>25</v>
      </c>
    </row>
    <row r="134" spans="1:20" x14ac:dyDescent="0.3">
      <c r="A134" s="13">
        <v>43891.708333333336</v>
      </c>
      <c r="B134" s="12" t="s">
        <v>22</v>
      </c>
      <c r="C134" s="101">
        <v>6</v>
      </c>
      <c r="D134" s="12" t="s">
        <v>47</v>
      </c>
      <c r="E134" s="101">
        <v>456494354</v>
      </c>
      <c r="F134" s="101">
        <v>1376813649</v>
      </c>
      <c r="G134" s="101">
        <v>0</v>
      </c>
      <c r="H134" s="101">
        <v>0</v>
      </c>
      <c r="I134" s="101">
        <v>0</v>
      </c>
      <c r="J134" s="101">
        <v>6</v>
      </c>
      <c r="K134" s="101">
        <v>6</v>
      </c>
      <c r="L134" s="101">
        <v>6</v>
      </c>
      <c r="M134" s="101">
        <v>6</v>
      </c>
      <c r="N134" s="101">
        <v>0</v>
      </c>
      <c r="O134" s="101">
        <v>0</v>
      </c>
      <c r="P134" s="101">
        <v>6</v>
      </c>
      <c r="Q134" s="101">
        <v>243</v>
      </c>
      <c r="R134" s="12" t="s">
        <v>25</v>
      </c>
      <c r="S134" s="12" t="s">
        <v>25</v>
      </c>
      <c r="T134" s="12" t="s">
        <v>25</v>
      </c>
    </row>
    <row r="135" spans="1:20" x14ac:dyDescent="0.3">
      <c r="A135" s="13">
        <v>43891.708333333336</v>
      </c>
      <c r="B135" s="12" t="s">
        <v>22</v>
      </c>
      <c r="C135" s="101">
        <v>12</v>
      </c>
      <c r="D135" s="12" t="s">
        <v>48</v>
      </c>
      <c r="E135" s="101">
        <v>4189277044</v>
      </c>
      <c r="F135" s="101">
        <v>1248366722</v>
      </c>
      <c r="G135" s="101">
        <v>3</v>
      </c>
      <c r="H135" s="101">
        <v>0</v>
      </c>
      <c r="I135" s="101">
        <v>3</v>
      </c>
      <c r="J135" s="101">
        <v>0</v>
      </c>
      <c r="K135" s="101">
        <v>3</v>
      </c>
      <c r="L135" s="101">
        <v>0</v>
      </c>
      <c r="M135" s="101">
        <v>0</v>
      </c>
      <c r="N135" s="101">
        <v>3</v>
      </c>
      <c r="O135" s="101">
        <v>0</v>
      </c>
      <c r="P135" s="101">
        <v>6</v>
      </c>
      <c r="Q135" s="101">
        <v>724</v>
      </c>
      <c r="R135" s="12" t="s">
        <v>25</v>
      </c>
      <c r="S135" s="12" t="s">
        <v>25</v>
      </c>
      <c r="T135" s="12" t="s">
        <v>25</v>
      </c>
    </row>
    <row r="136" spans="1:20" x14ac:dyDescent="0.3">
      <c r="A136" s="13">
        <v>43891.708333333336</v>
      </c>
      <c r="B136" s="12" t="s">
        <v>22</v>
      </c>
      <c r="C136" s="101">
        <v>7</v>
      </c>
      <c r="D136" s="12" t="s">
        <v>49</v>
      </c>
      <c r="E136" s="101">
        <v>4441149315</v>
      </c>
      <c r="F136" s="101">
        <v>89326992</v>
      </c>
      <c r="G136" s="101">
        <v>12</v>
      </c>
      <c r="H136" s="101">
        <v>1</v>
      </c>
      <c r="I136" s="101">
        <v>13</v>
      </c>
      <c r="J136" s="101">
        <v>8</v>
      </c>
      <c r="K136" s="101">
        <v>21</v>
      </c>
      <c r="L136" s="101">
        <v>-17</v>
      </c>
      <c r="M136" s="101">
        <v>-17</v>
      </c>
      <c r="N136" s="101">
        <v>4</v>
      </c>
      <c r="O136" s="101">
        <v>0</v>
      </c>
      <c r="P136" s="101">
        <v>25</v>
      </c>
      <c r="Q136" s="101">
        <v>121</v>
      </c>
      <c r="R136" s="12" t="s">
        <v>25</v>
      </c>
      <c r="S136" s="12" t="s">
        <v>25</v>
      </c>
      <c r="T136" s="12" t="s">
        <v>25</v>
      </c>
    </row>
    <row r="137" spans="1:20" x14ac:dyDescent="0.3">
      <c r="A137" s="13">
        <v>43891.708333333336</v>
      </c>
      <c r="B137" s="12" t="s">
        <v>22</v>
      </c>
      <c r="C137" s="101">
        <v>3</v>
      </c>
      <c r="D137" s="12" t="s">
        <v>50</v>
      </c>
      <c r="E137" s="101">
        <v>4546679409</v>
      </c>
      <c r="F137" s="101">
        <v>9190347404</v>
      </c>
      <c r="G137" s="101">
        <v>406</v>
      </c>
      <c r="H137" s="101">
        <v>106</v>
      </c>
      <c r="I137" s="101">
        <v>512</v>
      </c>
      <c r="J137" s="101">
        <v>375</v>
      </c>
      <c r="K137" s="101">
        <v>887</v>
      </c>
      <c r="L137" s="101">
        <v>335</v>
      </c>
      <c r="M137" s="101">
        <v>369</v>
      </c>
      <c r="N137" s="101">
        <v>73</v>
      </c>
      <c r="O137" s="101">
        <v>24</v>
      </c>
      <c r="P137" s="101">
        <v>984</v>
      </c>
      <c r="Q137" s="101">
        <v>6879</v>
      </c>
      <c r="R137" s="12" t="s">
        <v>25</v>
      </c>
      <c r="S137" s="12" t="s">
        <v>25</v>
      </c>
      <c r="T137" s="12" t="s">
        <v>25</v>
      </c>
    </row>
    <row r="138" spans="1:20" x14ac:dyDescent="0.3">
      <c r="A138" s="13">
        <v>43891.708333333336</v>
      </c>
      <c r="B138" s="12" t="s">
        <v>22</v>
      </c>
      <c r="C138" s="101">
        <v>11</v>
      </c>
      <c r="D138" s="12" t="s">
        <v>51</v>
      </c>
      <c r="E138" s="101">
        <v>4361675973</v>
      </c>
      <c r="F138" s="101">
        <v>135188753</v>
      </c>
      <c r="G138" s="101">
        <v>12</v>
      </c>
      <c r="H138" s="101">
        <v>5</v>
      </c>
      <c r="I138" s="101">
        <v>17</v>
      </c>
      <c r="J138" s="101">
        <v>8</v>
      </c>
      <c r="K138" s="101">
        <v>25</v>
      </c>
      <c r="L138" s="101">
        <v>14</v>
      </c>
      <c r="M138" s="101">
        <v>14</v>
      </c>
      <c r="N138" s="101">
        <v>0</v>
      </c>
      <c r="O138" s="101">
        <v>0</v>
      </c>
      <c r="P138" s="101">
        <v>25</v>
      </c>
      <c r="Q138" s="101">
        <v>101</v>
      </c>
      <c r="R138" s="12" t="s">
        <v>25</v>
      </c>
      <c r="S138" s="12" t="s">
        <v>25</v>
      </c>
      <c r="T138" s="12" t="s">
        <v>25</v>
      </c>
    </row>
    <row r="139" spans="1:20" x14ac:dyDescent="0.3">
      <c r="A139" s="13">
        <v>43891.708333333336</v>
      </c>
      <c r="B139" s="12" t="s">
        <v>22</v>
      </c>
      <c r="C139" s="101">
        <v>14</v>
      </c>
      <c r="D139" s="12" t="s">
        <v>52</v>
      </c>
      <c r="E139" s="101">
        <v>4155774754</v>
      </c>
      <c r="F139" s="101">
        <v>1465916051</v>
      </c>
      <c r="G139" s="101">
        <v>0</v>
      </c>
      <c r="H139" s="101">
        <v>0</v>
      </c>
      <c r="I139" s="101">
        <v>0</v>
      </c>
      <c r="J139" s="101">
        <v>0</v>
      </c>
      <c r="K139" s="101">
        <v>0</v>
      </c>
      <c r="L139" s="101">
        <v>0</v>
      </c>
      <c r="M139" s="101">
        <v>0</v>
      </c>
      <c r="N139" s="101">
        <v>0</v>
      </c>
      <c r="O139" s="101">
        <v>0</v>
      </c>
      <c r="P139" s="101">
        <v>0</v>
      </c>
      <c r="Q139" s="101">
        <v>6</v>
      </c>
      <c r="R139" s="12" t="s">
        <v>25</v>
      </c>
      <c r="S139" s="12" t="s">
        <v>25</v>
      </c>
      <c r="T139" s="12" t="s">
        <v>25</v>
      </c>
    </row>
    <row r="140" spans="1:20" x14ac:dyDescent="0.3">
      <c r="A140" s="13">
        <v>43891.708333333336</v>
      </c>
      <c r="B140" s="12" t="s">
        <v>22</v>
      </c>
      <c r="C140" s="101">
        <v>1</v>
      </c>
      <c r="D140" s="12" t="s">
        <v>53</v>
      </c>
      <c r="E140" s="101">
        <v>450732745</v>
      </c>
      <c r="F140" s="101">
        <v>7680687483</v>
      </c>
      <c r="G140" s="101">
        <v>11</v>
      </c>
      <c r="H140" s="101">
        <v>2</v>
      </c>
      <c r="I140" s="101">
        <v>13</v>
      </c>
      <c r="J140" s="101">
        <v>36</v>
      </c>
      <c r="K140" s="101">
        <v>49</v>
      </c>
      <c r="L140" s="101">
        <v>38</v>
      </c>
      <c r="M140" s="101">
        <v>38</v>
      </c>
      <c r="N140" s="101">
        <v>0</v>
      </c>
      <c r="O140" s="101">
        <v>0</v>
      </c>
      <c r="P140" s="101">
        <v>49</v>
      </c>
      <c r="Q140" s="101">
        <v>362</v>
      </c>
      <c r="R140" s="12" t="s">
        <v>25</v>
      </c>
      <c r="S140" s="12" t="s">
        <v>25</v>
      </c>
      <c r="T140" s="12" t="s">
        <v>25</v>
      </c>
    </row>
    <row r="141" spans="1:20" x14ac:dyDescent="0.3">
      <c r="A141" s="13">
        <v>43891.708333333336</v>
      </c>
      <c r="B141" s="12" t="s">
        <v>22</v>
      </c>
      <c r="C141" s="101">
        <v>16</v>
      </c>
      <c r="D141" s="12" t="s">
        <v>54</v>
      </c>
      <c r="E141" s="101">
        <v>4112559576</v>
      </c>
      <c r="F141" s="101">
        <v>1686736689</v>
      </c>
      <c r="G141" s="101">
        <v>1</v>
      </c>
      <c r="H141" s="101">
        <v>0</v>
      </c>
      <c r="I141" s="101">
        <v>1</v>
      </c>
      <c r="J141" s="101">
        <v>2</v>
      </c>
      <c r="K141" s="101">
        <v>3</v>
      </c>
      <c r="L141" s="101">
        <v>0</v>
      </c>
      <c r="M141" s="101">
        <v>0</v>
      </c>
      <c r="N141" s="101">
        <v>0</v>
      </c>
      <c r="O141" s="101">
        <v>0</v>
      </c>
      <c r="P141" s="101">
        <v>3</v>
      </c>
      <c r="Q141" s="101">
        <v>262</v>
      </c>
      <c r="R141" s="12" t="s">
        <v>25</v>
      </c>
      <c r="S141" s="12" t="s">
        <v>25</v>
      </c>
      <c r="T141" s="12" t="s">
        <v>25</v>
      </c>
    </row>
    <row r="142" spans="1:20" x14ac:dyDescent="0.3">
      <c r="A142" s="13">
        <v>43891.708333333336</v>
      </c>
      <c r="B142" s="12" t="s">
        <v>22</v>
      </c>
      <c r="C142" s="101">
        <v>20</v>
      </c>
      <c r="D142" s="12" t="s">
        <v>55</v>
      </c>
      <c r="E142" s="101">
        <v>3921531192</v>
      </c>
      <c r="F142" s="101">
        <v>9110616306</v>
      </c>
      <c r="G142" s="101">
        <v>0</v>
      </c>
      <c r="H142" s="101">
        <v>0</v>
      </c>
      <c r="I142" s="101">
        <v>0</v>
      </c>
      <c r="J142" s="101">
        <v>0</v>
      </c>
      <c r="K142" s="101">
        <v>0</v>
      </c>
      <c r="L142" s="101">
        <v>0</v>
      </c>
      <c r="M142" s="101">
        <v>0</v>
      </c>
      <c r="N142" s="101">
        <v>0</v>
      </c>
      <c r="O142" s="101">
        <v>0</v>
      </c>
      <c r="P142" s="101">
        <v>0</v>
      </c>
      <c r="Q142" s="101">
        <v>29</v>
      </c>
      <c r="R142" s="12" t="s">
        <v>25</v>
      </c>
      <c r="S142" s="12" t="s">
        <v>25</v>
      </c>
      <c r="T142" s="12" t="s">
        <v>25</v>
      </c>
    </row>
    <row r="143" spans="1:20" x14ac:dyDescent="0.3">
      <c r="A143" s="13">
        <v>43891.708333333336</v>
      </c>
      <c r="B143" s="12" t="s">
        <v>22</v>
      </c>
      <c r="C143" s="101">
        <v>19</v>
      </c>
      <c r="D143" s="12" t="s">
        <v>56</v>
      </c>
      <c r="E143" s="101">
        <v>3811569725</v>
      </c>
      <c r="F143" s="101">
        <v>133623567</v>
      </c>
      <c r="G143" s="101">
        <v>1</v>
      </c>
      <c r="H143" s="101">
        <v>0</v>
      </c>
      <c r="I143" s="101">
        <v>1</v>
      </c>
      <c r="J143" s="101">
        <v>6</v>
      </c>
      <c r="K143" s="101">
        <v>7</v>
      </c>
      <c r="L143" s="101">
        <v>5</v>
      </c>
      <c r="M143" s="101">
        <v>5</v>
      </c>
      <c r="N143" s="101">
        <v>2</v>
      </c>
      <c r="O143" s="101">
        <v>0</v>
      </c>
      <c r="P143" s="101">
        <v>9</v>
      </c>
      <c r="Q143" s="101">
        <v>291</v>
      </c>
      <c r="R143" s="12" t="s">
        <v>25</v>
      </c>
      <c r="S143" s="12" t="s">
        <v>25</v>
      </c>
      <c r="T143" s="12" t="s">
        <v>25</v>
      </c>
    </row>
    <row r="144" spans="1:20" x14ac:dyDescent="0.3">
      <c r="A144" s="13">
        <v>43891.708333333336</v>
      </c>
      <c r="B144" s="12" t="s">
        <v>22</v>
      </c>
      <c r="C144" s="101">
        <v>9</v>
      </c>
      <c r="D144" s="12" t="s">
        <v>57</v>
      </c>
      <c r="E144" s="101">
        <v>4376923077</v>
      </c>
      <c r="F144" s="101">
        <v>1125588885</v>
      </c>
      <c r="G144" s="101">
        <v>7</v>
      </c>
      <c r="H144" s="101">
        <v>0</v>
      </c>
      <c r="I144" s="101">
        <v>7</v>
      </c>
      <c r="J144" s="101">
        <v>5</v>
      </c>
      <c r="K144" s="101">
        <v>12</v>
      </c>
      <c r="L144" s="101">
        <v>2</v>
      </c>
      <c r="M144" s="101">
        <v>2</v>
      </c>
      <c r="N144" s="101">
        <v>1</v>
      </c>
      <c r="O144" s="101">
        <v>0</v>
      </c>
      <c r="P144" s="101">
        <v>13</v>
      </c>
      <c r="Q144" s="101">
        <v>572</v>
      </c>
      <c r="R144" s="12" t="s">
        <v>25</v>
      </c>
      <c r="S144" s="12" t="s">
        <v>25</v>
      </c>
      <c r="T144" s="12" t="s">
        <v>25</v>
      </c>
    </row>
    <row r="145" spans="1:20" x14ac:dyDescent="0.3">
      <c r="A145" s="13">
        <v>43891.708333333336</v>
      </c>
      <c r="B145" s="12" t="s">
        <v>22</v>
      </c>
      <c r="C145" s="101">
        <v>4</v>
      </c>
      <c r="D145" s="12" t="s">
        <v>58</v>
      </c>
      <c r="E145" s="101">
        <v>4606893511</v>
      </c>
      <c r="F145" s="101">
        <v>1112123097</v>
      </c>
      <c r="G145" s="101">
        <v>0</v>
      </c>
      <c r="H145" s="101">
        <v>0</v>
      </c>
      <c r="I145" s="101">
        <v>0</v>
      </c>
      <c r="J145" s="101">
        <v>0</v>
      </c>
      <c r="K145" s="101">
        <v>0</v>
      </c>
      <c r="L145" s="101">
        <v>0</v>
      </c>
      <c r="M145" s="101">
        <v>0</v>
      </c>
      <c r="N145" s="101">
        <v>0</v>
      </c>
      <c r="O145" s="101">
        <v>0</v>
      </c>
      <c r="P145" s="101">
        <v>0</v>
      </c>
      <c r="Q145" s="101">
        <v>122</v>
      </c>
      <c r="R145" s="12" t="s">
        <v>25</v>
      </c>
      <c r="S145" s="12" t="s">
        <v>25</v>
      </c>
      <c r="T145" s="12" t="s">
        <v>25</v>
      </c>
    </row>
    <row r="146" spans="1:20" x14ac:dyDescent="0.3">
      <c r="A146" s="13">
        <v>43891.708333333336</v>
      </c>
      <c r="B146" s="12" t="s">
        <v>22</v>
      </c>
      <c r="C146" s="101">
        <v>10</v>
      </c>
      <c r="D146" s="12" t="s">
        <v>59</v>
      </c>
      <c r="E146" s="101">
        <v>4310675841</v>
      </c>
      <c r="F146" s="101">
        <v>1238824698</v>
      </c>
      <c r="G146" s="101">
        <v>0</v>
      </c>
      <c r="H146" s="101">
        <v>0</v>
      </c>
      <c r="I146" s="101">
        <v>0</v>
      </c>
      <c r="J146" s="101">
        <v>2</v>
      </c>
      <c r="K146" s="101">
        <v>2</v>
      </c>
      <c r="L146" s="101">
        <v>2</v>
      </c>
      <c r="M146" s="101">
        <v>2</v>
      </c>
      <c r="N146" s="101">
        <v>0</v>
      </c>
      <c r="O146" s="101">
        <v>0</v>
      </c>
      <c r="P146" s="101">
        <v>2</v>
      </c>
      <c r="Q146" s="101">
        <v>35</v>
      </c>
      <c r="R146" s="12" t="s">
        <v>25</v>
      </c>
      <c r="S146" s="12" t="s">
        <v>25</v>
      </c>
      <c r="T146" s="12" t="s">
        <v>25</v>
      </c>
    </row>
    <row r="147" spans="1:20" x14ac:dyDescent="0.3">
      <c r="A147" s="13">
        <v>43891.708333333336</v>
      </c>
      <c r="B147" s="12" t="s">
        <v>22</v>
      </c>
      <c r="C147" s="101">
        <v>2</v>
      </c>
      <c r="D147" s="12" t="s">
        <v>60</v>
      </c>
      <c r="E147" s="101">
        <v>4573750286</v>
      </c>
      <c r="F147" s="101">
        <v>7320149366</v>
      </c>
      <c r="G147" s="101">
        <v>0</v>
      </c>
      <c r="H147" s="101">
        <v>0</v>
      </c>
      <c r="I147" s="101">
        <v>0</v>
      </c>
      <c r="J147" s="101">
        <v>0</v>
      </c>
      <c r="K147" s="101">
        <v>0</v>
      </c>
      <c r="L147" s="101">
        <v>0</v>
      </c>
      <c r="M147" s="101">
        <v>0</v>
      </c>
      <c r="N147" s="101">
        <v>0</v>
      </c>
      <c r="O147" s="101">
        <v>0</v>
      </c>
      <c r="P147" s="101">
        <v>0</v>
      </c>
      <c r="Q147" s="101">
        <v>10</v>
      </c>
      <c r="R147" s="12" t="s">
        <v>25</v>
      </c>
      <c r="S147" s="12" t="s">
        <v>25</v>
      </c>
      <c r="T147" s="12" t="s">
        <v>25</v>
      </c>
    </row>
    <row r="148" spans="1:20" x14ac:dyDescent="0.3">
      <c r="A148" s="13">
        <v>43891.708333333336</v>
      </c>
      <c r="B148" s="12" t="s">
        <v>22</v>
      </c>
      <c r="C148" s="101">
        <v>5</v>
      </c>
      <c r="D148" s="12" t="s">
        <v>61</v>
      </c>
      <c r="E148" s="101">
        <v>4543490485</v>
      </c>
      <c r="F148" s="101">
        <v>1233845213</v>
      </c>
      <c r="G148" s="101">
        <v>51</v>
      </c>
      <c r="H148" s="101">
        <v>13</v>
      </c>
      <c r="I148" s="101">
        <v>64</v>
      </c>
      <c r="J148" s="101">
        <v>197</v>
      </c>
      <c r="K148" s="101">
        <v>261</v>
      </c>
      <c r="L148" s="101">
        <v>72</v>
      </c>
      <c r="M148" s="101">
        <v>72</v>
      </c>
      <c r="N148" s="101">
        <v>0</v>
      </c>
      <c r="O148" s="101">
        <v>2</v>
      </c>
      <c r="P148" s="101">
        <v>263</v>
      </c>
      <c r="Q148" s="101">
        <v>9056</v>
      </c>
      <c r="R148" s="12" t="s">
        <v>25</v>
      </c>
      <c r="S148" s="12" t="s">
        <v>25</v>
      </c>
      <c r="T148" s="12" t="s">
        <v>25</v>
      </c>
    </row>
    <row r="149" spans="1:20" x14ac:dyDescent="0.3">
      <c r="A149" s="13">
        <v>43892.75</v>
      </c>
      <c r="B149" s="12" t="s">
        <v>22</v>
      </c>
      <c r="C149" s="101">
        <v>13</v>
      </c>
      <c r="D149" s="12" t="s">
        <v>42</v>
      </c>
      <c r="E149" s="101">
        <v>4235122196</v>
      </c>
      <c r="F149" s="101">
        <v>1339843823</v>
      </c>
      <c r="G149" s="101">
        <v>3</v>
      </c>
      <c r="H149" s="101">
        <v>0</v>
      </c>
      <c r="I149" s="101">
        <v>3</v>
      </c>
      <c r="J149" s="101">
        <v>2</v>
      </c>
      <c r="K149" s="101">
        <v>5</v>
      </c>
      <c r="L149" s="101">
        <v>0</v>
      </c>
      <c r="M149" s="101">
        <v>0</v>
      </c>
      <c r="N149" s="101">
        <v>0</v>
      </c>
      <c r="O149" s="101">
        <v>0</v>
      </c>
      <c r="P149" s="101">
        <v>5</v>
      </c>
      <c r="Q149" s="101">
        <v>52</v>
      </c>
      <c r="R149" s="12" t="s">
        <v>25</v>
      </c>
      <c r="S149" s="12" t="s">
        <v>25</v>
      </c>
      <c r="T149" s="12" t="s">
        <v>25</v>
      </c>
    </row>
    <row r="150" spans="1:20" x14ac:dyDescent="0.3">
      <c r="A150" s="13">
        <v>43892.75</v>
      </c>
      <c r="B150" s="12" t="s">
        <v>22</v>
      </c>
      <c r="C150" s="101">
        <v>17</v>
      </c>
      <c r="D150" s="12" t="s">
        <v>43</v>
      </c>
      <c r="E150" s="101">
        <v>4063947052</v>
      </c>
      <c r="F150" s="101">
        <v>1580514834</v>
      </c>
      <c r="G150" s="101">
        <v>0</v>
      </c>
      <c r="H150" s="101">
        <v>0</v>
      </c>
      <c r="I150" s="101">
        <v>0</v>
      </c>
      <c r="J150" s="101">
        <v>0</v>
      </c>
      <c r="K150" s="101">
        <v>0</v>
      </c>
      <c r="L150" s="101">
        <v>0</v>
      </c>
      <c r="M150" s="101">
        <v>0</v>
      </c>
      <c r="N150" s="101">
        <v>0</v>
      </c>
      <c r="O150" s="101">
        <v>0</v>
      </c>
      <c r="P150" s="101">
        <v>0</v>
      </c>
      <c r="Q150" s="101">
        <v>39</v>
      </c>
      <c r="R150" s="12" t="s">
        <v>25</v>
      </c>
      <c r="S150" s="12" t="s">
        <v>25</v>
      </c>
      <c r="T150" s="12" t="s">
        <v>25</v>
      </c>
    </row>
    <row r="151" spans="1:20" x14ac:dyDescent="0.3">
      <c r="A151" s="13">
        <v>43892.75</v>
      </c>
      <c r="B151" s="12" t="s">
        <v>22</v>
      </c>
      <c r="C151" s="101">
        <v>4</v>
      </c>
      <c r="D151" s="12" t="s">
        <v>44</v>
      </c>
      <c r="E151" s="101">
        <v>4649933453</v>
      </c>
      <c r="F151" s="101">
        <v>1135662422</v>
      </c>
      <c r="G151" s="101">
        <v>1</v>
      </c>
      <c r="H151" s="101">
        <v>0</v>
      </c>
      <c r="I151" s="101">
        <v>1</v>
      </c>
      <c r="J151" s="101">
        <v>0</v>
      </c>
      <c r="K151" s="101">
        <v>1</v>
      </c>
      <c r="L151" s="101">
        <v>0</v>
      </c>
      <c r="M151" s="101">
        <v>0</v>
      </c>
      <c r="N151" s="101">
        <v>0</v>
      </c>
      <c r="O151" s="101">
        <v>0</v>
      </c>
      <c r="P151" s="101">
        <v>1</v>
      </c>
      <c r="Q151" s="101">
        <v>20</v>
      </c>
      <c r="R151" s="12" t="s">
        <v>25</v>
      </c>
      <c r="S151" s="12" t="s">
        <v>25</v>
      </c>
      <c r="T151" s="12" t="s">
        <v>25</v>
      </c>
    </row>
    <row r="152" spans="1:20" x14ac:dyDescent="0.3">
      <c r="A152" s="13">
        <v>43892.75</v>
      </c>
      <c r="B152" s="12" t="s">
        <v>22</v>
      </c>
      <c r="C152" s="101">
        <v>18</v>
      </c>
      <c r="D152" s="12" t="s">
        <v>45</v>
      </c>
      <c r="E152" s="101">
        <v>3890597598</v>
      </c>
      <c r="F152" s="101">
        <v>1659440194</v>
      </c>
      <c r="G152" s="101">
        <v>0</v>
      </c>
      <c r="H152" s="101">
        <v>0</v>
      </c>
      <c r="I152" s="101">
        <v>0</v>
      </c>
      <c r="J152" s="101">
        <v>1</v>
      </c>
      <c r="K152" s="101">
        <v>1</v>
      </c>
      <c r="L152" s="101">
        <v>0</v>
      </c>
      <c r="M152" s="101">
        <v>0</v>
      </c>
      <c r="N152" s="101">
        <v>0</v>
      </c>
      <c r="O152" s="101">
        <v>0</v>
      </c>
      <c r="P152" s="101">
        <v>1</v>
      </c>
      <c r="Q152" s="101">
        <v>39</v>
      </c>
      <c r="R152" s="12" t="s">
        <v>25</v>
      </c>
      <c r="S152" s="12" t="s">
        <v>25</v>
      </c>
      <c r="T152" s="12" t="s">
        <v>25</v>
      </c>
    </row>
    <row r="153" spans="1:20" x14ac:dyDescent="0.3">
      <c r="A153" s="13">
        <v>43892.75</v>
      </c>
      <c r="B153" s="12" t="s">
        <v>22</v>
      </c>
      <c r="C153" s="101">
        <v>15</v>
      </c>
      <c r="D153" s="12" t="s">
        <v>46</v>
      </c>
      <c r="E153" s="101">
        <v>4083956555</v>
      </c>
      <c r="F153" s="101">
        <v>1425084984</v>
      </c>
      <c r="G153" s="101">
        <v>4</v>
      </c>
      <c r="H153" s="101">
        <v>0</v>
      </c>
      <c r="I153" s="101">
        <v>4</v>
      </c>
      <c r="J153" s="101">
        <v>13</v>
      </c>
      <c r="K153" s="101">
        <v>17</v>
      </c>
      <c r="L153" s="101">
        <v>0</v>
      </c>
      <c r="M153" s="101">
        <v>0</v>
      </c>
      <c r="N153" s="101">
        <v>0</v>
      </c>
      <c r="O153" s="101">
        <v>0</v>
      </c>
      <c r="P153" s="101">
        <v>17</v>
      </c>
      <c r="Q153" s="101">
        <v>373</v>
      </c>
      <c r="R153" s="12" t="s">
        <v>25</v>
      </c>
      <c r="S153" s="12" t="s">
        <v>25</v>
      </c>
      <c r="T153" s="12" t="s">
        <v>25</v>
      </c>
    </row>
    <row r="154" spans="1:20" x14ac:dyDescent="0.3">
      <c r="A154" s="13">
        <v>43892.75</v>
      </c>
      <c r="B154" s="12" t="s">
        <v>22</v>
      </c>
      <c r="C154" s="101">
        <v>8</v>
      </c>
      <c r="D154" s="12" t="s">
        <v>96</v>
      </c>
      <c r="E154" s="101">
        <v>4449436681</v>
      </c>
      <c r="F154" s="101">
        <v>113417208</v>
      </c>
      <c r="G154" s="101">
        <v>148</v>
      </c>
      <c r="H154" s="101">
        <v>16</v>
      </c>
      <c r="I154" s="101">
        <v>164</v>
      </c>
      <c r="J154" s="101">
        <v>160</v>
      </c>
      <c r="K154" s="101">
        <v>324</v>
      </c>
      <c r="L154" s="101">
        <v>47</v>
      </c>
      <c r="M154" s="101">
        <v>50</v>
      </c>
      <c r="N154" s="101">
        <v>0</v>
      </c>
      <c r="O154" s="101">
        <v>11</v>
      </c>
      <c r="P154" s="101">
        <v>335</v>
      </c>
      <c r="Q154" s="101">
        <v>1973</v>
      </c>
      <c r="R154" s="12" t="s">
        <v>25</v>
      </c>
      <c r="S154" s="12" t="s">
        <v>25</v>
      </c>
      <c r="T154" s="12" t="s">
        <v>25</v>
      </c>
    </row>
    <row r="155" spans="1:20" x14ac:dyDescent="0.3">
      <c r="A155" s="13">
        <v>43892.75</v>
      </c>
      <c r="B155" s="12" t="s">
        <v>22</v>
      </c>
      <c r="C155" s="101">
        <v>6</v>
      </c>
      <c r="D155" s="12" t="s">
        <v>47</v>
      </c>
      <c r="E155" s="101">
        <v>456494354</v>
      </c>
      <c r="F155" s="101">
        <v>1376813649</v>
      </c>
      <c r="G155" s="101">
        <v>0</v>
      </c>
      <c r="H155" s="101">
        <v>0</v>
      </c>
      <c r="I155" s="101">
        <v>0</v>
      </c>
      <c r="J155" s="101">
        <v>9</v>
      </c>
      <c r="K155" s="101">
        <v>9</v>
      </c>
      <c r="L155" s="101">
        <v>3</v>
      </c>
      <c r="M155" s="101">
        <v>3</v>
      </c>
      <c r="N155" s="101">
        <v>0</v>
      </c>
      <c r="O155" s="101">
        <v>0</v>
      </c>
      <c r="P155" s="101">
        <v>9</v>
      </c>
      <c r="Q155" s="101">
        <v>269</v>
      </c>
      <c r="R155" s="12" t="s">
        <v>25</v>
      </c>
      <c r="S155" s="12" t="s">
        <v>25</v>
      </c>
      <c r="T155" s="12" t="s">
        <v>25</v>
      </c>
    </row>
    <row r="156" spans="1:20" x14ac:dyDescent="0.3">
      <c r="A156" s="13">
        <v>43892.75</v>
      </c>
      <c r="B156" s="12" t="s">
        <v>22</v>
      </c>
      <c r="C156" s="101">
        <v>12</v>
      </c>
      <c r="D156" s="12" t="s">
        <v>48</v>
      </c>
      <c r="E156" s="101">
        <v>4189277044</v>
      </c>
      <c r="F156" s="101">
        <v>1248366722</v>
      </c>
      <c r="G156" s="101">
        <v>3</v>
      </c>
      <c r="H156" s="101">
        <v>0</v>
      </c>
      <c r="I156" s="101">
        <v>3</v>
      </c>
      <c r="J156" s="101">
        <v>1</v>
      </c>
      <c r="K156" s="101">
        <v>4</v>
      </c>
      <c r="L156" s="101">
        <v>1</v>
      </c>
      <c r="M156" s="101">
        <v>1</v>
      </c>
      <c r="N156" s="101">
        <v>3</v>
      </c>
      <c r="O156" s="101">
        <v>0</v>
      </c>
      <c r="P156" s="101">
        <v>7</v>
      </c>
      <c r="Q156" s="101">
        <v>773</v>
      </c>
      <c r="R156" s="12" t="s">
        <v>25</v>
      </c>
      <c r="S156" s="12" t="s">
        <v>25</v>
      </c>
      <c r="T156" s="12" t="s">
        <v>25</v>
      </c>
    </row>
    <row r="157" spans="1:20" x14ac:dyDescent="0.3">
      <c r="A157" s="13">
        <v>43892.75</v>
      </c>
      <c r="B157" s="12" t="s">
        <v>22</v>
      </c>
      <c r="C157" s="101">
        <v>7</v>
      </c>
      <c r="D157" s="12" t="s">
        <v>49</v>
      </c>
      <c r="E157" s="101">
        <v>4441149315</v>
      </c>
      <c r="F157" s="101">
        <v>89326992</v>
      </c>
      <c r="G157" s="101">
        <v>12</v>
      </c>
      <c r="H157" s="101">
        <v>1</v>
      </c>
      <c r="I157" s="101">
        <v>13</v>
      </c>
      <c r="J157" s="101">
        <v>5</v>
      </c>
      <c r="K157" s="101">
        <v>18</v>
      </c>
      <c r="L157" s="101">
        <v>-3</v>
      </c>
      <c r="M157" s="101">
        <v>-3</v>
      </c>
      <c r="N157" s="101">
        <v>4</v>
      </c>
      <c r="O157" s="101">
        <v>0</v>
      </c>
      <c r="P157" s="101">
        <v>22</v>
      </c>
      <c r="Q157" s="101">
        <v>121</v>
      </c>
      <c r="R157" s="12" t="s">
        <v>25</v>
      </c>
      <c r="S157" s="12" t="s">
        <v>25</v>
      </c>
      <c r="T157" s="12" t="s">
        <v>25</v>
      </c>
    </row>
    <row r="158" spans="1:20" x14ac:dyDescent="0.3">
      <c r="A158" s="13">
        <v>43892.75</v>
      </c>
      <c r="B158" s="12" t="s">
        <v>22</v>
      </c>
      <c r="C158" s="101">
        <v>3</v>
      </c>
      <c r="D158" s="12" t="s">
        <v>50</v>
      </c>
      <c r="E158" s="101">
        <v>4546679409</v>
      </c>
      <c r="F158" s="101">
        <v>9190347404</v>
      </c>
      <c r="G158" s="101">
        <v>478</v>
      </c>
      <c r="H158" s="101">
        <v>127</v>
      </c>
      <c r="I158" s="101">
        <v>605</v>
      </c>
      <c r="J158" s="101">
        <v>472</v>
      </c>
      <c r="K158" s="101">
        <v>1077</v>
      </c>
      <c r="L158" s="101">
        <v>190</v>
      </c>
      <c r="M158" s="101">
        <v>270</v>
      </c>
      <c r="N158" s="101">
        <v>139</v>
      </c>
      <c r="O158" s="101">
        <v>38</v>
      </c>
      <c r="P158" s="101">
        <v>1254</v>
      </c>
      <c r="Q158" s="101">
        <v>7925</v>
      </c>
      <c r="R158" s="12" t="s">
        <v>25</v>
      </c>
      <c r="S158" s="12" t="s">
        <v>25</v>
      </c>
      <c r="T158" s="12" t="s">
        <v>25</v>
      </c>
    </row>
    <row r="159" spans="1:20" x14ac:dyDescent="0.3">
      <c r="A159" s="13">
        <v>43892.75</v>
      </c>
      <c r="B159" s="12" t="s">
        <v>22</v>
      </c>
      <c r="C159" s="101">
        <v>11</v>
      </c>
      <c r="D159" s="12" t="s">
        <v>51</v>
      </c>
      <c r="E159" s="101">
        <v>4361675973</v>
      </c>
      <c r="F159" s="101">
        <v>135188753</v>
      </c>
      <c r="G159" s="101">
        <v>17</v>
      </c>
      <c r="H159" s="101">
        <v>6</v>
      </c>
      <c r="I159" s="101">
        <v>23</v>
      </c>
      <c r="J159" s="101">
        <v>11</v>
      </c>
      <c r="K159" s="101">
        <v>34</v>
      </c>
      <c r="L159" s="101">
        <v>9</v>
      </c>
      <c r="M159" s="101">
        <v>10</v>
      </c>
      <c r="N159" s="101">
        <v>0</v>
      </c>
      <c r="O159" s="101">
        <v>1</v>
      </c>
      <c r="P159" s="101">
        <v>35</v>
      </c>
      <c r="Q159" s="101">
        <v>137</v>
      </c>
      <c r="R159" s="12" t="s">
        <v>25</v>
      </c>
      <c r="S159" s="12" t="s">
        <v>25</v>
      </c>
      <c r="T159" s="12" t="s">
        <v>25</v>
      </c>
    </row>
    <row r="160" spans="1:20" x14ac:dyDescent="0.3">
      <c r="A160" s="13">
        <v>43892.75</v>
      </c>
      <c r="B160" s="12" t="s">
        <v>22</v>
      </c>
      <c r="C160" s="101">
        <v>14</v>
      </c>
      <c r="D160" s="12" t="s">
        <v>52</v>
      </c>
      <c r="E160" s="101">
        <v>4155774754</v>
      </c>
      <c r="F160" s="101">
        <v>1465916051</v>
      </c>
      <c r="G160" s="101">
        <v>0</v>
      </c>
      <c r="H160" s="101">
        <v>0</v>
      </c>
      <c r="I160" s="101">
        <v>0</v>
      </c>
      <c r="J160" s="101">
        <v>0</v>
      </c>
      <c r="K160" s="101">
        <v>0</v>
      </c>
      <c r="L160" s="101">
        <v>0</v>
      </c>
      <c r="M160" s="101">
        <v>0</v>
      </c>
      <c r="N160" s="101">
        <v>0</v>
      </c>
      <c r="O160" s="101">
        <v>0</v>
      </c>
      <c r="P160" s="101">
        <v>0</v>
      </c>
      <c r="Q160" s="101">
        <v>13</v>
      </c>
      <c r="R160" s="12" t="s">
        <v>25</v>
      </c>
      <c r="S160" s="12" t="s">
        <v>25</v>
      </c>
      <c r="T160" s="12" t="s">
        <v>25</v>
      </c>
    </row>
    <row r="161" spans="1:20" x14ac:dyDescent="0.3">
      <c r="A161" s="13">
        <v>43892.75</v>
      </c>
      <c r="B161" s="12" t="s">
        <v>22</v>
      </c>
      <c r="C161" s="101">
        <v>1</v>
      </c>
      <c r="D161" s="12" t="s">
        <v>53</v>
      </c>
      <c r="E161" s="101">
        <v>450732745</v>
      </c>
      <c r="F161" s="101">
        <v>7680687483</v>
      </c>
      <c r="G161" s="101">
        <v>12</v>
      </c>
      <c r="H161" s="101">
        <v>2</v>
      </c>
      <c r="I161" s="101">
        <v>14</v>
      </c>
      <c r="J161" s="101">
        <v>37</v>
      </c>
      <c r="K161" s="101">
        <v>51</v>
      </c>
      <c r="L161" s="101">
        <v>2</v>
      </c>
      <c r="M161" s="101">
        <v>2</v>
      </c>
      <c r="N161" s="101">
        <v>0</v>
      </c>
      <c r="O161" s="101">
        <v>0</v>
      </c>
      <c r="P161" s="101">
        <v>51</v>
      </c>
      <c r="Q161" s="101">
        <v>434</v>
      </c>
      <c r="R161" s="12" t="s">
        <v>25</v>
      </c>
      <c r="S161" s="12" t="s">
        <v>25</v>
      </c>
      <c r="T161" s="12" t="s">
        <v>25</v>
      </c>
    </row>
    <row r="162" spans="1:20" x14ac:dyDescent="0.3">
      <c r="A162" s="13">
        <v>43892.75</v>
      </c>
      <c r="B162" s="12" t="s">
        <v>22</v>
      </c>
      <c r="C162" s="101">
        <v>16</v>
      </c>
      <c r="D162" s="12" t="s">
        <v>54</v>
      </c>
      <c r="E162" s="101">
        <v>4112559576</v>
      </c>
      <c r="F162" s="101">
        <v>1686736689</v>
      </c>
      <c r="G162" s="101">
        <v>2</v>
      </c>
      <c r="H162" s="101">
        <v>0</v>
      </c>
      <c r="I162" s="101">
        <v>2</v>
      </c>
      <c r="J162" s="101">
        <v>2</v>
      </c>
      <c r="K162" s="101">
        <v>4</v>
      </c>
      <c r="L162" s="101">
        <v>1</v>
      </c>
      <c r="M162" s="101">
        <v>1</v>
      </c>
      <c r="N162" s="101">
        <v>0</v>
      </c>
      <c r="O162" s="101">
        <v>0</v>
      </c>
      <c r="P162" s="101">
        <v>4</v>
      </c>
      <c r="Q162" s="101">
        <v>278</v>
      </c>
      <c r="R162" s="12" t="s">
        <v>25</v>
      </c>
      <c r="S162" s="12" t="s">
        <v>25</v>
      </c>
      <c r="T162" s="12" t="s">
        <v>25</v>
      </c>
    </row>
    <row r="163" spans="1:20" x14ac:dyDescent="0.3">
      <c r="A163" s="13">
        <v>43892.75</v>
      </c>
      <c r="B163" s="12" t="s">
        <v>22</v>
      </c>
      <c r="C163" s="101">
        <v>20</v>
      </c>
      <c r="D163" s="12" t="s">
        <v>55</v>
      </c>
      <c r="E163" s="101">
        <v>3921531192</v>
      </c>
      <c r="F163" s="101">
        <v>9110616306</v>
      </c>
      <c r="G163" s="101">
        <v>0</v>
      </c>
      <c r="H163" s="101">
        <v>0</v>
      </c>
      <c r="I163" s="101">
        <v>0</v>
      </c>
      <c r="J163" s="101">
        <v>0</v>
      </c>
      <c r="K163" s="101">
        <v>0</v>
      </c>
      <c r="L163" s="101">
        <v>0</v>
      </c>
      <c r="M163" s="101">
        <v>0</v>
      </c>
      <c r="N163" s="101">
        <v>0</v>
      </c>
      <c r="O163" s="101">
        <v>0</v>
      </c>
      <c r="P163" s="101">
        <v>0</v>
      </c>
      <c r="Q163" s="101">
        <v>29</v>
      </c>
      <c r="R163" s="12" t="s">
        <v>25</v>
      </c>
      <c r="S163" s="12" t="s">
        <v>25</v>
      </c>
      <c r="T163" s="12" t="s">
        <v>25</v>
      </c>
    </row>
    <row r="164" spans="1:20" x14ac:dyDescent="0.3">
      <c r="A164" s="13">
        <v>43892.75</v>
      </c>
      <c r="B164" s="12" t="s">
        <v>22</v>
      </c>
      <c r="C164" s="101">
        <v>19</v>
      </c>
      <c r="D164" s="12" t="s">
        <v>56</v>
      </c>
      <c r="E164" s="101">
        <v>3811569725</v>
      </c>
      <c r="F164" s="101">
        <v>133623567</v>
      </c>
      <c r="G164" s="101">
        <v>2</v>
      </c>
      <c r="H164" s="101">
        <v>0</v>
      </c>
      <c r="I164" s="101">
        <v>2</v>
      </c>
      <c r="J164" s="101">
        <v>3</v>
      </c>
      <c r="K164" s="101">
        <v>5</v>
      </c>
      <c r="L164" s="101">
        <v>-2</v>
      </c>
      <c r="M164" s="101">
        <v>-2</v>
      </c>
      <c r="N164" s="101">
        <v>2</v>
      </c>
      <c r="O164" s="101">
        <v>0</v>
      </c>
      <c r="P164" s="101">
        <v>7</v>
      </c>
      <c r="Q164" s="101">
        <v>307</v>
      </c>
      <c r="R164" s="12" t="s">
        <v>25</v>
      </c>
      <c r="S164" s="12" t="s">
        <v>25</v>
      </c>
      <c r="T164" s="12" t="s">
        <v>25</v>
      </c>
    </row>
    <row r="165" spans="1:20" x14ac:dyDescent="0.3">
      <c r="A165" s="13">
        <v>43892.75</v>
      </c>
      <c r="B165" s="12" t="s">
        <v>22</v>
      </c>
      <c r="C165" s="101">
        <v>9</v>
      </c>
      <c r="D165" s="12" t="s">
        <v>57</v>
      </c>
      <c r="E165" s="101">
        <v>4376923077</v>
      </c>
      <c r="F165" s="101">
        <v>1125588885</v>
      </c>
      <c r="G165" s="101">
        <v>7</v>
      </c>
      <c r="H165" s="101">
        <v>0</v>
      </c>
      <c r="I165" s="101">
        <v>7</v>
      </c>
      <c r="J165" s="101">
        <v>5</v>
      </c>
      <c r="K165" s="101">
        <v>12</v>
      </c>
      <c r="L165" s="101">
        <v>0</v>
      </c>
      <c r="M165" s="101">
        <v>0</v>
      </c>
      <c r="N165" s="101">
        <v>1</v>
      </c>
      <c r="O165" s="101">
        <v>0</v>
      </c>
      <c r="P165" s="101">
        <v>13</v>
      </c>
      <c r="Q165" s="101">
        <v>613</v>
      </c>
      <c r="R165" s="12" t="s">
        <v>25</v>
      </c>
      <c r="S165" s="12" t="s">
        <v>25</v>
      </c>
      <c r="T165" s="12" t="s">
        <v>25</v>
      </c>
    </row>
    <row r="166" spans="1:20" x14ac:dyDescent="0.3">
      <c r="A166" s="13">
        <v>43892.75</v>
      </c>
      <c r="B166" s="12" t="s">
        <v>22</v>
      </c>
      <c r="C166" s="101">
        <v>4</v>
      </c>
      <c r="D166" s="12" t="s">
        <v>58</v>
      </c>
      <c r="E166" s="101">
        <v>4606893511</v>
      </c>
      <c r="F166" s="101">
        <v>1112123097</v>
      </c>
      <c r="G166" s="101">
        <v>0</v>
      </c>
      <c r="H166" s="101">
        <v>0</v>
      </c>
      <c r="I166" s="101">
        <v>0</v>
      </c>
      <c r="J166" s="101">
        <v>0</v>
      </c>
      <c r="K166" s="101">
        <v>0</v>
      </c>
      <c r="L166" s="101">
        <v>0</v>
      </c>
      <c r="M166" s="101">
        <v>0</v>
      </c>
      <c r="N166" s="101">
        <v>0</v>
      </c>
      <c r="O166" s="101">
        <v>0</v>
      </c>
      <c r="P166" s="101">
        <v>0</v>
      </c>
      <c r="Q166" s="101">
        <v>122</v>
      </c>
      <c r="R166" s="12" t="s">
        <v>25</v>
      </c>
      <c r="S166" s="12" t="s">
        <v>25</v>
      </c>
      <c r="T166" s="12" t="s">
        <v>25</v>
      </c>
    </row>
    <row r="167" spans="1:20" x14ac:dyDescent="0.3">
      <c r="A167" s="13">
        <v>43892.75</v>
      </c>
      <c r="B167" s="12" t="s">
        <v>22</v>
      </c>
      <c r="C167" s="101">
        <v>10</v>
      </c>
      <c r="D167" s="12" t="s">
        <v>59</v>
      </c>
      <c r="E167" s="101">
        <v>4310675841</v>
      </c>
      <c r="F167" s="101">
        <v>1238824698</v>
      </c>
      <c r="G167" s="101">
        <v>0</v>
      </c>
      <c r="H167" s="101">
        <v>0</v>
      </c>
      <c r="I167" s="101">
        <v>0</v>
      </c>
      <c r="J167" s="101">
        <v>2</v>
      </c>
      <c r="K167" s="101">
        <v>2</v>
      </c>
      <c r="L167" s="101">
        <v>0</v>
      </c>
      <c r="M167" s="101">
        <v>0</v>
      </c>
      <c r="N167" s="101">
        <v>0</v>
      </c>
      <c r="O167" s="101">
        <v>0</v>
      </c>
      <c r="P167" s="101">
        <v>2</v>
      </c>
      <c r="Q167" s="101">
        <v>35</v>
      </c>
      <c r="R167" s="12" t="s">
        <v>25</v>
      </c>
      <c r="S167" s="12" t="s">
        <v>25</v>
      </c>
      <c r="T167" s="12" t="s">
        <v>25</v>
      </c>
    </row>
    <row r="168" spans="1:20" x14ac:dyDescent="0.3">
      <c r="A168" s="13">
        <v>43892.75</v>
      </c>
      <c r="B168" s="12" t="s">
        <v>22</v>
      </c>
      <c r="C168" s="101">
        <v>2</v>
      </c>
      <c r="D168" s="12" t="s">
        <v>60</v>
      </c>
      <c r="E168" s="101">
        <v>4573750286</v>
      </c>
      <c r="F168" s="101">
        <v>7320149366</v>
      </c>
      <c r="G168" s="101">
        <v>0</v>
      </c>
      <c r="H168" s="101">
        <v>0</v>
      </c>
      <c r="I168" s="101">
        <v>0</v>
      </c>
      <c r="J168" s="101">
        <v>0</v>
      </c>
      <c r="K168" s="101">
        <v>0</v>
      </c>
      <c r="L168" s="101">
        <v>0</v>
      </c>
      <c r="M168" s="101">
        <v>0</v>
      </c>
      <c r="N168" s="101">
        <v>0</v>
      </c>
      <c r="O168" s="101">
        <v>0</v>
      </c>
      <c r="P168" s="101">
        <v>0</v>
      </c>
      <c r="Q168" s="101">
        <v>11</v>
      </c>
      <c r="R168" s="12" t="s">
        <v>25</v>
      </c>
      <c r="S168" s="12" t="s">
        <v>25</v>
      </c>
      <c r="T168" s="12" t="s">
        <v>25</v>
      </c>
    </row>
    <row r="169" spans="1:20" x14ac:dyDescent="0.3">
      <c r="A169" s="13">
        <v>43892.75</v>
      </c>
      <c r="B169" s="12" t="s">
        <v>22</v>
      </c>
      <c r="C169" s="101">
        <v>5</v>
      </c>
      <c r="D169" s="12" t="s">
        <v>61</v>
      </c>
      <c r="E169" s="101">
        <v>4543490485</v>
      </c>
      <c r="F169" s="101">
        <v>1233845213</v>
      </c>
      <c r="G169" s="101">
        <v>53</v>
      </c>
      <c r="H169" s="101">
        <v>14</v>
      </c>
      <c r="I169" s="101">
        <v>67</v>
      </c>
      <c r="J169" s="101">
        <v>204</v>
      </c>
      <c r="K169" s="101">
        <v>271</v>
      </c>
      <c r="L169" s="101">
        <v>10</v>
      </c>
      <c r="M169" s="101">
        <v>10</v>
      </c>
      <c r="N169" s="101">
        <v>0</v>
      </c>
      <c r="O169" s="101">
        <v>2</v>
      </c>
      <c r="P169" s="101">
        <v>273</v>
      </c>
      <c r="Q169" s="101">
        <v>9782</v>
      </c>
      <c r="R169" s="12" t="s">
        <v>25</v>
      </c>
      <c r="S169" s="12" t="s">
        <v>25</v>
      </c>
      <c r="T169" s="12" t="s">
        <v>25</v>
      </c>
    </row>
    <row r="170" spans="1:20" x14ac:dyDescent="0.3">
      <c r="A170" s="13">
        <v>43893.75</v>
      </c>
      <c r="B170" s="12" t="s">
        <v>22</v>
      </c>
      <c r="C170" s="101">
        <v>13</v>
      </c>
      <c r="D170" s="12" t="s">
        <v>42</v>
      </c>
      <c r="E170" s="101">
        <v>4235122196</v>
      </c>
      <c r="F170" s="101">
        <v>1339843823</v>
      </c>
      <c r="G170" s="101">
        <v>5</v>
      </c>
      <c r="H170" s="101">
        <v>0</v>
      </c>
      <c r="I170" s="101">
        <v>5</v>
      </c>
      <c r="J170" s="101">
        <v>1</v>
      </c>
      <c r="K170" s="101">
        <v>6</v>
      </c>
      <c r="L170" s="101">
        <v>1</v>
      </c>
      <c r="M170" s="101">
        <v>1</v>
      </c>
      <c r="N170" s="101">
        <v>0</v>
      </c>
      <c r="O170" s="101">
        <v>0</v>
      </c>
      <c r="P170" s="101">
        <v>6</v>
      </c>
      <c r="Q170" s="101">
        <v>52</v>
      </c>
      <c r="R170" s="12" t="s">
        <v>25</v>
      </c>
      <c r="S170" s="12" t="s">
        <v>25</v>
      </c>
      <c r="T170" s="12" t="s">
        <v>25</v>
      </c>
    </row>
    <row r="171" spans="1:20" x14ac:dyDescent="0.3">
      <c r="A171" s="13">
        <v>43893.75</v>
      </c>
      <c r="B171" s="12" t="s">
        <v>22</v>
      </c>
      <c r="C171" s="101">
        <v>17</v>
      </c>
      <c r="D171" s="12" t="s">
        <v>43</v>
      </c>
      <c r="E171" s="101">
        <v>4063947052</v>
      </c>
      <c r="F171" s="101">
        <v>1580514834</v>
      </c>
      <c r="G171" s="101">
        <v>0</v>
      </c>
      <c r="H171" s="101">
        <v>0</v>
      </c>
      <c r="I171" s="101">
        <v>0</v>
      </c>
      <c r="J171" s="101">
        <v>1</v>
      </c>
      <c r="K171" s="101">
        <v>1</v>
      </c>
      <c r="L171" s="101">
        <v>1</v>
      </c>
      <c r="M171" s="101">
        <v>1</v>
      </c>
      <c r="N171" s="101">
        <v>0</v>
      </c>
      <c r="O171" s="101">
        <v>0</v>
      </c>
      <c r="P171" s="101">
        <v>1</v>
      </c>
      <c r="Q171" s="101">
        <v>42</v>
      </c>
      <c r="R171" s="12" t="s">
        <v>25</v>
      </c>
      <c r="S171" s="12" t="s">
        <v>25</v>
      </c>
      <c r="T171" s="12" t="s">
        <v>25</v>
      </c>
    </row>
    <row r="172" spans="1:20" x14ac:dyDescent="0.3">
      <c r="A172" s="13">
        <v>43893.75</v>
      </c>
      <c r="B172" s="12" t="s">
        <v>22</v>
      </c>
      <c r="C172" s="101">
        <v>4</v>
      </c>
      <c r="D172" s="12" t="s">
        <v>44</v>
      </c>
      <c r="E172" s="101">
        <v>4649933453</v>
      </c>
      <c r="F172" s="101">
        <v>1135662422</v>
      </c>
      <c r="G172" s="101">
        <v>1</v>
      </c>
      <c r="H172" s="101">
        <v>0</v>
      </c>
      <c r="I172" s="101">
        <v>1</v>
      </c>
      <c r="J172" s="101">
        <v>0</v>
      </c>
      <c r="K172" s="101">
        <v>1</v>
      </c>
      <c r="L172" s="101">
        <v>0</v>
      </c>
      <c r="M172" s="101">
        <v>0</v>
      </c>
      <c r="N172" s="101">
        <v>0</v>
      </c>
      <c r="O172" s="101">
        <v>0</v>
      </c>
      <c r="P172" s="101">
        <v>1</v>
      </c>
      <c r="Q172" s="101">
        <v>20</v>
      </c>
      <c r="R172" s="12" t="s">
        <v>25</v>
      </c>
      <c r="S172" s="12" t="s">
        <v>25</v>
      </c>
      <c r="T172" s="12" t="s">
        <v>25</v>
      </c>
    </row>
    <row r="173" spans="1:20" x14ac:dyDescent="0.3">
      <c r="A173" s="13">
        <v>43893.75</v>
      </c>
      <c r="B173" s="12" t="s">
        <v>22</v>
      </c>
      <c r="C173" s="101">
        <v>18</v>
      </c>
      <c r="D173" s="12" t="s">
        <v>45</v>
      </c>
      <c r="E173" s="101">
        <v>3890597598</v>
      </c>
      <c r="F173" s="101">
        <v>1659440194</v>
      </c>
      <c r="G173" s="101">
        <v>0</v>
      </c>
      <c r="H173" s="101">
        <v>0</v>
      </c>
      <c r="I173" s="101">
        <v>0</v>
      </c>
      <c r="J173" s="101">
        <v>1</v>
      </c>
      <c r="K173" s="101">
        <v>1</v>
      </c>
      <c r="L173" s="101">
        <v>0</v>
      </c>
      <c r="M173" s="101">
        <v>0</v>
      </c>
      <c r="N173" s="101">
        <v>0</v>
      </c>
      <c r="O173" s="101">
        <v>0</v>
      </c>
      <c r="P173" s="101">
        <v>1</v>
      </c>
      <c r="Q173" s="101">
        <v>39</v>
      </c>
      <c r="R173" s="12" t="s">
        <v>25</v>
      </c>
      <c r="S173" s="12" t="s">
        <v>25</v>
      </c>
      <c r="T173" s="12" t="s">
        <v>25</v>
      </c>
    </row>
    <row r="174" spans="1:20" x14ac:dyDescent="0.3">
      <c r="A174" s="13">
        <v>43893.75</v>
      </c>
      <c r="B174" s="12" t="s">
        <v>22</v>
      </c>
      <c r="C174" s="101">
        <v>15</v>
      </c>
      <c r="D174" s="12" t="s">
        <v>46</v>
      </c>
      <c r="E174" s="101">
        <v>4083956555</v>
      </c>
      <c r="F174" s="101">
        <v>1425084984</v>
      </c>
      <c r="G174" s="101">
        <v>11</v>
      </c>
      <c r="H174" s="101">
        <v>0</v>
      </c>
      <c r="I174" s="101">
        <v>11</v>
      </c>
      <c r="J174" s="101">
        <v>19</v>
      </c>
      <c r="K174" s="101">
        <v>30</v>
      </c>
      <c r="L174" s="101">
        <v>13</v>
      </c>
      <c r="M174" s="101">
        <v>13</v>
      </c>
      <c r="N174" s="101">
        <v>0</v>
      </c>
      <c r="O174" s="101">
        <v>0</v>
      </c>
      <c r="P174" s="101">
        <v>30</v>
      </c>
      <c r="Q174" s="101">
        <v>405</v>
      </c>
      <c r="R174" s="12" t="s">
        <v>25</v>
      </c>
      <c r="S174" s="12" t="s">
        <v>25</v>
      </c>
      <c r="T174" s="12" t="s">
        <v>25</v>
      </c>
    </row>
    <row r="175" spans="1:20" x14ac:dyDescent="0.3">
      <c r="A175" s="13">
        <v>43893.75</v>
      </c>
      <c r="B175" s="12" t="s">
        <v>22</v>
      </c>
      <c r="C175" s="101">
        <v>8</v>
      </c>
      <c r="D175" s="12" t="s">
        <v>96</v>
      </c>
      <c r="E175" s="101">
        <v>4449436681</v>
      </c>
      <c r="F175" s="101">
        <v>113417208</v>
      </c>
      <c r="G175" s="101">
        <v>187</v>
      </c>
      <c r="H175" s="101">
        <v>24</v>
      </c>
      <c r="I175" s="101">
        <v>211</v>
      </c>
      <c r="J175" s="101">
        <v>187</v>
      </c>
      <c r="K175" s="101">
        <v>398</v>
      </c>
      <c r="L175" s="101">
        <v>74</v>
      </c>
      <c r="M175" s="101">
        <v>85</v>
      </c>
      <c r="N175" s="101">
        <v>4</v>
      </c>
      <c r="O175" s="101">
        <v>18</v>
      </c>
      <c r="P175" s="101">
        <v>420</v>
      </c>
      <c r="Q175" s="101">
        <v>2012</v>
      </c>
      <c r="R175" s="12" t="s">
        <v>25</v>
      </c>
      <c r="S175" s="12" t="s">
        <v>25</v>
      </c>
      <c r="T175" s="12" t="s">
        <v>25</v>
      </c>
    </row>
    <row r="176" spans="1:20" x14ac:dyDescent="0.3">
      <c r="A176" s="13">
        <v>43893.75</v>
      </c>
      <c r="B176" s="12" t="s">
        <v>22</v>
      </c>
      <c r="C176" s="101">
        <v>6</v>
      </c>
      <c r="D176" s="12" t="s">
        <v>47</v>
      </c>
      <c r="E176" s="101">
        <v>456494354</v>
      </c>
      <c r="F176" s="101">
        <v>1376813649</v>
      </c>
      <c r="G176" s="101">
        <v>1</v>
      </c>
      <c r="H176" s="101">
        <v>0</v>
      </c>
      <c r="I176" s="101">
        <v>1</v>
      </c>
      <c r="J176" s="101">
        <v>12</v>
      </c>
      <c r="K176" s="101">
        <v>13</v>
      </c>
      <c r="L176" s="101">
        <v>4</v>
      </c>
      <c r="M176" s="101">
        <v>4</v>
      </c>
      <c r="N176" s="101">
        <v>0</v>
      </c>
      <c r="O176" s="101">
        <v>0</v>
      </c>
      <c r="P176" s="101">
        <v>13</v>
      </c>
      <c r="Q176" s="101">
        <v>354</v>
      </c>
      <c r="R176" s="12" t="s">
        <v>25</v>
      </c>
      <c r="S176" s="12" t="s">
        <v>25</v>
      </c>
      <c r="T176" s="12" t="s">
        <v>25</v>
      </c>
    </row>
    <row r="177" spans="1:20" x14ac:dyDescent="0.3">
      <c r="A177" s="13">
        <v>43893.75</v>
      </c>
      <c r="B177" s="12" t="s">
        <v>22</v>
      </c>
      <c r="C177" s="101">
        <v>12</v>
      </c>
      <c r="D177" s="12" t="s">
        <v>48</v>
      </c>
      <c r="E177" s="101">
        <v>4189277044</v>
      </c>
      <c r="F177" s="101">
        <v>1248366722</v>
      </c>
      <c r="G177" s="101">
        <v>10</v>
      </c>
      <c r="H177" s="101">
        <v>0</v>
      </c>
      <c r="I177" s="101">
        <v>10</v>
      </c>
      <c r="J177" s="101">
        <v>1</v>
      </c>
      <c r="K177" s="101">
        <v>11</v>
      </c>
      <c r="L177" s="101">
        <v>7</v>
      </c>
      <c r="M177" s="101">
        <v>7</v>
      </c>
      <c r="N177" s="101">
        <v>3</v>
      </c>
      <c r="O177" s="101">
        <v>0</v>
      </c>
      <c r="P177" s="101">
        <v>14</v>
      </c>
      <c r="Q177" s="101">
        <v>877</v>
      </c>
      <c r="R177" s="12" t="s">
        <v>25</v>
      </c>
      <c r="S177" s="12" t="s">
        <v>25</v>
      </c>
      <c r="T177" s="12" t="s">
        <v>25</v>
      </c>
    </row>
    <row r="178" spans="1:20" x14ac:dyDescent="0.3">
      <c r="A178" s="13">
        <v>43893.75</v>
      </c>
      <c r="B178" s="12" t="s">
        <v>22</v>
      </c>
      <c r="C178" s="101">
        <v>7</v>
      </c>
      <c r="D178" s="12" t="s">
        <v>49</v>
      </c>
      <c r="E178" s="101">
        <v>4441149315</v>
      </c>
      <c r="F178" s="101">
        <v>89326992</v>
      </c>
      <c r="G178" s="101">
        <v>12</v>
      </c>
      <c r="H178" s="101">
        <v>2</v>
      </c>
      <c r="I178" s="101">
        <v>14</v>
      </c>
      <c r="J178" s="101">
        <v>5</v>
      </c>
      <c r="K178" s="101">
        <v>19</v>
      </c>
      <c r="L178" s="101">
        <v>1</v>
      </c>
      <c r="M178" s="101">
        <v>2</v>
      </c>
      <c r="N178" s="101">
        <v>4</v>
      </c>
      <c r="O178" s="101">
        <v>1</v>
      </c>
      <c r="P178" s="101">
        <v>24</v>
      </c>
      <c r="Q178" s="101">
        <v>121</v>
      </c>
      <c r="R178" s="12" t="s">
        <v>25</v>
      </c>
      <c r="S178" s="12" t="s">
        <v>25</v>
      </c>
      <c r="T178" s="12" t="s">
        <v>25</v>
      </c>
    </row>
    <row r="179" spans="1:20" x14ac:dyDescent="0.3">
      <c r="A179" s="13">
        <v>43893.75</v>
      </c>
      <c r="B179" s="12" t="s">
        <v>22</v>
      </c>
      <c r="C179" s="101">
        <v>3</v>
      </c>
      <c r="D179" s="12" t="s">
        <v>50</v>
      </c>
      <c r="E179" s="101">
        <v>4546679409</v>
      </c>
      <c r="F179" s="101">
        <v>9190347404</v>
      </c>
      <c r="G179" s="101">
        <v>698</v>
      </c>
      <c r="H179" s="101">
        <v>167</v>
      </c>
      <c r="I179" s="101">
        <v>865</v>
      </c>
      <c r="J179" s="101">
        <v>461</v>
      </c>
      <c r="K179" s="101">
        <v>1326</v>
      </c>
      <c r="L179" s="101">
        <v>249</v>
      </c>
      <c r="M179" s="101">
        <v>266</v>
      </c>
      <c r="N179" s="101">
        <v>139</v>
      </c>
      <c r="O179" s="101">
        <v>55</v>
      </c>
      <c r="P179" s="101">
        <v>1520</v>
      </c>
      <c r="Q179" s="101">
        <v>9577</v>
      </c>
      <c r="R179" s="12" t="s">
        <v>25</v>
      </c>
      <c r="S179" s="12" t="s">
        <v>25</v>
      </c>
      <c r="T179" s="12" t="s">
        <v>25</v>
      </c>
    </row>
    <row r="180" spans="1:20" x14ac:dyDescent="0.3">
      <c r="A180" s="13">
        <v>43893.75</v>
      </c>
      <c r="B180" s="12" t="s">
        <v>22</v>
      </c>
      <c r="C180" s="101">
        <v>11</v>
      </c>
      <c r="D180" s="12" t="s">
        <v>51</v>
      </c>
      <c r="E180" s="101">
        <v>4361675973</v>
      </c>
      <c r="F180" s="101">
        <v>135188753</v>
      </c>
      <c r="G180" s="101">
        <v>27</v>
      </c>
      <c r="H180" s="101">
        <v>13</v>
      </c>
      <c r="I180" s="101">
        <v>40</v>
      </c>
      <c r="J180" s="101">
        <v>19</v>
      </c>
      <c r="K180" s="101">
        <v>59</v>
      </c>
      <c r="L180" s="101">
        <v>25</v>
      </c>
      <c r="M180" s="101">
        <v>26</v>
      </c>
      <c r="N180" s="101">
        <v>0</v>
      </c>
      <c r="O180" s="101">
        <v>2</v>
      </c>
      <c r="P180" s="101">
        <v>61</v>
      </c>
      <c r="Q180" s="101">
        <v>200</v>
      </c>
      <c r="R180" s="12" t="s">
        <v>25</v>
      </c>
      <c r="S180" s="12" t="s">
        <v>25</v>
      </c>
      <c r="T180" s="12" t="s">
        <v>25</v>
      </c>
    </row>
    <row r="181" spans="1:20" x14ac:dyDescent="0.3">
      <c r="A181" s="13">
        <v>43893.75</v>
      </c>
      <c r="B181" s="12" t="s">
        <v>22</v>
      </c>
      <c r="C181" s="101">
        <v>14</v>
      </c>
      <c r="D181" s="12" t="s">
        <v>52</v>
      </c>
      <c r="E181" s="101">
        <v>4155774754</v>
      </c>
      <c r="F181" s="101">
        <v>1465916051</v>
      </c>
      <c r="G181" s="101">
        <v>3</v>
      </c>
      <c r="H181" s="101">
        <v>0</v>
      </c>
      <c r="I181" s="101">
        <v>3</v>
      </c>
      <c r="J181" s="101">
        <v>0</v>
      </c>
      <c r="K181" s="101">
        <v>3</v>
      </c>
      <c r="L181" s="101">
        <v>3</v>
      </c>
      <c r="M181" s="101">
        <v>3</v>
      </c>
      <c r="N181" s="101">
        <v>0</v>
      </c>
      <c r="O181" s="101">
        <v>0</v>
      </c>
      <c r="P181" s="101">
        <v>3</v>
      </c>
      <c r="Q181" s="101">
        <v>13</v>
      </c>
      <c r="R181" s="12" t="s">
        <v>25</v>
      </c>
      <c r="S181" s="12" t="s">
        <v>25</v>
      </c>
      <c r="T181" s="12" t="s">
        <v>25</v>
      </c>
    </row>
    <row r="182" spans="1:20" x14ac:dyDescent="0.3">
      <c r="A182" s="13">
        <v>43893.75</v>
      </c>
      <c r="B182" s="12" t="s">
        <v>22</v>
      </c>
      <c r="C182" s="101">
        <v>1</v>
      </c>
      <c r="D182" s="12" t="s">
        <v>53</v>
      </c>
      <c r="E182" s="101">
        <v>450732745</v>
      </c>
      <c r="F182" s="101">
        <v>7680687483</v>
      </c>
      <c r="G182" s="101">
        <v>13</v>
      </c>
      <c r="H182" s="101">
        <v>3</v>
      </c>
      <c r="I182" s="101">
        <v>16</v>
      </c>
      <c r="J182" s="101">
        <v>40</v>
      </c>
      <c r="K182" s="101">
        <v>56</v>
      </c>
      <c r="L182" s="101">
        <v>5</v>
      </c>
      <c r="M182" s="101">
        <v>5</v>
      </c>
      <c r="N182" s="101">
        <v>0</v>
      </c>
      <c r="O182" s="101">
        <v>0</v>
      </c>
      <c r="P182" s="101">
        <v>56</v>
      </c>
      <c r="Q182" s="101">
        <v>458</v>
      </c>
      <c r="R182" s="12" t="s">
        <v>25</v>
      </c>
      <c r="S182" s="12" t="s">
        <v>25</v>
      </c>
      <c r="T182" s="12" t="s">
        <v>25</v>
      </c>
    </row>
    <row r="183" spans="1:20" x14ac:dyDescent="0.3">
      <c r="A183" s="13">
        <v>43893.75</v>
      </c>
      <c r="B183" s="12" t="s">
        <v>22</v>
      </c>
      <c r="C183" s="101">
        <v>16</v>
      </c>
      <c r="D183" s="12" t="s">
        <v>54</v>
      </c>
      <c r="E183" s="101">
        <v>4112559576</v>
      </c>
      <c r="F183" s="101">
        <v>1686736689</v>
      </c>
      <c r="G183" s="101">
        <v>2</v>
      </c>
      <c r="H183" s="101">
        <v>0</v>
      </c>
      <c r="I183" s="101">
        <v>2</v>
      </c>
      <c r="J183" s="101">
        <v>4</v>
      </c>
      <c r="K183" s="101">
        <v>6</v>
      </c>
      <c r="L183" s="101">
        <v>2</v>
      </c>
      <c r="M183" s="101">
        <v>2</v>
      </c>
      <c r="N183" s="101">
        <v>0</v>
      </c>
      <c r="O183" s="101">
        <v>0</v>
      </c>
      <c r="P183" s="101">
        <v>6</v>
      </c>
      <c r="Q183" s="101">
        <v>298</v>
      </c>
      <c r="R183" s="12" t="s">
        <v>25</v>
      </c>
      <c r="S183" s="12" t="s">
        <v>25</v>
      </c>
      <c r="T183" s="12" t="s">
        <v>25</v>
      </c>
    </row>
    <row r="184" spans="1:20" x14ac:dyDescent="0.3">
      <c r="A184" s="13">
        <v>43893.75</v>
      </c>
      <c r="B184" s="12" t="s">
        <v>22</v>
      </c>
      <c r="C184" s="101">
        <v>20</v>
      </c>
      <c r="D184" s="12" t="s">
        <v>55</v>
      </c>
      <c r="E184" s="101">
        <v>3921531192</v>
      </c>
      <c r="F184" s="101">
        <v>9110616306</v>
      </c>
      <c r="G184" s="101">
        <v>1</v>
      </c>
      <c r="H184" s="101">
        <v>0</v>
      </c>
      <c r="I184" s="101">
        <v>1</v>
      </c>
      <c r="J184" s="101">
        <v>0</v>
      </c>
      <c r="K184" s="101">
        <v>1</v>
      </c>
      <c r="L184" s="101">
        <v>1</v>
      </c>
      <c r="M184" s="101">
        <v>1</v>
      </c>
      <c r="N184" s="101">
        <v>0</v>
      </c>
      <c r="O184" s="101">
        <v>0</v>
      </c>
      <c r="P184" s="101">
        <v>1</v>
      </c>
      <c r="Q184" s="101">
        <v>29</v>
      </c>
      <c r="R184" s="12" t="s">
        <v>25</v>
      </c>
      <c r="S184" s="12" t="s">
        <v>25</v>
      </c>
      <c r="T184" s="12" t="s">
        <v>25</v>
      </c>
    </row>
    <row r="185" spans="1:20" x14ac:dyDescent="0.3">
      <c r="A185" s="13">
        <v>43893.75</v>
      </c>
      <c r="B185" s="12" t="s">
        <v>22</v>
      </c>
      <c r="C185" s="101">
        <v>19</v>
      </c>
      <c r="D185" s="12" t="s">
        <v>56</v>
      </c>
      <c r="E185" s="101">
        <v>3811569725</v>
      </c>
      <c r="F185" s="101">
        <v>133623567</v>
      </c>
      <c r="G185" s="101">
        <v>2</v>
      </c>
      <c r="H185" s="101">
        <v>0</v>
      </c>
      <c r="I185" s="101">
        <v>2</v>
      </c>
      <c r="J185" s="101">
        <v>3</v>
      </c>
      <c r="K185" s="101">
        <v>5</v>
      </c>
      <c r="L185" s="101">
        <v>0</v>
      </c>
      <c r="M185" s="101">
        <v>0</v>
      </c>
      <c r="N185" s="101">
        <v>2</v>
      </c>
      <c r="O185" s="101">
        <v>0</v>
      </c>
      <c r="P185" s="101">
        <v>7</v>
      </c>
      <c r="Q185" s="101">
        <v>307</v>
      </c>
      <c r="R185" s="12" t="s">
        <v>25</v>
      </c>
      <c r="S185" s="12" t="s">
        <v>25</v>
      </c>
      <c r="T185" s="12" t="s">
        <v>25</v>
      </c>
    </row>
    <row r="186" spans="1:20" x14ac:dyDescent="0.3">
      <c r="A186" s="13">
        <v>43893.75</v>
      </c>
      <c r="B186" s="12" t="s">
        <v>22</v>
      </c>
      <c r="C186" s="101">
        <v>9</v>
      </c>
      <c r="D186" s="12" t="s">
        <v>57</v>
      </c>
      <c r="E186" s="101">
        <v>4376923077</v>
      </c>
      <c r="F186" s="101">
        <v>1125588885</v>
      </c>
      <c r="G186" s="101">
        <v>10</v>
      </c>
      <c r="H186" s="101">
        <v>0</v>
      </c>
      <c r="I186" s="101">
        <v>10</v>
      </c>
      <c r="J186" s="101">
        <v>8</v>
      </c>
      <c r="K186" s="101">
        <v>18</v>
      </c>
      <c r="L186" s="101">
        <v>6</v>
      </c>
      <c r="M186" s="101">
        <v>6</v>
      </c>
      <c r="N186" s="101">
        <v>1</v>
      </c>
      <c r="O186" s="101">
        <v>0</v>
      </c>
      <c r="P186" s="101">
        <v>19</v>
      </c>
      <c r="Q186" s="101">
        <v>697</v>
      </c>
      <c r="R186" s="12" t="s">
        <v>25</v>
      </c>
      <c r="S186" s="12" t="s">
        <v>25</v>
      </c>
      <c r="T186" s="12" t="s">
        <v>25</v>
      </c>
    </row>
    <row r="187" spans="1:20" x14ac:dyDescent="0.3">
      <c r="A187" s="13">
        <v>43893.75</v>
      </c>
      <c r="B187" s="12" t="s">
        <v>22</v>
      </c>
      <c r="C187" s="101">
        <v>4</v>
      </c>
      <c r="D187" s="12" t="s">
        <v>58</v>
      </c>
      <c r="E187" s="101">
        <v>4606893511</v>
      </c>
      <c r="F187" s="101">
        <v>1112123097</v>
      </c>
      <c r="G187" s="101">
        <v>1</v>
      </c>
      <c r="H187" s="101">
        <v>0</v>
      </c>
      <c r="I187" s="101">
        <v>1</v>
      </c>
      <c r="J187" s="101">
        <v>3</v>
      </c>
      <c r="K187" s="101">
        <v>4</v>
      </c>
      <c r="L187" s="101">
        <v>4</v>
      </c>
      <c r="M187" s="101">
        <v>4</v>
      </c>
      <c r="N187" s="101">
        <v>0</v>
      </c>
      <c r="O187" s="101">
        <v>0</v>
      </c>
      <c r="P187" s="101">
        <v>4</v>
      </c>
      <c r="Q187" s="101">
        <v>122</v>
      </c>
      <c r="R187" s="12" t="s">
        <v>25</v>
      </c>
      <c r="S187" s="12" t="s">
        <v>25</v>
      </c>
      <c r="T187" s="12" t="s">
        <v>25</v>
      </c>
    </row>
    <row r="188" spans="1:20" x14ac:dyDescent="0.3">
      <c r="A188" s="13">
        <v>43893.75</v>
      </c>
      <c r="B188" s="12" t="s">
        <v>22</v>
      </c>
      <c r="C188" s="101">
        <v>10</v>
      </c>
      <c r="D188" s="12" t="s">
        <v>59</v>
      </c>
      <c r="E188" s="101">
        <v>4310675841</v>
      </c>
      <c r="F188" s="101">
        <v>1238824698</v>
      </c>
      <c r="G188" s="101">
        <v>1</v>
      </c>
      <c r="H188" s="101">
        <v>1</v>
      </c>
      <c r="I188" s="101">
        <v>2</v>
      </c>
      <c r="J188" s="101">
        <v>6</v>
      </c>
      <c r="K188" s="101">
        <v>8</v>
      </c>
      <c r="L188" s="101">
        <v>6</v>
      </c>
      <c r="M188" s="101">
        <v>6</v>
      </c>
      <c r="N188" s="101">
        <v>0</v>
      </c>
      <c r="O188" s="101">
        <v>0</v>
      </c>
      <c r="P188" s="101">
        <v>8</v>
      </c>
      <c r="Q188" s="101">
        <v>45</v>
      </c>
      <c r="R188" s="12" t="s">
        <v>25</v>
      </c>
      <c r="S188" s="12" t="s">
        <v>25</v>
      </c>
      <c r="T188" s="12" t="s">
        <v>25</v>
      </c>
    </row>
    <row r="189" spans="1:20" x14ac:dyDescent="0.3">
      <c r="A189" s="13">
        <v>43893.75</v>
      </c>
      <c r="B189" s="12" t="s">
        <v>22</v>
      </c>
      <c r="C189" s="101">
        <v>2</v>
      </c>
      <c r="D189" s="12" t="s">
        <v>60</v>
      </c>
      <c r="E189" s="101">
        <v>4573750286</v>
      </c>
      <c r="F189" s="101">
        <v>7320149366</v>
      </c>
      <c r="G189" s="101">
        <v>0</v>
      </c>
      <c r="H189" s="101">
        <v>0</v>
      </c>
      <c r="I189" s="101">
        <v>0</v>
      </c>
      <c r="J189" s="101">
        <v>0</v>
      </c>
      <c r="K189" s="101">
        <v>0</v>
      </c>
      <c r="L189" s="101">
        <v>0</v>
      </c>
      <c r="M189" s="101">
        <v>0</v>
      </c>
      <c r="N189" s="101">
        <v>0</v>
      </c>
      <c r="O189" s="101">
        <v>0</v>
      </c>
      <c r="P189" s="101">
        <v>0</v>
      </c>
      <c r="Q189" s="101">
        <v>12</v>
      </c>
      <c r="R189" s="12" t="s">
        <v>25</v>
      </c>
      <c r="S189" s="12" t="s">
        <v>25</v>
      </c>
      <c r="T189" s="12" t="s">
        <v>25</v>
      </c>
    </row>
    <row r="190" spans="1:20" x14ac:dyDescent="0.3">
      <c r="A190" s="13">
        <v>43893.75</v>
      </c>
      <c r="B190" s="12" t="s">
        <v>22</v>
      </c>
      <c r="C190" s="101">
        <v>5</v>
      </c>
      <c r="D190" s="12" t="s">
        <v>61</v>
      </c>
      <c r="E190" s="101">
        <v>4543490485</v>
      </c>
      <c r="F190" s="101">
        <v>1233845213</v>
      </c>
      <c r="G190" s="101">
        <v>49</v>
      </c>
      <c r="H190" s="101">
        <v>19</v>
      </c>
      <c r="I190" s="101">
        <v>68</v>
      </c>
      <c r="J190" s="101">
        <v>229</v>
      </c>
      <c r="K190" s="101">
        <v>297</v>
      </c>
      <c r="L190" s="101">
        <v>26</v>
      </c>
      <c r="M190" s="101">
        <v>34</v>
      </c>
      <c r="N190" s="101">
        <v>7</v>
      </c>
      <c r="O190" s="101">
        <v>3</v>
      </c>
      <c r="P190" s="101">
        <v>307</v>
      </c>
      <c r="Q190" s="101">
        <v>10176</v>
      </c>
      <c r="R190" s="12" t="s">
        <v>25</v>
      </c>
      <c r="S190" s="12" t="s">
        <v>25</v>
      </c>
      <c r="T190" s="12" t="s">
        <v>25</v>
      </c>
    </row>
    <row r="191" spans="1:20" x14ac:dyDescent="0.3">
      <c r="A191" s="13">
        <v>43894.708333333336</v>
      </c>
      <c r="B191" s="12" t="s">
        <v>22</v>
      </c>
      <c r="C191" s="101">
        <v>13</v>
      </c>
      <c r="D191" s="12" t="s">
        <v>42</v>
      </c>
      <c r="E191" s="101">
        <v>4235122196</v>
      </c>
      <c r="F191" s="101">
        <v>1339843823</v>
      </c>
      <c r="G191" s="101">
        <v>7</v>
      </c>
      <c r="H191" s="101">
        <v>0</v>
      </c>
      <c r="I191" s="101">
        <v>7</v>
      </c>
      <c r="J191" s="101">
        <v>0</v>
      </c>
      <c r="K191" s="101">
        <v>7</v>
      </c>
      <c r="L191" s="101">
        <v>1</v>
      </c>
      <c r="M191" s="101">
        <v>1</v>
      </c>
      <c r="N191" s="101">
        <v>0</v>
      </c>
      <c r="O191" s="101">
        <v>0</v>
      </c>
      <c r="P191" s="101">
        <v>7</v>
      </c>
      <c r="Q191" s="101">
        <v>85</v>
      </c>
      <c r="R191" s="12" t="s">
        <v>25</v>
      </c>
      <c r="S191" s="12" t="s">
        <v>25</v>
      </c>
      <c r="T191" s="12" t="s">
        <v>25</v>
      </c>
    </row>
    <row r="192" spans="1:20" x14ac:dyDescent="0.3">
      <c r="A192" s="13">
        <v>43894.708333333336</v>
      </c>
      <c r="B192" s="12" t="s">
        <v>22</v>
      </c>
      <c r="C192" s="101">
        <v>17</v>
      </c>
      <c r="D192" s="12" t="s">
        <v>43</v>
      </c>
      <c r="E192" s="101">
        <v>4063947052</v>
      </c>
      <c r="F192" s="101">
        <v>1580514834</v>
      </c>
      <c r="G192" s="101">
        <v>0</v>
      </c>
      <c r="H192" s="101">
        <v>0</v>
      </c>
      <c r="I192" s="101">
        <v>0</v>
      </c>
      <c r="J192" s="101">
        <v>1</v>
      </c>
      <c r="K192" s="101">
        <v>1</v>
      </c>
      <c r="L192" s="101">
        <v>0</v>
      </c>
      <c r="M192" s="101">
        <v>0</v>
      </c>
      <c r="N192" s="101">
        <v>0</v>
      </c>
      <c r="O192" s="101">
        <v>0</v>
      </c>
      <c r="P192" s="101">
        <v>1</v>
      </c>
      <c r="Q192" s="101">
        <v>48</v>
      </c>
      <c r="R192" s="12" t="s">
        <v>25</v>
      </c>
      <c r="S192" s="12" t="s">
        <v>25</v>
      </c>
      <c r="T192" s="12" t="s">
        <v>25</v>
      </c>
    </row>
    <row r="193" spans="1:20" x14ac:dyDescent="0.3">
      <c r="A193" s="13">
        <v>43894.708333333336</v>
      </c>
      <c r="B193" s="12" t="s">
        <v>22</v>
      </c>
      <c r="C193" s="101">
        <v>4</v>
      </c>
      <c r="D193" s="12" t="s">
        <v>44</v>
      </c>
      <c r="E193" s="101">
        <v>4649933453</v>
      </c>
      <c r="F193" s="101">
        <v>1135662422</v>
      </c>
      <c r="G193" s="101">
        <v>1</v>
      </c>
      <c r="H193" s="101">
        <v>0</v>
      </c>
      <c r="I193" s="101">
        <v>1</v>
      </c>
      <c r="J193" s="101">
        <v>0</v>
      </c>
      <c r="K193" s="101">
        <v>1</v>
      </c>
      <c r="L193" s="101">
        <v>0</v>
      </c>
      <c r="M193" s="101">
        <v>0</v>
      </c>
      <c r="N193" s="101">
        <v>0</v>
      </c>
      <c r="O193" s="101">
        <v>0</v>
      </c>
      <c r="P193" s="101">
        <v>1</v>
      </c>
      <c r="Q193" s="101">
        <v>20</v>
      </c>
      <c r="R193" s="12" t="s">
        <v>25</v>
      </c>
      <c r="S193" s="12" t="s">
        <v>25</v>
      </c>
      <c r="T193" s="12" t="s">
        <v>25</v>
      </c>
    </row>
    <row r="194" spans="1:20" x14ac:dyDescent="0.3">
      <c r="A194" s="13">
        <v>43894.708333333336</v>
      </c>
      <c r="B194" s="12" t="s">
        <v>22</v>
      </c>
      <c r="C194" s="101">
        <v>18</v>
      </c>
      <c r="D194" s="12" t="s">
        <v>45</v>
      </c>
      <c r="E194" s="101">
        <v>3890597598</v>
      </c>
      <c r="F194" s="101">
        <v>1659440194</v>
      </c>
      <c r="G194" s="101">
        <v>0</v>
      </c>
      <c r="H194" s="101">
        <v>0</v>
      </c>
      <c r="I194" s="101">
        <v>0</v>
      </c>
      <c r="J194" s="101">
        <v>1</v>
      </c>
      <c r="K194" s="101">
        <v>1</v>
      </c>
      <c r="L194" s="101">
        <v>0</v>
      </c>
      <c r="M194" s="101">
        <v>0</v>
      </c>
      <c r="N194" s="101">
        <v>0</v>
      </c>
      <c r="O194" s="101">
        <v>0</v>
      </c>
      <c r="P194" s="101">
        <v>1</v>
      </c>
      <c r="Q194" s="101">
        <v>46</v>
      </c>
      <c r="R194" s="12" t="s">
        <v>25</v>
      </c>
      <c r="S194" s="12" t="s">
        <v>25</v>
      </c>
      <c r="T194" s="12" t="s">
        <v>25</v>
      </c>
    </row>
    <row r="195" spans="1:20" x14ac:dyDescent="0.3">
      <c r="A195" s="13">
        <v>43894.708333333336</v>
      </c>
      <c r="B195" s="12" t="s">
        <v>22</v>
      </c>
      <c r="C195" s="101">
        <v>15</v>
      </c>
      <c r="D195" s="12" t="s">
        <v>46</v>
      </c>
      <c r="E195" s="101">
        <v>4083956555</v>
      </c>
      <c r="F195" s="101">
        <v>1425084984</v>
      </c>
      <c r="G195" s="101">
        <v>11</v>
      </c>
      <c r="H195" s="101">
        <v>0</v>
      </c>
      <c r="I195" s="101">
        <v>11</v>
      </c>
      <c r="J195" s="101">
        <v>20</v>
      </c>
      <c r="K195" s="101">
        <v>31</v>
      </c>
      <c r="L195" s="101">
        <v>1</v>
      </c>
      <c r="M195" s="101">
        <v>1</v>
      </c>
      <c r="N195" s="101">
        <v>0</v>
      </c>
      <c r="O195" s="101">
        <v>0</v>
      </c>
      <c r="P195" s="101">
        <v>31</v>
      </c>
      <c r="Q195" s="101">
        <v>429</v>
      </c>
      <c r="R195" s="12" t="s">
        <v>25</v>
      </c>
      <c r="S195" s="12" t="s">
        <v>25</v>
      </c>
      <c r="T195" s="12" t="s">
        <v>25</v>
      </c>
    </row>
    <row r="196" spans="1:20" x14ac:dyDescent="0.3">
      <c r="A196" s="13">
        <v>43894.708333333336</v>
      </c>
      <c r="B196" s="12" t="s">
        <v>22</v>
      </c>
      <c r="C196" s="101">
        <v>8</v>
      </c>
      <c r="D196" s="12" t="s">
        <v>96</v>
      </c>
      <c r="E196" s="101">
        <v>4449436681</v>
      </c>
      <c r="F196" s="101">
        <v>113417208</v>
      </c>
      <c r="G196" s="101">
        <v>256</v>
      </c>
      <c r="H196" s="101">
        <v>26</v>
      </c>
      <c r="I196" s="101">
        <v>282</v>
      </c>
      <c r="J196" s="101">
        <v>234</v>
      </c>
      <c r="K196" s="101">
        <v>516</v>
      </c>
      <c r="L196" s="101">
        <v>118</v>
      </c>
      <c r="M196" s="101">
        <v>124</v>
      </c>
      <c r="N196" s="101">
        <v>6</v>
      </c>
      <c r="O196" s="101">
        <v>22</v>
      </c>
      <c r="P196" s="101">
        <v>544</v>
      </c>
      <c r="Q196" s="101">
        <v>2500</v>
      </c>
      <c r="R196" s="12" t="s">
        <v>25</v>
      </c>
      <c r="S196" s="12" t="s">
        <v>25</v>
      </c>
      <c r="T196" s="12" t="s">
        <v>25</v>
      </c>
    </row>
    <row r="197" spans="1:20" x14ac:dyDescent="0.3">
      <c r="A197" s="13">
        <v>43894.708333333336</v>
      </c>
      <c r="B197" s="12" t="s">
        <v>22</v>
      </c>
      <c r="C197" s="101">
        <v>6</v>
      </c>
      <c r="D197" s="12" t="s">
        <v>47</v>
      </c>
      <c r="E197" s="101">
        <v>456494354</v>
      </c>
      <c r="F197" s="101">
        <v>1376813649</v>
      </c>
      <c r="G197" s="101">
        <v>3</v>
      </c>
      <c r="H197" s="101">
        <v>0</v>
      </c>
      <c r="I197" s="101">
        <v>3</v>
      </c>
      <c r="J197" s="101">
        <v>15</v>
      </c>
      <c r="K197" s="101">
        <v>18</v>
      </c>
      <c r="L197" s="101">
        <v>5</v>
      </c>
      <c r="M197" s="101">
        <v>5</v>
      </c>
      <c r="N197" s="101">
        <v>0</v>
      </c>
      <c r="O197" s="101">
        <v>0</v>
      </c>
      <c r="P197" s="101">
        <v>18</v>
      </c>
      <c r="Q197" s="101">
        <v>376</v>
      </c>
      <c r="R197" s="12" t="s">
        <v>25</v>
      </c>
      <c r="S197" s="12" t="s">
        <v>25</v>
      </c>
      <c r="T197" s="12" t="s">
        <v>25</v>
      </c>
    </row>
    <row r="198" spans="1:20" x14ac:dyDescent="0.3">
      <c r="A198" s="13">
        <v>43894.708333333336</v>
      </c>
      <c r="B198" s="12" t="s">
        <v>22</v>
      </c>
      <c r="C198" s="101">
        <v>12</v>
      </c>
      <c r="D198" s="12" t="s">
        <v>48</v>
      </c>
      <c r="E198" s="101">
        <v>4189277044</v>
      </c>
      <c r="F198" s="101">
        <v>1248366722</v>
      </c>
      <c r="G198" s="101">
        <v>15</v>
      </c>
      <c r="H198" s="101">
        <v>3</v>
      </c>
      <c r="I198" s="101">
        <v>18</v>
      </c>
      <c r="J198" s="101">
        <v>9</v>
      </c>
      <c r="K198" s="101">
        <v>27</v>
      </c>
      <c r="L198" s="101">
        <v>16</v>
      </c>
      <c r="M198" s="101">
        <v>16</v>
      </c>
      <c r="N198" s="101">
        <v>3</v>
      </c>
      <c r="O198" s="101">
        <v>0</v>
      </c>
      <c r="P198" s="101">
        <v>30</v>
      </c>
      <c r="Q198" s="101">
        <v>995</v>
      </c>
      <c r="R198" s="12" t="s">
        <v>25</v>
      </c>
      <c r="S198" s="12" t="s">
        <v>25</v>
      </c>
      <c r="T198" s="12" t="s">
        <v>25</v>
      </c>
    </row>
    <row r="199" spans="1:20" x14ac:dyDescent="0.3">
      <c r="A199" s="13">
        <v>43894.708333333336</v>
      </c>
      <c r="B199" s="12" t="s">
        <v>22</v>
      </c>
      <c r="C199" s="101">
        <v>7</v>
      </c>
      <c r="D199" s="12" t="s">
        <v>49</v>
      </c>
      <c r="E199" s="101">
        <v>4441149315</v>
      </c>
      <c r="F199" s="101">
        <v>89326992</v>
      </c>
      <c r="G199" s="101">
        <v>10</v>
      </c>
      <c r="H199" s="101">
        <v>3</v>
      </c>
      <c r="I199" s="101">
        <v>13</v>
      </c>
      <c r="J199" s="101">
        <v>8</v>
      </c>
      <c r="K199" s="101">
        <v>21</v>
      </c>
      <c r="L199" s="101">
        <v>2</v>
      </c>
      <c r="M199" s="101">
        <v>2</v>
      </c>
      <c r="N199" s="101">
        <v>4</v>
      </c>
      <c r="O199" s="101">
        <v>1</v>
      </c>
      <c r="P199" s="101">
        <v>26</v>
      </c>
      <c r="Q199" s="101">
        <v>133</v>
      </c>
      <c r="R199" s="12" t="s">
        <v>25</v>
      </c>
      <c r="S199" s="12" t="s">
        <v>25</v>
      </c>
      <c r="T199" s="12" t="s">
        <v>25</v>
      </c>
    </row>
    <row r="200" spans="1:20" x14ac:dyDescent="0.3">
      <c r="A200" s="13">
        <v>43894.708333333336</v>
      </c>
      <c r="B200" s="12" t="s">
        <v>22</v>
      </c>
      <c r="C200" s="101">
        <v>3</v>
      </c>
      <c r="D200" s="12" t="s">
        <v>50</v>
      </c>
      <c r="E200" s="101">
        <v>4546679409</v>
      </c>
      <c r="F200" s="101">
        <v>9190347404</v>
      </c>
      <c r="G200" s="101">
        <v>877</v>
      </c>
      <c r="H200" s="101">
        <v>209</v>
      </c>
      <c r="I200" s="101">
        <v>1086</v>
      </c>
      <c r="J200" s="101">
        <v>411</v>
      </c>
      <c r="K200" s="101">
        <v>1497</v>
      </c>
      <c r="L200" s="101">
        <v>171</v>
      </c>
      <c r="M200" s="101">
        <v>300</v>
      </c>
      <c r="N200" s="101">
        <v>250</v>
      </c>
      <c r="O200" s="101">
        <v>73</v>
      </c>
      <c r="P200" s="101">
        <v>1820</v>
      </c>
      <c r="Q200" s="101">
        <v>12138</v>
      </c>
      <c r="R200" s="12" t="s">
        <v>25</v>
      </c>
      <c r="S200" s="12" t="s">
        <v>25</v>
      </c>
      <c r="T200" s="12" t="s">
        <v>25</v>
      </c>
    </row>
    <row r="201" spans="1:20" x14ac:dyDescent="0.3">
      <c r="A201" s="13">
        <v>43894.708333333336</v>
      </c>
      <c r="B201" s="12" t="s">
        <v>22</v>
      </c>
      <c r="C201" s="101">
        <v>11</v>
      </c>
      <c r="D201" s="12" t="s">
        <v>51</v>
      </c>
      <c r="E201" s="101">
        <v>4361675973</v>
      </c>
      <c r="F201" s="101">
        <v>135188753</v>
      </c>
      <c r="G201" s="101">
        <v>34</v>
      </c>
      <c r="H201" s="101">
        <v>15</v>
      </c>
      <c r="I201" s="101">
        <v>49</v>
      </c>
      <c r="J201" s="101">
        <v>31</v>
      </c>
      <c r="K201" s="101">
        <v>80</v>
      </c>
      <c r="L201" s="101">
        <v>21</v>
      </c>
      <c r="M201" s="101">
        <v>23</v>
      </c>
      <c r="N201" s="101">
        <v>0</v>
      </c>
      <c r="O201" s="101">
        <v>4</v>
      </c>
      <c r="P201" s="101">
        <v>84</v>
      </c>
      <c r="Q201" s="101">
        <v>288</v>
      </c>
      <c r="R201" s="12" t="s">
        <v>25</v>
      </c>
      <c r="S201" s="12" t="s">
        <v>25</v>
      </c>
      <c r="T201" s="12" t="s">
        <v>25</v>
      </c>
    </row>
    <row r="202" spans="1:20" x14ac:dyDescent="0.3">
      <c r="A202" s="13">
        <v>43894.708333333336</v>
      </c>
      <c r="B202" s="12" t="s">
        <v>22</v>
      </c>
      <c r="C202" s="101">
        <v>14</v>
      </c>
      <c r="D202" s="12" t="s">
        <v>52</v>
      </c>
      <c r="E202" s="101">
        <v>4155774754</v>
      </c>
      <c r="F202" s="101">
        <v>1465916051</v>
      </c>
      <c r="G202" s="101">
        <v>3</v>
      </c>
      <c r="H202" s="101">
        <v>0</v>
      </c>
      <c r="I202" s="101">
        <v>3</v>
      </c>
      <c r="J202" s="101">
        <v>0</v>
      </c>
      <c r="K202" s="101">
        <v>3</v>
      </c>
      <c r="L202" s="101">
        <v>0</v>
      </c>
      <c r="M202" s="101">
        <v>0</v>
      </c>
      <c r="N202" s="101">
        <v>0</v>
      </c>
      <c r="O202" s="101">
        <v>0</v>
      </c>
      <c r="P202" s="101">
        <v>3</v>
      </c>
      <c r="Q202" s="101">
        <v>19</v>
      </c>
      <c r="R202" s="12" t="s">
        <v>25</v>
      </c>
      <c r="S202" s="12" t="s">
        <v>25</v>
      </c>
      <c r="T202" s="12" t="s">
        <v>25</v>
      </c>
    </row>
    <row r="203" spans="1:20" x14ac:dyDescent="0.3">
      <c r="A203" s="13">
        <v>43894.708333333336</v>
      </c>
      <c r="B203" s="12" t="s">
        <v>22</v>
      </c>
      <c r="C203" s="101">
        <v>1</v>
      </c>
      <c r="D203" s="12" t="s">
        <v>53</v>
      </c>
      <c r="E203" s="101">
        <v>450732745</v>
      </c>
      <c r="F203" s="101">
        <v>7680687483</v>
      </c>
      <c r="G203" s="101">
        <v>26</v>
      </c>
      <c r="H203" s="101">
        <v>13</v>
      </c>
      <c r="I203" s="101">
        <v>39</v>
      </c>
      <c r="J203" s="101">
        <v>43</v>
      </c>
      <c r="K203" s="101">
        <v>82</v>
      </c>
      <c r="L203" s="101">
        <v>26</v>
      </c>
      <c r="M203" s="101">
        <v>26</v>
      </c>
      <c r="N203" s="101">
        <v>0</v>
      </c>
      <c r="O203" s="101">
        <v>0</v>
      </c>
      <c r="P203" s="101">
        <v>82</v>
      </c>
      <c r="Q203" s="101">
        <v>543</v>
      </c>
      <c r="R203" s="12" t="s">
        <v>25</v>
      </c>
      <c r="S203" s="12" t="s">
        <v>25</v>
      </c>
      <c r="T203" s="12" t="s">
        <v>25</v>
      </c>
    </row>
    <row r="204" spans="1:20" x14ac:dyDescent="0.3">
      <c r="A204" s="13">
        <v>43894.708333333336</v>
      </c>
      <c r="B204" s="12" t="s">
        <v>22</v>
      </c>
      <c r="C204" s="101">
        <v>16</v>
      </c>
      <c r="D204" s="12" t="s">
        <v>54</v>
      </c>
      <c r="E204" s="101">
        <v>4112559576</v>
      </c>
      <c r="F204" s="101">
        <v>1686736689</v>
      </c>
      <c r="G204" s="101">
        <v>4</v>
      </c>
      <c r="H204" s="101">
        <v>0</v>
      </c>
      <c r="I204" s="101">
        <v>4</v>
      </c>
      <c r="J204" s="101">
        <v>3</v>
      </c>
      <c r="K204" s="101">
        <v>7</v>
      </c>
      <c r="L204" s="101">
        <v>1</v>
      </c>
      <c r="M204" s="101">
        <v>3</v>
      </c>
      <c r="N204" s="101">
        <v>1</v>
      </c>
      <c r="O204" s="101">
        <v>1</v>
      </c>
      <c r="P204" s="101">
        <v>9</v>
      </c>
      <c r="Q204" s="101">
        <v>322</v>
      </c>
      <c r="R204" s="12" t="s">
        <v>25</v>
      </c>
      <c r="S204" s="12" t="s">
        <v>25</v>
      </c>
      <c r="T204" s="12" t="s">
        <v>25</v>
      </c>
    </row>
    <row r="205" spans="1:20" x14ac:dyDescent="0.3">
      <c r="A205" s="13">
        <v>43894.708333333336</v>
      </c>
      <c r="B205" s="12" t="s">
        <v>22</v>
      </c>
      <c r="C205" s="101">
        <v>20</v>
      </c>
      <c r="D205" s="12" t="s">
        <v>55</v>
      </c>
      <c r="E205" s="101">
        <v>3921531192</v>
      </c>
      <c r="F205" s="101">
        <v>9110616306</v>
      </c>
      <c r="G205" s="101">
        <v>1</v>
      </c>
      <c r="H205" s="101">
        <v>0</v>
      </c>
      <c r="I205" s="101">
        <v>1</v>
      </c>
      <c r="J205" s="101">
        <v>1</v>
      </c>
      <c r="K205" s="101">
        <v>2</v>
      </c>
      <c r="L205" s="101">
        <v>1</v>
      </c>
      <c r="M205" s="101">
        <v>1</v>
      </c>
      <c r="N205" s="101">
        <v>0</v>
      </c>
      <c r="O205" s="101">
        <v>0</v>
      </c>
      <c r="P205" s="101">
        <v>2</v>
      </c>
      <c r="Q205" s="101">
        <v>42</v>
      </c>
      <c r="R205" s="12" t="s">
        <v>25</v>
      </c>
      <c r="S205" s="12" t="s">
        <v>25</v>
      </c>
      <c r="T205" s="12" t="s">
        <v>25</v>
      </c>
    </row>
    <row r="206" spans="1:20" x14ac:dyDescent="0.3">
      <c r="A206" s="13">
        <v>43894.708333333336</v>
      </c>
      <c r="B206" s="12" t="s">
        <v>22</v>
      </c>
      <c r="C206" s="101">
        <v>19</v>
      </c>
      <c r="D206" s="12" t="s">
        <v>56</v>
      </c>
      <c r="E206" s="101">
        <v>3811569725</v>
      </c>
      <c r="F206" s="101">
        <v>133623567</v>
      </c>
      <c r="G206" s="101">
        <v>5</v>
      </c>
      <c r="H206" s="101">
        <v>0</v>
      </c>
      <c r="I206" s="101">
        <v>5</v>
      </c>
      <c r="J206" s="101">
        <v>11</v>
      </c>
      <c r="K206" s="101">
        <v>16</v>
      </c>
      <c r="L206" s="101">
        <v>11</v>
      </c>
      <c r="M206" s="101">
        <v>11</v>
      </c>
      <c r="N206" s="101">
        <v>2</v>
      </c>
      <c r="O206" s="101">
        <v>0</v>
      </c>
      <c r="P206" s="101">
        <v>18</v>
      </c>
      <c r="Q206" s="101">
        <v>367</v>
      </c>
      <c r="R206" s="12" t="s">
        <v>25</v>
      </c>
      <c r="S206" s="12" t="s">
        <v>25</v>
      </c>
      <c r="T206" s="12" t="s">
        <v>25</v>
      </c>
    </row>
    <row r="207" spans="1:20" x14ac:dyDescent="0.3">
      <c r="A207" s="13">
        <v>43894.708333333336</v>
      </c>
      <c r="B207" s="12" t="s">
        <v>22</v>
      </c>
      <c r="C207" s="101">
        <v>9</v>
      </c>
      <c r="D207" s="12" t="s">
        <v>57</v>
      </c>
      <c r="E207" s="101">
        <v>4376923077</v>
      </c>
      <c r="F207" s="101">
        <v>1125588885</v>
      </c>
      <c r="G207" s="101">
        <v>15</v>
      </c>
      <c r="H207" s="101">
        <v>2</v>
      </c>
      <c r="I207" s="101">
        <v>17</v>
      </c>
      <c r="J207" s="101">
        <v>20</v>
      </c>
      <c r="K207" s="101">
        <v>37</v>
      </c>
      <c r="L207" s="101">
        <v>19</v>
      </c>
      <c r="M207" s="101">
        <v>19</v>
      </c>
      <c r="N207" s="101">
        <v>1</v>
      </c>
      <c r="O207" s="101">
        <v>0</v>
      </c>
      <c r="P207" s="101">
        <v>38</v>
      </c>
      <c r="Q207" s="101">
        <v>776</v>
      </c>
      <c r="R207" s="12" t="s">
        <v>25</v>
      </c>
      <c r="S207" s="12" t="s">
        <v>25</v>
      </c>
      <c r="T207" s="12" t="s">
        <v>25</v>
      </c>
    </row>
    <row r="208" spans="1:20" x14ac:dyDescent="0.3">
      <c r="A208" s="13">
        <v>43894.708333333336</v>
      </c>
      <c r="B208" s="12" t="s">
        <v>22</v>
      </c>
      <c r="C208" s="101">
        <v>4</v>
      </c>
      <c r="D208" s="12" t="s">
        <v>58</v>
      </c>
      <c r="E208" s="101">
        <v>4606893511</v>
      </c>
      <c r="F208" s="101">
        <v>1112123097</v>
      </c>
      <c r="G208" s="101">
        <v>1</v>
      </c>
      <c r="H208" s="101">
        <v>0</v>
      </c>
      <c r="I208" s="101">
        <v>1</v>
      </c>
      <c r="J208" s="101">
        <v>4</v>
      </c>
      <c r="K208" s="101">
        <v>5</v>
      </c>
      <c r="L208" s="101">
        <v>1</v>
      </c>
      <c r="M208" s="101">
        <v>1</v>
      </c>
      <c r="N208" s="101">
        <v>0</v>
      </c>
      <c r="O208" s="101">
        <v>0</v>
      </c>
      <c r="P208" s="101">
        <v>5</v>
      </c>
      <c r="Q208" s="101">
        <v>122</v>
      </c>
      <c r="R208" s="12" t="s">
        <v>25</v>
      </c>
      <c r="S208" s="12" t="s">
        <v>25</v>
      </c>
      <c r="T208" s="12" t="s">
        <v>25</v>
      </c>
    </row>
    <row r="209" spans="1:20" x14ac:dyDescent="0.3">
      <c r="A209" s="13">
        <v>43894.708333333336</v>
      </c>
      <c r="B209" s="12" t="s">
        <v>22</v>
      </c>
      <c r="C209" s="101">
        <v>10</v>
      </c>
      <c r="D209" s="12" t="s">
        <v>59</v>
      </c>
      <c r="E209" s="101">
        <v>4310675841</v>
      </c>
      <c r="F209" s="101">
        <v>1238824698</v>
      </c>
      <c r="G209" s="101">
        <v>1</v>
      </c>
      <c r="H209" s="101">
        <v>1</v>
      </c>
      <c r="I209" s="101">
        <v>2</v>
      </c>
      <c r="J209" s="101">
        <v>7</v>
      </c>
      <c r="K209" s="101">
        <v>9</v>
      </c>
      <c r="L209" s="101">
        <v>1</v>
      </c>
      <c r="M209" s="101">
        <v>1</v>
      </c>
      <c r="N209" s="101">
        <v>0</v>
      </c>
      <c r="O209" s="101">
        <v>0</v>
      </c>
      <c r="P209" s="101">
        <v>9</v>
      </c>
      <c r="Q209" s="101">
        <v>58</v>
      </c>
      <c r="R209" s="12" t="s">
        <v>25</v>
      </c>
      <c r="S209" s="12" t="s">
        <v>25</v>
      </c>
      <c r="T209" s="12" t="s">
        <v>25</v>
      </c>
    </row>
    <row r="210" spans="1:20" x14ac:dyDescent="0.3">
      <c r="A210" s="13">
        <v>43894.708333333336</v>
      </c>
      <c r="B210" s="12" t="s">
        <v>22</v>
      </c>
      <c r="C210" s="101">
        <v>2</v>
      </c>
      <c r="D210" s="12" t="s">
        <v>60</v>
      </c>
      <c r="E210" s="101">
        <v>4573750286</v>
      </c>
      <c r="F210" s="101">
        <v>7320149366</v>
      </c>
      <c r="G210" s="101">
        <v>0</v>
      </c>
      <c r="H210" s="101">
        <v>0</v>
      </c>
      <c r="I210" s="101">
        <v>0</v>
      </c>
      <c r="J210" s="101">
        <v>0</v>
      </c>
      <c r="K210" s="101">
        <v>0</v>
      </c>
      <c r="L210" s="101">
        <v>0</v>
      </c>
      <c r="M210" s="101">
        <v>0</v>
      </c>
      <c r="N210" s="101">
        <v>0</v>
      </c>
      <c r="O210" s="101">
        <v>0</v>
      </c>
      <c r="P210" s="101">
        <v>0</v>
      </c>
      <c r="Q210" s="101">
        <v>15</v>
      </c>
      <c r="R210" s="12" t="s">
        <v>25</v>
      </c>
      <c r="S210" s="12" t="s">
        <v>25</v>
      </c>
      <c r="T210" s="12" t="s">
        <v>25</v>
      </c>
    </row>
    <row r="211" spans="1:20" x14ac:dyDescent="0.3">
      <c r="A211" s="13">
        <v>43894.708333333336</v>
      </c>
      <c r="B211" s="12" t="s">
        <v>22</v>
      </c>
      <c r="C211" s="101">
        <v>5</v>
      </c>
      <c r="D211" s="12" t="s">
        <v>61</v>
      </c>
      <c r="E211" s="101">
        <v>4543490485</v>
      </c>
      <c r="F211" s="101">
        <v>1233845213</v>
      </c>
      <c r="G211" s="101">
        <v>76</v>
      </c>
      <c r="H211" s="101">
        <v>23</v>
      </c>
      <c r="I211" s="101">
        <v>99</v>
      </c>
      <c r="J211" s="101">
        <v>246</v>
      </c>
      <c r="K211" s="101">
        <v>345</v>
      </c>
      <c r="L211" s="101">
        <v>48</v>
      </c>
      <c r="M211" s="101">
        <v>53</v>
      </c>
      <c r="N211" s="101">
        <v>9</v>
      </c>
      <c r="O211" s="101">
        <v>6</v>
      </c>
      <c r="P211" s="101">
        <v>360</v>
      </c>
      <c r="Q211" s="101">
        <v>10515</v>
      </c>
      <c r="R211" s="12" t="s">
        <v>25</v>
      </c>
      <c r="S211" s="12" t="s">
        <v>25</v>
      </c>
      <c r="T211" s="12" t="s">
        <v>25</v>
      </c>
    </row>
    <row r="212" spans="1:20" x14ac:dyDescent="0.3">
      <c r="A212" s="13">
        <v>43895.708333333336</v>
      </c>
      <c r="B212" s="12" t="s">
        <v>22</v>
      </c>
      <c r="C212" s="101">
        <v>13</v>
      </c>
      <c r="D212" s="12" t="s">
        <v>42</v>
      </c>
      <c r="E212" s="101">
        <v>4235122196</v>
      </c>
      <c r="F212" s="101">
        <v>1339843823</v>
      </c>
      <c r="G212" s="101">
        <v>8</v>
      </c>
      <c r="H212" s="101">
        <v>0</v>
      </c>
      <c r="I212" s="101">
        <v>8</v>
      </c>
      <c r="J212" s="101">
        <v>0</v>
      </c>
      <c r="K212" s="101">
        <v>8</v>
      </c>
      <c r="L212" s="101">
        <v>1</v>
      </c>
      <c r="M212" s="101">
        <v>1</v>
      </c>
      <c r="N212" s="101">
        <v>0</v>
      </c>
      <c r="O212" s="101">
        <v>0</v>
      </c>
      <c r="P212" s="101">
        <v>8</v>
      </c>
      <c r="Q212" s="101">
        <v>96</v>
      </c>
      <c r="R212" s="12" t="s">
        <v>25</v>
      </c>
      <c r="S212" s="12" t="s">
        <v>25</v>
      </c>
      <c r="T212" s="12" t="s">
        <v>25</v>
      </c>
    </row>
    <row r="213" spans="1:20" x14ac:dyDescent="0.3">
      <c r="A213" s="13">
        <v>43895.708333333336</v>
      </c>
      <c r="B213" s="12" t="s">
        <v>22</v>
      </c>
      <c r="C213" s="101">
        <v>17</v>
      </c>
      <c r="D213" s="12" t="s">
        <v>43</v>
      </c>
      <c r="E213" s="101">
        <v>4063947052</v>
      </c>
      <c r="F213" s="101">
        <v>1580514834</v>
      </c>
      <c r="G213" s="101">
        <v>0</v>
      </c>
      <c r="H213" s="101">
        <v>0</v>
      </c>
      <c r="I213" s="101">
        <v>0</v>
      </c>
      <c r="J213" s="101">
        <v>1</v>
      </c>
      <c r="K213" s="101">
        <v>1</v>
      </c>
      <c r="L213" s="101">
        <v>0</v>
      </c>
      <c r="M213" s="101">
        <v>0</v>
      </c>
      <c r="N213" s="101">
        <v>0</v>
      </c>
      <c r="O213" s="101">
        <v>0</v>
      </c>
      <c r="P213" s="101">
        <v>1</v>
      </c>
      <c r="Q213" s="101">
        <v>54</v>
      </c>
      <c r="R213" s="12" t="s">
        <v>25</v>
      </c>
      <c r="S213" s="12" t="s">
        <v>25</v>
      </c>
      <c r="T213" s="12" t="s">
        <v>25</v>
      </c>
    </row>
    <row r="214" spans="1:20" x14ac:dyDescent="0.3">
      <c r="A214" s="13">
        <v>43895.708333333336</v>
      </c>
      <c r="B214" s="12" t="s">
        <v>22</v>
      </c>
      <c r="C214" s="101">
        <v>4</v>
      </c>
      <c r="D214" s="12" t="s">
        <v>44</v>
      </c>
      <c r="E214" s="101">
        <v>4649933453</v>
      </c>
      <c r="F214" s="101">
        <v>1135662422</v>
      </c>
      <c r="G214" s="101">
        <v>1</v>
      </c>
      <c r="H214" s="101">
        <v>0</v>
      </c>
      <c r="I214" s="101">
        <v>1</v>
      </c>
      <c r="J214" s="101">
        <v>0</v>
      </c>
      <c r="K214" s="101">
        <v>1</v>
      </c>
      <c r="L214" s="101">
        <v>0</v>
      </c>
      <c r="M214" s="101">
        <v>0</v>
      </c>
      <c r="N214" s="101">
        <v>0</v>
      </c>
      <c r="O214" s="101">
        <v>0</v>
      </c>
      <c r="P214" s="101">
        <v>1</v>
      </c>
      <c r="Q214" s="101">
        <v>20</v>
      </c>
      <c r="R214" s="12" t="s">
        <v>25</v>
      </c>
      <c r="S214" s="12" t="s">
        <v>25</v>
      </c>
      <c r="T214" s="12" t="s">
        <v>25</v>
      </c>
    </row>
    <row r="215" spans="1:20" x14ac:dyDescent="0.3">
      <c r="A215" s="13">
        <v>43895.708333333336</v>
      </c>
      <c r="B215" s="12" t="s">
        <v>22</v>
      </c>
      <c r="C215" s="101">
        <v>18</v>
      </c>
      <c r="D215" s="12" t="s">
        <v>45</v>
      </c>
      <c r="E215" s="101">
        <v>3890597598</v>
      </c>
      <c r="F215" s="101">
        <v>1659440194</v>
      </c>
      <c r="G215" s="101">
        <v>1</v>
      </c>
      <c r="H215" s="101">
        <v>0</v>
      </c>
      <c r="I215" s="101">
        <v>1</v>
      </c>
      <c r="J215" s="101">
        <v>1</v>
      </c>
      <c r="K215" s="101">
        <v>2</v>
      </c>
      <c r="L215" s="101">
        <v>1</v>
      </c>
      <c r="M215" s="101">
        <v>1</v>
      </c>
      <c r="N215" s="101">
        <v>0</v>
      </c>
      <c r="O215" s="101">
        <v>0</v>
      </c>
      <c r="P215" s="101">
        <v>2</v>
      </c>
      <c r="Q215" s="101">
        <v>53</v>
      </c>
      <c r="R215" s="12" t="s">
        <v>25</v>
      </c>
      <c r="S215" s="12" t="s">
        <v>25</v>
      </c>
      <c r="T215" s="12" t="s">
        <v>25</v>
      </c>
    </row>
    <row r="216" spans="1:20" x14ac:dyDescent="0.3">
      <c r="A216" s="13">
        <v>43895.708333333336</v>
      </c>
      <c r="B216" s="12" t="s">
        <v>22</v>
      </c>
      <c r="C216" s="101">
        <v>15</v>
      </c>
      <c r="D216" s="12" t="s">
        <v>46</v>
      </c>
      <c r="E216" s="101">
        <v>4083956555</v>
      </c>
      <c r="F216" s="101">
        <v>1425084984</v>
      </c>
      <c r="G216" s="101">
        <v>12</v>
      </c>
      <c r="H216" s="101">
        <v>0</v>
      </c>
      <c r="I216" s="101">
        <v>12</v>
      </c>
      <c r="J216" s="101">
        <v>33</v>
      </c>
      <c r="K216" s="101">
        <v>45</v>
      </c>
      <c r="L216" s="101">
        <v>14</v>
      </c>
      <c r="M216" s="101">
        <v>14</v>
      </c>
      <c r="N216" s="101">
        <v>0</v>
      </c>
      <c r="O216" s="101">
        <v>0</v>
      </c>
      <c r="P216" s="101">
        <v>45</v>
      </c>
      <c r="Q216" s="101">
        <v>471</v>
      </c>
      <c r="R216" s="12" t="s">
        <v>25</v>
      </c>
      <c r="S216" s="12" t="s">
        <v>25</v>
      </c>
      <c r="T216" s="12" t="s">
        <v>25</v>
      </c>
    </row>
    <row r="217" spans="1:20" x14ac:dyDescent="0.3">
      <c r="A217" s="13">
        <v>43895.708333333336</v>
      </c>
      <c r="B217" s="12" t="s">
        <v>22</v>
      </c>
      <c r="C217" s="101">
        <v>8</v>
      </c>
      <c r="D217" s="12" t="s">
        <v>96</v>
      </c>
      <c r="E217" s="101">
        <v>4449436681</v>
      </c>
      <c r="F217" s="101">
        <v>113417208</v>
      </c>
      <c r="G217" s="101">
        <v>327</v>
      </c>
      <c r="H217" s="101">
        <v>32</v>
      </c>
      <c r="I217" s="101">
        <v>359</v>
      </c>
      <c r="J217" s="101">
        <v>299</v>
      </c>
      <c r="K217" s="101">
        <v>658</v>
      </c>
      <c r="L217" s="101">
        <v>142</v>
      </c>
      <c r="M217" s="101">
        <v>154</v>
      </c>
      <c r="N217" s="101">
        <v>10</v>
      </c>
      <c r="O217" s="101">
        <v>30</v>
      </c>
      <c r="P217" s="101">
        <v>698</v>
      </c>
      <c r="Q217" s="101">
        <v>2884</v>
      </c>
      <c r="R217" s="12" t="s">
        <v>25</v>
      </c>
      <c r="S217" s="12" t="s">
        <v>25</v>
      </c>
      <c r="T217" s="12" t="s">
        <v>25</v>
      </c>
    </row>
    <row r="218" spans="1:20" x14ac:dyDescent="0.3">
      <c r="A218" s="13">
        <v>43895.708333333336</v>
      </c>
      <c r="B218" s="12" t="s">
        <v>22</v>
      </c>
      <c r="C218" s="101">
        <v>6</v>
      </c>
      <c r="D218" s="12" t="s">
        <v>47</v>
      </c>
      <c r="E218" s="101">
        <v>456494354</v>
      </c>
      <c r="F218" s="101">
        <v>1376813649</v>
      </c>
      <c r="G218" s="101">
        <v>4</v>
      </c>
      <c r="H218" s="101">
        <v>0</v>
      </c>
      <c r="I218" s="101">
        <v>4</v>
      </c>
      <c r="J218" s="101">
        <v>17</v>
      </c>
      <c r="K218" s="101">
        <v>21</v>
      </c>
      <c r="L218" s="101">
        <v>3</v>
      </c>
      <c r="M218" s="101">
        <v>3</v>
      </c>
      <c r="N218" s="101">
        <v>0</v>
      </c>
      <c r="O218" s="101">
        <v>0</v>
      </c>
      <c r="P218" s="101">
        <v>21</v>
      </c>
      <c r="Q218" s="101">
        <v>397</v>
      </c>
      <c r="R218" s="12" t="s">
        <v>25</v>
      </c>
      <c r="S218" s="12" t="s">
        <v>25</v>
      </c>
      <c r="T218" s="12" t="s">
        <v>25</v>
      </c>
    </row>
    <row r="219" spans="1:20" x14ac:dyDescent="0.3">
      <c r="A219" s="13">
        <v>43895.708333333336</v>
      </c>
      <c r="B219" s="12" t="s">
        <v>22</v>
      </c>
      <c r="C219" s="101">
        <v>12</v>
      </c>
      <c r="D219" s="12" t="s">
        <v>48</v>
      </c>
      <c r="E219" s="101">
        <v>4189277044</v>
      </c>
      <c r="F219" s="101">
        <v>1248366722</v>
      </c>
      <c r="G219" s="101">
        <v>20</v>
      </c>
      <c r="H219" s="101">
        <v>7</v>
      </c>
      <c r="I219" s="101">
        <v>27</v>
      </c>
      <c r="J219" s="101">
        <v>14</v>
      </c>
      <c r="K219" s="101">
        <v>41</v>
      </c>
      <c r="L219" s="101">
        <v>14</v>
      </c>
      <c r="M219" s="101">
        <v>14</v>
      </c>
      <c r="N219" s="101">
        <v>3</v>
      </c>
      <c r="O219" s="101">
        <v>0</v>
      </c>
      <c r="P219" s="101">
        <v>44</v>
      </c>
      <c r="Q219" s="101">
        <v>1175</v>
      </c>
      <c r="R219" s="12" t="s">
        <v>25</v>
      </c>
      <c r="S219" s="12" t="s">
        <v>25</v>
      </c>
      <c r="T219" s="12" t="s">
        <v>25</v>
      </c>
    </row>
    <row r="220" spans="1:20" x14ac:dyDescent="0.3">
      <c r="A220" s="13">
        <v>43895.708333333336</v>
      </c>
      <c r="B220" s="12" t="s">
        <v>22</v>
      </c>
      <c r="C220" s="101">
        <v>7</v>
      </c>
      <c r="D220" s="12" t="s">
        <v>49</v>
      </c>
      <c r="E220" s="101">
        <v>4441149315</v>
      </c>
      <c r="F220" s="101">
        <v>89326992</v>
      </c>
      <c r="G220" s="101">
        <v>11</v>
      </c>
      <c r="H220" s="101">
        <v>3</v>
      </c>
      <c r="I220" s="101">
        <v>14</v>
      </c>
      <c r="J220" s="101">
        <v>7</v>
      </c>
      <c r="K220" s="101">
        <v>21</v>
      </c>
      <c r="L220" s="101">
        <v>0</v>
      </c>
      <c r="M220" s="101">
        <v>2</v>
      </c>
      <c r="N220" s="101">
        <v>4</v>
      </c>
      <c r="O220" s="101">
        <v>3</v>
      </c>
      <c r="P220" s="101">
        <v>28</v>
      </c>
      <c r="Q220" s="101">
        <v>146</v>
      </c>
      <c r="R220" s="12" t="s">
        <v>25</v>
      </c>
      <c r="S220" s="12" t="s">
        <v>25</v>
      </c>
      <c r="T220" s="12" t="s">
        <v>25</v>
      </c>
    </row>
    <row r="221" spans="1:20" x14ac:dyDescent="0.3">
      <c r="A221" s="13">
        <v>43895.708333333336</v>
      </c>
      <c r="B221" s="12" t="s">
        <v>22</v>
      </c>
      <c r="C221" s="101">
        <v>3</v>
      </c>
      <c r="D221" s="12" t="s">
        <v>50</v>
      </c>
      <c r="E221" s="101">
        <v>4546679409</v>
      </c>
      <c r="F221" s="101">
        <v>9190347404</v>
      </c>
      <c r="G221" s="101">
        <v>1169</v>
      </c>
      <c r="H221" s="101">
        <v>244</v>
      </c>
      <c r="I221" s="101">
        <v>1413</v>
      </c>
      <c r="J221" s="101">
        <v>364</v>
      </c>
      <c r="K221" s="101">
        <v>1777</v>
      </c>
      <c r="L221" s="101">
        <v>280</v>
      </c>
      <c r="M221" s="101">
        <v>431</v>
      </c>
      <c r="N221" s="101">
        <v>376</v>
      </c>
      <c r="O221" s="101">
        <v>98</v>
      </c>
      <c r="P221" s="101">
        <v>2251</v>
      </c>
      <c r="Q221" s="101">
        <v>12354</v>
      </c>
      <c r="R221" s="12" t="s">
        <v>25</v>
      </c>
      <c r="S221" s="12" t="s">
        <v>25</v>
      </c>
      <c r="T221" s="12" t="s">
        <v>25</v>
      </c>
    </row>
    <row r="222" spans="1:20" x14ac:dyDescent="0.3">
      <c r="A222" s="13">
        <v>43895.708333333336</v>
      </c>
      <c r="B222" s="12" t="s">
        <v>22</v>
      </c>
      <c r="C222" s="101">
        <v>11</v>
      </c>
      <c r="D222" s="12" t="s">
        <v>51</v>
      </c>
      <c r="E222" s="101">
        <v>4361675973</v>
      </c>
      <c r="F222" s="101">
        <v>135188753</v>
      </c>
      <c r="G222" s="101">
        <v>57</v>
      </c>
      <c r="H222" s="101">
        <v>19</v>
      </c>
      <c r="I222" s="101">
        <v>76</v>
      </c>
      <c r="J222" s="101">
        <v>44</v>
      </c>
      <c r="K222" s="101">
        <v>120</v>
      </c>
      <c r="L222" s="101">
        <v>40</v>
      </c>
      <c r="M222" s="101">
        <v>40</v>
      </c>
      <c r="N222" s="101">
        <v>0</v>
      </c>
      <c r="O222" s="101">
        <v>4</v>
      </c>
      <c r="P222" s="101">
        <v>124</v>
      </c>
      <c r="Q222" s="101">
        <v>413</v>
      </c>
      <c r="R222" s="12" t="s">
        <v>25</v>
      </c>
      <c r="S222" s="12" t="s">
        <v>25</v>
      </c>
      <c r="T222" s="12" t="s">
        <v>25</v>
      </c>
    </row>
    <row r="223" spans="1:20" x14ac:dyDescent="0.3">
      <c r="A223" s="13">
        <v>43895.708333333336</v>
      </c>
      <c r="B223" s="12" t="s">
        <v>22</v>
      </c>
      <c r="C223" s="101">
        <v>14</v>
      </c>
      <c r="D223" s="12" t="s">
        <v>52</v>
      </c>
      <c r="E223" s="101">
        <v>4155774754</v>
      </c>
      <c r="F223" s="101">
        <v>1465916051</v>
      </c>
      <c r="G223" s="101">
        <v>4</v>
      </c>
      <c r="H223" s="101">
        <v>0</v>
      </c>
      <c r="I223" s="101">
        <v>4</v>
      </c>
      <c r="J223" s="101">
        <v>3</v>
      </c>
      <c r="K223" s="101">
        <v>7</v>
      </c>
      <c r="L223" s="101">
        <v>4</v>
      </c>
      <c r="M223" s="101">
        <v>4</v>
      </c>
      <c r="N223" s="101">
        <v>0</v>
      </c>
      <c r="O223" s="101">
        <v>0</v>
      </c>
      <c r="P223" s="101">
        <v>7</v>
      </c>
      <c r="Q223" s="101">
        <v>24</v>
      </c>
      <c r="R223" s="12" t="s">
        <v>25</v>
      </c>
      <c r="S223" s="12" t="s">
        <v>25</v>
      </c>
      <c r="T223" s="12" t="s">
        <v>25</v>
      </c>
    </row>
    <row r="224" spans="1:20" x14ac:dyDescent="0.3">
      <c r="A224" s="13">
        <v>43895.708333333336</v>
      </c>
      <c r="B224" s="12" t="s">
        <v>22</v>
      </c>
      <c r="C224" s="101">
        <v>1</v>
      </c>
      <c r="D224" s="12" t="s">
        <v>53</v>
      </c>
      <c r="E224" s="101">
        <v>450732745</v>
      </c>
      <c r="F224" s="101">
        <v>7680687483</v>
      </c>
      <c r="G224" s="101">
        <v>43</v>
      </c>
      <c r="H224" s="101">
        <v>17</v>
      </c>
      <c r="I224" s="101">
        <v>60</v>
      </c>
      <c r="J224" s="101">
        <v>46</v>
      </c>
      <c r="K224" s="101">
        <v>106</v>
      </c>
      <c r="L224" s="101">
        <v>24</v>
      </c>
      <c r="M224" s="101">
        <v>26</v>
      </c>
      <c r="N224" s="101">
        <v>0</v>
      </c>
      <c r="O224" s="101">
        <v>2</v>
      </c>
      <c r="P224" s="101">
        <v>108</v>
      </c>
      <c r="Q224" s="101">
        <v>543</v>
      </c>
      <c r="R224" s="12" t="s">
        <v>25</v>
      </c>
      <c r="S224" s="12" t="s">
        <v>25</v>
      </c>
      <c r="T224" s="12" t="s">
        <v>25</v>
      </c>
    </row>
    <row r="225" spans="1:20" x14ac:dyDescent="0.3">
      <c r="A225" s="13">
        <v>43895.708333333336</v>
      </c>
      <c r="B225" s="12" t="s">
        <v>22</v>
      </c>
      <c r="C225" s="101">
        <v>16</v>
      </c>
      <c r="D225" s="12" t="s">
        <v>54</v>
      </c>
      <c r="E225" s="101">
        <v>4112559576</v>
      </c>
      <c r="F225" s="101">
        <v>1686736689</v>
      </c>
      <c r="G225" s="101">
        <v>5</v>
      </c>
      <c r="H225" s="101">
        <v>1</v>
      </c>
      <c r="I225" s="101">
        <v>6</v>
      </c>
      <c r="J225" s="101">
        <v>6</v>
      </c>
      <c r="K225" s="101">
        <v>12</v>
      </c>
      <c r="L225" s="101">
        <v>5</v>
      </c>
      <c r="M225" s="101">
        <v>5</v>
      </c>
      <c r="N225" s="101">
        <v>1</v>
      </c>
      <c r="O225" s="101">
        <v>1</v>
      </c>
      <c r="P225" s="101">
        <v>14</v>
      </c>
      <c r="Q225" s="101">
        <v>359</v>
      </c>
      <c r="R225" s="12" t="s">
        <v>25</v>
      </c>
      <c r="S225" s="12" t="s">
        <v>25</v>
      </c>
      <c r="T225" s="12" t="s">
        <v>25</v>
      </c>
    </row>
    <row r="226" spans="1:20" x14ac:dyDescent="0.3">
      <c r="A226" s="13">
        <v>43895.708333333336</v>
      </c>
      <c r="B226" s="12" t="s">
        <v>22</v>
      </c>
      <c r="C226" s="101">
        <v>20</v>
      </c>
      <c r="D226" s="12" t="s">
        <v>55</v>
      </c>
      <c r="E226" s="101">
        <v>3921531192</v>
      </c>
      <c r="F226" s="101">
        <v>9110616306</v>
      </c>
      <c r="G226" s="101">
        <v>2</v>
      </c>
      <c r="H226" s="101">
        <v>0</v>
      </c>
      <c r="I226" s="101">
        <v>2</v>
      </c>
      <c r="J226" s="101">
        <v>0</v>
      </c>
      <c r="K226" s="101">
        <v>2</v>
      </c>
      <c r="L226" s="101">
        <v>0</v>
      </c>
      <c r="M226" s="101">
        <v>0</v>
      </c>
      <c r="N226" s="101">
        <v>0</v>
      </c>
      <c r="O226" s="101">
        <v>0</v>
      </c>
      <c r="P226" s="101">
        <v>2</v>
      </c>
      <c r="Q226" s="101">
        <v>50</v>
      </c>
      <c r="R226" s="12" t="s">
        <v>25</v>
      </c>
      <c r="S226" s="12" t="s">
        <v>25</v>
      </c>
      <c r="T226" s="12" t="s">
        <v>25</v>
      </c>
    </row>
    <row r="227" spans="1:20" x14ac:dyDescent="0.3">
      <c r="A227" s="13">
        <v>43895.708333333336</v>
      </c>
      <c r="B227" s="12" t="s">
        <v>22</v>
      </c>
      <c r="C227" s="101">
        <v>19</v>
      </c>
      <c r="D227" s="12" t="s">
        <v>56</v>
      </c>
      <c r="E227" s="101">
        <v>3811569725</v>
      </c>
      <c r="F227" s="101">
        <v>133623567</v>
      </c>
      <c r="G227" s="101">
        <v>5</v>
      </c>
      <c r="H227" s="101">
        <v>0</v>
      </c>
      <c r="I227" s="101">
        <v>5</v>
      </c>
      <c r="J227" s="101">
        <v>11</v>
      </c>
      <c r="K227" s="101">
        <v>16</v>
      </c>
      <c r="L227" s="101">
        <v>0</v>
      </c>
      <c r="M227" s="101">
        <v>0</v>
      </c>
      <c r="N227" s="101">
        <v>2</v>
      </c>
      <c r="O227" s="101">
        <v>0</v>
      </c>
      <c r="P227" s="101">
        <v>18</v>
      </c>
      <c r="Q227" s="101">
        <v>367</v>
      </c>
      <c r="R227" s="12" t="s">
        <v>25</v>
      </c>
      <c r="S227" s="12" t="s">
        <v>25</v>
      </c>
      <c r="T227" s="12" t="s">
        <v>25</v>
      </c>
    </row>
    <row r="228" spans="1:20" x14ac:dyDescent="0.3">
      <c r="A228" s="13">
        <v>43895.708333333336</v>
      </c>
      <c r="B228" s="12" t="s">
        <v>22</v>
      </c>
      <c r="C228" s="101">
        <v>9</v>
      </c>
      <c r="D228" s="12" t="s">
        <v>57</v>
      </c>
      <c r="E228" s="101">
        <v>4376923077</v>
      </c>
      <c r="F228" s="101">
        <v>1125588885</v>
      </c>
      <c r="G228" s="101">
        <v>26</v>
      </c>
      <c r="H228" s="101">
        <v>3</v>
      </c>
      <c r="I228" s="101">
        <v>29</v>
      </c>
      <c r="J228" s="101">
        <v>31</v>
      </c>
      <c r="K228" s="101">
        <v>60</v>
      </c>
      <c r="L228" s="101">
        <v>23</v>
      </c>
      <c r="M228" s="101">
        <v>23</v>
      </c>
      <c r="N228" s="101">
        <v>1</v>
      </c>
      <c r="O228" s="101">
        <v>0</v>
      </c>
      <c r="P228" s="101">
        <v>61</v>
      </c>
      <c r="Q228" s="101">
        <v>776</v>
      </c>
      <c r="R228" s="12" t="s">
        <v>25</v>
      </c>
      <c r="S228" s="12" t="s">
        <v>25</v>
      </c>
      <c r="T228" s="12" t="s">
        <v>25</v>
      </c>
    </row>
    <row r="229" spans="1:20" x14ac:dyDescent="0.3">
      <c r="A229" s="13">
        <v>43895.708333333336</v>
      </c>
      <c r="B229" s="12" t="s">
        <v>22</v>
      </c>
      <c r="C229" s="101">
        <v>4</v>
      </c>
      <c r="D229" s="12" t="s">
        <v>58</v>
      </c>
      <c r="E229" s="101">
        <v>4606893511</v>
      </c>
      <c r="F229" s="101">
        <v>1112123097</v>
      </c>
      <c r="G229" s="101">
        <v>2</v>
      </c>
      <c r="H229" s="101">
        <v>0</v>
      </c>
      <c r="I229" s="101">
        <v>2</v>
      </c>
      <c r="J229" s="101">
        <v>5</v>
      </c>
      <c r="K229" s="101">
        <v>7</v>
      </c>
      <c r="L229" s="101">
        <v>2</v>
      </c>
      <c r="M229" s="101">
        <v>2</v>
      </c>
      <c r="N229" s="101">
        <v>0</v>
      </c>
      <c r="O229" s="101">
        <v>0</v>
      </c>
      <c r="P229" s="101">
        <v>7</v>
      </c>
      <c r="Q229" s="101">
        <v>122</v>
      </c>
      <c r="R229" s="12" t="s">
        <v>25</v>
      </c>
      <c r="S229" s="12" t="s">
        <v>25</v>
      </c>
      <c r="T229" s="12" t="s">
        <v>25</v>
      </c>
    </row>
    <row r="230" spans="1:20" x14ac:dyDescent="0.3">
      <c r="A230" s="13">
        <v>43895.708333333336</v>
      </c>
      <c r="B230" s="12" t="s">
        <v>22</v>
      </c>
      <c r="C230" s="101">
        <v>10</v>
      </c>
      <c r="D230" s="12" t="s">
        <v>59</v>
      </c>
      <c r="E230" s="101">
        <v>4310675841</v>
      </c>
      <c r="F230" s="101">
        <v>1238824698</v>
      </c>
      <c r="G230" s="101">
        <v>1</v>
      </c>
      <c r="H230" s="101">
        <v>1</v>
      </c>
      <c r="I230" s="101">
        <v>2</v>
      </c>
      <c r="J230" s="101">
        <v>7</v>
      </c>
      <c r="K230" s="101">
        <v>9</v>
      </c>
      <c r="L230" s="101">
        <v>0</v>
      </c>
      <c r="M230" s="101">
        <v>0</v>
      </c>
      <c r="N230" s="101">
        <v>0</v>
      </c>
      <c r="O230" s="101">
        <v>0</v>
      </c>
      <c r="P230" s="101">
        <v>9</v>
      </c>
      <c r="Q230" s="101">
        <v>88</v>
      </c>
      <c r="R230" s="12" t="s">
        <v>25</v>
      </c>
      <c r="S230" s="12" t="s">
        <v>25</v>
      </c>
      <c r="T230" s="12" t="s">
        <v>25</v>
      </c>
    </row>
    <row r="231" spans="1:20" x14ac:dyDescent="0.3">
      <c r="A231" s="13">
        <v>43895.708333333336</v>
      </c>
      <c r="B231" s="12" t="s">
        <v>22</v>
      </c>
      <c r="C231" s="101">
        <v>2</v>
      </c>
      <c r="D231" s="12" t="s">
        <v>60</v>
      </c>
      <c r="E231" s="101">
        <v>4573750286</v>
      </c>
      <c r="F231" s="101">
        <v>7320149366</v>
      </c>
      <c r="G231" s="101">
        <v>0</v>
      </c>
      <c r="H231" s="101">
        <v>0</v>
      </c>
      <c r="I231" s="101">
        <v>0</v>
      </c>
      <c r="J231" s="101">
        <v>2</v>
      </c>
      <c r="K231" s="101">
        <v>2</v>
      </c>
      <c r="L231" s="101">
        <v>2</v>
      </c>
      <c r="M231" s="101">
        <v>2</v>
      </c>
      <c r="N231" s="101">
        <v>0</v>
      </c>
      <c r="O231" s="101">
        <v>0</v>
      </c>
      <c r="P231" s="101">
        <v>2</v>
      </c>
      <c r="Q231" s="101">
        <v>21</v>
      </c>
      <c r="R231" s="12" t="s">
        <v>25</v>
      </c>
      <c r="S231" s="12" t="s">
        <v>25</v>
      </c>
      <c r="T231" s="12" t="s">
        <v>25</v>
      </c>
    </row>
    <row r="232" spans="1:20" x14ac:dyDescent="0.3">
      <c r="A232" s="13">
        <v>43895.708333333336</v>
      </c>
      <c r="B232" s="12" t="s">
        <v>22</v>
      </c>
      <c r="C232" s="101">
        <v>5</v>
      </c>
      <c r="D232" s="12" t="s">
        <v>61</v>
      </c>
      <c r="E232" s="101">
        <v>4543490485</v>
      </c>
      <c r="F232" s="101">
        <v>1233845213</v>
      </c>
      <c r="G232" s="101">
        <v>92</v>
      </c>
      <c r="H232" s="101">
        <v>24</v>
      </c>
      <c r="I232" s="101">
        <v>116</v>
      </c>
      <c r="J232" s="101">
        <v>264</v>
      </c>
      <c r="K232" s="101">
        <v>380</v>
      </c>
      <c r="L232" s="101">
        <v>35</v>
      </c>
      <c r="M232" s="101">
        <v>47</v>
      </c>
      <c r="N232" s="101">
        <v>17</v>
      </c>
      <c r="O232" s="101">
        <v>10</v>
      </c>
      <c r="P232" s="101">
        <v>407</v>
      </c>
      <c r="Q232" s="101">
        <v>11949</v>
      </c>
      <c r="R232" s="12" t="s">
        <v>25</v>
      </c>
      <c r="S232" s="12" t="s">
        <v>25</v>
      </c>
      <c r="T232" s="12" t="s">
        <v>25</v>
      </c>
    </row>
    <row r="233" spans="1:20" x14ac:dyDescent="0.3">
      <c r="A233" s="13">
        <v>43896.708333333336</v>
      </c>
      <c r="B233" s="12" t="s">
        <v>22</v>
      </c>
      <c r="C233" s="101">
        <v>13</v>
      </c>
      <c r="D233" s="12" t="s">
        <v>42</v>
      </c>
      <c r="E233" s="101">
        <v>4235122196</v>
      </c>
      <c r="F233" s="101">
        <v>1339843823</v>
      </c>
      <c r="G233" s="101">
        <v>9</v>
      </c>
      <c r="H233" s="101">
        <v>0</v>
      </c>
      <c r="I233" s="101">
        <v>9</v>
      </c>
      <c r="J233" s="101">
        <v>0</v>
      </c>
      <c r="K233" s="101">
        <v>9</v>
      </c>
      <c r="L233" s="101">
        <v>1</v>
      </c>
      <c r="M233" s="101">
        <v>1</v>
      </c>
      <c r="N233" s="101">
        <v>0</v>
      </c>
      <c r="O233" s="101">
        <v>0</v>
      </c>
      <c r="P233" s="101">
        <v>9</v>
      </c>
      <c r="Q233" s="101">
        <v>96</v>
      </c>
      <c r="R233" s="12" t="s">
        <v>25</v>
      </c>
      <c r="S233" s="12" t="s">
        <v>25</v>
      </c>
      <c r="T233" s="12" t="s">
        <v>25</v>
      </c>
    </row>
    <row r="234" spans="1:20" x14ac:dyDescent="0.3">
      <c r="A234" s="13">
        <v>43896.708333333336</v>
      </c>
      <c r="B234" s="12" t="s">
        <v>22</v>
      </c>
      <c r="C234" s="101">
        <v>17</v>
      </c>
      <c r="D234" s="12" t="s">
        <v>43</v>
      </c>
      <c r="E234" s="101">
        <v>4063947052</v>
      </c>
      <c r="F234" s="101">
        <v>1580514834</v>
      </c>
      <c r="G234" s="101">
        <v>1</v>
      </c>
      <c r="H234" s="101">
        <v>0</v>
      </c>
      <c r="I234" s="101">
        <v>1</v>
      </c>
      <c r="J234" s="101">
        <v>2</v>
      </c>
      <c r="K234" s="101">
        <v>3</v>
      </c>
      <c r="L234" s="101">
        <v>2</v>
      </c>
      <c r="M234" s="101">
        <v>2</v>
      </c>
      <c r="N234" s="101">
        <v>0</v>
      </c>
      <c r="O234" s="101">
        <v>0</v>
      </c>
      <c r="P234" s="101">
        <v>3</v>
      </c>
      <c r="Q234" s="101">
        <v>63</v>
      </c>
      <c r="R234" s="12" t="s">
        <v>25</v>
      </c>
      <c r="S234" s="12" t="s">
        <v>25</v>
      </c>
      <c r="T234" s="12" t="s">
        <v>25</v>
      </c>
    </row>
    <row r="235" spans="1:20" x14ac:dyDescent="0.3">
      <c r="A235" s="13">
        <v>43896.708333333336</v>
      </c>
      <c r="B235" s="12" t="s">
        <v>22</v>
      </c>
      <c r="C235" s="101">
        <v>4</v>
      </c>
      <c r="D235" s="12" t="s">
        <v>44</v>
      </c>
      <c r="E235" s="101">
        <v>4649933453</v>
      </c>
      <c r="F235" s="101">
        <v>1135662422</v>
      </c>
      <c r="G235" s="101">
        <v>4</v>
      </c>
      <c r="H235" s="101">
        <v>0</v>
      </c>
      <c r="I235" s="101">
        <v>4</v>
      </c>
      <c r="J235" s="101">
        <v>0</v>
      </c>
      <c r="K235" s="101">
        <v>4</v>
      </c>
      <c r="L235" s="101">
        <v>3</v>
      </c>
      <c r="M235" s="101">
        <v>3</v>
      </c>
      <c r="N235" s="101">
        <v>0</v>
      </c>
      <c r="O235" s="101">
        <v>0</v>
      </c>
      <c r="P235" s="101">
        <v>4</v>
      </c>
      <c r="Q235" s="101">
        <v>36</v>
      </c>
      <c r="R235" s="12" t="s">
        <v>25</v>
      </c>
      <c r="S235" s="12" t="s">
        <v>25</v>
      </c>
      <c r="T235" s="12" t="s">
        <v>25</v>
      </c>
    </row>
    <row r="236" spans="1:20" x14ac:dyDescent="0.3">
      <c r="A236" s="13">
        <v>43896.708333333336</v>
      </c>
      <c r="B236" s="12" t="s">
        <v>22</v>
      </c>
      <c r="C236" s="101">
        <v>18</v>
      </c>
      <c r="D236" s="12" t="s">
        <v>45</v>
      </c>
      <c r="E236" s="101">
        <v>3890597598</v>
      </c>
      <c r="F236" s="101">
        <v>1659440194</v>
      </c>
      <c r="G236" s="101">
        <v>2</v>
      </c>
      <c r="H236" s="101">
        <v>0</v>
      </c>
      <c r="I236" s="101">
        <v>2</v>
      </c>
      <c r="J236" s="101">
        <v>2</v>
      </c>
      <c r="K236" s="101">
        <v>4</v>
      </c>
      <c r="L236" s="101">
        <v>2</v>
      </c>
      <c r="M236" s="101">
        <v>2</v>
      </c>
      <c r="N236" s="101">
        <v>0</v>
      </c>
      <c r="O236" s="101">
        <v>0</v>
      </c>
      <c r="P236" s="101">
        <v>4</v>
      </c>
      <c r="Q236" s="101">
        <v>99</v>
      </c>
      <c r="R236" s="12" t="s">
        <v>25</v>
      </c>
      <c r="S236" s="12" t="s">
        <v>25</v>
      </c>
      <c r="T236" s="12" t="s">
        <v>25</v>
      </c>
    </row>
    <row r="237" spans="1:20" x14ac:dyDescent="0.3">
      <c r="A237" s="13">
        <v>43896.708333333336</v>
      </c>
      <c r="B237" s="12" t="s">
        <v>22</v>
      </c>
      <c r="C237" s="101">
        <v>15</v>
      </c>
      <c r="D237" s="12" t="s">
        <v>46</v>
      </c>
      <c r="E237" s="101">
        <v>4083956555</v>
      </c>
      <c r="F237" s="101">
        <v>1425084984</v>
      </c>
      <c r="G237" s="101">
        <v>12</v>
      </c>
      <c r="H237" s="101">
        <v>0</v>
      </c>
      <c r="I237" s="101">
        <v>12</v>
      </c>
      <c r="J237" s="101">
        <v>45</v>
      </c>
      <c r="K237" s="101">
        <v>57</v>
      </c>
      <c r="L237" s="101">
        <v>12</v>
      </c>
      <c r="M237" s="101">
        <v>12</v>
      </c>
      <c r="N237" s="101">
        <v>0</v>
      </c>
      <c r="O237" s="101">
        <v>0</v>
      </c>
      <c r="P237" s="101">
        <v>57</v>
      </c>
      <c r="Q237" s="101">
        <v>471</v>
      </c>
      <c r="R237" s="12" t="s">
        <v>25</v>
      </c>
      <c r="S237" s="12" t="s">
        <v>25</v>
      </c>
      <c r="T237" s="12" t="s">
        <v>25</v>
      </c>
    </row>
    <row r="238" spans="1:20" x14ac:dyDescent="0.3">
      <c r="A238" s="13">
        <v>43896.708333333336</v>
      </c>
      <c r="B238" s="12" t="s">
        <v>22</v>
      </c>
      <c r="C238" s="101">
        <v>8</v>
      </c>
      <c r="D238" s="12" t="s">
        <v>96</v>
      </c>
      <c r="E238" s="101">
        <v>4449436681</v>
      </c>
      <c r="F238" s="101">
        <v>113417208</v>
      </c>
      <c r="G238" s="101">
        <v>397</v>
      </c>
      <c r="H238" s="101">
        <v>53</v>
      </c>
      <c r="I238" s="101">
        <v>450</v>
      </c>
      <c r="J238" s="101">
        <v>366</v>
      </c>
      <c r="K238" s="101">
        <v>816</v>
      </c>
      <c r="L238" s="101">
        <v>158</v>
      </c>
      <c r="M238" s="101">
        <v>172</v>
      </c>
      <c r="N238" s="101">
        <v>17</v>
      </c>
      <c r="O238" s="101">
        <v>37</v>
      </c>
      <c r="P238" s="101">
        <v>870</v>
      </c>
      <c r="Q238" s="101">
        <v>3136</v>
      </c>
      <c r="R238" s="12" t="s">
        <v>25</v>
      </c>
      <c r="S238" s="12" t="s">
        <v>25</v>
      </c>
      <c r="T238" s="12" t="s">
        <v>25</v>
      </c>
    </row>
    <row r="239" spans="1:20" x14ac:dyDescent="0.3">
      <c r="A239" s="13">
        <v>43896.708333333336</v>
      </c>
      <c r="B239" s="12" t="s">
        <v>22</v>
      </c>
      <c r="C239" s="101">
        <v>6</v>
      </c>
      <c r="D239" s="12" t="s">
        <v>47</v>
      </c>
      <c r="E239" s="101">
        <v>456494354</v>
      </c>
      <c r="F239" s="101">
        <v>1376813649</v>
      </c>
      <c r="G239" s="101">
        <v>4</v>
      </c>
      <c r="H239" s="101">
        <v>0</v>
      </c>
      <c r="I239" s="101">
        <v>4</v>
      </c>
      <c r="J239" s="101">
        <v>24</v>
      </c>
      <c r="K239" s="101">
        <v>28</v>
      </c>
      <c r="L239" s="101">
        <v>7</v>
      </c>
      <c r="M239" s="101">
        <v>10</v>
      </c>
      <c r="N239" s="101">
        <v>3</v>
      </c>
      <c r="O239" s="101">
        <v>0</v>
      </c>
      <c r="P239" s="101">
        <v>31</v>
      </c>
      <c r="Q239" s="101">
        <v>577</v>
      </c>
      <c r="R239" s="12" t="s">
        <v>25</v>
      </c>
      <c r="S239" s="12" t="s">
        <v>25</v>
      </c>
      <c r="T239" s="12" t="s">
        <v>25</v>
      </c>
    </row>
    <row r="240" spans="1:20" x14ac:dyDescent="0.3">
      <c r="A240" s="13">
        <v>43896.708333333336</v>
      </c>
      <c r="B240" s="12" t="s">
        <v>22</v>
      </c>
      <c r="C240" s="101">
        <v>12</v>
      </c>
      <c r="D240" s="12" t="s">
        <v>48</v>
      </c>
      <c r="E240" s="101">
        <v>4189277044</v>
      </c>
      <c r="F240" s="101">
        <v>1248366722</v>
      </c>
      <c r="G240" s="101">
        <v>26</v>
      </c>
      <c r="H240" s="101">
        <v>8</v>
      </c>
      <c r="I240" s="101">
        <v>34</v>
      </c>
      <c r="J240" s="101">
        <v>16</v>
      </c>
      <c r="K240" s="101">
        <v>50</v>
      </c>
      <c r="L240" s="101">
        <v>9</v>
      </c>
      <c r="M240" s="101">
        <v>10</v>
      </c>
      <c r="N240" s="101">
        <v>3</v>
      </c>
      <c r="O240" s="101">
        <v>1</v>
      </c>
      <c r="P240" s="101">
        <v>54</v>
      </c>
      <c r="Q240" s="101">
        <v>1373</v>
      </c>
      <c r="R240" s="12" t="s">
        <v>25</v>
      </c>
      <c r="S240" s="12" t="s">
        <v>25</v>
      </c>
      <c r="T240" s="12" t="s">
        <v>25</v>
      </c>
    </row>
    <row r="241" spans="1:20" x14ac:dyDescent="0.3">
      <c r="A241" s="13">
        <v>43896.708333333336</v>
      </c>
      <c r="B241" s="12" t="s">
        <v>22</v>
      </c>
      <c r="C241" s="101">
        <v>7</v>
      </c>
      <c r="D241" s="12" t="s">
        <v>49</v>
      </c>
      <c r="E241" s="101">
        <v>4441149315</v>
      </c>
      <c r="F241" s="101">
        <v>89326992</v>
      </c>
      <c r="G241" s="101">
        <v>12</v>
      </c>
      <c r="H241" s="101">
        <v>5</v>
      </c>
      <c r="I241" s="101">
        <v>17</v>
      </c>
      <c r="J241" s="101">
        <v>7</v>
      </c>
      <c r="K241" s="101">
        <v>24</v>
      </c>
      <c r="L241" s="101">
        <v>3</v>
      </c>
      <c r="M241" s="101">
        <v>4</v>
      </c>
      <c r="N241" s="101">
        <v>5</v>
      </c>
      <c r="O241" s="101">
        <v>3</v>
      </c>
      <c r="P241" s="101">
        <v>32</v>
      </c>
      <c r="Q241" s="101">
        <v>229</v>
      </c>
      <c r="R241" s="12" t="s">
        <v>25</v>
      </c>
      <c r="S241" s="12" t="s">
        <v>25</v>
      </c>
      <c r="T241" s="12" t="s">
        <v>25</v>
      </c>
    </row>
    <row r="242" spans="1:20" x14ac:dyDescent="0.3">
      <c r="A242" s="13">
        <v>43896.708333333336</v>
      </c>
      <c r="B242" s="12" t="s">
        <v>22</v>
      </c>
      <c r="C242" s="101">
        <v>3</v>
      </c>
      <c r="D242" s="12" t="s">
        <v>50</v>
      </c>
      <c r="E242" s="101">
        <v>4546679409</v>
      </c>
      <c r="F242" s="101">
        <v>9190347404</v>
      </c>
      <c r="G242" s="101">
        <v>1622</v>
      </c>
      <c r="H242" s="101">
        <v>309</v>
      </c>
      <c r="I242" s="101">
        <v>1931</v>
      </c>
      <c r="J242" s="101">
        <v>77</v>
      </c>
      <c r="K242" s="101">
        <v>2008</v>
      </c>
      <c r="L242" s="101">
        <v>231</v>
      </c>
      <c r="M242" s="101">
        <v>361</v>
      </c>
      <c r="N242" s="101">
        <v>469</v>
      </c>
      <c r="O242" s="101">
        <v>135</v>
      </c>
      <c r="P242" s="101">
        <v>2612</v>
      </c>
      <c r="Q242" s="101">
        <v>13556</v>
      </c>
      <c r="R242" s="12" t="s">
        <v>25</v>
      </c>
      <c r="S242" s="12" t="s">
        <v>25</v>
      </c>
      <c r="T242" s="12" t="s">
        <v>25</v>
      </c>
    </row>
    <row r="243" spans="1:20" x14ac:dyDescent="0.3">
      <c r="A243" s="13">
        <v>43896.708333333336</v>
      </c>
      <c r="B243" s="12" t="s">
        <v>22</v>
      </c>
      <c r="C243" s="101">
        <v>11</v>
      </c>
      <c r="D243" s="12" t="s">
        <v>51</v>
      </c>
      <c r="E243" s="101">
        <v>4361675973</v>
      </c>
      <c r="F243" s="101">
        <v>135188753</v>
      </c>
      <c r="G243" s="101">
        <v>73</v>
      </c>
      <c r="H243" s="101">
        <v>20</v>
      </c>
      <c r="I243" s="101">
        <v>93</v>
      </c>
      <c r="J243" s="101">
        <v>62</v>
      </c>
      <c r="K243" s="101">
        <v>155</v>
      </c>
      <c r="L243" s="101">
        <v>35</v>
      </c>
      <c r="M243" s="101">
        <v>35</v>
      </c>
      <c r="N243" s="101">
        <v>0</v>
      </c>
      <c r="O243" s="101">
        <v>4</v>
      </c>
      <c r="P243" s="101">
        <v>159</v>
      </c>
      <c r="Q243" s="101">
        <v>585</v>
      </c>
      <c r="R243" s="12" t="s">
        <v>25</v>
      </c>
      <c r="S243" s="12" t="s">
        <v>25</v>
      </c>
      <c r="T243" s="12" t="s">
        <v>25</v>
      </c>
    </row>
    <row r="244" spans="1:20" x14ac:dyDescent="0.3">
      <c r="A244" s="13">
        <v>43896.708333333336</v>
      </c>
      <c r="B244" s="12" t="s">
        <v>22</v>
      </c>
      <c r="C244" s="101">
        <v>14</v>
      </c>
      <c r="D244" s="12" t="s">
        <v>52</v>
      </c>
      <c r="E244" s="101">
        <v>4155774754</v>
      </c>
      <c r="F244" s="101">
        <v>1465916051</v>
      </c>
      <c r="G244" s="101">
        <v>3</v>
      </c>
      <c r="H244" s="101">
        <v>2</v>
      </c>
      <c r="I244" s="101">
        <v>5</v>
      </c>
      <c r="J244" s="101">
        <v>7</v>
      </c>
      <c r="K244" s="101">
        <v>12</v>
      </c>
      <c r="L244" s="101">
        <v>5</v>
      </c>
      <c r="M244" s="101">
        <v>5</v>
      </c>
      <c r="N244" s="101">
        <v>0</v>
      </c>
      <c r="O244" s="101">
        <v>0</v>
      </c>
      <c r="P244" s="101">
        <v>12</v>
      </c>
      <c r="Q244" s="101">
        <v>104</v>
      </c>
      <c r="R244" s="12" t="s">
        <v>25</v>
      </c>
      <c r="S244" s="12" t="s">
        <v>25</v>
      </c>
      <c r="T244" s="12" t="s">
        <v>25</v>
      </c>
    </row>
    <row r="245" spans="1:20" x14ac:dyDescent="0.3">
      <c r="A245" s="13">
        <v>43896.708333333336</v>
      </c>
      <c r="B245" s="12" t="s">
        <v>22</v>
      </c>
      <c r="C245" s="101">
        <v>1</v>
      </c>
      <c r="D245" s="12" t="s">
        <v>53</v>
      </c>
      <c r="E245" s="101">
        <v>450732745</v>
      </c>
      <c r="F245" s="101">
        <v>7680687483</v>
      </c>
      <c r="G245" s="101">
        <v>57</v>
      </c>
      <c r="H245" s="101">
        <v>30</v>
      </c>
      <c r="I245" s="101">
        <v>87</v>
      </c>
      <c r="J245" s="101">
        <v>52</v>
      </c>
      <c r="K245" s="101">
        <v>139</v>
      </c>
      <c r="L245" s="101">
        <v>33</v>
      </c>
      <c r="M245" s="101">
        <v>35</v>
      </c>
      <c r="N245" s="101">
        <v>0</v>
      </c>
      <c r="O245" s="101">
        <v>4</v>
      </c>
      <c r="P245" s="101">
        <v>143</v>
      </c>
      <c r="Q245" s="101">
        <v>793</v>
      </c>
      <c r="R245" s="12" t="s">
        <v>25</v>
      </c>
      <c r="S245" s="12" t="s">
        <v>25</v>
      </c>
      <c r="T245" s="12" t="s">
        <v>25</v>
      </c>
    </row>
    <row r="246" spans="1:20" x14ac:dyDescent="0.3">
      <c r="A246" s="13">
        <v>43896.708333333336</v>
      </c>
      <c r="B246" s="12" t="s">
        <v>22</v>
      </c>
      <c r="C246" s="101">
        <v>16</v>
      </c>
      <c r="D246" s="12" t="s">
        <v>54</v>
      </c>
      <c r="E246" s="101">
        <v>4112559576</v>
      </c>
      <c r="F246" s="101">
        <v>1686736689</v>
      </c>
      <c r="G246" s="101">
        <v>5</v>
      </c>
      <c r="H246" s="101">
        <v>1</v>
      </c>
      <c r="I246" s="101">
        <v>6</v>
      </c>
      <c r="J246" s="101">
        <v>9</v>
      </c>
      <c r="K246" s="101">
        <v>15</v>
      </c>
      <c r="L246" s="101">
        <v>3</v>
      </c>
      <c r="M246" s="101">
        <v>3</v>
      </c>
      <c r="N246" s="101">
        <v>1</v>
      </c>
      <c r="O246" s="101">
        <v>1</v>
      </c>
      <c r="P246" s="101">
        <v>17</v>
      </c>
      <c r="Q246" s="101">
        <v>395</v>
      </c>
      <c r="R246" s="12" t="s">
        <v>25</v>
      </c>
      <c r="S246" s="12" t="s">
        <v>25</v>
      </c>
      <c r="T246" s="12" t="s">
        <v>25</v>
      </c>
    </row>
    <row r="247" spans="1:20" x14ac:dyDescent="0.3">
      <c r="A247" s="13">
        <v>43896.708333333336</v>
      </c>
      <c r="B247" s="12" t="s">
        <v>22</v>
      </c>
      <c r="C247" s="101">
        <v>20</v>
      </c>
      <c r="D247" s="12" t="s">
        <v>55</v>
      </c>
      <c r="E247" s="101">
        <v>3921531192</v>
      </c>
      <c r="F247" s="101">
        <v>9110616306</v>
      </c>
      <c r="G247" s="101">
        <v>2</v>
      </c>
      <c r="H247" s="101">
        <v>0</v>
      </c>
      <c r="I247" s="101">
        <v>2</v>
      </c>
      <c r="J247" s="101">
        <v>3</v>
      </c>
      <c r="K247" s="101">
        <v>5</v>
      </c>
      <c r="L247" s="101">
        <v>3</v>
      </c>
      <c r="M247" s="101">
        <v>3</v>
      </c>
      <c r="N247" s="101">
        <v>0</v>
      </c>
      <c r="O247" s="101">
        <v>0</v>
      </c>
      <c r="P247" s="101">
        <v>5</v>
      </c>
      <c r="Q247" s="101">
        <v>99</v>
      </c>
      <c r="R247" s="12" t="s">
        <v>25</v>
      </c>
      <c r="S247" s="12" t="s">
        <v>25</v>
      </c>
      <c r="T247" s="12" t="s">
        <v>25</v>
      </c>
    </row>
    <row r="248" spans="1:20" x14ac:dyDescent="0.3">
      <c r="A248" s="13">
        <v>43896.708333333336</v>
      </c>
      <c r="B248" s="12" t="s">
        <v>22</v>
      </c>
      <c r="C248" s="101">
        <v>19</v>
      </c>
      <c r="D248" s="12" t="s">
        <v>56</v>
      </c>
      <c r="E248" s="101">
        <v>3811569725</v>
      </c>
      <c r="F248" s="101">
        <v>133623567</v>
      </c>
      <c r="G248" s="101">
        <v>7</v>
      </c>
      <c r="H248" s="101">
        <v>0</v>
      </c>
      <c r="I248" s="101">
        <v>7</v>
      </c>
      <c r="J248" s="101">
        <v>15</v>
      </c>
      <c r="K248" s="101">
        <v>22</v>
      </c>
      <c r="L248" s="101">
        <v>6</v>
      </c>
      <c r="M248" s="101">
        <v>6</v>
      </c>
      <c r="N248" s="101">
        <v>2</v>
      </c>
      <c r="O248" s="101">
        <v>0</v>
      </c>
      <c r="P248" s="101">
        <v>24</v>
      </c>
      <c r="Q248" s="101">
        <v>367</v>
      </c>
      <c r="R248" s="12" t="s">
        <v>25</v>
      </c>
      <c r="S248" s="12" t="s">
        <v>25</v>
      </c>
      <c r="T248" s="12" t="s">
        <v>25</v>
      </c>
    </row>
    <row r="249" spans="1:20" x14ac:dyDescent="0.3">
      <c r="A249" s="13">
        <v>43896.708333333336</v>
      </c>
      <c r="B249" s="12" t="s">
        <v>22</v>
      </c>
      <c r="C249" s="101">
        <v>9</v>
      </c>
      <c r="D249" s="12" t="s">
        <v>57</v>
      </c>
      <c r="E249" s="101">
        <v>4376923077</v>
      </c>
      <c r="F249" s="101">
        <v>1125588885</v>
      </c>
      <c r="G249" s="101">
        <v>35</v>
      </c>
      <c r="H249" s="101">
        <v>5</v>
      </c>
      <c r="I249" s="101">
        <v>40</v>
      </c>
      <c r="J249" s="101">
        <v>38</v>
      </c>
      <c r="K249" s="101">
        <v>78</v>
      </c>
      <c r="L249" s="101">
        <v>18</v>
      </c>
      <c r="M249" s="101">
        <v>18</v>
      </c>
      <c r="N249" s="101">
        <v>1</v>
      </c>
      <c r="O249" s="101">
        <v>0</v>
      </c>
      <c r="P249" s="101">
        <v>79</v>
      </c>
      <c r="Q249" s="101">
        <v>1097</v>
      </c>
      <c r="R249" s="12" t="s">
        <v>25</v>
      </c>
      <c r="S249" s="12" t="s">
        <v>25</v>
      </c>
      <c r="T249" s="12" t="s">
        <v>25</v>
      </c>
    </row>
    <row r="250" spans="1:20" x14ac:dyDescent="0.3">
      <c r="A250" s="13">
        <v>43896.708333333336</v>
      </c>
      <c r="B250" s="12" t="s">
        <v>22</v>
      </c>
      <c r="C250" s="101">
        <v>4</v>
      </c>
      <c r="D250" s="12" t="s">
        <v>58</v>
      </c>
      <c r="E250" s="101">
        <v>4606893511</v>
      </c>
      <c r="F250" s="101">
        <v>1112123097</v>
      </c>
      <c r="G250" s="101">
        <v>4</v>
      </c>
      <c r="H250" s="101">
        <v>0</v>
      </c>
      <c r="I250" s="101">
        <v>4</v>
      </c>
      <c r="J250" s="101">
        <v>6</v>
      </c>
      <c r="K250" s="101">
        <v>10</v>
      </c>
      <c r="L250" s="101">
        <v>3</v>
      </c>
      <c r="M250" s="101">
        <v>3</v>
      </c>
      <c r="N250" s="101">
        <v>0</v>
      </c>
      <c r="O250" s="101">
        <v>0</v>
      </c>
      <c r="P250" s="101">
        <v>10</v>
      </c>
      <c r="Q250" s="101">
        <v>122</v>
      </c>
      <c r="R250" s="12" t="s">
        <v>25</v>
      </c>
      <c r="S250" s="12" t="s">
        <v>25</v>
      </c>
      <c r="T250" s="12" t="s">
        <v>25</v>
      </c>
    </row>
    <row r="251" spans="1:20" x14ac:dyDescent="0.3">
      <c r="A251" s="13">
        <v>43896.708333333336</v>
      </c>
      <c r="B251" s="12" t="s">
        <v>22</v>
      </c>
      <c r="C251" s="101">
        <v>10</v>
      </c>
      <c r="D251" s="12" t="s">
        <v>59</v>
      </c>
      <c r="E251" s="101">
        <v>4310675841</v>
      </c>
      <c r="F251" s="101">
        <v>1238824698</v>
      </c>
      <c r="G251" s="101">
        <v>2</v>
      </c>
      <c r="H251" s="101">
        <v>2</v>
      </c>
      <c r="I251" s="101">
        <v>4</v>
      </c>
      <c r="J251" s="101">
        <v>12</v>
      </c>
      <c r="K251" s="101">
        <v>16</v>
      </c>
      <c r="L251" s="101">
        <v>7</v>
      </c>
      <c r="M251" s="101">
        <v>7</v>
      </c>
      <c r="N251" s="101">
        <v>0</v>
      </c>
      <c r="O251" s="101">
        <v>0</v>
      </c>
      <c r="P251" s="101">
        <v>16</v>
      </c>
      <c r="Q251" s="101">
        <v>110</v>
      </c>
      <c r="R251" s="12" t="s">
        <v>25</v>
      </c>
      <c r="S251" s="12" t="s">
        <v>25</v>
      </c>
      <c r="T251" s="12" t="s">
        <v>25</v>
      </c>
    </row>
    <row r="252" spans="1:20" x14ac:dyDescent="0.3">
      <c r="A252" s="13">
        <v>43896.708333333336</v>
      </c>
      <c r="B252" s="12" t="s">
        <v>22</v>
      </c>
      <c r="C252" s="101">
        <v>2</v>
      </c>
      <c r="D252" s="12" t="s">
        <v>60</v>
      </c>
      <c r="E252" s="101">
        <v>4573750286</v>
      </c>
      <c r="F252" s="101">
        <v>7320149366</v>
      </c>
      <c r="G252" s="101">
        <v>0</v>
      </c>
      <c r="H252" s="101">
        <v>0</v>
      </c>
      <c r="I252" s="101">
        <v>0</v>
      </c>
      <c r="J252" s="101">
        <v>7</v>
      </c>
      <c r="K252" s="101">
        <v>7</v>
      </c>
      <c r="L252" s="101">
        <v>5</v>
      </c>
      <c r="M252" s="101">
        <v>5</v>
      </c>
      <c r="N252" s="101">
        <v>0</v>
      </c>
      <c r="O252" s="101">
        <v>0</v>
      </c>
      <c r="P252" s="101">
        <v>7</v>
      </c>
      <c r="Q252" s="101">
        <v>28</v>
      </c>
      <c r="R252" s="12" t="s">
        <v>25</v>
      </c>
      <c r="S252" s="12" t="s">
        <v>25</v>
      </c>
      <c r="T252" s="12" t="s">
        <v>25</v>
      </c>
    </row>
    <row r="253" spans="1:20" x14ac:dyDescent="0.3">
      <c r="A253" s="13">
        <v>43896.708333333336</v>
      </c>
      <c r="B253" s="12" t="s">
        <v>22</v>
      </c>
      <c r="C253" s="101">
        <v>5</v>
      </c>
      <c r="D253" s="12" t="s">
        <v>61</v>
      </c>
      <c r="E253" s="101">
        <v>4543490485</v>
      </c>
      <c r="F253" s="101">
        <v>1233845213</v>
      </c>
      <c r="G253" s="101">
        <v>117</v>
      </c>
      <c r="H253" s="101">
        <v>27</v>
      </c>
      <c r="I253" s="101">
        <v>144</v>
      </c>
      <c r="J253" s="101">
        <v>310</v>
      </c>
      <c r="K253" s="101">
        <v>454</v>
      </c>
      <c r="L253" s="101">
        <v>74</v>
      </c>
      <c r="M253" s="101">
        <v>81</v>
      </c>
      <c r="N253" s="101">
        <v>22</v>
      </c>
      <c r="O253" s="101">
        <v>12</v>
      </c>
      <c r="P253" s="101">
        <v>488</v>
      </c>
      <c r="Q253" s="101">
        <v>13023</v>
      </c>
      <c r="R253" s="12" t="s">
        <v>25</v>
      </c>
      <c r="S253" s="12" t="s">
        <v>25</v>
      </c>
      <c r="T253" s="12" t="s">
        <v>25</v>
      </c>
    </row>
    <row r="254" spans="1:20" x14ac:dyDescent="0.3">
      <c r="A254" s="13">
        <v>43897.75</v>
      </c>
      <c r="B254" s="12" t="s">
        <v>22</v>
      </c>
      <c r="C254" s="101">
        <v>13</v>
      </c>
      <c r="D254" s="12" t="s">
        <v>42</v>
      </c>
      <c r="E254" s="101">
        <v>4235122196</v>
      </c>
      <c r="F254" s="101">
        <v>1339843823</v>
      </c>
      <c r="G254" s="101">
        <v>11</v>
      </c>
      <c r="H254" s="101">
        <v>0</v>
      </c>
      <c r="I254" s="101">
        <v>11</v>
      </c>
      <c r="J254" s="101">
        <v>0</v>
      </c>
      <c r="K254" s="101">
        <v>11</v>
      </c>
      <c r="L254" s="101">
        <v>2</v>
      </c>
      <c r="M254" s="101">
        <v>2</v>
      </c>
      <c r="N254" s="101">
        <v>0</v>
      </c>
      <c r="O254" s="101">
        <v>0</v>
      </c>
      <c r="P254" s="101">
        <v>11</v>
      </c>
      <c r="Q254" s="101">
        <v>123</v>
      </c>
      <c r="R254" s="12" t="s">
        <v>25</v>
      </c>
      <c r="S254" s="12" t="s">
        <v>25</v>
      </c>
      <c r="T254" s="12" t="s">
        <v>25</v>
      </c>
    </row>
    <row r="255" spans="1:20" x14ac:dyDescent="0.3">
      <c r="A255" s="13">
        <v>43897.75</v>
      </c>
      <c r="B255" s="12" t="s">
        <v>22</v>
      </c>
      <c r="C255" s="101">
        <v>17</v>
      </c>
      <c r="D255" s="12" t="s">
        <v>43</v>
      </c>
      <c r="E255" s="101">
        <v>4063947052</v>
      </c>
      <c r="F255" s="101">
        <v>1580514834</v>
      </c>
      <c r="G255" s="101">
        <v>1</v>
      </c>
      <c r="H255" s="101">
        <v>0</v>
      </c>
      <c r="I255" s="101">
        <v>1</v>
      </c>
      <c r="J255" s="101">
        <v>2</v>
      </c>
      <c r="K255" s="101">
        <v>3</v>
      </c>
      <c r="L255" s="101">
        <v>0</v>
      </c>
      <c r="M255" s="101">
        <v>0</v>
      </c>
      <c r="N255" s="101">
        <v>0</v>
      </c>
      <c r="O255" s="101">
        <v>0</v>
      </c>
      <c r="P255" s="101">
        <v>3</v>
      </c>
      <c r="Q255" s="101">
        <v>75</v>
      </c>
      <c r="R255" s="12" t="s">
        <v>25</v>
      </c>
      <c r="S255" s="12" t="s">
        <v>25</v>
      </c>
      <c r="T255" s="12" t="s">
        <v>25</v>
      </c>
    </row>
    <row r="256" spans="1:20" x14ac:dyDescent="0.3">
      <c r="A256" s="13">
        <v>43897.75</v>
      </c>
      <c r="B256" s="12" t="s">
        <v>22</v>
      </c>
      <c r="C256" s="101">
        <v>4</v>
      </c>
      <c r="D256" s="12" t="s">
        <v>44</v>
      </c>
      <c r="E256" s="101">
        <v>4649933453</v>
      </c>
      <c r="F256" s="101">
        <v>1135662422</v>
      </c>
      <c r="G256" s="101">
        <v>8</v>
      </c>
      <c r="H256" s="101">
        <v>0</v>
      </c>
      <c r="I256" s="101">
        <v>8</v>
      </c>
      <c r="J256" s="101">
        <v>1</v>
      </c>
      <c r="K256" s="101">
        <v>9</v>
      </c>
      <c r="L256" s="101">
        <v>5</v>
      </c>
      <c r="M256" s="101">
        <v>5</v>
      </c>
      <c r="N256" s="101">
        <v>0</v>
      </c>
      <c r="O256" s="101">
        <v>0</v>
      </c>
      <c r="P256" s="101">
        <v>9</v>
      </c>
      <c r="Q256" s="101">
        <v>36</v>
      </c>
      <c r="R256" s="12" t="s">
        <v>25</v>
      </c>
      <c r="S256" s="12" t="s">
        <v>25</v>
      </c>
      <c r="T256" s="12" t="s">
        <v>25</v>
      </c>
    </row>
    <row r="257" spans="1:20" x14ac:dyDescent="0.3">
      <c r="A257" s="13">
        <v>43897.75</v>
      </c>
      <c r="B257" s="12" t="s">
        <v>22</v>
      </c>
      <c r="C257" s="101">
        <v>18</v>
      </c>
      <c r="D257" s="12" t="s">
        <v>45</v>
      </c>
      <c r="E257" s="101">
        <v>3890597598</v>
      </c>
      <c r="F257" s="101">
        <v>1659440194</v>
      </c>
      <c r="G257" s="101">
        <v>2</v>
      </c>
      <c r="H257" s="101">
        <v>0</v>
      </c>
      <c r="I257" s="101">
        <v>2</v>
      </c>
      <c r="J257" s="101">
        <v>2</v>
      </c>
      <c r="K257" s="101">
        <v>4</v>
      </c>
      <c r="L257" s="101">
        <v>0</v>
      </c>
      <c r="M257" s="101">
        <v>0</v>
      </c>
      <c r="N257" s="101">
        <v>0</v>
      </c>
      <c r="O257" s="101">
        <v>0</v>
      </c>
      <c r="P257" s="101">
        <v>4</v>
      </c>
      <c r="Q257" s="101">
        <v>113</v>
      </c>
      <c r="R257" s="12" t="s">
        <v>25</v>
      </c>
      <c r="S257" s="12" t="s">
        <v>25</v>
      </c>
      <c r="T257" s="12" t="s">
        <v>25</v>
      </c>
    </row>
    <row r="258" spans="1:20" x14ac:dyDescent="0.3">
      <c r="A258" s="13">
        <v>43897.75</v>
      </c>
      <c r="B258" s="12" t="s">
        <v>22</v>
      </c>
      <c r="C258" s="101">
        <v>15</v>
      </c>
      <c r="D258" s="12" t="s">
        <v>46</v>
      </c>
      <c r="E258" s="101">
        <v>4083956555</v>
      </c>
      <c r="F258" s="101">
        <v>1425084984</v>
      </c>
      <c r="G258" s="101">
        <v>16</v>
      </c>
      <c r="H258" s="101">
        <v>0</v>
      </c>
      <c r="I258" s="101">
        <v>16</v>
      </c>
      <c r="J258" s="101">
        <v>45</v>
      </c>
      <c r="K258" s="101">
        <v>61</v>
      </c>
      <c r="L258" s="101">
        <v>4</v>
      </c>
      <c r="M258" s="101">
        <v>4</v>
      </c>
      <c r="N258" s="101">
        <v>0</v>
      </c>
      <c r="O258" s="101">
        <v>0</v>
      </c>
      <c r="P258" s="101">
        <v>61</v>
      </c>
      <c r="Q258" s="101">
        <v>612</v>
      </c>
      <c r="R258" s="12" t="s">
        <v>25</v>
      </c>
      <c r="S258" s="12" t="s">
        <v>25</v>
      </c>
      <c r="T258" s="12" t="s">
        <v>25</v>
      </c>
    </row>
    <row r="259" spans="1:20" x14ac:dyDescent="0.3">
      <c r="A259" s="13">
        <v>43897.75</v>
      </c>
      <c r="B259" s="12" t="s">
        <v>22</v>
      </c>
      <c r="C259" s="101">
        <v>8</v>
      </c>
      <c r="D259" s="12" t="s">
        <v>96</v>
      </c>
      <c r="E259" s="101">
        <v>4449436681</v>
      </c>
      <c r="F259" s="101">
        <v>113417208</v>
      </c>
      <c r="G259" s="101">
        <v>464</v>
      </c>
      <c r="H259" s="101">
        <v>64</v>
      </c>
      <c r="I259" s="101">
        <v>528</v>
      </c>
      <c r="J259" s="101">
        <v>409</v>
      </c>
      <c r="K259" s="101">
        <v>937</v>
      </c>
      <c r="L259" s="101">
        <v>121</v>
      </c>
      <c r="M259" s="101">
        <v>140</v>
      </c>
      <c r="N259" s="101">
        <v>25</v>
      </c>
      <c r="O259" s="101">
        <v>48</v>
      </c>
      <c r="P259" s="101">
        <v>1010</v>
      </c>
      <c r="Q259" s="101">
        <v>3604</v>
      </c>
      <c r="R259" s="12" t="s">
        <v>25</v>
      </c>
      <c r="S259" s="12" t="s">
        <v>25</v>
      </c>
      <c r="T259" s="12" t="s">
        <v>25</v>
      </c>
    </row>
    <row r="260" spans="1:20" x14ac:dyDescent="0.3">
      <c r="A260" s="13">
        <v>43897.75</v>
      </c>
      <c r="B260" s="12" t="s">
        <v>22</v>
      </c>
      <c r="C260" s="101">
        <v>6</v>
      </c>
      <c r="D260" s="12" t="s">
        <v>47</v>
      </c>
      <c r="E260" s="101">
        <v>456494354</v>
      </c>
      <c r="F260" s="101">
        <v>1376813649</v>
      </c>
      <c r="G260" s="101">
        <v>7</v>
      </c>
      <c r="H260" s="101">
        <v>1</v>
      </c>
      <c r="I260" s="101">
        <v>8</v>
      </c>
      <c r="J260" s="101">
        <v>31</v>
      </c>
      <c r="K260" s="101">
        <v>39</v>
      </c>
      <c r="L260" s="101">
        <v>11</v>
      </c>
      <c r="M260" s="101">
        <v>11</v>
      </c>
      <c r="N260" s="101">
        <v>3</v>
      </c>
      <c r="O260" s="101">
        <v>0</v>
      </c>
      <c r="P260" s="101">
        <v>42</v>
      </c>
      <c r="Q260" s="101">
        <v>577</v>
      </c>
      <c r="R260" s="12" t="s">
        <v>25</v>
      </c>
      <c r="S260" s="12" t="s">
        <v>25</v>
      </c>
      <c r="T260" s="12" t="s">
        <v>25</v>
      </c>
    </row>
    <row r="261" spans="1:20" x14ac:dyDescent="0.3">
      <c r="A261" s="13">
        <v>43897.75</v>
      </c>
      <c r="B261" s="12" t="s">
        <v>22</v>
      </c>
      <c r="C261" s="101">
        <v>12</v>
      </c>
      <c r="D261" s="12" t="s">
        <v>48</v>
      </c>
      <c r="E261" s="101">
        <v>4189277044</v>
      </c>
      <c r="F261" s="101">
        <v>1248366722</v>
      </c>
      <c r="G261" s="101">
        <v>43</v>
      </c>
      <c r="H261" s="101">
        <v>8</v>
      </c>
      <c r="I261" s="101">
        <v>51</v>
      </c>
      <c r="J261" s="101">
        <v>21</v>
      </c>
      <c r="K261" s="101">
        <v>72</v>
      </c>
      <c r="L261" s="101">
        <v>22</v>
      </c>
      <c r="M261" s="101">
        <v>22</v>
      </c>
      <c r="N261" s="101">
        <v>3</v>
      </c>
      <c r="O261" s="101">
        <v>1</v>
      </c>
      <c r="P261" s="101">
        <v>76</v>
      </c>
      <c r="Q261" s="101">
        <v>1582</v>
      </c>
      <c r="R261" s="12" t="s">
        <v>25</v>
      </c>
      <c r="S261" s="12" t="s">
        <v>25</v>
      </c>
      <c r="T261" s="12" t="s">
        <v>25</v>
      </c>
    </row>
    <row r="262" spans="1:20" x14ac:dyDescent="0.3">
      <c r="A262" s="13">
        <v>43897.75</v>
      </c>
      <c r="B262" s="12" t="s">
        <v>22</v>
      </c>
      <c r="C262" s="101">
        <v>7</v>
      </c>
      <c r="D262" s="12" t="s">
        <v>49</v>
      </c>
      <c r="E262" s="101">
        <v>4441149315</v>
      </c>
      <c r="F262" s="101">
        <v>89326992</v>
      </c>
      <c r="G262" s="101">
        <v>26</v>
      </c>
      <c r="H262" s="101">
        <v>6</v>
      </c>
      <c r="I262" s="101">
        <v>32</v>
      </c>
      <c r="J262" s="101">
        <v>10</v>
      </c>
      <c r="K262" s="101">
        <v>42</v>
      </c>
      <c r="L262" s="101">
        <v>18</v>
      </c>
      <c r="M262" s="101">
        <v>19</v>
      </c>
      <c r="N262" s="101">
        <v>5</v>
      </c>
      <c r="O262" s="101">
        <v>4</v>
      </c>
      <c r="P262" s="101">
        <v>51</v>
      </c>
      <c r="Q262" s="101">
        <v>331</v>
      </c>
      <c r="R262" s="12" t="s">
        <v>25</v>
      </c>
      <c r="S262" s="12" t="s">
        <v>25</v>
      </c>
      <c r="T262" s="12" t="s">
        <v>25</v>
      </c>
    </row>
    <row r="263" spans="1:20" x14ac:dyDescent="0.3">
      <c r="A263" s="13">
        <v>43897.75</v>
      </c>
      <c r="B263" s="12" t="s">
        <v>22</v>
      </c>
      <c r="C263" s="101">
        <v>3</v>
      </c>
      <c r="D263" s="12" t="s">
        <v>50</v>
      </c>
      <c r="E263" s="101">
        <v>4546679409</v>
      </c>
      <c r="F263" s="101">
        <v>9190347404</v>
      </c>
      <c r="G263" s="101">
        <v>1661</v>
      </c>
      <c r="H263" s="101">
        <v>359</v>
      </c>
      <c r="I263" s="101">
        <v>2020</v>
      </c>
      <c r="J263" s="101">
        <v>722</v>
      </c>
      <c r="K263" s="101">
        <v>2742</v>
      </c>
      <c r="L263" s="101">
        <v>734</v>
      </c>
      <c r="M263" s="101">
        <v>808</v>
      </c>
      <c r="N263" s="101">
        <v>524</v>
      </c>
      <c r="O263" s="101">
        <v>154</v>
      </c>
      <c r="P263" s="101">
        <v>3420</v>
      </c>
      <c r="Q263" s="101">
        <v>15778</v>
      </c>
      <c r="R263" s="12" t="s">
        <v>25</v>
      </c>
      <c r="S263" s="12" t="s">
        <v>62</v>
      </c>
      <c r="T263" s="12" t="s">
        <v>63</v>
      </c>
    </row>
    <row r="264" spans="1:20" x14ac:dyDescent="0.3">
      <c r="A264" s="13">
        <v>43897.75</v>
      </c>
      <c r="B264" s="12" t="s">
        <v>22</v>
      </c>
      <c r="C264" s="101">
        <v>11</v>
      </c>
      <c r="D264" s="12" t="s">
        <v>51</v>
      </c>
      <c r="E264" s="101">
        <v>4361675973</v>
      </c>
      <c r="F264" s="101">
        <v>135188753</v>
      </c>
      <c r="G264" s="101">
        <v>94</v>
      </c>
      <c r="H264" s="101">
        <v>36</v>
      </c>
      <c r="I264" s="101">
        <v>130</v>
      </c>
      <c r="J264" s="101">
        <v>71</v>
      </c>
      <c r="K264" s="101">
        <v>201</v>
      </c>
      <c r="L264" s="101">
        <v>46</v>
      </c>
      <c r="M264" s="101">
        <v>48</v>
      </c>
      <c r="N264" s="101">
        <v>0</v>
      </c>
      <c r="O264" s="101">
        <v>6</v>
      </c>
      <c r="P264" s="101">
        <v>207</v>
      </c>
      <c r="Q264" s="101">
        <v>816</v>
      </c>
      <c r="R264" s="12" t="s">
        <v>25</v>
      </c>
      <c r="S264" s="12" t="s">
        <v>25</v>
      </c>
      <c r="T264" s="12" t="s">
        <v>25</v>
      </c>
    </row>
    <row r="265" spans="1:20" x14ac:dyDescent="0.3">
      <c r="A265" s="13">
        <v>43897.75</v>
      </c>
      <c r="B265" s="12" t="s">
        <v>22</v>
      </c>
      <c r="C265" s="101">
        <v>14</v>
      </c>
      <c r="D265" s="12" t="s">
        <v>52</v>
      </c>
      <c r="E265" s="101">
        <v>4155774754</v>
      </c>
      <c r="F265" s="101">
        <v>1465916051</v>
      </c>
      <c r="G265" s="101">
        <v>3</v>
      </c>
      <c r="H265" s="101">
        <v>2</v>
      </c>
      <c r="I265" s="101">
        <v>5</v>
      </c>
      <c r="J265" s="101">
        <v>9</v>
      </c>
      <c r="K265" s="101">
        <v>14</v>
      </c>
      <c r="L265" s="101">
        <v>2</v>
      </c>
      <c r="M265" s="101">
        <v>2</v>
      </c>
      <c r="N265" s="101">
        <v>0</v>
      </c>
      <c r="O265" s="101">
        <v>0</v>
      </c>
      <c r="P265" s="101">
        <v>14</v>
      </c>
      <c r="Q265" s="101">
        <v>112</v>
      </c>
      <c r="R265" s="12" t="s">
        <v>25</v>
      </c>
      <c r="S265" s="12" t="s">
        <v>25</v>
      </c>
      <c r="T265" s="12" t="s">
        <v>25</v>
      </c>
    </row>
    <row r="266" spans="1:20" x14ac:dyDescent="0.3">
      <c r="A266" s="13">
        <v>43897.75</v>
      </c>
      <c r="B266" s="12" t="s">
        <v>22</v>
      </c>
      <c r="C266" s="101">
        <v>1</v>
      </c>
      <c r="D266" s="12" t="s">
        <v>53</v>
      </c>
      <c r="E266" s="101">
        <v>450732745</v>
      </c>
      <c r="F266" s="101">
        <v>7680687483</v>
      </c>
      <c r="G266" s="101">
        <v>110</v>
      </c>
      <c r="H266" s="101">
        <v>38</v>
      </c>
      <c r="I266" s="101">
        <v>148</v>
      </c>
      <c r="J266" s="101">
        <v>54</v>
      </c>
      <c r="K266" s="101">
        <v>202</v>
      </c>
      <c r="L266" s="101">
        <v>63</v>
      </c>
      <c r="M266" s="101">
        <v>64</v>
      </c>
      <c r="N266" s="101">
        <v>0</v>
      </c>
      <c r="O266" s="101">
        <v>5</v>
      </c>
      <c r="P266" s="101">
        <v>207</v>
      </c>
      <c r="Q266" s="101">
        <v>1046</v>
      </c>
      <c r="R266" s="12" t="s">
        <v>25</v>
      </c>
      <c r="S266" s="12" t="s">
        <v>25</v>
      </c>
      <c r="T266" s="12" t="s">
        <v>25</v>
      </c>
    </row>
    <row r="267" spans="1:20" x14ac:dyDescent="0.3">
      <c r="A267" s="13">
        <v>43897.75</v>
      </c>
      <c r="B267" s="12" t="s">
        <v>22</v>
      </c>
      <c r="C267" s="101">
        <v>16</v>
      </c>
      <c r="D267" s="12" t="s">
        <v>54</v>
      </c>
      <c r="E267" s="101">
        <v>4112559576</v>
      </c>
      <c r="F267" s="101">
        <v>1686736689</v>
      </c>
      <c r="G267" s="101">
        <v>9</v>
      </c>
      <c r="H267" s="101">
        <v>2</v>
      </c>
      <c r="I267" s="101">
        <v>11</v>
      </c>
      <c r="J267" s="101">
        <v>12</v>
      </c>
      <c r="K267" s="101">
        <v>23</v>
      </c>
      <c r="L267" s="101">
        <v>8</v>
      </c>
      <c r="M267" s="101">
        <v>9</v>
      </c>
      <c r="N267" s="101">
        <v>1</v>
      </c>
      <c r="O267" s="101">
        <v>2</v>
      </c>
      <c r="P267" s="101">
        <v>26</v>
      </c>
      <c r="Q267" s="101">
        <v>395</v>
      </c>
      <c r="R267" s="12" t="s">
        <v>25</v>
      </c>
      <c r="S267" s="12" t="s">
        <v>25</v>
      </c>
      <c r="T267" s="12" t="s">
        <v>25</v>
      </c>
    </row>
    <row r="268" spans="1:20" x14ac:dyDescent="0.3">
      <c r="A268" s="13">
        <v>43897.75</v>
      </c>
      <c r="B268" s="12" t="s">
        <v>22</v>
      </c>
      <c r="C268" s="101">
        <v>20</v>
      </c>
      <c r="D268" s="12" t="s">
        <v>55</v>
      </c>
      <c r="E268" s="101">
        <v>3921531192</v>
      </c>
      <c r="F268" s="101">
        <v>9110616306</v>
      </c>
      <c r="G268" s="101">
        <v>2</v>
      </c>
      <c r="H268" s="101">
        <v>0</v>
      </c>
      <c r="I268" s="101">
        <v>2</v>
      </c>
      <c r="J268" s="101">
        <v>3</v>
      </c>
      <c r="K268" s="101">
        <v>5</v>
      </c>
      <c r="L268" s="101">
        <v>0</v>
      </c>
      <c r="M268" s="101">
        <v>0</v>
      </c>
      <c r="N268" s="101">
        <v>0</v>
      </c>
      <c r="O268" s="101">
        <v>0</v>
      </c>
      <c r="P268" s="101">
        <v>5</v>
      </c>
      <c r="Q268" s="101">
        <v>99</v>
      </c>
      <c r="R268" s="12" t="s">
        <v>25</v>
      </c>
      <c r="S268" s="12" t="s">
        <v>25</v>
      </c>
      <c r="T268" s="12" t="s">
        <v>25</v>
      </c>
    </row>
    <row r="269" spans="1:20" x14ac:dyDescent="0.3">
      <c r="A269" s="13">
        <v>43897.75</v>
      </c>
      <c r="B269" s="12" t="s">
        <v>22</v>
      </c>
      <c r="C269" s="101">
        <v>19</v>
      </c>
      <c r="D269" s="12" t="s">
        <v>56</v>
      </c>
      <c r="E269" s="101">
        <v>3811569725</v>
      </c>
      <c r="F269" s="101">
        <v>133623567</v>
      </c>
      <c r="G269" s="101">
        <v>8</v>
      </c>
      <c r="H269" s="101">
        <v>0</v>
      </c>
      <c r="I269" s="101">
        <v>8</v>
      </c>
      <c r="J269" s="101">
        <v>25</v>
      </c>
      <c r="K269" s="101">
        <v>33</v>
      </c>
      <c r="L269" s="101">
        <v>11</v>
      </c>
      <c r="M269" s="101">
        <v>11</v>
      </c>
      <c r="N269" s="101">
        <v>2</v>
      </c>
      <c r="O269" s="101">
        <v>0</v>
      </c>
      <c r="P269" s="101">
        <v>35</v>
      </c>
      <c r="Q269" s="101">
        <v>643</v>
      </c>
      <c r="R269" s="12" t="s">
        <v>25</v>
      </c>
      <c r="S269" s="12" t="s">
        <v>25</v>
      </c>
      <c r="T269" s="12" t="s">
        <v>25</v>
      </c>
    </row>
    <row r="270" spans="1:20" x14ac:dyDescent="0.3">
      <c r="A270" s="13">
        <v>43897.75</v>
      </c>
      <c r="B270" s="12" t="s">
        <v>22</v>
      </c>
      <c r="C270" s="101">
        <v>9</v>
      </c>
      <c r="D270" s="12" t="s">
        <v>57</v>
      </c>
      <c r="E270" s="101">
        <v>4376923077</v>
      </c>
      <c r="F270" s="101">
        <v>1125588885</v>
      </c>
      <c r="G270" s="101">
        <v>54</v>
      </c>
      <c r="H270" s="101">
        <v>7</v>
      </c>
      <c r="I270" s="101">
        <v>61</v>
      </c>
      <c r="J270" s="101">
        <v>51</v>
      </c>
      <c r="K270" s="101">
        <v>112</v>
      </c>
      <c r="L270" s="101">
        <v>34</v>
      </c>
      <c r="M270" s="101">
        <v>34</v>
      </c>
      <c r="N270" s="101">
        <v>1</v>
      </c>
      <c r="O270" s="101">
        <v>0</v>
      </c>
      <c r="P270" s="101">
        <v>113</v>
      </c>
      <c r="Q270" s="101">
        <v>1331</v>
      </c>
      <c r="R270" s="12" t="s">
        <v>25</v>
      </c>
      <c r="S270" s="12" t="s">
        <v>25</v>
      </c>
      <c r="T270" s="12" t="s">
        <v>25</v>
      </c>
    </row>
    <row r="271" spans="1:20" x14ac:dyDescent="0.3">
      <c r="A271" s="13">
        <v>43897.75</v>
      </c>
      <c r="B271" s="12" t="s">
        <v>22</v>
      </c>
      <c r="C271" s="101">
        <v>4</v>
      </c>
      <c r="D271" s="12" t="s">
        <v>58</v>
      </c>
      <c r="E271" s="101">
        <v>4606893511</v>
      </c>
      <c r="F271" s="101">
        <v>1112123097</v>
      </c>
      <c r="G271" s="101">
        <v>6</v>
      </c>
      <c r="H271" s="101">
        <v>1</v>
      </c>
      <c r="I271" s="101">
        <v>7</v>
      </c>
      <c r="J271" s="101">
        <v>7</v>
      </c>
      <c r="K271" s="101">
        <v>14</v>
      </c>
      <c r="L271" s="101">
        <v>4</v>
      </c>
      <c r="M271" s="101">
        <v>4</v>
      </c>
      <c r="N271" s="101">
        <v>0</v>
      </c>
      <c r="O271" s="101">
        <v>0</v>
      </c>
      <c r="P271" s="101">
        <v>14</v>
      </c>
      <c r="Q271" s="101">
        <v>194</v>
      </c>
      <c r="R271" s="12" t="s">
        <v>25</v>
      </c>
      <c r="S271" s="12" t="s">
        <v>25</v>
      </c>
      <c r="T271" s="12" t="s">
        <v>25</v>
      </c>
    </row>
    <row r="272" spans="1:20" x14ac:dyDescent="0.3">
      <c r="A272" s="13">
        <v>43897.75</v>
      </c>
      <c r="B272" s="12" t="s">
        <v>22</v>
      </c>
      <c r="C272" s="101">
        <v>10</v>
      </c>
      <c r="D272" s="12" t="s">
        <v>59</v>
      </c>
      <c r="E272" s="101">
        <v>4310675841</v>
      </c>
      <c r="F272" s="101">
        <v>1238824698</v>
      </c>
      <c r="G272" s="101">
        <v>2</v>
      </c>
      <c r="H272" s="101">
        <v>2</v>
      </c>
      <c r="I272" s="101">
        <v>4</v>
      </c>
      <c r="J272" s="101">
        <v>20</v>
      </c>
      <c r="K272" s="101">
        <v>24</v>
      </c>
      <c r="L272" s="101">
        <v>8</v>
      </c>
      <c r="M272" s="101">
        <v>8</v>
      </c>
      <c r="N272" s="101">
        <v>0</v>
      </c>
      <c r="O272" s="101">
        <v>0</v>
      </c>
      <c r="P272" s="101">
        <v>24</v>
      </c>
      <c r="Q272" s="101">
        <v>134</v>
      </c>
      <c r="R272" s="12" t="s">
        <v>25</v>
      </c>
      <c r="S272" s="12" t="s">
        <v>25</v>
      </c>
      <c r="T272" s="12" t="s">
        <v>25</v>
      </c>
    </row>
    <row r="273" spans="1:20" x14ac:dyDescent="0.3">
      <c r="A273" s="13">
        <v>43897.75</v>
      </c>
      <c r="B273" s="12" t="s">
        <v>22</v>
      </c>
      <c r="C273" s="101">
        <v>2</v>
      </c>
      <c r="D273" s="12" t="s">
        <v>60</v>
      </c>
      <c r="E273" s="101">
        <v>4573750286</v>
      </c>
      <c r="F273" s="101">
        <v>7320149366</v>
      </c>
      <c r="G273" s="101">
        <v>1</v>
      </c>
      <c r="H273" s="101">
        <v>0</v>
      </c>
      <c r="I273" s="101">
        <v>1</v>
      </c>
      <c r="J273" s="101">
        <v>7</v>
      </c>
      <c r="K273" s="101">
        <v>8</v>
      </c>
      <c r="L273" s="101">
        <v>1</v>
      </c>
      <c r="M273" s="101">
        <v>1</v>
      </c>
      <c r="N273" s="101">
        <v>0</v>
      </c>
      <c r="O273" s="101">
        <v>0</v>
      </c>
      <c r="P273" s="101">
        <v>8</v>
      </c>
      <c r="Q273" s="101">
        <v>32</v>
      </c>
      <c r="R273" s="12" t="s">
        <v>25</v>
      </c>
      <c r="S273" s="12" t="s">
        <v>25</v>
      </c>
      <c r="T273" s="12" t="s">
        <v>25</v>
      </c>
    </row>
    <row r="274" spans="1:20" x14ac:dyDescent="0.3">
      <c r="A274" s="13">
        <v>43897.75</v>
      </c>
      <c r="B274" s="12" t="s">
        <v>22</v>
      </c>
      <c r="C274" s="101">
        <v>5</v>
      </c>
      <c r="D274" s="12" t="s">
        <v>61</v>
      </c>
      <c r="E274" s="101">
        <v>4543490485</v>
      </c>
      <c r="F274" s="101">
        <v>1233845213</v>
      </c>
      <c r="G274" s="101">
        <v>123</v>
      </c>
      <c r="H274" s="101">
        <v>41</v>
      </c>
      <c r="I274" s="101">
        <v>164</v>
      </c>
      <c r="J274" s="101">
        <v>341</v>
      </c>
      <c r="K274" s="101">
        <v>505</v>
      </c>
      <c r="L274" s="101">
        <v>51</v>
      </c>
      <c r="M274" s="101">
        <v>55</v>
      </c>
      <c r="N274" s="101">
        <v>25</v>
      </c>
      <c r="O274" s="101">
        <v>13</v>
      </c>
      <c r="P274" s="101">
        <v>543</v>
      </c>
      <c r="Q274" s="101">
        <v>14429</v>
      </c>
      <c r="R274" s="12" t="s">
        <v>25</v>
      </c>
      <c r="S274" s="12" t="s">
        <v>25</v>
      </c>
      <c r="T274" s="12" t="s">
        <v>25</v>
      </c>
    </row>
    <row r="275" spans="1:20" x14ac:dyDescent="0.3">
      <c r="A275" s="13">
        <v>43898.75</v>
      </c>
      <c r="B275" s="12" t="s">
        <v>22</v>
      </c>
      <c r="C275" s="101">
        <v>13</v>
      </c>
      <c r="D275" s="12" t="s">
        <v>42</v>
      </c>
      <c r="E275" s="101">
        <v>4235122196</v>
      </c>
      <c r="F275" s="101">
        <v>1339843823</v>
      </c>
      <c r="G275" s="101">
        <v>14</v>
      </c>
      <c r="H275" s="101">
        <v>0</v>
      </c>
      <c r="I275" s="101">
        <v>14</v>
      </c>
      <c r="J275" s="101">
        <v>3</v>
      </c>
      <c r="K275" s="101">
        <v>17</v>
      </c>
      <c r="L275" s="101">
        <v>6</v>
      </c>
      <c r="M275" s="101">
        <v>6</v>
      </c>
      <c r="N275" s="101">
        <v>0</v>
      </c>
      <c r="O275" s="101">
        <v>0</v>
      </c>
      <c r="P275" s="101">
        <v>17</v>
      </c>
      <c r="Q275" s="101">
        <v>163</v>
      </c>
      <c r="R275" s="12" t="s">
        <v>25</v>
      </c>
      <c r="S275" s="12" t="s">
        <v>25</v>
      </c>
      <c r="T275" s="12" t="s">
        <v>25</v>
      </c>
    </row>
    <row r="276" spans="1:20" x14ac:dyDescent="0.3">
      <c r="A276" s="13">
        <v>43898.75</v>
      </c>
      <c r="B276" s="12" t="s">
        <v>22</v>
      </c>
      <c r="C276" s="101">
        <v>17</v>
      </c>
      <c r="D276" s="12" t="s">
        <v>43</v>
      </c>
      <c r="E276" s="101">
        <v>4063947052</v>
      </c>
      <c r="F276" s="101">
        <v>1580514834</v>
      </c>
      <c r="G276" s="101">
        <v>2</v>
      </c>
      <c r="H276" s="101">
        <v>0</v>
      </c>
      <c r="I276" s="101">
        <v>2</v>
      </c>
      <c r="J276" s="101">
        <v>2</v>
      </c>
      <c r="K276" s="101">
        <v>4</v>
      </c>
      <c r="L276" s="101">
        <v>1</v>
      </c>
      <c r="M276" s="101">
        <v>1</v>
      </c>
      <c r="N276" s="101">
        <v>0</v>
      </c>
      <c r="O276" s="101">
        <v>0</v>
      </c>
      <c r="P276" s="101">
        <v>4</v>
      </c>
      <c r="Q276" s="101">
        <v>123</v>
      </c>
      <c r="R276" s="12" t="s">
        <v>25</v>
      </c>
      <c r="S276" s="12" t="s">
        <v>25</v>
      </c>
      <c r="T276" s="12" t="s">
        <v>25</v>
      </c>
    </row>
    <row r="277" spans="1:20" x14ac:dyDescent="0.3">
      <c r="A277" s="13">
        <v>43898.75</v>
      </c>
      <c r="B277" s="12" t="s">
        <v>22</v>
      </c>
      <c r="C277" s="101">
        <v>4</v>
      </c>
      <c r="D277" s="12" t="s">
        <v>44</v>
      </c>
      <c r="E277" s="101">
        <v>4649933453</v>
      </c>
      <c r="F277" s="101">
        <v>1135662422</v>
      </c>
      <c r="G277" s="101">
        <v>8</v>
      </c>
      <c r="H277" s="101">
        <v>0</v>
      </c>
      <c r="I277" s="101">
        <v>8</v>
      </c>
      <c r="J277" s="101">
        <v>1</v>
      </c>
      <c r="K277" s="101">
        <v>9</v>
      </c>
      <c r="L277" s="101">
        <v>0</v>
      </c>
      <c r="M277" s="101">
        <v>0</v>
      </c>
      <c r="N277" s="101">
        <v>0</v>
      </c>
      <c r="O277" s="101">
        <v>0</v>
      </c>
      <c r="P277" s="101">
        <v>9</v>
      </c>
      <c r="Q277" s="101">
        <v>36</v>
      </c>
      <c r="R277" s="12" t="s">
        <v>25</v>
      </c>
      <c r="S277" s="12" t="s">
        <v>25</v>
      </c>
      <c r="T277" s="12" t="s">
        <v>25</v>
      </c>
    </row>
    <row r="278" spans="1:20" x14ac:dyDescent="0.3">
      <c r="A278" s="13">
        <v>43898.75</v>
      </c>
      <c r="B278" s="12" t="s">
        <v>22</v>
      </c>
      <c r="C278" s="101">
        <v>18</v>
      </c>
      <c r="D278" s="12" t="s">
        <v>45</v>
      </c>
      <c r="E278" s="101">
        <v>3890597598</v>
      </c>
      <c r="F278" s="101">
        <v>1659440194</v>
      </c>
      <c r="G278" s="101">
        <v>5</v>
      </c>
      <c r="H278" s="101">
        <v>0</v>
      </c>
      <c r="I278" s="101">
        <v>5</v>
      </c>
      <c r="J278" s="101">
        <v>4</v>
      </c>
      <c r="K278" s="101">
        <v>9</v>
      </c>
      <c r="L278" s="101">
        <v>5</v>
      </c>
      <c r="M278" s="101">
        <v>5</v>
      </c>
      <c r="N278" s="101">
        <v>0</v>
      </c>
      <c r="O278" s="101">
        <v>0</v>
      </c>
      <c r="P278" s="101">
        <v>9</v>
      </c>
      <c r="Q278" s="101">
        <v>113</v>
      </c>
      <c r="R278" s="12" t="s">
        <v>25</v>
      </c>
      <c r="S278" s="12" t="s">
        <v>25</v>
      </c>
      <c r="T278" s="12" t="s">
        <v>25</v>
      </c>
    </row>
    <row r="279" spans="1:20" x14ac:dyDescent="0.3">
      <c r="A279" s="13">
        <v>43898.75</v>
      </c>
      <c r="B279" s="12" t="s">
        <v>22</v>
      </c>
      <c r="C279" s="101">
        <v>15</v>
      </c>
      <c r="D279" s="12" t="s">
        <v>46</v>
      </c>
      <c r="E279" s="101">
        <v>4083956555</v>
      </c>
      <c r="F279" s="101">
        <v>1425084984</v>
      </c>
      <c r="G279" s="101">
        <v>30</v>
      </c>
      <c r="H279" s="101">
        <v>7</v>
      </c>
      <c r="I279" s="101">
        <v>37</v>
      </c>
      <c r="J279" s="101">
        <v>63</v>
      </c>
      <c r="K279" s="101">
        <v>100</v>
      </c>
      <c r="L279" s="101">
        <v>39</v>
      </c>
      <c r="M279" s="101">
        <v>40</v>
      </c>
      <c r="N279" s="101">
        <v>1</v>
      </c>
      <c r="O279" s="101">
        <v>0</v>
      </c>
      <c r="P279" s="101">
        <v>101</v>
      </c>
      <c r="Q279" s="101">
        <v>980</v>
      </c>
      <c r="R279" s="12" t="s">
        <v>25</v>
      </c>
      <c r="S279" s="12" t="s">
        <v>25</v>
      </c>
      <c r="T279" s="12" t="s">
        <v>25</v>
      </c>
    </row>
    <row r="280" spans="1:20" x14ac:dyDescent="0.3">
      <c r="A280" s="13">
        <v>43898.75</v>
      </c>
      <c r="B280" s="12" t="s">
        <v>22</v>
      </c>
      <c r="C280" s="101">
        <v>8</v>
      </c>
      <c r="D280" s="12" t="s">
        <v>96</v>
      </c>
      <c r="E280" s="101">
        <v>4449436681</v>
      </c>
      <c r="F280" s="101">
        <v>113417208</v>
      </c>
      <c r="G280" s="101">
        <v>542</v>
      </c>
      <c r="H280" s="101">
        <v>75</v>
      </c>
      <c r="I280" s="101">
        <v>617</v>
      </c>
      <c r="J280" s="101">
        <v>480</v>
      </c>
      <c r="K280" s="101">
        <v>1097</v>
      </c>
      <c r="L280" s="101">
        <v>160</v>
      </c>
      <c r="M280" s="101">
        <v>170</v>
      </c>
      <c r="N280" s="101">
        <v>27</v>
      </c>
      <c r="O280" s="101">
        <v>56</v>
      </c>
      <c r="P280" s="101">
        <v>1180</v>
      </c>
      <c r="Q280" s="101">
        <v>4344</v>
      </c>
      <c r="R280" s="12" t="s">
        <v>25</v>
      </c>
      <c r="S280" s="12" t="s">
        <v>25</v>
      </c>
      <c r="T280" s="12" t="s">
        <v>25</v>
      </c>
    </row>
    <row r="281" spans="1:20" x14ac:dyDescent="0.3">
      <c r="A281" s="13">
        <v>43898.75</v>
      </c>
      <c r="B281" s="12" t="s">
        <v>22</v>
      </c>
      <c r="C281" s="101">
        <v>6</v>
      </c>
      <c r="D281" s="12" t="s">
        <v>47</v>
      </c>
      <c r="E281" s="101">
        <v>456494354</v>
      </c>
      <c r="F281" s="101">
        <v>1376813649</v>
      </c>
      <c r="G281" s="101">
        <v>7</v>
      </c>
      <c r="H281" s="101">
        <v>1</v>
      </c>
      <c r="I281" s="101">
        <v>8</v>
      </c>
      <c r="J281" s="101">
        <v>45</v>
      </c>
      <c r="K281" s="101">
        <v>53</v>
      </c>
      <c r="L281" s="101">
        <v>14</v>
      </c>
      <c r="M281" s="101">
        <v>15</v>
      </c>
      <c r="N281" s="101">
        <v>3</v>
      </c>
      <c r="O281" s="101">
        <v>1</v>
      </c>
      <c r="P281" s="101">
        <v>57</v>
      </c>
      <c r="Q281" s="101">
        <v>997</v>
      </c>
      <c r="R281" s="12" t="s">
        <v>25</v>
      </c>
      <c r="S281" s="12" t="s">
        <v>25</v>
      </c>
      <c r="T281" s="12" t="s">
        <v>25</v>
      </c>
    </row>
    <row r="282" spans="1:20" x14ac:dyDescent="0.3">
      <c r="A282" s="13">
        <v>43898.75</v>
      </c>
      <c r="B282" s="12" t="s">
        <v>22</v>
      </c>
      <c r="C282" s="101">
        <v>12</v>
      </c>
      <c r="D282" s="12" t="s">
        <v>48</v>
      </c>
      <c r="E282" s="101">
        <v>4189277044</v>
      </c>
      <c r="F282" s="101">
        <v>1248366722</v>
      </c>
      <c r="G282" s="101">
        <v>47</v>
      </c>
      <c r="H282" s="101">
        <v>8</v>
      </c>
      <c r="I282" s="101">
        <v>55</v>
      </c>
      <c r="J282" s="101">
        <v>26</v>
      </c>
      <c r="K282" s="101">
        <v>81</v>
      </c>
      <c r="L282" s="101">
        <v>9</v>
      </c>
      <c r="M282" s="101">
        <v>11</v>
      </c>
      <c r="N282" s="101">
        <v>3</v>
      </c>
      <c r="O282" s="101">
        <v>3</v>
      </c>
      <c r="P282" s="101">
        <v>87</v>
      </c>
      <c r="Q282" s="101">
        <v>1929</v>
      </c>
      <c r="R282" s="12" t="s">
        <v>25</v>
      </c>
      <c r="S282" s="12" t="s">
        <v>25</v>
      </c>
      <c r="T282" s="12" t="s">
        <v>25</v>
      </c>
    </row>
    <row r="283" spans="1:20" x14ac:dyDescent="0.3">
      <c r="A283" s="13">
        <v>43898.75</v>
      </c>
      <c r="B283" s="12" t="s">
        <v>22</v>
      </c>
      <c r="C283" s="101">
        <v>7</v>
      </c>
      <c r="D283" s="12" t="s">
        <v>49</v>
      </c>
      <c r="E283" s="101">
        <v>4441149315</v>
      </c>
      <c r="F283" s="101">
        <v>89326992</v>
      </c>
      <c r="G283" s="101">
        <v>39</v>
      </c>
      <c r="H283" s="101">
        <v>11</v>
      </c>
      <c r="I283" s="101">
        <v>50</v>
      </c>
      <c r="J283" s="101">
        <v>17</v>
      </c>
      <c r="K283" s="101">
        <v>67</v>
      </c>
      <c r="L283" s="101">
        <v>25</v>
      </c>
      <c r="M283" s="101">
        <v>27</v>
      </c>
      <c r="N283" s="101">
        <v>5</v>
      </c>
      <c r="O283" s="101">
        <v>6</v>
      </c>
      <c r="P283" s="101">
        <v>78</v>
      </c>
      <c r="Q283" s="101">
        <v>401</v>
      </c>
      <c r="R283" s="12" t="s">
        <v>25</v>
      </c>
      <c r="S283" s="12" t="s">
        <v>25</v>
      </c>
      <c r="T283" s="12" t="s">
        <v>25</v>
      </c>
    </row>
    <row r="284" spans="1:20" x14ac:dyDescent="0.3">
      <c r="A284" s="13">
        <v>43898.75</v>
      </c>
      <c r="B284" s="12" t="s">
        <v>22</v>
      </c>
      <c r="C284" s="101">
        <v>3</v>
      </c>
      <c r="D284" s="12" t="s">
        <v>50</v>
      </c>
      <c r="E284" s="101">
        <v>4546679409</v>
      </c>
      <c r="F284" s="101">
        <v>9190347404</v>
      </c>
      <c r="G284" s="101">
        <v>2217</v>
      </c>
      <c r="H284" s="101">
        <v>399</v>
      </c>
      <c r="I284" s="101">
        <v>2616</v>
      </c>
      <c r="J284" s="101">
        <v>756</v>
      </c>
      <c r="K284" s="101">
        <v>3372</v>
      </c>
      <c r="L284" s="101">
        <v>630</v>
      </c>
      <c r="M284" s="101">
        <v>769</v>
      </c>
      <c r="N284" s="101">
        <v>550</v>
      </c>
      <c r="O284" s="101">
        <v>267</v>
      </c>
      <c r="P284" s="101">
        <v>4189</v>
      </c>
      <c r="Q284" s="101">
        <v>18534</v>
      </c>
      <c r="R284" s="12" t="s">
        <v>25</v>
      </c>
      <c r="S284" s="12" t="s">
        <v>25</v>
      </c>
      <c r="T284" s="12" t="s">
        <v>25</v>
      </c>
    </row>
    <row r="285" spans="1:20" x14ac:dyDescent="0.3">
      <c r="A285" s="13">
        <v>43898.75</v>
      </c>
      <c r="B285" s="12" t="s">
        <v>22</v>
      </c>
      <c r="C285" s="101">
        <v>11</v>
      </c>
      <c r="D285" s="12" t="s">
        <v>51</v>
      </c>
      <c r="E285" s="101">
        <v>4361675973</v>
      </c>
      <c r="F285" s="101">
        <v>135188753</v>
      </c>
      <c r="G285" s="101">
        <v>110</v>
      </c>
      <c r="H285" s="101">
        <v>41</v>
      </c>
      <c r="I285" s="101">
        <v>151</v>
      </c>
      <c r="J285" s="101">
        <v>114</v>
      </c>
      <c r="K285" s="101">
        <v>265</v>
      </c>
      <c r="L285" s="101">
        <v>64</v>
      </c>
      <c r="M285" s="101">
        <v>65</v>
      </c>
      <c r="N285" s="101">
        <v>0</v>
      </c>
      <c r="O285" s="101">
        <v>7</v>
      </c>
      <c r="P285" s="101">
        <v>272</v>
      </c>
      <c r="Q285" s="101">
        <v>1025</v>
      </c>
      <c r="R285" s="12" t="s">
        <v>25</v>
      </c>
      <c r="S285" s="12" t="s">
        <v>25</v>
      </c>
      <c r="T285" s="12" t="s">
        <v>25</v>
      </c>
    </row>
    <row r="286" spans="1:20" x14ac:dyDescent="0.3">
      <c r="A286" s="13">
        <v>43898.75</v>
      </c>
      <c r="B286" s="12" t="s">
        <v>22</v>
      </c>
      <c r="C286" s="101">
        <v>14</v>
      </c>
      <c r="D286" s="12" t="s">
        <v>52</v>
      </c>
      <c r="E286" s="101">
        <v>4155774754</v>
      </c>
      <c r="F286" s="101">
        <v>1465916051</v>
      </c>
      <c r="G286" s="101">
        <v>4</v>
      </c>
      <c r="H286" s="101">
        <v>2</v>
      </c>
      <c r="I286" s="101">
        <v>6</v>
      </c>
      <c r="J286" s="101">
        <v>8</v>
      </c>
      <c r="K286" s="101">
        <v>14</v>
      </c>
      <c r="L286" s="101">
        <v>0</v>
      </c>
      <c r="M286" s="101">
        <v>0</v>
      </c>
      <c r="N286" s="101">
        <v>0</v>
      </c>
      <c r="O286" s="101">
        <v>0</v>
      </c>
      <c r="P286" s="101">
        <v>14</v>
      </c>
      <c r="Q286" s="101">
        <v>116</v>
      </c>
      <c r="R286" s="12" t="s">
        <v>25</v>
      </c>
      <c r="S286" s="12" t="s">
        <v>25</v>
      </c>
      <c r="T286" s="12" t="s">
        <v>25</v>
      </c>
    </row>
    <row r="287" spans="1:20" x14ac:dyDescent="0.3">
      <c r="A287" s="13">
        <v>43898.75</v>
      </c>
      <c r="B287" s="12" t="s">
        <v>22</v>
      </c>
      <c r="C287" s="101">
        <v>1</v>
      </c>
      <c r="D287" s="12" t="s">
        <v>53</v>
      </c>
      <c r="E287" s="101">
        <v>450732745</v>
      </c>
      <c r="F287" s="101">
        <v>7680687483</v>
      </c>
      <c r="G287" s="101">
        <v>245</v>
      </c>
      <c r="H287" s="101">
        <v>45</v>
      </c>
      <c r="I287" s="101">
        <v>290</v>
      </c>
      <c r="J287" s="101">
        <v>65</v>
      </c>
      <c r="K287" s="101">
        <v>355</v>
      </c>
      <c r="L287" s="101">
        <v>153</v>
      </c>
      <c r="M287" s="101">
        <v>153</v>
      </c>
      <c r="N287" s="101">
        <v>0</v>
      </c>
      <c r="O287" s="101">
        <v>5</v>
      </c>
      <c r="P287" s="101">
        <v>360</v>
      </c>
      <c r="Q287" s="101">
        <v>1636</v>
      </c>
      <c r="R287" s="12" t="s">
        <v>25</v>
      </c>
      <c r="S287" s="12" t="s">
        <v>25</v>
      </c>
      <c r="T287" s="12" t="s">
        <v>25</v>
      </c>
    </row>
    <row r="288" spans="1:20" x14ac:dyDescent="0.3">
      <c r="A288" s="13">
        <v>43898.75</v>
      </c>
      <c r="B288" s="12" t="s">
        <v>22</v>
      </c>
      <c r="C288" s="101">
        <v>16</v>
      </c>
      <c r="D288" s="12" t="s">
        <v>54</v>
      </c>
      <c r="E288" s="101">
        <v>4112559576</v>
      </c>
      <c r="F288" s="101">
        <v>1686736689</v>
      </c>
      <c r="G288" s="101">
        <v>17</v>
      </c>
      <c r="H288" s="101">
        <v>3</v>
      </c>
      <c r="I288" s="101">
        <v>20</v>
      </c>
      <c r="J288" s="101">
        <v>16</v>
      </c>
      <c r="K288" s="101">
        <v>36</v>
      </c>
      <c r="L288" s="101">
        <v>13</v>
      </c>
      <c r="M288" s="101">
        <v>14</v>
      </c>
      <c r="N288" s="101">
        <v>1</v>
      </c>
      <c r="O288" s="101">
        <v>3</v>
      </c>
      <c r="P288" s="101">
        <v>40</v>
      </c>
      <c r="Q288" s="101">
        <v>627</v>
      </c>
      <c r="R288" s="12" t="s">
        <v>25</v>
      </c>
      <c r="S288" s="12" t="s">
        <v>25</v>
      </c>
      <c r="T288" s="12" t="s">
        <v>25</v>
      </c>
    </row>
    <row r="289" spans="1:20" x14ac:dyDescent="0.3">
      <c r="A289" s="13">
        <v>43898.75</v>
      </c>
      <c r="B289" s="12" t="s">
        <v>22</v>
      </c>
      <c r="C289" s="101">
        <v>20</v>
      </c>
      <c r="D289" s="12" t="s">
        <v>55</v>
      </c>
      <c r="E289" s="101">
        <v>3921531192</v>
      </c>
      <c r="F289" s="101">
        <v>9110616306</v>
      </c>
      <c r="G289" s="101">
        <v>5</v>
      </c>
      <c r="H289" s="101">
        <v>0</v>
      </c>
      <c r="I289" s="101">
        <v>5</v>
      </c>
      <c r="J289" s="101">
        <v>6</v>
      </c>
      <c r="K289" s="101">
        <v>11</v>
      </c>
      <c r="L289" s="101">
        <v>6</v>
      </c>
      <c r="M289" s="101">
        <v>6</v>
      </c>
      <c r="N289" s="101">
        <v>0</v>
      </c>
      <c r="O289" s="101">
        <v>0</v>
      </c>
      <c r="P289" s="101">
        <v>11</v>
      </c>
      <c r="Q289" s="101">
        <v>149</v>
      </c>
      <c r="R289" s="12" t="s">
        <v>25</v>
      </c>
      <c r="S289" s="12" t="s">
        <v>25</v>
      </c>
      <c r="T289" s="12" t="s">
        <v>25</v>
      </c>
    </row>
    <row r="290" spans="1:20" x14ac:dyDescent="0.3">
      <c r="A290" s="13">
        <v>43898.75</v>
      </c>
      <c r="B290" s="12" t="s">
        <v>22</v>
      </c>
      <c r="C290" s="101">
        <v>19</v>
      </c>
      <c r="D290" s="12" t="s">
        <v>56</v>
      </c>
      <c r="E290" s="101">
        <v>3811569725</v>
      </c>
      <c r="F290" s="101">
        <v>133623567</v>
      </c>
      <c r="G290" s="101">
        <v>18</v>
      </c>
      <c r="H290" s="101">
        <v>0</v>
      </c>
      <c r="I290" s="101">
        <v>18</v>
      </c>
      <c r="J290" s="101">
        <v>33</v>
      </c>
      <c r="K290" s="101">
        <v>51</v>
      </c>
      <c r="L290" s="101">
        <v>18</v>
      </c>
      <c r="M290" s="101">
        <v>18</v>
      </c>
      <c r="N290" s="101">
        <v>2</v>
      </c>
      <c r="O290" s="101">
        <v>0</v>
      </c>
      <c r="P290" s="101">
        <v>53</v>
      </c>
      <c r="Q290" s="101">
        <v>791</v>
      </c>
      <c r="R290" s="12" t="s">
        <v>25</v>
      </c>
      <c r="S290" s="12" t="s">
        <v>25</v>
      </c>
      <c r="T290" s="12" t="s">
        <v>25</v>
      </c>
    </row>
    <row r="291" spans="1:20" x14ac:dyDescent="0.3">
      <c r="A291" s="13">
        <v>43898.75</v>
      </c>
      <c r="B291" s="12" t="s">
        <v>22</v>
      </c>
      <c r="C291" s="101">
        <v>9</v>
      </c>
      <c r="D291" s="12" t="s">
        <v>57</v>
      </c>
      <c r="E291" s="101">
        <v>4376923077</v>
      </c>
      <c r="F291" s="101">
        <v>1125588885</v>
      </c>
      <c r="G291" s="101">
        <v>91</v>
      </c>
      <c r="H291" s="101">
        <v>7</v>
      </c>
      <c r="I291" s="101">
        <v>98</v>
      </c>
      <c r="J291" s="101">
        <v>67</v>
      </c>
      <c r="K291" s="101">
        <v>165</v>
      </c>
      <c r="L291" s="101">
        <v>53</v>
      </c>
      <c r="M291" s="101">
        <v>53</v>
      </c>
      <c r="N291" s="101">
        <v>1</v>
      </c>
      <c r="O291" s="101">
        <v>0</v>
      </c>
      <c r="P291" s="101">
        <v>166</v>
      </c>
      <c r="Q291" s="101">
        <v>1618</v>
      </c>
      <c r="R291" s="12" t="s">
        <v>25</v>
      </c>
      <c r="S291" s="12" t="s">
        <v>25</v>
      </c>
      <c r="T291" s="12" t="s">
        <v>25</v>
      </c>
    </row>
    <row r="292" spans="1:20" x14ac:dyDescent="0.3">
      <c r="A292" s="13">
        <v>43898.75</v>
      </c>
      <c r="B292" s="12" t="s">
        <v>22</v>
      </c>
      <c r="C292" s="101">
        <v>4</v>
      </c>
      <c r="D292" s="12" t="s">
        <v>58</v>
      </c>
      <c r="E292" s="101">
        <v>4606893511</v>
      </c>
      <c r="F292" s="101">
        <v>1112123097</v>
      </c>
      <c r="G292" s="101">
        <v>7</v>
      </c>
      <c r="H292" s="101">
        <v>2</v>
      </c>
      <c r="I292" s="101">
        <v>9</v>
      </c>
      <c r="J292" s="101">
        <v>14</v>
      </c>
      <c r="K292" s="101">
        <v>23</v>
      </c>
      <c r="L292" s="101">
        <v>9</v>
      </c>
      <c r="M292" s="101">
        <v>9</v>
      </c>
      <c r="N292" s="101">
        <v>0</v>
      </c>
      <c r="O292" s="101">
        <v>0</v>
      </c>
      <c r="P292" s="101">
        <v>23</v>
      </c>
      <c r="Q292" s="101">
        <v>228</v>
      </c>
      <c r="R292" s="12" t="s">
        <v>25</v>
      </c>
      <c r="S292" s="12" t="s">
        <v>25</v>
      </c>
      <c r="T292" s="12" t="s">
        <v>25</v>
      </c>
    </row>
    <row r="293" spans="1:20" x14ac:dyDescent="0.3">
      <c r="A293" s="13">
        <v>43898.75</v>
      </c>
      <c r="B293" s="12" t="s">
        <v>22</v>
      </c>
      <c r="C293" s="101">
        <v>10</v>
      </c>
      <c r="D293" s="12" t="s">
        <v>59</v>
      </c>
      <c r="E293" s="101">
        <v>4310675841</v>
      </c>
      <c r="F293" s="101">
        <v>1238824698</v>
      </c>
      <c r="G293" s="101">
        <v>2</v>
      </c>
      <c r="H293" s="101">
        <v>2</v>
      </c>
      <c r="I293" s="101">
        <v>4</v>
      </c>
      <c r="J293" s="101">
        <v>22</v>
      </c>
      <c r="K293" s="101">
        <v>26</v>
      </c>
      <c r="L293" s="101">
        <v>2</v>
      </c>
      <c r="M293" s="101">
        <v>2</v>
      </c>
      <c r="N293" s="101">
        <v>0</v>
      </c>
      <c r="O293" s="101">
        <v>0</v>
      </c>
      <c r="P293" s="101">
        <v>26</v>
      </c>
      <c r="Q293" s="101">
        <v>168</v>
      </c>
      <c r="R293" s="12" t="s">
        <v>25</v>
      </c>
      <c r="S293" s="12" t="s">
        <v>25</v>
      </c>
      <c r="T293" s="12" t="s">
        <v>25</v>
      </c>
    </row>
    <row r="294" spans="1:20" x14ac:dyDescent="0.3">
      <c r="A294" s="13">
        <v>43898.75</v>
      </c>
      <c r="B294" s="12" t="s">
        <v>22</v>
      </c>
      <c r="C294" s="101">
        <v>2</v>
      </c>
      <c r="D294" s="12" t="s">
        <v>60</v>
      </c>
      <c r="E294" s="101">
        <v>4573750286</v>
      </c>
      <c r="F294" s="101">
        <v>7320149366</v>
      </c>
      <c r="G294" s="101">
        <v>1</v>
      </c>
      <c r="H294" s="101">
        <v>0</v>
      </c>
      <c r="I294" s="101">
        <v>1</v>
      </c>
      <c r="J294" s="101">
        <v>8</v>
      </c>
      <c r="K294" s="101">
        <v>9</v>
      </c>
      <c r="L294" s="101">
        <v>1</v>
      </c>
      <c r="M294" s="101">
        <v>1</v>
      </c>
      <c r="N294" s="101">
        <v>0</v>
      </c>
      <c r="O294" s="101">
        <v>0</v>
      </c>
      <c r="P294" s="101">
        <v>9</v>
      </c>
      <c r="Q294" s="101">
        <v>41</v>
      </c>
      <c r="R294" s="12" t="s">
        <v>25</v>
      </c>
      <c r="S294" s="12" t="s">
        <v>25</v>
      </c>
      <c r="T294" s="12" t="s">
        <v>25</v>
      </c>
    </row>
    <row r="295" spans="1:20" x14ac:dyDescent="0.3">
      <c r="A295" s="13">
        <v>43898.75</v>
      </c>
      <c r="B295" s="12" t="s">
        <v>22</v>
      </c>
      <c r="C295" s="101">
        <v>5</v>
      </c>
      <c r="D295" s="12" t="s">
        <v>61</v>
      </c>
      <c r="E295" s="101">
        <v>4543490485</v>
      </c>
      <c r="F295" s="101">
        <v>1233845213</v>
      </c>
      <c r="G295" s="101">
        <v>146</v>
      </c>
      <c r="H295" s="101">
        <v>47</v>
      </c>
      <c r="I295" s="101">
        <v>193</v>
      </c>
      <c r="J295" s="101">
        <v>430</v>
      </c>
      <c r="K295" s="101">
        <v>623</v>
      </c>
      <c r="L295" s="101">
        <v>118</v>
      </c>
      <c r="M295" s="101">
        <v>127</v>
      </c>
      <c r="N295" s="101">
        <v>29</v>
      </c>
      <c r="O295" s="101">
        <v>18</v>
      </c>
      <c r="P295" s="101">
        <v>670</v>
      </c>
      <c r="Q295" s="101">
        <v>15918</v>
      </c>
      <c r="R295" s="12" t="s">
        <v>25</v>
      </c>
      <c r="S295" s="12" t="s">
        <v>25</v>
      </c>
      <c r="T295" s="12" t="s">
        <v>25</v>
      </c>
    </row>
    <row r="296" spans="1:20" x14ac:dyDescent="0.3">
      <c r="A296" s="13">
        <v>43899.75</v>
      </c>
      <c r="B296" s="12" t="s">
        <v>22</v>
      </c>
      <c r="C296" s="101">
        <v>13</v>
      </c>
      <c r="D296" s="12" t="s">
        <v>42</v>
      </c>
      <c r="E296" s="101">
        <v>4235122196</v>
      </c>
      <c r="F296" s="101">
        <v>1339843823</v>
      </c>
      <c r="G296" s="101">
        <v>25</v>
      </c>
      <c r="H296" s="101">
        <v>0</v>
      </c>
      <c r="I296" s="101">
        <v>25</v>
      </c>
      <c r="J296" s="101">
        <v>5</v>
      </c>
      <c r="K296" s="101">
        <v>30</v>
      </c>
      <c r="L296" s="101">
        <v>13</v>
      </c>
      <c r="M296" s="101">
        <v>13</v>
      </c>
      <c r="N296" s="101">
        <v>0</v>
      </c>
      <c r="O296" s="101">
        <v>0</v>
      </c>
      <c r="P296" s="101">
        <v>30</v>
      </c>
      <c r="Q296" s="101">
        <v>237</v>
      </c>
      <c r="R296" s="12" t="s">
        <v>25</v>
      </c>
      <c r="S296" s="12" t="s">
        <v>25</v>
      </c>
      <c r="T296" s="12" t="s">
        <v>25</v>
      </c>
    </row>
    <row r="297" spans="1:20" x14ac:dyDescent="0.3">
      <c r="A297" s="13">
        <v>43899.75</v>
      </c>
      <c r="B297" s="12" t="s">
        <v>22</v>
      </c>
      <c r="C297" s="101">
        <v>17</v>
      </c>
      <c r="D297" s="12" t="s">
        <v>43</v>
      </c>
      <c r="E297" s="101">
        <v>4063947052</v>
      </c>
      <c r="F297" s="101">
        <v>1580514834</v>
      </c>
      <c r="G297" s="101">
        <v>2</v>
      </c>
      <c r="H297" s="101">
        <v>0</v>
      </c>
      <c r="I297" s="101">
        <v>2</v>
      </c>
      <c r="J297" s="101">
        <v>3</v>
      </c>
      <c r="K297" s="101">
        <v>5</v>
      </c>
      <c r="L297" s="101">
        <v>1</v>
      </c>
      <c r="M297" s="101">
        <v>1</v>
      </c>
      <c r="N297" s="101">
        <v>0</v>
      </c>
      <c r="O297" s="101">
        <v>0</v>
      </c>
      <c r="P297" s="101">
        <v>5</v>
      </c>
      <c r="Q297" s="101">
        <v>135</v>
      </c>
      <c r="R297" s="12" t="s">
        <v>25</v>
      </c>
      <c r="S297" s="12" t="s">
        <v>25</v>
      </c>
      <c r="T297" s="12" t="s">
        <v>25</v>
      </c>
    </row>
    <row r="298" spans="1:20" x14ac:dyDescent="0.3">
      <c r="A298" s="13">
        <v>43899.75</v>
      </c>
      <c r="B298" s="12" t="s">
        <v>22</v>
      </c>
      <c r="C298" s="101">
        <v>4</v>
      </c>
      <c r="D298" s="12" t="s">
        <v>44</v>
      </c>
      <c r="E298" s="101">
        <v>4649933453</v>
      </c>
      <c r="F298" s="101">
        <v>1135662422</v>
      </c>
      <c r="G298" s="101">
        <v>8</v>
      </c>
      <c r="H298" s="101">
        <v>0</v>
      </c>
      <c r="I298" s="101">
        <v>8</v>
      </c>
      <c r="J298" s="101">
        <v>1</v>
      </c>
      <c r="K298" s="101">
        <v>9</v>
      </c>
      <c r="L298" s="101">
        <v>0</v>
      </c>
      <c r="M298" s="101">
        <v>0</v>
      </c>
      <c r="N298" s="101">
        <v>0</v>
      </c>
      <c r="O298" s="101">
        <v>0</v>
      </c>
      <c r="P298" s="101">
        <v>9</v>
      </c>
      <c r="Q298" s="101">
        <v>36</v>
      </c>
      <c r="R298" s="12" t="s">
        <v>25</v>
      </c>
      <c r="S298" s="12" t="s">
        <v>25</v>
      </c>
      <c r="T298" s="12" t="s">
        <v>25</v>
      </c>
    </row>
    <row r="299" spans="1:20" x14ac:dyDescent="0.3">
      <c r="A299" s="13">
        <v>43899.75</v>
      </c>
      <c r="B299" s="12" t="s">
        <v>22</v>
      </c>
      <c r="C299" s="101">
        <v>18</v>
      </c>
      <c r="D299" s="12" t="s">
        <v>45</v>
      </c>
      <c r="E299" s="101">
        <v>3890597598</v>
      </c>
      <c r="F299" s="101">
        <v>1659440194</v>
      </c>
      <c r="G299" s="101">
        <v>8</v>
      </c>
      <c r="H299" s="101">
        <v>0</v>
      </c>
      <c r="I299" s="101">
        <v>8</v>
      </c>
      <c r="J299" s="101">
        <v>1</v>
      </c>
      <c r="K299" s="101">
        <v>9</v>
      </c>
      <c r="L299" s="101">
        <v>0</v>
      </c>
      <c r="M299" s="101">
        <v>2</v>
      </c>
      <c r="N299" s="101">
        <v>2</v>
      </c>
      <c r="O299" s="101">
        <v>0</v>
      </c>
      <c r="P299" s="101">
        <v>11</v>
      </c>
      <c r="Q299" s="101">
        <v>173</v>
      </c>
      <c r="R299" s="12" t="s">
        <v>25</v>
      </c>
      <c r="S299" s="12" t="s">
        <v>25</v>
      </c>
      <c r="T299" s="12" t="s">
        <v>25</v>
      </c>
    </row>
    <row r="300" spans="1:20" x14ac:dyDescent="0.3">
      <c r="A300" s="13">
        <v>43899.75</v>
      </c>
      <c r="B300" s="12" t="s">
        <v>22</v>
      </c>
      <c r="C300" s="101">
        <v>15</v>
      </c>
      <c r="D300" s="12" t="s">
        <v>46</v>
      </c>
      <c r="E300" s="101">
        <v>4083956555</v>
      </c>
      <c r="F300" s="101">
        <v>1425084984</v>
      </c>
      <c r="G300" s="101">
        <v>42</v>
      </c>
      <c r="H300" s="101">
        <v>8</v>
      </c>
      <c r="I300" s="101">
        <v>50</v>
      </c>
      <c r="J300" s="101">
        <v>69</v>
      </c>
      <c r="K300" s="101">
        <v>119</v>
      </c>
      <c r="L300" s="101">
        <v>19</v>
      </c>
      <c r="M300" s="101">
        <v>19</v>
      </c>
      <c r="N300" s="101">
        <v>1</v>
      </c>
      <c r="O300" s="101">
        <v>0</v>
      </c>
      <c r="P300" s="101">
        <v>120</v>
      </c>
      <c r="Q300" s="101">
        <v>980</v>
      </c>
      <c r="R300" s="12" t="s">
        <v>25</v>
      </c>
      <c r="S300" s="12" t="s">
        <v>25</v>
      </c>
      <c r="T300" s="12" t="s">
        <v>25</v>
      </c>
    </row>
    <row r="301" spans="1:20" x14ac:dyDescent="0.3">
      <c r="A301" s="13">
        <v>43899.75</v>
      </c>
      <c r="B301" s="12" t="s">
        <v>22</v>
      </c>
      <c r="C301" s="101">
        <v>8</v>
      </c>
      <c r="D301" s="12" t="s">
        <v>96</v>
      </c>
      <c r="E301" s="101">
        <v>4449436681</v>
      </c>
      <c r="F301" s="101">
        <v>113417208</v>
      </c>
      <c r="G301" s="101">
        <v>576</v>
      </c>
      <c r="H301" s="101">
        <v>90</v>
      </c>
      <c r="I301" s="101">
        <v>666</v>
      </c>
      <c r="J301" s="101">
        <v>620</v>
      </c>
      <c r="K301" s="101">
        <v>1286</v>
      </c>
      <c r="L301" s="101">
        <v>189</v>
      </c>
      <c r="M301" s="101">
        <v>206</v>
      </c>
      <c r="N301" s="101">
        <v>30</v>
      </c>
      <c r="O301" s="101">
        <v>70</v>
      </c>
      <c r="P301" s="101">
        <v>1386</v>
      </c>
      <c r="Q301" s="101">
        <v>4906</v>
      </c>
      <c r="R301" s="12" t="s">
        <v>25</v>
      </c>
      <c r="S301" s="12" t="s">
        <v>25</v>
      </c>
      <c r="T301" s="12" t="s">
        <v>25</v>
      </c>
    </row>
    <row r="302" spans="1:20" x14ac:dyDescent="0.3">
      <c r="A302" s="13">
        <v>43899.75</v>
      </c>
      <c r="B302" s="12" t="s">
        <v>22</v>
      </c>
      <c r="C302" s="101">
        <v>6</v>
      </c>
      <c r="D302" s="12" t="s">
        <v>47</v>
      </c>
      <c r="E302" s="101">
        <v>456494354</v>
      </c>
      <c r="F302" s="101">
        <v>1376813649</v>
      </c>
      <c r="G302" s="101">
        <v>18</v>
      </c>
      <c r="H302" s="101">
        <v>1</v>
      </c>
      <c r="I302" s="101">
        <v>19</v>
      </c>
      <c r="J302" s="101">
        <v>70</v>
      </c>
      <c r="K302" s="101">
        <v>89</v>
      </c>
      <c r="L302" s="101">
        <v>36</v>
      </c>
      <c r="M302" s="101">
        <v>36</v>
      </c>
      <c r="N302" s="101">
        <v>3</v>
      </c>
      <c r="O302" s="101">
        <v>1</v>
      </c>
      <c r="P302" s="101">
        <v>93</v>
      </c>
      <c r="Q302" s="101">
        <v>1344</v>
      </c>
      <c r="R302" s="12" t="s">
        <v>25</v>
      </c>
      <c r="S302" s="12" t="s">
        <v>25</v>
      </c>
      <c r="T302" s="12" t="s">
        <v>25</v>
      </c>
    </row>
    <row r="303" spans="1:20" x14ac:dyDescent="0.3">
      <c r="A303" s="13">
        <v>43899.75</v>
      </c>
      <c r="B303" s="12" t="s">
        <v>22</v>
      </c>
      <c r="C303" s="101">
        <v>12</v>
      </c>
      <c r="D303" s="12" t="s">
        <v>48</v>
      </c>
      <c r="E303" s="101">
        <v>4189277044</v>
      </c>
      <c r="F303" s="101">
        <v>1248366722</v>
      </c>
      <c r="G303" s="101">
        <v>55</v>
      </c>
      <c r="H303" s="101">
        <v>8</v>
      </c>
      <c r="I303" s="101">
        <v>63</v>
      </c>
      <c r="J303" s="101">
        <v>31</v>
      </c>
      <c r="K303" s="101">
        <v>94</v>
      </c>
      <c r="L303" s="101">
        <v>13</v>
      </c>
      <c r="M303" s="101">
        <v>15</v>
      </c>
      <c r="N303" s="101">
        <v>3</v>
      </c>
      <c r="O303" s="101">
        <v>5</v>
      </c>
      <c r="P303" s="101">
        <v>102</v>
      </c>
      <c r="Q303" s="101">
        <v>1929</v>
      </c>
      <c r="R303" s="12" t="s">
        <v>25</v>
      </c>
      <c r="S303" s="12" t="s">
        <v>25</v>
      </c>
      <c r="T303" s="12" t="s">
        <v>25</v>
      </c>
    </row>
    <row r="304" spans="1:20" x14ac:dyDescent="0.3">
      <c r="A304" s="13">
        <v>43899.75</v>
      </c>
      <c r="B304" s="12" t="s">
        <v>22</v>
      </c>
      <c r="C304" s="101">
        <v>7</v>
      </c>
      <c r="D304" s="12" t="s">
        <v>49</v>
      </c>
      <c r="E304" s="101">
        <v>4441149315</v>
      </c>
      <c r="F304" s="101">
        <v>89326992</v>
      </c>
      <c r="G304" s="101">
        <v>60</v>
      </c>
      <c r="H304" s="101">
        <v>17</v>
      </c>
      <c r="I304" s="101">
        <v>77</v>
      </c>
      <c r="J304" s="101">
        <v>20</v>
      </c>
      <c r="K304" s="101">
        <v>97</v>
      </c>
      <c r="L304" s="101">
        <v>30</v>
      </c>
      <c r="M304" s="101">
        <v>31</v>
      </c>
      <c r="N304" s="101">
        <v>5</v>
      </c>
      <c r="O304" s="101">
        <v>7</v>
      </c>
      <c r="P304" s="101">
        <v>109</v>
      </c>
      <c r="Q304" s="101">
        <v>611</v>
      </c>
      <c r="R304" s="12" t="s">
        <v>25</v>
      </c>
      <c r="S304" s="12" t="s">
        <v>25</v>
      </c>
      <c r="T304" s="12" t="s">
        <v>25</v>
      </c>
    </row>
    <row r="305" spans="1:20" x14ac:dyDescent="0.3">
      <c r="A305" s="13">
        <v>43899.75</v>
      </c>
      <c r="B305" s="12" t="s">
        <v>22</v>
      </c>
      <c r="C305" s="101">
        <v>3</v>
      </c>
      <c r="D305" s="12" t="s">
        <v>50</v>
      </c>
      <c r="E305" s="101">
        <v>4546679409</v>
      </c>
      <c r="F305" s="101">
        <v>9190347404</v>
      </c>
      <c r="G305" s="101">
        <v>2802</v>
      </c>
      <c r="H305" s="101">
        <v>440</v>
      </c>
      <c r="I305" s="101">
        <v>3242</v>
      </c>
      <c r="J305" s="101">
        <v>1248</v>
      </c>
      <c r="K305" s="101">
        <v>4490</v>
      </c>
      <c r="L305" s="101">
        <v>1118</v>
      </c>
      <c r="M305" s="101">
        <v>1280</v>
      </c>
      <c r="N305" s="101">
        <v>646</v>
      </c>
      <c r="O305" s="101">
        <v>333</v>
      </c>
      <c r="P305" s="101">
        <v>5469</v>
      </c>
      <c r="Q305" s="101">
        <v>20135</v>
      </c>
      <c r="R305" s="12" t="s">
        <v>25</v>
      </c>
      <c r="S305" s="12" t="s">
        <v>25</v>
      </c>
      <c r="T305" s="12" t="s">
        <v>25</v>
      </c>
    </row>
    <row r="306" spans="1:20" x14ac:dyDescent="0.3">
      <c r="A306" s="13">
        <v>43899.75</v>
      </c>
      <c r="B306" s="12" t="s">
        <v>22</v>
      </c>
      <c r="C306" s="101">
        <v>11</v>
      </c>
      <c r="D306" s="12" t="s">
        <v>51</v>
      </c>
      <c r="E306" s="101">
        <v>4361675973</v>
      </c>
      <c r="F306" s="101">
        <v>135188753</v>
      </c>
      <c r="G306" s="101">
        <v>136</v>
      </c>
      <c r="H306" s="101">
        <v>47</v>
      </c>
      <c r="I306" s="101">
        <v>183</v>
      </c>
      <c r="J306" s="101">
        <v>130</v>
      </c>
      <c r="K306" s="101">
        <v>313</v>
      </c>
      <c r="L306" s="101">
        <v>48</v>
      </c>
      <c r="M306" s="101">
        <v>51</v>
      </c>
      <c r="N306" s="101">
        <v>0</v>
      </c>
      <c r="O306" s="101">
        <v>10</v>
      </c>
      <c r="P306" s="101">
        <v>323</v>
      </c>
      <c r="Q306" s="101">
        <v>1250</v>
      </c>
      <c r="R306" s="12" t="s">
        <v>25</v>
      </c>
      <c r="S306" s="12" t="s">
        <v>25</v>
      </c>
      <c r="T306" s="12" t="s">
        <v>25</v>
      </c>
    </row>
    <row r="307" spans="1:20" x14ac:dyDescent="0.3">
      <c r="A307" s="13">
        <v>43899.75</v>
      </c>
      <c r="B307" s="12" t="s">
        <v>22</v>
      </c>
      <c r="C307" s="101">
        <v>14</v>
      </c>
      <c r="D307" s="12" t="s">
        <v>52</v>
      </c>
      <c r="E307" s="101">
        <v>4155774754</v>
      </c>
      <c r="F307" s="101">
        <v>1465916051</v>
      </c>
      <c r="G307" s="101">
        <v>4</v>
      </c>
      <c r="H307" s="101">
        <v>2</v>
      </c>
      <c r="I307" s="101">
        <v>6</v>
      </c>
      <c r="J307" s="101">
        <v>8</v>
      </c>
      <c r="K307" s="101">
        <v>14</v>
      </c>
      <c r="L307" s="101">
        <v>0</v>
      </c>
      <c r="M307" s="101">
        <v>0</v>
      </c>
      <c r="N307" s="101">
        <v>0</v>
      </c>
      <c r="O307" s="101">
        <v>0</v>
      </c>
      <c r="P307" s="101">
        <v>14</v>
      </c>
      <c r="Q307" s="101">
        <v>212</v>
      </c>
      <c r="R307" s="12" t="s">
        <v>25</v>
      </c>
      <c r="S307" s="12" t="s">
        <v>25</v>
      </c>
      <c r="T307" s="12" t="s">
        <v>25</v>
      </c>
    </row>
    <row r="308" spans="1:20" x14ac:dyDescent="0.3">
      <c r="A308" s="13">
        <v>43899.75</v>
      </c>
      <c r="B308" s="12" t="s">
        <v>22</v>
      </c>
      <c r="C308" s="101">
        <v>1</v>
      </c>
      <c r="D308" s="12" t="s">
        <v>53</v>
      </c>
      <c r="E308" s="101">
        <v>450732745</v>
      </c>
      <c r="F308" s="101">
        <v>7680687483</v>
      </c>
      <c r="G308" s="101">
        <v>222</v>
      </c>
      <c r="H308" s="101">
        <v>50</v>
      </c>
      <c r="I308" s="101">
        <v>272</v>
      </c>
      <c r="J308" s="101">
        <v>65</v>
      </c>
      <c r="K308" s="101">
        <v>337</v>
      </c>
      <c r="L308" s="101">
        <v>-18</v>
      </c>
      <c r="M308" s="101">
        <v>-10</v>
      </c>
      <c r="N308" s="101">
        <v>0</v>
      </c>
      <c r="O308" s="101">
        <v>13</v>
      </c>
      <c r="P308" s="101">
        <v>350</v>
      </c>
      <c r="Q308" s="101">
        <v>1681</v>
      </c>
      <c r="R308" s="12" t="s">
        <v>25</v>
      </c>
      <c r="S308" s="12" t="s">
        <v>25</v>
      </c>
      <c r="T308" s="12" t="s">
        <v>25</v>
      </c>
    </row>
    <row r="309" spans="1:20" x14ac:dyDescent="0.3">
      <c r="A309" s="13">
        <v>43899.75</v>
      </c>
      <c r="B309" s="12" t="s">
        <v>22</v>
      </c>
      <c r="C309" s="101">
        <v>16</v>
      </c>
      <c r="D309" s="12" t="s">
        <v>54</v>
      </c>
      <c r="E309" s="101">
        <v>4112559576</v>
      </c>
      <c r="F309" s="101">
        <v>1686736689</v>
      </c>
      <c r="G309" s="101">
        <v>20</v>
      </c>
      <c r="H309" s="101">
        <v>6</v>
      </c>
      <c r="I309" s="101">
        <v>26</v>
      </c>
      <c r="J309" s="101">
        <v>20</v>
      </c>
      <c r="K309" s="101">
        <v>46</v>
      </c>
      <c r="L309" s="101">
        <v>10</v>
      </c>
      <c r="M309" s="101">
        <v>10</v>
      </c>
      <c r="N309" s="101">
        <v>1</v>
      </c>
      <c r="O309" s="101">
        <v>3</v>
      </c>
      <c r="P309" s="101">
        <v>50</v>
      </c>
      <c r="Q309" s="101">
        <v>685</v>
      </c>
      <c r="R309" s="12" t="s">
        <v>25</v>
      </c>
      <c r="S309" s="12" t="s">
        <v>25</v>
      </c>
      <c r="T309" s="12" t="s">
        <v>25</v>
      </c>
    </row>
    <row r="310" spans="1:20" x14ac:dyDescent="0.3">
      <c r="A310" s="13">
        <v>43899.75</v>
      </c>
      <c r="B310" s="12" t="s">
        <v>22</v>
      </c>
      <c r="C310" s="101">
        <v>20</v>
      </c>
      <c r="D310" s="12" t="s">
        <v>55</v>
      </c>
      <c r="E310" s="101">
        <v>3921531192</v>
      </c>
      <c r="F310" s="101">
        <v>9110616306</v>
      </c>
      <c r="G310" s="101">
        <v>8</v>
      </c>
      <c r="H310" s="101">
        <v>0</v>
      </c>
      <c r="I310" s="101">
        <v>8</v>
      </c>
      <c r="J310" s="101">
        <v>11</v>
      </c>
      <c r="K310" s="101">
        <v>19</v>
      </c>
      <c r="L310" s="101">
        <v>8</v>
      </c>
      <c r="M310" s="101">
        <v>8</v>
      </c>
      <c r="N310" s="101">
        <v>0</v>
      </c>
      <c r="O310" s="101">
        <v>0</v>
      </c>
      <c r="P310" s="101">
        <v>19</v>
      </c>
      <c r="Q310" s="101">
        <v>185</v>
      </c>
      <c r="R310" s="12" t="s">
        <v>25</v>
      </c>
      <c r="S310" s="12" t="s">
        <v>25</v>
      </c>
      <c r="T310" s="12" t="s">
        <v>25</v>
      </c>
    </row>
    <row r="311" spans="1:20" x14ac:dyDescent="0.3">
      <c r="A311" s="13">
        <v>43899.75</v>
      </c>
      <c r="B311" s="12" t="s">
        <v>22</v>
      </c>
      <c r="C311" s="101">
        <v>19</v>
      </c>
      <c r="D311" s="12" t="s">
        <v>56</v>
      </c>
      <c r="E311" s="101">
        <v>3811569725</v>
      </c>
      <c r="F311" s="101">
        <v>133623567</v>
      </c>
      <c r="G311" s="101">
        <v>19</v>
      </c>
      <c r="H311" s="101">
        <v>0</v>
      </c>
      <c r="I311" s="101">
        <v>19</v>
      </c>
      <c r="J311" s="101">
        <v>33</v>
      </c>
      <c r="K311" s="101">
        <v>52</v>
      </c>
      <c r="L311" s="101">
        <v>1</v>
      </c>
      <c r="M311" s="101">
        <v>1</v>
      </c>
      <c r="N311" s="101">
        <v>2</v>
      </c>
      <c r="O311" s="101">
        <v>0</v>
      </c>
      <c r="P311" s="101">
        <v>54</v>
      </c>
      <c r="Q311" s="101">
        <v>836</v>
      </c>
      <c r="R311" s="12" t="s">
        <v>25</v>
      </c>
      <c r="S311" s="12" t="s">
        <v>25</v>
      </c>
      <c r="T311" s="12" t="s">
        <v>25</v>
      </c>
    </row>
    <row r="312" spans="1:20" x14ac:dyDescent="0.3">
      <c r="A312" s="13">
        <v>43899.75</v>
      </c>
      <c r="B312" s="12" t="s">
        <v>22</v>
      </c>
      <c r="C312" s="101">
        <v>9</v>
      </c>
      <c r="D312" s="12" t="s">
        <v>57</v>
      </c>
      <c r="E312" s="101">
        <v>4376923077</v>
      </c>
      <c r="F312" s="101">
        <v>1125588885</v>
      </c>
      <c r="G312" s="101">
        <v>107</v>
      </c>
      <c r="H312" s="101">
        <v>9</v>
      </c>
      <c r="I312" s="101">
        <v>116</v>
      </c>
      <c r="J312" s="101">
        <v>90</v>
      </c>
      <c r="K312" s="101">
        <v>206</v>
      </c>
      <c r="L312" s="101">
        <v>41</v>
      </c>
      <c r="M312" s="101">
        <v>42</v>
      </c>
      <c r="N312" s="101">
        <v>1</v>
      </c>
      <c r="O312" s="101">
        <v>1</v>
      </c>
      <c r="P312" s="101">
        <v>208</v>
      </c>
      <c r="Q312" s="101">
        <v>2018</v>
      </c>
      <c r="R312" s="12" t="s">
        <v>25</v>
      </c>
      <c r="S312" s="12" t="s">
        <v>25</v>
      </c>
      <c r="T312" s="12" t="s">
        <v>25</v>
      </c>
    </row>
    <row r="313" spans="1:20" x14ac:dyDescent="0.3">
      <c r="A313" s="13">
        <v>43899.75</v>
      </c>
      <c r="B313" s="12" t="s">
        <v>22</v>
      </c>
      <c r="C313" s="101">
        <v>4</v>
      </c>
      <c r="D313" s="12" t="s">
        <v>58</v>
      </c>
      <c r="E313" s="101">
        <v>4606893511</v>
      </c>
      <c r="F313" s="101">
        <v>1112123097</v>
      </c>
      <c r="G313" s="101">
        <v>10</v>
      </c>
      <c r="H313" s="101">
        <v>2</v>
      </c>
      <c r="I313" s="101">
        <v>12</v>
      </c>
      <c r="J313" s="101">
        <v>21</v>
      </c>
      <c r="K313" s="101">
        <v>33</v>
      </c>
      <c r="L313" s="101">
        <v>10</v>
      </c>
      <c r="M313" s="101">
        <v>10</v>
      </c>
      <c r="N313" s="101">
        <v>0</v>
      </c>
      <c r="O313" s="101">
        <v>0</v>
      </c>
      <c r="P313" s="101">
        <v>33</v>
      </c>
      <c r="Q313" s="101">
        <v>267</v>
      </c>
      <c r="R313" s="12" t="s">
        <v>25</v>
      </c>
      <c r="S313" s="12" t="s">
        <v>25</v>
      </c>
      <c r="T313" s="12" t="s">
        <v>25</v>
      </c>
    </row>
    <row r="314" spans="1:20" x14ac:dyDescent="0.3">
      <c r="A314" s="13">
        <v>43899.75</v>
      </c>
      <c r="B314" s="12" t="s">
        <v>22</v>
      </c>
      <c r="C314" s="101">
        <v>10</v>
      </c>
      <c r="D314" s="12" t="s">
        <v>59</v>
      </c>
      <c r="E314" s="101">
        <v>4310675841</v>
      </c>
      <c r="F314" s="101">
        <v>1238824698</v>
      </c>
      <c r="G314" s="101">
        <v>4</v>
      </c>
      <c r="H314" s="101">
        <v>2</v>
      </c>
      <c r="I314" s="101">
        <v>6</v>
      </c>
      <c r="J314" s="101">
        <v>22</v>
      </c>
      <c r="K314" s="101">
        <v>28</v>
      </c>
      <c r="L314" s="101">
        <v>2</v>
      </c>
      <c r="M314" s="101">
        <v>2</v>
      </c>
      <c r="N314" s="101">
        <v>0</v>
      </c>
      <c r="O314" s="101">
        <v>0</v>
      </c>
      <c r="P314" s="101">
        <v>28</v>
      </c>
      <c r="Q314" s="101">
        <v>183</v>
      </c>
      <c r="R314" s="12" t="s">
        <v>25</v>
      </c>
      <c r="S314" s="12" t="s">
        <v>25</v>
      </c>
      <c r="T314" s="12" t="s">
        <v>25</v>
      </c>
    </row>
    <row r="315" spans="1:20" x14ac:dyDescent="0.3">
      <c r="A315" s="13">
        <v>43899.75</v>
      </c>
      <c r="B315" s="12" t="s">
        <v>22</v>
      </c>
      <c r="C315" s="101">
        <v>2</v>
      </c>
      <c r="D315" s="12" t="s">
        <v>60</v>
      </c>
      <c r="E315" s="101">
        <v>4573750286</v>
      </c>
      <c r="F315" s="101">
        <v>7320149366</v>
      </c>
      <c r="G315" s="101">
        <v>4</v>
      </c>
      <c r="H315" s="101">
        <v>0</v>
      </c>
      <c r="I315" s="101">
        <v>4</v>
      </c>
      <c r="J315" s="101">
        <v>11</v>
      </c>
      <c r="K315" s="101">
        <v>15</v>
      </c>
      <c r="L315" s="101">
        <v>6</v>
      </c>
      <c r="M315" s="101">
        <v>6</v>
      </c>
      <c r="N315" s="101">
        <v>0</v>
      </c>
      <c r="O315" s="101">
        <v>0</v>
      </c>
      <c r="P315" s="101">
        <v>15</v>
      </c>
      <c r="Q315" s="101">
        <v>67</v>
      </c>
      <c r="R315" s="12" t="s">
        <v>25</v>
      </c>
      <c r="S315" s="12" t="s">
        <v>25</v>
      </c>
      <c r="T315" s="12" t="s">
        <v>25</v>
      </c>
    </row>
    <row r="316" spans="1:20" x14ac:dyDescent="0.3">
      <c r="A316" s="13">
        <v>43899.75</v>
      </c>
      <c r="B316" s="12" t="s">
        <v>22</v>
      </c>
      <c r="C316" s="101">
        <v>5</v>
      </c>
      <c r="D316" s="12" t="s">
        <v>61</v>
      </c>
      <c r="E316" s="101">
        <v>4543490485</v>
      </c>
      <c r="F316" s="101">
        <v>1233845213</v>
      </c>
      <c r="G316" s="101">
        <v>186</v>
      </c>
      <c r="H316" s="101">
        <v>51</v>
      </c>
      <c r="I316" s="101">
        <v>237</v>
      </c>
      <c r="J316" s="101">
        <v>457</v>
      </c>
      <c r="K316" s="101">
        <v>694</v>
      </c>
      <c r="L316" s="101">
        <v>71</v>
      </c>
      <c r="M316" s="101">
        <v>74</v>
      </c>
      <c r="N316" s="101">
        <v>30</v>
      </c>
      <c r="O316" s="101">
        <v>20</v>
      </c>
      <c r="P316" s="101">
        <v>744</v>
      </c>
      <c r="Q316" s="101">
        <v>15956</v>
      </c>
      <c r="R316" s="12" t="s">
        <v>25</v>
      </c>
      <c r="S316" s="12" t="s">
        <v>25</v>
      </c>
      <c r="T316" s="12" t="s">
        <v>25</v>
      </c>
    </row>
    <row r="317" spans="1:20" x14ac:dyDescent="0.3">
      <c r="A317" s="13">
        <v>43900.75</v>
      </c>
      <c r="B317" s="12" t="s">
        <v>22</v>
      </c>
      <c r="C317" s="101">
        <v>13</v>
      </c>
      <c r="D317" s="12" t="s">
        <v>42</v>
      </c>
      <c r="E317" s="101">
        <v>4235122196</v>
      </c>
      <c r="F317" s="101">
        <v>1339843823</v>
      </c>
      <c r="G317" s="101">
        <v>17</v>
      </c>
      <c r="H317" s="101">
        <v>9</v>
      </c>
      <c r="I317" s="101">
        <v>26</v>
      </c>
      <c r="J317" s="101">
        <v>11</v>
      </c>
      <c r="K317" s="101">
        <v>37</v>
      </c>
      <c r="L317" s="101">
        <v>7</v>
      </c>
      <c r="M317" s="101">
        <v>8</v>
      </c>
      <c r="N317" s="101">
        <v>0</v>
      </c>
      <c r="O317" s="101">
        <v>1</v>
      </c>
      <c r="P317" s="101">
        <v>38</v>
      </c>
      <c r="Q317" s="101">
        <v>310</v>
      </c>
      <c r="R317" s="12" t="s">
        <v>25</v>
      </c>
      <c r="S317" s="12" t="s">
        <v>25</v>
      </c>
      <c r="T317" s="12" t="s">
        <v>25</v>
      </c>
    </row>
    <row r="318" spans="1:20" x14ac:dyDescent="0.3">
      <c r="A318" s="13">
        <v>43900.75</v>
      </c>
      <c r="B318" s="12" t="s">
        <v>22</v>
      </c>
      <c r="C318" s="101">
        <v>17</v>
      </c>
      <c r="D318" s="12" t="s">
        <v>43</v>
      </c>
      <c r="E318" s="101">
        <v>4063947052</v>
      </c>
      <c r="F318" s="101">
        <v>1580514834</v>
      </c>
      <c r="G318" s="101">
        <v>2</v>
      </c>
      <c r="H318" s="101">
        <v>0</v>
      </c>
      <c r="I318" s="101">
        <v>2</v>
      </c>
      <c r="J318" s="101">
        <v>5</v>
      </c>
      <c r="K318" s="101">
        <v>7</v>
      </c>
      <c r="L318" s="101">
        <v>2</v>
      </c>
      <c r="M318" s="101">
        <v>2</v>
      </c>
      <c r="N318" s="101">
        <v>0</v>
      </c>
      <c r="O318" s="101">
        <v>0</v>
      </c>
      <c r="P318" s="101">
        <v>7</v>
      </c>
      <c r="Q318" s="101">
        <v>148</v>
      </c>
      <c r="R318" s="12" t="s">
        <v>25</v>
      </c>
      <c r="S318" s="12" t="s">
        <v>25</v>
      </c>
      <c r="T318" s="12" t="s">
        <v>25</v>
      </c>
    </row>
    <row r="319" spans="1:20" x14ac:dyDescent="0.3">
      <c r="A319" s="13">
        <v>43900.75</v>
      </c>
      <c r="B319" s="12" t="s">
        <v>22</v>
      </c>
      <c r="C319" s="101">
        <v>4</v>
      </c>
      <c r="D319" s="12" t="s">
        <v>44</v>
      </c>
      <c r="E319" s="101">
        <v>4649933453</v>
      </c>
      <c r="F319" s="101">
        <v>1135662422</v>
      </c>
      <c r="G319" s="101">
        <v>17</v>
      </c>
      <c r="H319" s="101">
        <v>1</v>
      </c>
      <c r="I319" s="101">
        <v>18</v>
      </c>
      <c r="J319" s="101">
        <v>20</v>
      </c>
      <c r="K319" s="101">
        <v>38</v>
      </c>
      <c r="L319" s="101">
        <v>29</v>
      </c>
      <c r="M319" s="101">
        <v>29</v>
      </c>
      <c r="N319" s="101">
        <v>0</v>
      </c>
      <c r="O319" s="101">
        <v>0</v>
      </c>
      <c r="P319" s="101">
        <v>38</v>
      </c>
      <c r="Q319" s="101">
        <v>36</v>
      </c>
      <c r="R319" s="12" t="s">
        <v>25</v>
      </c>
      <c r="S319" s="12" t="s">
        <v>25</v>
      </c>
      <c r="T319" s="12" t="s">
        <v>25</v>
      </c>
    </row>
    <row r="320" spans="1:20" x14ac:dyDescent="0.3">
      <c r="A320" s="13">
        <v>43900.75</v>
      </c>
      <c r="B320" s="12" t="s">
        <v>22</v>
      </c>
      <c r="C320" s="101">
        <v>18</v>
      </c>
      <c r="D320" s="12" t="s">
        <v>45</v>
      </c>
      <c r="E320" s="101">
        <v>3890597598</v>
      </c>
      <c r="F320" s="101">
        <v>1659440194</v>
      </c>
      <c r="G320" s="101">
        <v>8</v>
      </c>
      <c r="H320" s="101">
        <v>2</v>
      </c>
      <c r="I320" s="101">
        <v>10</v>
      </c>
      <c r="J320" s="101">
        <v>1</v>
      </c>
      <c r="K320" s="101">
        <v>11</v>
      </c>
      <c r="L320" s="101">
        <v>2</v>
      </c>
      <c r="M320" s="101">
        <v>2</v>
      </c>
      <c r="N320" s="101">
        <v>2</v>
      </c>
      <c r="O320" s="101">
        <v>0</v>
      </c>
      <c r="P320" s="101">
        <v>13</v>
      </c>
      <c r="Q320" s="101">
        <v>360</v>
      </c>
      <c r="R320" s="12" t="s">
        <v>25</v>
      </c>
      <c r="S320" s="12" t="s">
        <v>25</v>
      </c>
      <c r="T320" s="12" t="s">
        <v>25</v>
      </c>
    </row>
    <row r="321" spans="1:20" x14ac:dyDescent="0.3">
      <c r="A321" s="13">
        <v>43900.75</v>
      </c>
      <c r="B321" s="12" t="s">
        <v>22</v>
      </c>
      <c r="C321" s="101">
        <v>15</v>
      </c>
      <c r="D321" s="12" t="s">
        <v>46</v>
      </c>
      <c r="E321" s="101">
        <v>4083956555</v>
      </c>
      <c r="F321" s="101">
        <v>1425084984</v>
      </c>
      <c r="G321" s="101">
        <v>33</v>
      </c>
      <c r="H321" s="101">
        <v>8</v>
      </c>
      <c r="I321" s="101">
        <v>41</v>
      </c>
      <c r="J321" s="101">
        <v>85</v>
      </c>
      <c r="K321" s="101">
        <v>126</v>
      </c>
      <c r="L321" s="101">
        <v>7</v>
      </c>
      <c r="M321" s="101">
        <v>7</v>
      </c>
      <c r="N321" s="101">
        <v>1</v>
      </c>
      <c r="O321" s="101">
        <v>0</v>
      </c>
      <c r="P321" s="101">
        <v>127</v>
      </c>
      <c r="Q321" s="101">
        <v>1141</v>
      </c>
      <c r="R321" s="12" t="s">
        <v>25</v>
      </c>
      <c r="S321" s="12" t="s">
        <v>25</v>
      </c>
      <c r="T321" s="12" t="s">
        <v>25</v>
      </c>
    </row>
    <row r="322" spans="1:20" x14ac:dyDescent="0.3">
      <c r="A322" s="13">
        <v>43900.75</v>
      </c>
      <c r="B322" s="12" t="s">
        <v>22</v>
      </c>
      <c r="C322" s="101">
        <v>8</v>
      </c>
      <c r="D322" s="12" t="s">
        <v>96</v>
      </c>
      <c r="E322" s="101">
        <v>4449436681</v>
      </c>
      <c r="F322" s="101">
        <v>113417208</v>
      </c>
      <c r="G322" s="101">
        <v>669</v>
      </c>
      <c r="H322" s="101">
        <v>98</v>
      </c>
      <c r="I322" s="101">
        <v>767</v>
      </c>
      <c r="J322" s="101">
        <v>650</v>
      </c>
      <c r="K322" s="101">
        <v>1417</v>
      </c>
      <c r="L322" s="101">
        <v>131</v>
      </c>
      <c r="M322" s="101">
        <v>147</v>
      </c>
      <c r="N322" s="101">
        <v>31</v>
      </c>
      <c r="O322" s="101">
        <v>85</v>
      </c>
      <c r="P322" s="101">
        <v>1533</v>
      </c>
      <c r="Q322" s="101">
        <v>5494</v>
      </c>
      <c r="R322" s="12" t="s">
        <v>25</v>
      </c>
      <c r="S322" s="12" t="s">
        <v>25</v>
      </c>
      <c r="T322" s="12" t="s">
        <v>25</v>
      </c>
    </row>
    <row r="323" spans="1:20" x14ac:dyDescent="0.3">
      <c r="A323" s="13">
        <v>43900.75</v>
      </c>
      <c r="B323" s="12" t="s">
        <v>22</v>
      </c>
      <c r="C323" s="101">
        <v>6</v>
      </c>
      <c r="D323" s="12" t="s">
        <v>47</v>
      </c>
      <c r="E323" s="101">
        <v>456494354</v>
      </c>
      <c r="F323" s="101">
        <v>1376813649</v>
      </c>
      <c r="G323" s="101">
        <v>27</v>
      </c>
      <c r="H323" s="101">
        <v>6</v>
      </c>
      <c r="I323" s="101">
        <v>33</v>
      </c>
      <c r="J323" s="101">
        <v>77</v>
      </c>
      <c r="K323" s="101">
        <v>110</v>
      </c>
      <c r="L323" s="101">
        <v>21</v>
      </c>
      <c r="M323" s="101">
        <v>23</v>
      </c>
      <c r="N323" s="101">
        <v>3</v>
      </c>
      <c r="O323" s="101">
        <v>3</v>
      </c>
      <c r="P323" s="101">
        <v>116</v>
      </c>
      <c r="Q323" s="101">
        <v>1602</v>
      </c>
      <c r="R323" s="12" t="s">
        <v>25</v>
      </c>
      <c r="S323" s="12" t="s">
        <v>25</v>
      </c>
      <c r="T323" s="12" t="s">
        <v>25</v>
      </c>
    </row>
    <row r="324" spans="1:20" x14ac:dyDescent="0.3">
      <c r="A324" s="13">
        <v>43900.75</v>
      </c>
      <c r="B324" s="12" t="s">
        <v>22</v>
      </c>
      <c r="C324" s="101">
        <v>12</v>
      </c>
      <c r="D324" s="12" t="s">
        <v>48</v>
      </c>
      <c r="E324" s="101">
        <v>4189277044</v>
      </c>
      <c r="F324" s="101">
        <v>1248366722</v>
      </c>
      <c r="G324" s="101">
        <v>50</v>
      </c>
      <c r="H324" s="101">
        <v>15</v>
      </c>
      <c r="I324" s="101">
        <v>65</v>
      </c>
      <c r="J324" s="101">
        <v>34</v>
      </c>
      <c r="K324" s="101">
        <v>99</v>
      </c>
      <c r="L324" s="101">
        <v>5</v>
      </c>
      <c r="M324" s="101">
        <v>14</v>
      </c>
      <c r="N324" s="101">
        <v>11</v>
      </c>
      <c r="O324" s="101">
        <v>6</v>
      </c>
      <c r="P324" s="101">
        <v>116</v>
      </c>
      <c r="Q324" s="101">
        <v>3591</v>
      </c>
      <c r="R324" s="12" t="s">
        <v>25</v>
      </c>
      <c r="S324" s="12" t="s">
        <v>25</v>
      </c>
      <c r="T324" s="12" t="s">
        <v>25</v>
      </c>
    </row>
    <row r="325" spans="1:20" x14ac:dyDescent="0.3">
      <c r="A325" s="13">
        <v>43900.75</v>
      </c>
      <c r="B325" s="12" t="s">
        <v>22</v>
      </c>
      <c r="C325" s="101">
        <v>7</v>
      </c>
      <c r="D325" s="12" t="s">
        <v>49</v>
      </c>
      <c r="E325" s="101">
        <v>4441149315</v>
      </c>
      <c r="F325" s="101">
        <v>89326992</v>
      </c>
      <c r="G325" s="101">
        <v>57</v>
      </c>
      <c r="H325" s="101">
        <v>29</v>
      </c>
      <c r="I325" s="101">
        <v>86</v>
      </c>
      <c r="J325" s="101">
        <v>42</v>
      </c>
      <c r="K325" s="101">
        <v>128</v>
      </c>
      <c r="L325" s="101">
        <v>31</v>
      </c>
      <c r="M325" s="101">
        <v>32</v>
      </c>
      <c r="N325" s="101">
        <v>5</v>
      </c>
      <c r="O325" s="101">
        <v>8</v>
      </c>
      <c r="P325" s="101">
        <v>141</v>
      </c>
      <c r="Q325" s="101">
        <v>694</v>
      </c>
      <c r="R325" s="12" t="s">
        <v>25</v>
      </c>
      <c r="S325" s="12" t="s">
        <v>25</v>
      </c>
      <c r="T325" s="12" t="s">
        <v>25</v>
      </c>
    </row>
    <row r="326" spans="1:20" x14ac:dyDescent="0.3">
      <c r="A326" s="13">
        <v>43900.75</v>
      </c>
      <c r="B326" s="12" t="s">
        <v>22</v>
      </c>
      <c r="C326" s="101">
        <v>3</v>
      </c>
      <c r="D326" s="12" t="s">
        <v>50</v>
      </c>
      <c r="E326" s="101">
        <v>4546679409</v>
      </c>
      <c r="F326" s="101">
        <v>9190347404</v>
      </c>
      <c r="G326" s="101">
        <v>3319</v>
      </c>
      <c r="H326" s="101">
        <v>466</v>
      </c>
      <c r="I326" s="101">
        <v>3785</v>
      </c>
      <c r="J326" s="101">
        <v>642</v>
      </c>
      <c r="K326" s="101">
        <v>4427</v>
      </c>
      <c r="L326" s="101">
        <v>-63</v>
      </c>
      <c r="M326" s="101">
        <v>322</v>
      </c>
      <c r="N326" s="101">
        <v>896</v>
      </c>
      <c r="O326" s="101">
        <v>468</v>
      </c>
      <c r="P326" s="101">
        <v>5791</v>
      </c>
      <c r="Q326" s="101">
        <v>21479</v>
      </c>
      <c r="R326" s="12" t="s">
        <v>25</v>
      </c>
      <c r="S326" s="12" t="s">
        <v>64</v>
      </c>
      <c r="T326" s="12" t="s">
        <v>65</v>
      </c>
    </row>
    <row r="327" spans="1:20" x14ac:dyDescent="0.3">
      <c r="A327" s="13">
        <v>43900.75</v>
      </c>
      <c r="B327" s="12" t="s">
        <v>22</v>
      </c>
      <c r="C327" s="101">
        <v>11</v>
      </c>
      <c r="D327" s="12" t="s">
        <v>51</v>
      </c>
      <c r="E327" s="101">
        <v>4361675973</v>
      </c>
      <c r="F327" s="101">
        <v>135188753</v>
      </c>
      <c r="G327" s="101">
        <v>152</v>
      </c>
      <c r="H327" s="101">
        <v>54</v>
      </c>
      <c r="I327" s="101">
        <v>206</v>
      </c>
      <c r="J327" s="101">
        <v>175</v>
      </c>
      <c r="K327" s="101">
        <v>381</v>
      </c>
      <c r="L327" s="101">
        <v>68</v>
      </c>
      <c r="M327" s="101">
        <v>71</v>
      </c>
      <c r="N327" s="101">
        <v>0</v>
      </c>
      <c r="O327" s="101">
        <v>13</v>
      </c>
      <c r="P327" s="101">
        <v>394</v>
      </c>
      <c r="Q327" s="101">
        <v>1437</v>
      </c>
      <c r="R327" s="12" t="s">
        <v>25</v>
      </c>
      <c r="S327" s="12" t="s">
        <v>25</v>
      </c>
      <c r="T327" s="12" t="s">
        <v>25</v>
      </c>
    </row>
    <row r="328" spans="1:20" x14ac:dyDescent="0.3">
      <c r="A328" s="13">
        <v>43900.75</v>
      </c>
      <c r="B328" s="12" t="s">
        <v>22</v>
      </c>
      <c r="C328" s="101">
        <v>14</v>
      </c>
      <c r="D328" s="12" t="s">
        <v>52</v>
      </c>
      <c r="E328" s="101">
        <v>4155774754</v>
      </c>
      <c r="F328" s="101">
        <v>1465916051</v>
      </c>
      <c r="G328" s="101">
        <v>3</v>
      </c>
      <c r="H328" s="101">
        <v>3</v>
      </c>
      <c r="I328" s="101">
        <v>6</v>
      </c>
      <c r="J328" s="101">
        <v>9</v>
      </c>
      <c r="K328" s="101">
        <v>15</v>
      </c>
      <c r="L328" s="101">
        <v>1</v>
      </c>
      <c r="M328" s="101">
        <v>1</v>
      </c>
      <c r="N328" s="101">
        <v>0</v>
      </c>
      <c r="O328" s="101">
        <v>0</v>
      </c>
      <c r="P328" s="101">
        <v>15</v>
      </c>
      <c r="Q328" s="101">
        <v>225</v>
      </c>
      <c r="R328" s="12" t="s">
        <v>25</v>
      </c>
      <c r="S328" s="12" t="s">
        <v>25</v>
      </c>
      <c r="T328" s="12" t="s">
        <v>25</v>
      </c>
    </row>
    <row r="329" spans="1:20" x14ac:dyDescent="0.3">
      <c r="A329" s="13">
        <v>43900.75</v>
      </c>
      <c r="B329" s="12" t="s">
        <v>22</v>
      </c>
      <c r="C329" s="101">
        <v>1</v>
      </c>
      <c r="D329" s="12" t="s">
        <v>53</v>
      </c>
      <c r="E329" s="101">
        <v>450732745</v>
      </c>
      <c r="F329" s="101">
        <v>7680687483</v>
      </c>
      <c r="G329" s="101">
        <v>306</v>
      </c>
      <c r="H329" s="101">
        <v>66</v>
      </c>
      <c r="I329" s="101">
        <v>372</v>
      </c>
      <c r="J329" s="101">
        <v>64</v>
      </c>
      <c r="K329" s="101">
        <v>436</v>
      </c>
      <c r="L329" s="101">
        <v>99</v>
      </c>
      <c r="M329" s="101">
        <v>103</v>
      </c>
      <c r="N329" s="101">
        <v>0</v>
      </c>
      <c r="O329" s="101">
        <v>17</v>
      </c>
      <c r="P329" s="101">
        <v>453</v>
      </c>
      <c r="Q329" s="101">
        <v>2374</v>
      </c>
      <c r="R329" s="12" t="s">
        <v>25</v>
      </c>
      <c r="S329" s="12" t="s">
        <v>25</v>
      </c>
      <c r="T329" s="12" t="s">
        <v>25</v>
      </c>
    </row>
    <row r="330" spans="1:20" x14ac:dyDescent="0.3">
      <c r="A330" s="13">
        <v>43900.75</v>
      </c>
      <c r="B330" s="12" t="s">
        <v>22</v>
      </c>
      <c r="C330" s="101">
        <v>16</v>
      </c>
      <c r="D330" s="12" t="s">
        <v>54</v>
      </c>
      <c r="E330" s="101">
        <v>4112559576</v>
      </c>
      <c r="F330" s="101">
        <v>1686736689</v>
      </c>
      <c r="G330" s="101">
        <v>28</v>
      </c>
      <c r="H330" s="101">
        <v>6</v>
      </c>
      <c r="I330" s="101">
        <v>34</v>
      </c>
      <c r="J330" s="101">
        <v>21</v>
      </c>
      <c r="K330" s="101">
        <v>55</v>
      </c>
      <c r="L330" s="101">
        <v>9</v>
      </c>
      <c r="M330" s="101">
        <v>9</v>
      </c>
      <c r="N330" s="101">
        <v>1</v>
      </c>
      <c r="O330" s="101">
        <v>3</v>
      </c>
      <c r="P330" s="101">
        <v>59</v>
      </c>
      <c r="Q330" s="101">
        <v>747</v>
      </c>
      <c r="R330" s="12" t="s">
        <v>25</v>
      </c>
      <c r="S330" s="12" t="s">
        <v>25</v>
      </c>
      <c r="T330" s="12" t="s">
        <v>25</v>
      </c>
    </row>
    <row r="331" spans="1:20" x14ac:dyDescent="0.3">
      <c r="A331" s="13">
        <v>43900.75</v>
      </c>
      <c r="B331" s="12" t="s">
        <v>22</v>
      </c>
      <c r="C331" s="101">
        <v>20</v>
      </c>
      <c r="D331" s="12" t="s">
        <v>55</v>
      </c>
      <c r="E331" s="101">
        <v>3921531192</v>
      </c>
      <c r="F331" s="101">
        <v>9110616306</v>
      </c>
      <c r="G331" s="101">
        <v>9</v>
      </c>
      <c r="H331" s="101">
        <v>0</v>
      </c>
      <c r="I331" s="101">
        <v>9</v>
      </c>
      <c r="J331" s="101">
        <v>11</v>
      </c>
      <c r="K331" s="101">
        <v>20</v>
      </c>
      <c r="L331" s="101">
        <v>1</v>
      </c>
      <c r="M331" s="101">
        <v>1</v>
      </c>
      <c r="N331" s="101">
        <v>0</v>
      </c>
      <c r="O331" s="101">
        <v>0</v>
      </c>
      <c r="P331" s="101">
        <v>20</v>
      </c>
      <c r="Q331" s="101">
        <v>204</v>
      </c>
      <c r="R331" s="12" t="s">
        <v>25</v>
      </c>
      <c r="S331" s="12" t="s">
        <v>25</v>
      </c>
      <c r="T331" s="12" t="s">
        <v>25</v>
      </c>
    </row>
    <row r="332" spans="1:20" x14ac:dyDescent="0.3">
      <c r="A332" s="13">
        <v>43900.75</v>
      </c>
      <c r="B332" s="12" t="s">
        <v>22</v>
      </c>
      <c r="C332" s="101">
        <v>19</v>
      </c>
      <c r="D332" s="12" t="s">
        <v>56</v>
      </c>
      <c r="E332" s="101">
        <v>3811569725</v>
      </c>
      <c r="F332" s="101">
        <v>133623567</v>
      </c>
      <c r="G332" s="101">
        <v>17</v>
      </c>
      <c r="H332" s="101">
        <v>2</v>
      </c>
      <c r="I332" s="101">
        <v>19</v>
      </c>
      <c r="J332" s="101">
        <v>41</v>
      </c>
      <c r="K332" s="101">
        <v>60</v>
      </c>
      <c r="L332" s="101">
        <v>8</v>
      </c>
      <c r="M332" s="101">
        <v>8</v>
      </c>
      <c r="N332" s="101">
        <v>2</v>
      </c>
      <c r="O332" s="101">
        <v>0</v>
      </c>
      <c r="P332" s="101">
        <v>62</v>
      </c>
      <c r="Q332" s="101">
        <v>955</v>
      </c>
      <c r="R332" s="12" t="s">
        <v>25</v>
      </c>
      <c r="S332" s="12" t="s">
        <v>25</v>
      </c>
      <c r="T332" s="12" t="s">
        <v>25</v>
      </c>
    </row>
    <row r="333" spans="1:20" x14ac:dyDescent="0.3">
      <c r="A333" s="13">
        <v>43900.75</v>
      </c>
      <c r="B333" s="12" t="s">
        <v>22</v>
      </c>
      <c r="C333" s="101">
        <v>9</v>
      </c>
      <c r="D333" s="12" t="s">
        <v>57</v>
      </c>
      <c r="E333" s="101">
        <v>4376923077</v>
      </c>
      <c r="F333" s="101">
        <v>1125588885</v>
      </c>
      <c r="G333" s="101">
        <v>91</v>
      </c>
      <c r="H333" s="101">
        <v>40</v>
      </c>
      <c r="I333" s="101">
        <v>131</v>
      </c>
      <c r="J333" s="101">
        <v>129</v>
      </c>
      <c r="K333" s="101">
        <v>260</v>
      </c>
      <c r="L333" s="101">
        <v>54</v>
      </c>
      <c r="M333" s="101">
        <v>56</v>
      </c>
      <c r="N333" s="101">
        <v>3</v>
      </c>
      <c r="O333" s="101">
        <v>1</v>
      </c>
      <c r="P333" s="101">
        <v>264</v>
      </c>
      <c r="Q333" s="101">
        <v>2573</v>
      </c>
      <c r="R333" s="12" t="s">
        <v>25</v>
      </c>
      <c r="S333" s="12" t="s">
        <v>25</v>
      </c>
      <c r="T333" s="12" t="s">
        <v>25</v>
      </c>
    </row>
    <row r="334" spans="1:20" x14ac:dyDescent="0.3">
      <c r="A334" s="13">
        <v>43900.75</v>
      </c>
      <c r="B334" s="12" t="s">
        <v>22</v>
      </c>
      <c r="C334" s="101">
        <v>4</v>
      </c>
      <c r="D334" s="12" t="s">
        <v>58</v>
      </c>
      <c r="E334" s="101">
        <v>4606893511</v>
      </c>
      <c r="F334" s="101">
        <v>1112123097</v>
      </c>
      <c r="G334" s="101">
        <v>19</v>
      </c>
      <c r="H334" s="101">
        <v>3</v>
      </c>
      <c r="I334" s="101">
        <v>22</v>
      </c>
      <c r="J334" s="101">
        <v>28</v>
      </c>
      <c r="K334" s="101">
        <v>50</v>
      </c>
      <c r="L334" s="101">
        <v>17</v>
      </c>
      <c r="M334" s="101">
        <v>19</v>
      </c>
      <c r="N334" s="101">
        <v>2</v>
      </c>
      <c r="O334" s="101">
        <v>0</v>
      </c>
      <c r="P334" s="101">
        <v>52</v>
      </c>
      <c r="Q334" s="101">
        <v>399</v>
      </c>
      <c r="R334" s="12" t="s">
        <v>25</v>
      </c>
      <c r="S334" s="12" t="s">
        <v>25</v>
      </c>
      <c r="T334" s="12" t="s">
        <v>25</v>
      </c>
    </row>
    <row r="335" spans="1:20" x14ac:dyDescent="0.3">
      <c r="A335" s="13">
        <v>43900.75</v>
      </c>
      <c r="B335" s="12" t="s">
        <v>22</v>
      </c>
      <c r="C335" s="101">
        <v>10</v>
      </c>
      <c r="D335" s="12" t="s">
        <v>59</v>
      </c>
      <c r="E335" s="101">
        <v>4310675841</v>
      </c>
      <c r="F335" s="101">
        <v>1238824698</v>
      </c>
      <c r="G335" s="101">
        <v>8</v>
      </c>
      <c r="H335" s="101">
        <v>2</v>
      </c>
      <c r="I335" s="101">
        <v>10</v>
      </c>
      <c r="J335" s="101">
        <v>27</v>
      </c>
      <c r="K335" s="101">
        <v>37</v>
      </c>
      <c r="L335" s="101">
        <v>9</v>
      </c>
      <c r="M335" s="101">
        <v>9</v>
      </c>
      <c r="N335" s="101">
        <v>0</v>
      </c>
      <c r="O335" s="101">
        <v>0</v>
      </c>
      <c r="P335" s="101">
        <v>37</v>
      </c>
      <c r="Q335" s="101">
        <v>260</v>
      </c>
      <c r="R335" s="12" t="s">
        <v>25</v>
      </c>
      <c r="S335" s="12" t="s">
        <v>25</v>
      </c>
      <c r="T335" s="12" t="s">
        <v>25</v>
      </c>
    </row>
    <row r="336" spans="1:20" x14ac:dyDescent="0.3">
      <c r="A336" s="13">
        <v>43900.75</v>
      </c>
      <c r="B336" s="12" t="s">
        <v>22</v>
      </c>
      <c r="C336" s="101">
        <v>2</v>
      </c>
      <c r="D336" s="12" t="s">
        <v>60</v>
      </c>
      <c r="E336" s="101">
        <v>4573750286</v>
      </c>
      <c r="F336" s="101">
        <v>7320149366</v>
      </c>
      <c r="G336" s="101">
        <v>2</v>
      </c>
      <c r="H336" s="101">
        <v>0</v>
      </c>
      <c r="I336" s="101">
        <v>2</v>
      </c>
      <c r="J336" s="101">
        <v>15</v>
      </c>
      <c r="K336" s="101">
        <v>17</v>
      </c>
      <c r="L336" s="101">
        <v>2</v>
      </c>
      <c r="M336" s="101">
        <v>2</v>
      </c>
      <c r="N336" s="101">
        <v>0</v>
      </c>
      <c r="O336" s="101">
        <v>0</v>
      </c>
      <c r="P336" s="101">
        <v>17</v>
      </c>
      <c r="Q336" s="101">
        <v>89</v>
      </c>
      <c r="R336" s="12" t="s">
        <v>25</v>
      </c>
      <c r="S336" s="12" t="s">
        <v>25</v>
      </c>
      <c r="T336" s="12" t="s">
        <v>25</v>
      </c>
    </row>
    <row r="337" spans="1:20" x14ac:dyDescent="0.3">
      <c r="A337" s="13">
        <v>43900.75</v>
      </c>
      <c r="B337" s="12" t="s">
        <v>22</v>
      </c>
      <c r="C337" s="101">
        <v>5</v>
      </c>
      <c r="D337" s="12" t="s">
        <v>61</v>
      </c>
      <c r="E337" s="101">
        <v>4543490485</v>
      </c>
      <c r="F337" s="101">
        <v>1233845213</v>
      </c>
      <c r="G337" s="101">
        <v>204</v>
      </c>
      <c r="H337" s="101">
        <v>67</v>
      </c>
      <c r="I337" s="101">
        <v>271</v>
      </c>
      <c r="J337" s="101">
        <v>512</v>
      </c>
      <c r="K337" s="101">
        <v>783</v>
      </c>
      <c r="L337" s="101">
        <v>89</v>
      </c>
      <c r="M337" s="101">
        <v>112</v>
      </c>
      <c r="N337" s="101">
        <v>47</v>
      </c>
      <c r="O337" s="101">
        <v>26</v>
      </c>
      <c r="P337" s="101">
        <v>856</v>
      </c>
      <c r="Q337" s="101">
        <v>16643</v>
      </c>
      <c r="R337" s="12" t="s">
        <v>25</v>
      </c>
      <c r="S337" s="12" t="s">
        <v>25</v>
      </c>
      <c r="T337" s="12" t="s">
        <v>25</v>
      </c>
    </row>
    <row r="338" spans="1:20" x14ac:dyDescent="0.3">
      <c r="A338" s="13">
        <v>43901.708333333336</v>
      </c>
      <c r="B338" s="12" t="s">
        <v>22</v>
      </c>
      <c r="C338" s="101">
        <v>13</v>
      </c>
      <c r="D338" s="12" t="s">
        <v>42</v>
      </c>
      <c r="E338" s="101">
        <v>4235122196</v>
      </c>
      <c r="F338" s="101">
        <v>1339843823</v>
      </c>
      <c r="G338" s="101">
        <v>17</v>
      </c>
      <c r="H338" s="101">
        <v>9</v>
      </c>
      <c r="I338" s="101">
        <v>26</v>
      </c>
      <c r="J338" s="101">
        <v>11</v>
      </c>
      <c r="K338" s="101">
        <v>37</v>
      </c>
      <c r="L338" s="101">
        <v>0</v>
      </c>
      <c r="M338" s="101">
        <v>0</v>
      </c>
      <c r="N338" s="101">
        <v>0</v>
      </c>
      <c r="O338" s="101">
        <v>1</v>
      </c>
      <c r="P338" s="101">
        <v>38</v>
      </c>
      <c r="Q338" s="101">
        <v>310</v>
      </c>
      <c r="R338" s="12" t="s">
        <v>25</v>
      </c>
      <c r="S338" s="12" t="s">
        <v>66</v>
      </c>
      <c r="T338" s="12" t="s">
        <v>67</v>
      </c>
    </row>
    <row r="339" spans="1:20" x14ac:dyDescent="0.3">
      <c r="A339" s="13">
        <v>43901.708333333336</v>
      </c>
      <c r="B339" s="12" t="s">
        <v>22</v>
      </c>
      <c r="C339" s="101">
        <v>17</v>
      </c>
      <c r="D339" s="12" t="s">
        <v>43</v>
      </c>
      <c r="E339" s="101">
        <v>4063947052</v>
      </c>
      <c r="F339" s="101">
        <v>1580514834</v>
      </c>
      <c r="G339" s="101">
        <v>1</v>
      </c>
      <c r="H339" s="101">
        <v>1</v>
      </c>
      <c r="I339" s="101">
        <v>2</v>
      </c>
      <c r="J339" s="101">
        <v>6</v>
      </c>
      <c r="K339" s="101">
        <v>8</v>
      </c>
      <c r="L339" s="101">
        <v>1</v>
      </c>
      <c r="M339" s="101">
        <v>1</v>
      </c>
      <c r="N339" s="101">
        <v>0</v>
      </c>
      <c r="O339" s="101">
        <v>0</v>
      </c>
      <c r="P339" s="101">
        <v>8</v>
      </c>
      <c r="Q339" s="101">
        <v>155</v>
      </c>
      <c r="R339" s="12" t="s">
        <v>25</v>
      </c>
      <c r="S339" s="12" t="s">
        <v>25</v>
      </c>
      <c r="T339" s="12" t="s">
        <v>25</v>
      </c>
    </row>
    <row r="340" spans="1:20" x14ac:dyDescent="0.3">
      <c r="A340" s="13">
        <v>43901.708333333336</v>
      </c>
      <c r="B340" s="12" t="s">
        <v>22</v>
      </c>
      <c r="C340" s="101">
        <v>4</v>
      </c>
      <c r="D340" s="12" t="s">
        <v>44</v>
      </c>
      <c r="E340" s="101">
        <v>4649933453</v>
      </c>
      <c r="F340" s="101">
        <v>1135662422</v>
      </c>
      <c r="G340" s="101">
        <v>8</v>
      </c>
      <c r="H340" s="101">
        <v>4</v>
      </c>
      <c r="I340" s="101">
        <v>12</v>
      </c>
      <c r="J340" s="101">
        <v>63</v>
      </c>
      <c r="K340" s="101">
        <v>75</v>
      </c>
      <c r="L340" s="101">
        <v>37</v>
      </c>
      <c r="M340" s="101">
        <v>37</v>
      </c>
      <c r="N340" s="101">
        <v>0</v>
      </c>
      <c r="O340" s="101">
        <v>0</v>
      </c>
      <c r="P340" s="101">
        <v>75</v>
      </c>
      <c r="Q340" s="101">
        <v>75</v>
      </c>
      <c r="R340" s="12" t="s">
        <v>25</v>
      </c>
      <c r="S340" s="12" t="s">
        <v>25</v>
      </c>
      <c r="T340" s="12" t="s">
        <v>25</v>
      </c>
    </row>
    <row r="341" spans="1:20" x14ac:dyDescent="0.3">
      <c r="A341" s="13">
        <v>43901.708333333336</v>
      </c>
      <c r="B341" s="12" t="s">
        <v>22</v>
      </c>
      <c r="C341" s="101">
        <v>18</v>
      </c>
      <c r="D341" s="12" t="s">
        <v>45</v>
      </c>
      <c r="E341" s="101">
        <v>3890597598</v>
      </c>
      <c r="F341" s="101">
        <v>1659440194</v>
      </c>
      <c r="G341" s="101">
        <v>10</v>
      </c>
      <c r="H341" s="101">
        <v>2</v>
      </c>
      <c r="I341" s="101">
        <v>12</v>
      </c>
      <c r="J341" s="101">
        <v>5</v>
      </c>
      <c r="K341" s="101">
        <v>17</v>
      </c>
      <c r="L341" s="101">
        <v>6</v>
      </c>
      <c r="M341" s="101">
        <v>6</v>
      </c>
      <c r="N341" s="101">
        <v>2</v>
      </c>
      <c r="O341" s="101">
        <v>0</v>
      </c>
      <c r="P341" s="101">
        <v>19</v>
      </c>
      <c r="Q341" s="101">
        <v>405</v>
      </c>
      <c r="R341" s="12" t="s">
        <v>25</v>
      </c>
      <c r="S341" s="12" t="s">
        <v>25</v>
      </c>
      <c r="T341" s="12" t="s">
        <v>25</v>
      </c>
    </row>
    <row r="342" spans="1:20" x14ac:dyDescent="0.3">
      <c r="A342" s="13">
        <v>43901.708333333336</v>
      </c>
      <c r="B342" s="12" t="s">
        <v>22</v>
      </c>
      <c r="C342" s="101">
        <v>15</v>
      </c>
      <c r="D342" s="12" t="s">
        <v>46</v>
      </c>
      <c r="E342" s="101">
        <v>4083956555</v>
      </c>
      <c r="F342" s="101">
        <v>1425084984</v>
      </c>
      <c r="G342" s="101">
        <v>56</v>
      </c>
      <c r="H342" s="101">
        <v>11</v>
      </c>
      <c r="I342" s="101">
        <v>67</v>
      </c>
      <c r="J342" s="101">
        <v>82</v>
      </c>
      <c r="K342" s="101">
        <v>149</v>
      </c>
      <c r="L342" s="101">
        <v>23</v>
      </c>
      <c r="M342" s="101">
        <v>27</v>
      </c>
      <c r="N342" s="101">
        <v>4</v>
      </c>
      <c r="O342" s="101">
        <v>1</v>
      </c>
      <c r="P342" s="101">
        <v>154</v>
      </c>
      <c r="Q342" s="101">
        <v>1375</v>
      </c>
      <c r="R342" s="12" t="s">
        <v>25</v>
      </c>
      <c r="S342" s="12" t="s">
        <v>25</v>
      </c>
      <c r="T342" s="12" t="s">
        <v>25</v>
      </c>
    </row>
    <row r="343" spans="1:20" x14ac:dyDescent="0.3">
      <c r="A343" s="13">
        <v>43901.708333333336</v>
      </c>
      <c r="B343" s="12" t="s">
        <v>22</v>
      </c>
      <c r="C343" s="101">
        <v>8</v>
      </c>
      <c r="D343" s="12" t="s">
        <v>96</v>
      </c>
      <c r="E343" s="101">
        <v>4449436681</v>
      </c>
      <c r="F343" s="101">
        <v>113417208</v>
      </c>
      <c r="G343" s="101">
        <v>745</v>
      </c>
      <c r="H343" s="101">
        <v>104</v>
      </c>
      <c r="I343" s="101">
        <v>849</v>
      </c>
      <c r="J343" s="101">
        <v>739</v>
      </c>
      <c r="K343" s="101">
        <v>1588</v>
      </c>
      <c r="L343" s="101">
        <v>171</v>
      </c>
      <c r="M343" s="101">
        <v>206</v>
      </c>
      <c r="N343" s="101">
        <v>38</v>
      </c>
      <c r="O343" s="101">
        <v>113</v>
      </c>
      <c r="P343" s="101">
        <v>1739</v>
      </c>
      <c r="Q343" s="101">
        <v>6640</v>
      </c>
      <c r="R343" s="12" t="s">
        <v>25</v>
      </c>
      <c r="S343" s="12" t="s">
        <v>25</v>
      </c>
      <c r="T343" s="12" t="s">
        <v>25</v>
      </c>
    </row>
    <row r="344" spans="1:20" x14ac:dyDescent="0.3">
      <c r="A344" s="13">
        <v>43901.708333333336</v>
      </c>
      <c r="B344" s="12" t="s">
        <v>22</v>
      </c>
      <c r="C344" s="101">
        <v>6</v>
      </c>
      <c r="D344" s="12" t="s">
        <v>47</v>
      </c>
      <c r="E344" s="101">
        <v>456494354</v>
      </c>
      <c r="F344" s="101">
        <v>1376813649</v>
      </c>
      <c r="G344" s="101">
        <v>16</v>
      </c>
      <c r="H344" s="101">
        <v>5</v>
      </c>
      <c r="I344" s="101">
        <v>21</v>
      </c>
      <c r="J344" s="101">
        <v>89</v>
      </c>
      <c r="K344" s="101">
        <v>110</v>
      </c>
      <c r="L344" s="101">
        <v>0</v>
      </c>
      <c r="M344" s="101">
        <v>10</v>
      </c>
      <c r="N344" s="101">
        <v>10</v>
      </c>
      <c r="O344" s="101">
        <v>6</v>
      </c>
      <c r="P344" s="101">
        <v>126</v>
      </c>
      <c r="Q344" s="101">
        <v>2073</v>
      </c>
      <c r="R344" s="12" t="s">
        <v>25</v>
      </c>
      <c r="S344" s="12" t="s">
        <v>25</v>
      </c>
      <c r="T344" s="12" t="s">
        <v>25</v>
      </c>
    </row>
    <row r="345" spans="1:20" x14ac:dyDescent="0.3">
      <c r="A345" s="13">
        <v>43901.708333333336</v>
      </c>
      <c r="B345" s="12" t="s">
        <v>22</v>
      </c>
      <c r="C345" s="101">
        <v>12</v>
      </c>
      <c r="D345" s="12" t="s">
        <v>48</v>
      </c>
      <c r="E345" s="101">
        <v>4189277044</v>
      </c>
      <c r="F345" s="101">
        <v>1248366722</v>
      </c>
      <c r="G345" s="101">
        <v>67</v>
      </c>
      <c r="H345" s="101">
        <v>18</v>
      </c>
      <c r="I345" s="101">
        <v>85</v>
      </c>
      <c r="J345" s="101">
        <v>40</v>
      </c>
      <c r="K345" s="101">
        <v>125</v>
      </c>
      <c r="L345" s="101">
        <v>26</v>
      </c>
      <c r="M345" s="101">
        <v>34</v>
      </c>
      <c r="N345" s="101">
        <v>19</v>
      </c>
      <c r="O345" s="101">
        <v>6</v>
      </c>
      <c r="P345" s="101">
        <v>150</v>
      </c>
      <c r="Q345" s="101">
        <v>3591</v>
      </c>
      <c r="R345" s="12" t="s">
        <v>25</v>
      </c>
      <c r="S345" s="12" t="s">
        <v>25</v>
      </c>
      <c r="T345" s="12" t="s">
        <v>25</v>
      </c>
    </row>
    <row r="346" spans="1:20" x14ac:dyDescent="0.3">
      <c r="A346" s="13">
        <v>43901.708333333336</v>
      </c>
      <c r="B346" s="12" t="s">
        <v>22</v>
      </c>
      <c r="C346" s="101">
        <v>7</v>
      </c>
      <c r="D346" s="12" t="s">
        <v>49</v>
      </c>
      <c r="E346" s="101">
        <v>4441149315</v>
      </c>
      <c r="F346" s="101">
        <v>89326992</v>
      </c>
      <c r="G346" s="101">
        <v>74</v>
      </c>
      <c r="H346" s="101">
        <v>34</v>
      </c>
      <c r="I346" s="101">
        <v>108</v>
      </c>
      <c r="J346" s="101">
        <v>73</v>
      </c>
      <c r="K346" s="101">
        <v>181</v>
      </c>
      <c r="L346" s="101">
        <v>53</v>
      </c>
      <c r="M346" s="101">
        <v>53</v>
      </c>
      <c r="N346" s="101">
        <v>5</v>
      </c>
      <c r="O346" s="101">
        <v>8</v>
      </c>
      <c r="P346" s="101">
        <v>194</v>
      </c>
      <c r="Q346" s="101">
        <v>1025</v>
      </c>
      <c r="R346" s="12" t="s">
        <v>25</v>
      </c>
      <c r="S346" s="12" t="s">
        <v>25</v>
      </c>
      <c r="T346" s="12" t="s">
        <v>25</v>
      </c>
    </row>
    <row r="347" spans="1:20" x14ac:dyDescent="0.3">
      <c r="A347" s="13">
        <v>43901.708333333336</v>
      </c>
      <c r="B347" s="12" t="s">
        <v>22</v>
      </c>
      <c r="C347" s="101">
        <v>3</v>
      </c>
      <c r="D347" s="12" t="s">
        <v>50</v>
      </c>
      <c r="E347" s="101">
        <v>4546679409</v>
      </c>
      <c r="F347" s="101">
        <v>9190347404</v>
      </c>
      <c r="G347" s="101">
        <v>3852</v>
      </c>
      <c r="H347" s="101">
        <v>560</v>
      </c>
      <c r="I347" s="101">
        <v>4412</v>
      </c>
      <c r="J347" s="101">
        <v>1351</v>
      </c>
      <c r="K347" s="101">
        <v>5763</v>
      </c>
      <c r="L347" s="101">
        <v>1336</v>
      </c>
      <c r="M347" s="101">
        <v>1489</v>
      </c>
      <c r="N347" s="101">
        <v>900</v>
      </c>
      <c r="O347" s="101">
        <v>617</v>
      </c>
      <c r="P347" s="101">
        <v>7280</v>
      </c>
      <c r="Q347" s="101">
        <v>25629</v>
      </c>
      <c r="R347" s="12" t="s">
        <v>25</v>
      </c>
      <c r="S347" s="12" t="s">
        <v>25</v>
      </c>
      <c r="T347" s="12" t="s">
        <v>25</v>
      </c>
    </row>
    <row r="348" spans="1:20" x14ac:dyDescent="0.3">
      <c r="A348" s="13">
        <v>43901.708333333336</v>
      </c>
      <c r="B348" s="12" t="s">
        <v>22</v>
      </c>
      <c r="C348" s="101">
        <v>11</v>
      </c>
      <c r="D348" s="12" t="s">
        <v>51</v>
      </c>
      <c r="E348" s="101">
        <v>4361675973</v>
      </c>
      <c r="F348" s="101">
        <v>135188753</v>
      </c>
      <c r="G348" s="101">
        <v>212</v>
      </c>
      <c r="H348" s="101">
        <v>66</v>
      </c>
      <c r="I348" s="101">
        <v>278</v>
      </c>
      <c r="J348" s="101">
        <v>183</v>
      </c>
      <c r="K348" s="101">
        <v>461</v>
      </c>
      <c r="L348" s="101">
        <v>80</v>
      </c>
      <c r="M348" s="101">
        <v>85</v>
      </c>
      <c r="N348" s="101">
        <v>0</v>
      </c>
      <c r="O348" s="101">
        <v>18</v>
      </c>
      <c r="P348" s="101">
        <v>479</v>
      </c>
      <c r="Q348" s="101">
        <v>1656</v>
      </c>
      <c r="R348" s="12" t="s">
        <v>25</v>
      </c>
      <c r="S348" s="12" t="s">
        <v>25</v>
      </c>
      <c r="T348" s="12" t="s">
        <v>25</v>
      </c>
    </row>
    <row r="349" spans="1:20" x14ac:dyDescent="0.3">
      <c r="A349" s="13">
        <v>43901.708333333336</v>
      </c>
      <c r="B349" s="12" t="s">
        <v>22</v>
      </c>
      <c r="C349" s="101">
        <v>14</v>
      </c>
      <c r="D349" s="12" t="s">
        <v>52</v>
      </c>
      <c r="E349" s="101">
        <v>4155774754</v>
      </c>
      <c r="F349" s="101">
        <v>1465916051</v>
      </c>
      <c r="G349" s="101">
        <v>4</v>
      </c>
      <c r="H349" s="101">
        <v>3</v>
      </c>
      <c r="I349" s="101">
        <v>7</v>
      </c>
      <c r="J349" s="101">
        <v>9</v>
      </c>
      <c r="K349" s="101">
        <v>16</v>
      </c>
      <c r="L349" s="101">
        <v>1</v>
      </c>
      <c r="M349" s="101">
        <v>1</v>
      </c>
      <c r="N349" s="101">
        <v>0</v>
      </c>
      <c r="O349" s="101">
        <v>0</v>
      </c>
      <c r="P349" s="101">
        <v>16</v>
      </c>
      <c r="Q349" s="101">
        <v>233</v>
      </c>
      <c r="R349" s="12" t="s">
        <v>25</v>
      </c>
      <c r="S349" s="12" t="s">
        <v>25</v>
      </c>
      <c r="T349" s="12" t="s">
        <v>25</v>
      </c>
    </row>
    <row r="350" spans="1:20" x14ac:dyDescent="0.3">
      <c r="A350" s="13">
        <v>43901.708333333336</v>
      </c>
      <c r="B350" s="12" t="s">
        <v>22</v>
      </c>
      <c r="C350" s="101">
        <v>1</v>
      </c>
      <c r="D350" s="12" t="s">
        <v>53</v>
      </c>
      <c r="E350" s="101">
        <v>450732745</v>
      </c>
      <c r="F350" s="101">
        <v>7680687483</v>
      </c>
      <c r="G350" s="101">
        <v>319</v>
      </c>
      <c r="H350" s="101">
        <v>75</v>
      </c>
      <c r="I350" s="101">
        <v>394</v>
      </c>
      <c r="J350" s="101">
        <v>86</v>
      </c>
      <c r="K350" s="101">
        <v>480</v>
      </c>
      <c r="L350" s="101">
        <v>44</v>
      </c>
      <c r="M350" s="101">
        <v>48</v>
      </c>
      <c r="N350" s="101">
        <v>0</v>
      </c>
      <c r="O350" s="101">
        <v>21</v>
      </c>
      <c r="P350" s="101">
        <v>501</v>
      </c>
      <c r="Q350" s="101">
        <v>2431</v>
      </c>
      <c r="R350" s="12" t="s">
        <v>25</v>
      </c>
      <c r="S350" s="12" t="s">
        <v>25</v>
      </c>
      <c r="T350" s="12" t="s">
        <v>25</v>
      </c>
    </row>
    <row r="351" spans="1:20" x14ac:dyDescent="0.3">
      <c r="A351" s="13">
        <v>43901.708333333336</v>
      </c>
      <c r="B351" s="12" t="s">
        <v>22</v>
      </c>
      <c r="C351" s="101">
        <v>16</v>
      </c>
      <c r="D351" s="12" t="s">
        <v>54</v>
      </c>
      <c r="E351" s="101">
        <v>4112559576</v>
      </c>
      <c r="F351" s="101">
        <v>1686736689</v>
      </c>
      <c r="G351" s="101">
        <v>38</v>
      </c>
      <c r="H351" s="101">
        <v>4</v>
      </c>
      <c r="I351" s="101">
        <v>42</v>
      </c>
      <c r="J351" s="101">
        <v>29</v>
      </c>
      <c r="K351" s="101">
        <v>71</v>
      </c>
      <c r="L351" s="101">
        <v>16</v>
      </c>
      <c r="M351" s="101">
        <v>18</v>
      </c>
      <c r="N351" s="101">
        <v>1</v>
      </c>
      <c r="O351" s="101">
        <v>5</v>
      </c>
      <c r="P351" s="101">
        <v>77</v>
      </c>
      <c r="Q351" s="101">
        <v>909</v>
      </c>
      <c r="R351" s="12" t="s">
        <v>25</v>
      </c>
      <c r="S351" s="12" t="s">
        <v>25</v>
      </c>
      <c r="T351" s="12" t="s">
        <v>25</v>
      </c>
    </row>
    <row r="352" spans="1:20" x14ac:dyDescent="0.3">
      <c r="A352" s="13">
        <v>43901.708333333336</v>
      </c>
      <c r="B352" s="12" t="s">
        <v>22</v>
      </c>
      <c r="C352" s="101">
        <v>20</v>
      </c>
      <c r="D352" s="12" t="s">
        <v>55</v>
      </c>
      <c r="E352" s="101">
        <v>3921531192</v>
      </c>
      <c r="F352" s="101">
        <v>9110616306</v>
      </c>
      <c r="G352" s="101">
        <v>10</v>
      </c>
      <c r="H352" s="101">
        <v>0</v>
      </c>
      <c r="I352" s="101">
        <v>10</v>
      </c>
      <c r="J352" s="101">
        <v>27</v>
      </c>
      <c r="K352" s="101">
        <v>37</v>
      </c>
      <c r="L352" s="101">
        <v>17</v>
      </c>
      <c r="M352" s="101">
        <v>17</v>
      </c>
      <c r="N352" s="101">
        <v>0</v>
      </c>
      <c r="O352" s="101">
        <v>0</v>
      </c>
      <c r="P352" s="101">
        <v>37</v>
      </c>
      <c r="Q352" s="101">
        <v>283</v>
      </c>
      <c r="R352" s="12" t="s">
        <v>25</v>
      </c>
      <c r="S352" s="12" t="s">
        <v>25</v>
      </c>
      <c r="T352" s="12" t="s">
        <v>25</v>
      </c>
    </row>
    <row r="353" spans="1:20" x14ac:dyDescent="0.3">
      <c r="A353" s="13">
        <v>43901.708333333336</v>
      </c>
      <c r="B353" s="12" t="s">
        <v>22</v>
      </c>
      <c r="C353" s="101">
        <v>19</v>
      </c>
      <c r="D353" s="12" t="s">
        <v>56</v>
      </c>
      <c r="E353" s="101">
        <v>3811569725</v>
      </c>
      <c r="F353" s="101">
        <v>133623567</v>
      </c>
      <c r="G353" s="101">
        <v>23</v>
      </c>
      <c r="H353" s="101">
        <v>1</v>
      </c>
      <c r="I353" s="101">
        <v>24</v>
      </c>
      <c r="J353" s="101">
        <v>57</v>
      </c>
      <c r="K353" s="101">
        <v>81</v>
      </c>
      <c r="L353" s="101">
        <v>21</v>
      </c>
      <c r="M353" s="101">
        <v>21</v>
      </c>
      <c r="N353" s="101">
        <v>2</v>
      </c>
      <c r="O353" s="101">
        <v>0</v>
      </c>
      <c r="P353" s="101">
        <v>83</v>
      </c>
      <c r="Q353" s="101">
        <v>1194</v>
      </c>
      <c r="R353" s="12" t="s">
        <v>25</v>
      </c>
      <c r="S353" s="12" t="s">
        <v>25</v>
      </c>
      <c r="T353" s="12" t="s">
        <v>25</v>
      </c>
    </row>
    <row r="354" spans="1:20" x14ac:dyDescent="0.3">
      <c r="A354" s="13">
        <v>43901.708333333336</v>
      </c>
      <c r="B354" s="12" t="s">
        <v>22</v>
      </c>
      <c r="C354" s="101">
        <v>9</v>
      </c>
      <c r="D354" s="12" t="s">
        <v>57</v>
      </c>
      <c r="E354" s="101">
        <v>4376923077</v>
      </c>
      <c r="F354" s="101">
        <v>1125588885</v>
      </c>
      <c r="G354" s="101">
        <v>87</v>
      </c>
      <c r="H354" s="101">
        <v>54</v>
      </c>
      <c r="I354" s="101">
        <v>141</v>
      </c>
      <c r="J354" s="101">
        <v>173</v>
      </c>
      <c r="K354" s="101">
        <v>314</v>
      </c>
      <c r="L354" s="101">
        <v>54</v>
      </c>
      <c r="M354" s="101">
        <v>56</v>
      </c>
      <c r="N354" s="101">
        <v>5</v>
      </c>
      <c r="O354" s="101">
        <v>1</v>
      </c>
      <c r="P354" s="101">
        <v>320</v>
      </c>
      <c r="Q354" s="101">
        <v>2804</v>
      </c>
      <c r="R354" s="12" t="s">
        <v>25</v>
      </c>
      <c r="S354" s="12" t="s">
        <v>25</v>
      </c>
      <c r="T354" s="12" t="s">
        <v>25</v>
      </c>
    </row>
    <row r="355" spans="1:20" x14ac:dyDescent="0.3">
      <c r="A355" s="13">
        <v>43901.708333333336</v>
      </c>
      <c r="B355" s="12" t="s">
        <v>22</v>
      </c>
      <c r="C355" s="101">
        <v>4</v>
      </c>
      <c r="D355" s="12" t="s">
        <v>58</v>
      </c>
      <c r="E355" s="101">
        <v>4606893511</v>
      </c>
      <c r="F355" s="101">
        <v>1112123097</v>
      </c>
      <c r="G355" s="101">
        <v>28</v>
      </c>
      <c r="H355" s="101">
        <v>4</v>
      </c>
      <c r="I355" s="101">
        <v>32</v>
      </c>
      <c r="J355" s="101">
        <v>42</v>
      </c>
      <c r="K355" s="101">
        <v>74</v>
      </c>
      <c r="L355" s="101">
        <v>24</v>
      </c>
      <c r="M355" s="101">
        <v>25</v>
      </c>
      <c r="N355" s="101">
        <v>3</v>
      </c>
      <c r="O355" s="101">
        <v>0</v>
      </c>
      <c r="P355" s="101">
        <v>77</v>
      </c>
      <c r="Q355" s="101">
        <v>527</v>
      </c>
      <c r="R355" s="12" t="s">
        <v>25</v>
      </c>
      <c r="S355" s="12" t="s">
        <v>25</v>
      </c>
      <c r="T355" s="12" t="s">
        <v>25</v>
      </c>
    </row>
    <row r="356" spans="1:20" x14ac:dyDescent="0.3">
      <c r="A356" s="13">
        <v>43901.708333333336</v>
      </c>
      <c r="B356" s="12" t="s">
        <v>22</v>
      </c>
      <c r="C356" s="101">
        <v>10</v>
      </c>
      <c r="D356" s="12" t="s">
        <v>59</v>
      </c>
      <c r="E356" s="101">
        <v>4310675841</v>
      </c>
      <c r="F356" s="101">
        <v>1238824698</v>
      </c>
      <c r="G356" s="101">
        <v>7</v>
      </c>
      <c r="H356" s="101">
        <v>5</v>
      </c>
      <c r="I356" s="101">
        <v>12</v>
      </c>
      <c r="J356" s="101">
        <v>32</v>
      </c>
      <c r="K356" s="101">
        <v>44</v>
      </c>
      <c r="L356" s="101">
        <v>7</v>
      </c>
      <c r="M356" s="101">
        <v>9</v>
      </c>
      <c r="N356" s="101">
        <v>2</v>
      </c>
      <c r="O356" s="101">
        <v>0</v>
      </c>
      <c r="P356" s="101">
        <v>46</v>
      </c>
      <c r="Q356" s="101">
        <v>340</v>
      </c>
      <c r="R356" s="12" t="s">
        <v>25</v>
      </c>
      <c r="S356" s="12" t="s">
        <v>25</v>
      </c>
      <c r="T356" s="12" t="s">
        <v>25</v>
      </c>
    </row>
    <row r="357" spans="1:20" x14ac:dyDescent="0.3">
      <c r="A357" s="13">
        <v>43901.708333333336</v>
      </c>
      <c r="B357" s="12" t="s">
        <v>22</v>
      </c>
      <c r="C357" s="101">
        <v>2</v>
      </c>
      <c r="D357" s="12" t="s">
        <v>60</v>
      </c>
      <c r="E357" s="101">
        <v>4573750286</v>
      </c>
      <c r="F357" s="101">
        <v>7320149366</v>
      </c>
      <c r="G357" s="101">
        <v>2</v>
      </c>
      <c r="H357" s="101">
        <v>0</v>
      </c>
      <c r="I357" s="101">
        <v>2</v>
      </c>
      <c r="J357" s="101">
        <v>17</v>
      </c>
      <c r="K357" s="101">
        <v>19</v>
      </c>
      <c r="L357" s="101">
        <v>2</v>
      </c>
      <c r="M357" s="101">
        <v>3</v>
      </c>
      <c r="N357" s="101">
        <v>0</v>
      </c>
      <c r="O357" s="101">
        <v>1</v>
      </c>
      <c r="P357" s="101">
        <v>20</v>
      </c>
      <c r="Q357" s="101">
        <v>99</v>
      </c>
      <c r="R357" s="12" t="s">
        <v>25</v>
      </c>
      <c r="S357" s="12" t="s">
        <v>25</v>
      </c>
      <c r="T357" s="12" t="s">
        <v>25</v>
      </c>
    </row>
    <row r="358" spans="1:20" x14ac:dyDescent="0.3">
      <c r="A358" s="13">
        <v>43901.708333333336</v>
      </c>
      <c r="B358" s="12" t="s">
        <v>22</v>
      </c>
      <c r="C358" s="101">
        <v>5</v>
      </c>
      <c r="D358" s="12" t="s">
        <v>61</v>
      </c>
      <c r="E358" s="101">
        <v>4543490485</v>
      </c>
      <c r="F358" s="101">
        <v>1233845213</v>
      </c>
      <c r="G358" s="101">
        <v>262</v>
      </c>
      <c r="H358" s="101">
        <v>68</v>
      </c>
      <c r="I358" s="101">
        <v>330</v>
      </c>
      <c r="J358" s="101">
        <v>610</v>
      </c>
      <c r="K358" s="101">
        <v>940</v>
      </c>
      <c r="L358" s="101">
        <v>157</v>
      </c>
      <c r="M358" s="101">
        <v>167</v>
      </c>
      <c r="N358" s="101">
        <v>54</v>
      </c>
      <c r="O358" s="101">
        <v>29</v>
      </c>
      <c r="P358" s="101">
        <v>1023</v>
      </c>
      <c r="Q358" s="101">
        <v>21400</v>
      </c>
      <c r="R358" s="12" t="s">
        <v>25</v>
      </c>
      <c r="S358" s="12" t="s">
        <v>25</v>
      </c>
      <c r="T358" s="12" t="s">
        <v>25</v>
      </c>
    </row>
    <row r="359" spans="1:20" x14ac:dyDescent="0.3">
      <c r="A359" s="13">
        <v>43902.708333333336</v>
      </c>
      <c r="B359" s="12" t="s">
        <v>22</v>
      </c>
      <c r="C359" s="101">
        <v>13</v>
      </c>
      <c r="D359" s="12" t="s">
        <v>42</v>
      </c>
      <c r="E359" s="101">
        <v>4235122196</v>
      </c>
      <c r="F359" s="101">
        <v>1339843823</v>
      </c>
      <c r="G359" s="101">
        <v>47</v>
      </c>
      <c r="H359" s="101">
        <v>12</v>
      </c>
      <c r="I359" s="101">
        <v>59</v>
      </c>
      <c r="J359" s="101">
        <v>19</v>
      </c>
      <c r="K359" s="101">
        <v>78</v>
      </c>
      <c r="L359" s="101">
        <v>41</v>
      </c>
      <c r="M359" s="101">
        <v>46</v>
      </c>
      <c r="N359" s="101">
        <v>4</v>
      </c>
      <c r="O359" s="101">
        <v>2</v>
      </c>
      <c r="P359" s="101">
        <v>84</v>
      </c>
      <c r="Q359" s="101">
        <v>867</v>
      </c>
      <c r="R359" s="12" t="s">
        <v>25</v>
      </c>
      <c r="S359" s="12" t="s">
        <v>25</v>
      </c>
      <c r="T359" s="12" t="s">
        <v>25</v>
      </c>
    </row>
    <row r="360" spans="1:20" x14ac:dyDescent="0.3">
      <c r="A360" s="13">
        <v>43902.708333333336</v>
      </c>
      <c r="B360" s="12" t="s">
        <v>22</v>
      </c>
      <c r="C360" s="101">
        <v>17</v>
      </c>
      <c r="D360" s="12" t="s">
        <v>43</v>
      </c>
      <c r="E360" s="101">
        <v>4063947052</v>
      </c>
      <c r="F360" s="101">
        <v>1580514834</v>
      </c>
      <c r="G360" s="101">
        <v>1</v>
      </c>
      <c r="H360" s="101">
        <v>1</v>
      </c>
      <c r="I360" s="101">
        <v>2</v>
      </c>
      <c r="J360" s="101">
        <v>6</v>
      </c>
      <c r="K360" s="101">
        <v>8</v>
      </c>
      <c r="L360" s="101">
        <v>0</v>
      </c>
      <c r="M360" s="101">
        <v>0</v>
      </c>
      <c r="N360" s="101">
        <v>0</v>
      </c>
      <c r="O360" s="101">
        <v>0</v>
      </c>
      <c r="P360" s="101">
        <v>8</v>
      </c>
      <c r="Q360" s="101">
        <v>155</v>
      </c>
      <c r="R360" s="12" t="s">
        <v>25</v>
      </c>
      <c r="S360" s="12" t="s">
        <v>25</v>
      </c>
      <c r="T360" s="12" t="s">
        <v>25</v>
      </c>
    </row>
    <row r="361" spans="1:20" x14ac:dyDescent="0.3">
      <c r="A361" s="13">
        <v>43902.708333333336</v>
      </c>
      <c r="B361" s="12" t="s">
        <v>22</v>
      </c>
      <c r="C361" s="101">
        <v>4</v>
      </c>
      <c r="D361" s="12" t="s">
        <v>44</v>
      </c>
      <c r="E361" s="101">
        <v>4649933453</v>
      </c>
      <c r="F361" s="101">
        <v>1135662422</v>
      </c>
      <c r="G361" s="101">
        <v>21</v>
      </c>
      <c r="H361" s="101">
        <v>4</v>
      </c>
      <c r="I361" s="101">
        <v>25</v>
      </c>
      <c r="J361" s="101">
        <v>78</v>
      </c>
      <c r="K361" s="101">
        <v>103</v>
      </c>
      <c r="L361" s="101">
        <v>28</v>
      </c>
      <c r="M361" s="101">
        <v>29</v>
      </c>
      <c r="N361" s="101">
        <v>0</v>
      </c>
      <c r="O361" s="101">
        <v>1</v>
      </c>
      <c r="P361" s="101">
        <v>104</v>
      </c>
      <c r="Q361" s="101">
        <v>607</v>
      </c>
      <c r="R361" s="12" t="s">
        <v>25</v>
      </c>
      <c r="S361" s="12" t="s">
        <v>25</v>
      </c>
      <c r="T361" s="12" t="s">
        <v>25</v>
      </c>
    </row>
    <row r="362" spans="1:20" x14ac:dyDescent="0.3">
      <c r="A362" s="13">
        <v>43902.708333333336</v>
      </c>
      <c r="B362" s="12" t="s">
        <v>22</v>
      </c>
      <c r="C362" s="101">
        <v>18</v>
      </c>
      <c r="D362" s="12" t="s">
        <v>45</v>
      </c>
      <c r="E362" s="101">
        <v>3890597598</v>
      </c>
      <c r="F362" s="101">
        <v>1659440194</v>
      </c>
      <c r="G362" s="101">
        <v>14</v>
      </c>
      <c r="H362" s="101">
        <v>2</v>
      </c>
      <c r="I362" s="101">
        <v>16</v>
      </c>
      <c r="J362" s="101">
        <v>16</v>
      </c>
      <c r="K362" s="101">
        <v>32</v>
      </c>
      <c r="L362" s="101">
        <v>15</v>
      </c>
      <c r="M362" s="101">
        <v>14</v>
      </c>
      <c r="N362" s="101">
        <v>1</v>
      </c>
      <c r="O362" s="101">
        <v>0</v>
      </c>
      <c r="P362" s="101">
        <v>33</v>
      </c>
      <c r="Q362" s="101">
        <v>483</v>
      </c>
      <c r="R362" s="12" t="s">
        <v>25</v>
      </c>
      <c r="S362" s="12" t="s">
        <v>25</v>
      </c>
      <c r="T362" s="12" t="s">
        <v>25</v>
      </c>
    </row>
    <row r="363" spans="1:20" x14ac:dyDescent="0.3">
      <c r="A363" s="13">
        <v>43902.708333333336</v>
      </c>
      <c r="B363" s="12" t="s">
        <v>22</v>
      </c>
      <c r="C363" s="101">
        <v>15</v>
      </c>
      <c r="D363" s="12" t="s">
        <v>46</v>
      </c>
      <c r="E363" s="101">
        <v>4083956555</v>
      </c>
      <c r="F363" s="101">
        <v>1425084984</v>
      </c>
      <c r="G363" s="101">
        <v>56</v>
      </c>
      <c r="H363" s="101">
        <v>11</v>
      </c>
      <c r="I363" s="101">
        <v>67</v>
      </c>
      <c r="J363" s="101">
        <v>107</v>
      </c>
      <c r="K363" s="101">
        <v>174</v>
      </c>
      <c r="L363" s="101">
        <v>25</v>
      </c>
      <c r="M363" s="101">
        <v>25</v>
      </c>
      <c r="N363" s="101">
        <v>4</v>
      </c>
      <c r="O363" s="101">
        <v>1</v>
      </c>
      <c r="P363" s="101">
        <v>179</v>
      </c>
      <c r="Q363" s="101">
        <v>1551</v>
      </c>
      <c r="R363" s="12" t="s">
        <v>25</v>
      </c>
      <c r="S363" s="12" t="s">
        <v>25</v>
      </c>
      <c r="T363" s="12" t="s">
        <v>25</v>
      </c>
    </row>
    <row r="364" spans="1:20" x14ac:dyDescent="0.3">
      <c r="A364" s="13">
        <v>43902.708333333336</v>
      </c>
      <c r="B364" s="12" t="s">
        <v>22</v>
      </c>
      <c r="C364" s="101">
        <v>8</v>
      </c>
      <c r="D364" s="12" t="s">
        <v>96</v>
      </c>
      <c r="E364" s="101">
        <v>4449436681</v>
      </c>
      <c r="F364" s="101">
        <v>113417208</v>
      </c>
      <c r="G364" s="101">
        <v>814</v>
      </c>
      <c r="H364" s="101">
        <v>112</v>
      </c>
      <c r="I364" s="101">
        <v>926</v>
      </c>
      <c r="J364" s="101">
        <v>832</v>
      </c>
      <c r="K364" s="101">
        <v>1758</v>
      </c>
      <c r="L364" s="101">
        <v>170</v>
      </c>
      <c r="M364" s="101">
        <v>208</v>
      </c>
      <c r="N364" s="101">
        <v>43</v>
      </c>
      <c r="O364" s="101">
        <v>146</v>
      </c>
      <c r="P364" s="101">
        <v>1947</v>
      </c>
      <c r="Q364" s="101">
        <v>7600</v>
      </c>
      <c r="R364" s="12" t="s">
        <v>25</v>
      </c>
      <c r="S364" s="12" t="s">
        <v>25</v>
      </c>
      <c r="T364" s="12" t="s">
        <v>25</v>
      </c>
    </row>
    <row r="365" spans="1:20" x14ac:dyDescent="0.3">
      <c r="A365" s="13">
        <v>43902.708333333336</v>
      </c>
      <c r="B365" s="12" t="s">
        <v>22</v>
      </c>
      <c r="C365" s="101">
        <v>6</v>
      </c>
      <c r="D365" s="12" t="s">
        <v>47</v>
      </c>
      <c r="E365" s="101">
        <v>456494354</v>
      </c>
      <c r="F365" s="101">
        <v>1376813649</v>
      </c>
      <c r="G365" s="101">
        <v>23</v>
      </c>
      <c r="H365" s="101">
        <v>10</v>
      </c>
      <c r="I365" s="101">
        <v>33</v>
      </c>
      <c r="J365" s="101">
        <v>115</v>
      </c>
      <c r="K365" s="101">
        <v>148</v>
      </c>
      <c r="L365" s="101">
        <v>38</v>
      </c>
      <c r="M365" s="101">
        <v>41</v>
      </c>
      <c r="N365" s="101">
        <v>11</v>
      </c>
      <c r="O365" s="101">
        <v>8</v>
      </c>
      <c r="P365" s="101">
        <v>167</v>
      </c>
      <c r="Q365" s="101">
        <v>2604</v>
      </c>
      <c r="R365" s="12" t="s">
        <v>25</v>
      </c>
      <c r="S365" s="12" t="s">
        <v>25</v>
      </c>
      <c r="T365" s="12" t="s">
        <v>25</v>
      </c>
    </row>
    <row r="366" spans="1:20" x14ac:dyDescent="0.3">
      <c r="A366" s="13">
        <v>43902.708333333336</v>
      </c>
      <c r="B366" s="12" t="s">
        <v>22</v>
      </c>
      <c r="C366" s="101">
        <v>12</v>
      </c>
      <c r="D366" s="12" t="s">
        <v>48</v>
      </c>
      <c r="E366" s="101">
        <v>4189277044</v>
      </c>
      <c r="F366" s="101">
        <v>1248366722</v>
      </c>
      <c r="G366" s="101">
        <v>85</v>
      </c>
      <c r="H366" s="101">
        <v>20</v>
      </c>
      <c r="I366" s="101">
        <v>105</v>
      </c>
      <c r="J366" s="101">
        <v>67</v>
      </c>
      <c r="K366" s="101">
        <v>172</v>
      </c>
      <c r="L366" s="101">
        <v>47</v>
      </c>
      <c r="M366" s="101">
        <v>50</v>
      </c>
      <c r="N366" s="101">
        <v>19</v>
      </c>
      <c r="O366" s="101">
        <v>9</v>
      </c>
      <c r="P366" s="101">
        <v>200</v>
      </c>
      <c r="Q366" s="101">
        <v>5592</v>
      </c>
      <c r="R366" s="12" t="s">
        <v>25</v>
      </c>
      <c r="S366" s="12" t="s">
        <v>25</v>
      </c>
      <c r="T366" s="12" t="s">
        <v>25</v>
      </c>
    </row>
    <row r="367" spans="1:20" x14ac:dyDescent="0.3">
      <c r="A367" s="13">
        <v>43902.708333333336</v>
      </c>
      <c r="B367" s="12" t="s">
        <v>22</v>
      </c>
      <c r="C367" s="101">
        <v>7</v>
      </c>
      <c r="D367" s="12" t="s">
        <v>49</v>
      </c>
      <c r="E367" s="101">
        <v>4441149315</v>
      </c>
      <c r="F367" s="101">
        <v>89326992</v>
      </c>
      <c r="G367" s="101">
        <v>100</v>
      </c>
      <c r="H367" s="101">
        <v>36</v>
      </c>
      <c r="I367" s="101">
        <v>136</v>
      </c>
      <c r="J367" s="101">
        <v>107</v>
      </c>
      <c r="K367" s="101">
        <v>243</v>
      </c>
      <c r="L367" s="101">
        <v>62</v>
      </c>
      <c r="M367" s="101">
        <v>80</v>
      </c>
      <c r="N367" s="101">
        <v>20</v>
      </c>
      <c r="O367" s="101">
        <v>11</v>
      </c>
      <c r="P367" s="101">
        <v>274</v>
      </c>
      <c r="Q367" s="101">
        <v>1174</v>
      </c>
      <c r="R367" s="12" t="s">
        <v>25</v>
      </c>
      <c r="S367" s="12" t="s">
        <v>25</v>
      </c>
      <c r="T367" s="12" t="s">
        <v>25</v>
      </c>
    </row>
    <row r="368" spans="1:20" x14ac:dyDescent="0.3">
      <c r="A368" s="13">
        <v>43902.708333333336</v>
      </c>
      <c r="B368" s="12" t="s">
        <v>22</v>
      </c>
      <c r="C368" s="101">
        <v>3</v>
      </c>
      <c r="D368" s="12" t="s">
        <v>50</v>
      </c>
      <c r="E368" s="101">
        <v>4546679409</v>
      </c>
      <c r="F368" s="101">
        <v>9190347404</v>
      </c>
      <c r="G368" s="101">
        <v>4247</v>
      </c>
      <c r="H368" s="101">
        <v>605</v>
      </c>
      <c r="I368" s="101">
        <v>4852</v>
      </c>
      <c r="J368" s="101">
        <v>2044</v>
      </c>
      <c r="K368" s="101">
        <v>6896</v>
      </c>
      <c r="L368" s="101">
        <v>1133</v>
      </c>
      <c r="M368" s="101">
        <v>1445</v>
      </c>
      <c r="N368" s="101">
        <v>1085</v>
      </c>
      <c r="O368" s="101">
        <v>744</v>
      </c>
      <c r="P368" s="101">
        <v>8725</v>
      </c>
      <c r="Q368" s="101">
        <v>29534</v>
      </c>
      <c r="R368" s="12" t="s">
        <v>25</v>
      </c>
      <c r="S368" s="12" t="s">
        <v>25</v>
      </c>
      <c r="T368" s="12" t="s">
        <v>25</v>
      </c>
    </row>
    <row r="369" spans="1:20" x14ac:dyDescent="0.3">
      <c r="A369" s="13">
        <v>43902.708333333336</v>
      </c>
      <c r="B369" s="12" t="s">
        <v>22</v>
      </c>
      <c r="C369" s="101">
        <v>11</v>
      </c>
      <c r="D369" s="12" t="s">
        <v>51</v>
      </c>
      <c r="E369" s="101">
        <v>4361675973</v>
      </c>
      <c r="F369" s="101">
        <v>135188753</v>
      </c>
      <c r="G369" s="101">
        <v>254</v>
      </c>
      <c r="H369" s="101">
        <v>76</v>
      </c>
      <c r="I369" s="101">
        <v>330</v>
      </c>
      <c r="J369" s="101">
        <v>240</v>
      </c>
      <c r="K369" s="101">
        <v>570</v>
      </c>
      <c r="L369" s="101">
        <v>109</v>
      </c>
      <c r="M369" s="101">
        <v>113</v>
      </c>
      <c r="N369" s="101">
        <v>0</v>
      </c>
      <c r="O369" s="101">
        <v>22</v>
      </c>
      <c r="P369" s="101">
        <v>592</v>
      </c>
      <c r="Q369" s="101">
        <v>1907</v>
      </c>
      <c r="R369" s="12" t="s">
        <v>25</v>
      </c>
      <c r="S369" s="12" t="s">
        <v>25</v>
      </c>
      <c r="T369" s="12" t="s">
        <v>25</v>
      </c>
    </row>
    <row r="370" spans="1:20" x14ac:dyDescent="0.3">
      <c r="A370" s="13">
        <v>43902.708333333336</v>
      </c>
      <c r="B370" s="12" t="s">
        <v>22</v>
      </c>
      <c r="C370" s="101">
        <v>14</v>
      </c>
      <c r="D370" s="12" t="s">
        <v>52</v>
      </c>
      <c r="E370" s="101">
        <v>4155774754</v>
      </c>
      <c r="F370" s="101">
        <v>1465916051</v>
      </c>
      <c r="G370" s="101">
        <v>4</v>
      </c>
      <c r="H370" s="101">
        <v>3</v>
      </c>
      <c r="I370" s="101">
        <v>7</v>
      </c>
      <c r="J370" s="101">
        <v>9</v>
      </c>
      <c r="K370" s="101">
        <v>16</v>
      </c>
      <c r="L370" s="101">
        <v>0</v>
      </c>
      <c r="M370" s="101">
        <v>0</v>
      </c>
      <c r="N370" s="101">
        <v>0</v>
      </c>
      <c r="O370" s="101">
        <v>0</v>
      </c>
      <c r="P370" s="101">
        <v>16</v>
      </c>
      <c r="Q370" s="101">
        <v>238</v>
      </c>
      <c r="R370" s="12" t="s">
        <v>25</v>
      </c>
      <c r="S370" s="12" t="s">
        <v>25</v>
      </c>
      <c r="T370" s="12" t="s">
        <v>25</v>
      </c>
    </row>
    <row r="371" spans="1:20" x14ac:dyDescent="0.3">
      <c r="A371" s="13">
        <v>43902.708333333336</v>
      </c>
      <c r="B371" s="12" t="s">
        <v>22</v>
      </c>
      <c r="C371" s="101">
        <v>1</v>
      </c>
      <c r="D371" s="12" t="s">
        <v>53</v>
      </c>
      <c r="E371" s="101">
        <v>450732745</v>
      </c>
      <c r="F371" s="101">
        <v>7680687483</v>
      </c>
      <c r="G371" s="101">
        <v>368</v>
      </c>
      <c r="H371" s="101">
        <v>97</v>
      </c>
      <c r="I371" s="101">
        <v>465</v>
      </c>
      <c r="J371" s="101">
        <v>89</v>
      </c>
      <c r="K371" s="101">
        <v>554</v>
      </c>
      <c r="L371" s="101">
        <v>74</v>
      </c>
      <c r="M371" s="101">
        <v>79</v>
      </c>
      <c r="N371" s="101">
        <v>0</v>
      </c>
      <c r="O371" s="101">
        <v>26</v>
      </c>
      <c r="P371" s="101">
        <v>580</v>
      </c>
      <c r="Q371" s="101">
        <v>2879</v>
      </c>
      <c r="R371" s="12" t="s">
        <v>25</v>
      </c>
      <c r="S371" s="12" t="s">
        <v>25</v>
      </c>
      <c r="T371" s="12" t="s">
        <v>25</v>
      </c>
    </row>
    <row r="372" spans="1:20" x14ac:dyDescent="0.3">
      <c r="A372" s="13">
        <v>43902.708333333336</v>
      </c>
      <c r="B372" s="12" t="s">
        <v>22</v>
      </c>
      <c r="C372" s="101">
        <v>16</v>
      </c>
      <c r="D372" s="12" t="s">
        <v>54</v>
      </c>
      <c r="E372" s="101">
        <v>4112559576</v>
      </c>
      <c r="F372" s="101">
        <v>1686736689</v>
      </c>
      <c r="G372" s="101">
        <v>58</v>
      </c>
      <c r="H372" s="101">
        <v>2</v>
      </c>
      <c r="I372" s="101">
        <v>60</v>
      </c>
      <c r="J372" s="101">
        <v>38</v>
      </c>
      <c r="K372" s="101">
        <v>98</v>
      </c>
      <c r="L372" s="101">
        <v>27</v>
      </c>
      <c r="M372" s="101">
        <v>27</v>
      </c>
      <c r="N372" s="101">
        <v>1</v>
      </c>
      <c r="O372" s="101">
        <v>5</v>
      </c>
      <c r="P372" s="101">
        <v>104</v>
      </c>
      <c r="Q372" s="101">
        <v>1269</v>
      </c>
      <c r="R372" s="12" t="s">
        <v>25</v>
      </c>
      <c r="S372" s="12" t="s">
        <v>25</v>
      </c>
      <c r="T372" s="12" t="s">
        <v>25</v>
      </c>
    </row>
    <row r="373" spans="1:20" x14ac:dyDescent="0.3">
      <c r="A373" s="13">
        <v>43902.708333333336</v>
      </c>
      <c r="B373" s="12" t="s">
        <v>22</v>
      </c>
      <c r="C373" s="101">
        <v>20</v>
      </c>
      <c r="D373" s="12" t="s">
        <v>55</v>
      </c>
      <c r="E373" s="101">
        <v>3921531192</v>
      </c>
      <c r="F373" s="101">
        <v>9110616306</v>
      </c>
      <c r="G373" s="101">
        <v>12</v>
      </c>
      <c r="H373" s="101">
        <v>0</v>
      </c>
      <c r="I373" s="101">
        <v>12</v>
      </c>
      <c r="J373" s="101">
        <v>27</v>
      </c>
      <c r="K373" s="101">
        <v>39</v>
      </c>
      <c r="L373" s="101">
        <v>2</v>
      </c>
      <c r="M373" s="101">
        <v>2</v>
      </c>
      <c r="N373" s="101">
        <v>0</v>
      </c>
      <c r="O373" s="101">
        <v>0</v>
      </c>
      <c r="P373" s="101">
        <v>39</v>
      </c>
      <c r="Q373" s="101">
        <v>302</v>
      </c>
      <c r="R373" s="12" t="s">
        <v>25</v>
      </c>
      <c r="S373" s="12" t="s">
        <v>25</v>
      </c>
      <c r="T373" s="12" t="s">
        <v>25</v>
      </c>
    </row>
    <row r="374" spans="1:20" x14ac:dyDescent="0.3">
      <c r="A374" s="13">
        <v>43902.708333333336</v>
      </c>
      <c r="B374" s="12" t="s">
        <v>22</v>
      </c>
      <c r="C374" s="101">
        <v>19</v>
      </c>
      <c r="D374" s="12" t="s">
        <v>56</v>
      </c>
      <c r="E374" s="101">
        <v>3811569725</v>
      </c>
      <c r="F374" s="101">
        <v>133623567</v>
      </c>
      <c r="G374" s="101">
        <v>28</v>
      </c>
      <c r="H374" s="101">
        <v>5</v>
      </c>
      <c r="I374" s="101">
        <v>33</v>
      </c>
      <c r="J374" s="101">
        <v>78</v>
      </c>
      <c r="K374" s="101">
        <v>111</v>
      </c>
      <c r="L374" s="101">
        <v>30</v>
      </c>
      <c r="M374" s="101">
        <v>32</v>
      </c>
      <c r="N374" s="101">
        <v>2</v>
      </c>
      <c r="O374" s="101">
        <v>2</v>
      </c>
      <c r="P374" s="101">
        <v>115</v>
      </c>
      <c r="Q374" s="101">
        <v>1477</v>
      </c>
      <c r="R374" s="12" t="s">
        <v>25</v>
      </c>
      <c r="S374" s="12" t="s">
        <v>25</v>
      </c>
      <c r="T374" s="12" t="s">
        <v>25</v>
      </c>
    </row>
    <row r="375" spans="1:20" x14ac:dyDescent="0.3">
      <c r="A375" s="13">
        <v>43902.708333333336</v>
      </c>
      <c r="B375" s="12" t="s">
        <v>22</v>
      </c>
      <c r="C375" s="101">
        <v>9</v>
      </c>
      <c r="D375" s="12" t="s">
        <v>57</v>
      </c>
      <c r="E375" s="101">
        <v>4376923077</v>
      </c>
      <c r="F375" s="101">
        <v>1125588885</v>
      </c>
      <c r="G375" s="101">
        <v>100</v>
      </c>
      <c r="H375" s="101">
        <v>59</v>
      </c>
      <c r="I375" s="101">
        <v>159</v>
      </c>
      <c r="J375" s="101">
        <v>193</v>
      </c>
      <c r="K375" s="101">
        <v>352</v>
      </c>
      <c r="L375" s="101">
        <v>38</v>
      </c>
      <c r="M375" s="101">
        <v>44</v>
      </c>
      <c r="N375" s="101">
        <v>7</v>
      </c>
      <c r="O375" s="101">
        <v>5</v>
      </c>
      <c r="P375" s="101">
        <v>364</v>
      </c>
      <c r="Q375" s="101">
        <v>3165</v>
      </c>
      <c r="R375" s="12" t="s">
        <v>25</v>
      </c>
      <c r="S375" s="12" t="s">
        <v>25</v>
      </c>
      <c r="T375" s="12" t="s">
        <v>25</v>
      </c>
    </row>
    <row r="376" spans="1:20" x14ac:dyDescent="0.3">
      <c r="A376" s="13">
        <v>43902.708333333336</v>
      </c>
      <c r="B376" s="12" t="s">
        <v>22</v>
      </c>
      <c r="C376" s="101">
        <v>4</v>
      </c>
      <c r="D376" s="12" t="s">
        <v>58</v>
      </c>
      <c r="E376" s="101">
        <v>4606893511</v>
      </c>
      <c r="F376" s="101">
        <v>1112123097</v>
      </c>
      <c r="G376" s="101">
        <v>43</v>
      </c>
      <c r="H376" s="101">
        <v>5</v>
      </c>
      <c r="I376" s="101">
        <v>48</v>
      </c>
      <c r="J376" s="101">
        <v>54</v>
      </c>
      <c r="K376" s="101">
        <v>102</v>
      </c>
      <c r="L376" s="101">
        <v>28</v>
      </c>
      <c r="M376" s="101">
        <v>30</v>
      </c>
      <c r="N376" s="101">
        <v>4</v>
      </c>
      <c r="O376" s="101">
        <v>1</v>
      </c>
      <c r="P376" s="101">
        <v>107</v>
      </c>
      <c r="Q376" s="101">
        <v>593</v>
      </c>
      <c r="R376" s="12" t="s">
        <v>25</v>
      </c>
      <c r="S376" s="12" t="s">
        <v>25</v>
      </c>
      <c r="T376" s="12" t="s">
        <v>25</v>
      </c>
    </row>
    <row r="377" spans="1:20" x14ac:dyDescent="0.3">
      <c r="A377" s="13">
        <v>43902.708333333336</v>
      </c>
      <c r="B377" s="12" t="s">
        <v>22</v>
      </c>
      <c r="C377" s="101">
        <v>10</v>
      </c>
      <c r="D377" s="12" t="s">
        <v>59</v>
      </c>
      <c r="E377" s="101">
        <v>4310675841</v>
      </c>
      <c r="F377" s="101">
        <v>1238824698</v>
      </c>
      <c r="G377" s="101">
        <v>8</v>
      </c>
      <c r="H377" s="101">
        <v>8</v>
      </c>
      <c r="I377" s="101">
        <v>16</v>
      </c>
      <c r="J377" s="101">
        <v>46</v>
      </c>
      <c r="K377" s="101">
        <v>62</v>
      </c>
      <c r="L377" s="101">
        <v>18</v>
      </c>
      <c r="M377" s="101">
        <v>18</v>
      </c>
      <c r="N377" s="101">
        <v>2</v>
      </c>
      <c r="O377" s="101">
        <v>0</v>
      </c>
      <c r="P377" s="101">
        <v>64</v>
      </c>
      <c r="Q377" s="101">
        <v>458</v>
      </c>
      <c r="R377" s="12" t="s">
        <v>25</v>
      </c>
      <c r="S377" s="12" t="s">
        <v>25</v>
      </c>
      <c r="T377" s="12" t="s">
        <v>25</v>
      </c>
    </row>
    <row r="378" spans="1:20" x14ac:dyDescent="0.3">
      <c r="A378" s="13">
        <v>43902.708333333336</v>
      </c>
      <c r="B378" s="12" t="s">
        <v>22</v>
      </c>
      <c r="C378" s="101">
        <v>2</v>
      </c>
      <c r="D378" s="12" t="s">
        <v>60</v>
      </c>
      <c r="E378" s="101">
        <v>4573750286</v>
      </c>
      <c r="F378" s="101">
        <v>7320149366</v>
      </c>
      <c r="G378" s="101">
        <v>7</v>
      </c>
      <c r="H378" s="101">
        <v>0</v>
      </c>
      <c r="I378" s="101">
        <v>7</v>
      </c>
      <c r="J378" s="101">
        <v>19</v>
      </c>
      <c r="K378" s="101">
        <v>26</v>
      </c>
      <c r="L378" s="101">
        <v>7</v>
      </c>
      <c r="M378" s="101">
        <v>7</v>
      </c>
      <c r="N378" s="101">
        <v>0</v>
      </c>
      <c r="O378" s="101">
        <v>1</v>
      </c>
      <c r="P378" s="101">
        <v>27</v>
      </c>
      <c r="Q378" s="101">
        <v>118</v>
      </c>
      <c r="R378" s="12" t="s">
        <v>25</v>
      </c>
      <c r="S378" s="12" t="s">
        <v>25</v>
      </c>
      <c r="T378" s="12" t="s">
        <v>25</v>
      </c>
    </row>
    <row r="379" spans="1:20" x14ac:dyDescent="0.3">
      <c r="A379" s="13">
        <v>43902.708333333336</v>
      </c>
      <c r="B379" s="12" t="s">
        <v>22</v>
      </c>
      <c r="C379" s="101">
        <v>5</v>
      </c>
      <c r="D379" s="12" t="s">
        <v>61</v>
      </c>
      <c r="E379" s="101">
        <v>4543490485</v>
      </c>
      <c r="F379" s="101">
        <v>1233845213</v>
      </c>
      <c r="G379" s="101">
        <v>360</v>
      </c>
      <c r="H379" s="101">
        <v>85</v>
      </c>
      <c r="I379" s="101">
        <v>445</v>
      </c>
      <c r="J379" s="101">
        <v>852</v>
      </c>
      <c r="K379" s="101">
        <v>1297</v>
      </c>
      <c r="L379" s="101">
        <v>357</v>
      </c>
      <c r="M379" s="101">
        <v>361</v>
      </c>
      <c r="N379" s="101">
        <v>55</v>
      </c>
      <c r="O379" s="101">
        <v>32</v>
      </c>
      <c r="P379" s="101">
        <v>1384</v>
      </c>
      <c r="Q379" s="101">
        <v>23438</v>
      </c>
      <c r="R379" s="12" t="s">
        <v>25</v>
      </c>
      <c r="S379" s="12" t="s">
        <v>25</v>
      </c>
      <c r="T379" s="12" t="s">
        <v>25</v>
      </c>
    </row>
    <row r="380" spans="1:20" x14ac:dyDescent="0.3">
      <c r="A380" s="13">
        <v>43903.708333333336</v>
      </c>
      <c r="B380" s="12" t="s">
        <v>22</v>
      </c>
      <c r="C380" s="101">
        <v>13</v>
      </c>
      <c r="D380" s="12" t="s">
        <v>42</v>
      </c>
      <c r="E380" s="101">
        <v>4235122196</v>
      </c>
      <c r="F380" s="101">
        <v>1339843823</v>
      </c>
      <c r="G380" s="101">
        <v>42</v>
      </c>
      <c r="H380" s="101">
        <v>14</v>
      </c>
      <c r="I380" s="101">
        <v>56</v>
      </c>
      <c r="J380" s="101">
        <v>27</v>
      </c>
      <c r="K380" s="101">
        <v>83</v>
      </c>
      <c r="L380" s="101">
        <v>5</v>
      </c>
      <c r="M380" s="101">
        <v>5</v>
      </c>
      <c r="N380" s="101">
        <v>4</v>
      </c>
      <c r="O380" s="101">
        <v>2</v>
      </c>
      <c r="P380" s="101">
        <v>89</v>
      </c>
      <c r="Q380" s="101">
        <v>958</v>
      </c>
      <c r="R380" s="12" t="s">
        <v>25</v>
      </c>
      <c r="S380" s="12" t="s">
        <v>25</v>
      </c>
      <c r="T380" s="12" t="s">
        <v>25</v>
      </c>
    </row>
    <row r="381" spans="1:20" x14ac:dyDescent="0.3">
      <c r="A381" s="13">
        <v>43903.708333333336</v>
      </c>
      <c r="B381" s="12" t="s">
        <v>22</v>
      </c>
      <c r="C381" s="101">
        <v>17</v>
      </c>
      <c r="D381" s="12" t="s">
        <v>43</v>
      </c>
      <c r="E381" s="101">
        <v>4063947052</v>
      </c>
      <c r="F381" s="101">
        <v>1580514834</v>
      </c>
      <c r="G381" s="101">
        <v>1</v>
      </c>
      <c r="H381" s="101">
        <v>1</v>
      </c>
      <c r="I381" s="101">
        <v>2</v>
      </c>
      <c r="J381" s="101">
        <v>8</v>
      </c>
      <c r="K381" s="101">
        <v>10</v>
      </c>
      <c r="L381" s="101">
        <v>2</v>
      </c>
      <c r="M381" s="101">
        <v>2</v>
      </c>
      <c r="N381" s="101">
        <v>0</v>
      </c>
      <c r="O381" s="101">
        <v>0</v>
      </c>
      <c r="P381" s="101">
        <v>10</v>
      </c>
      <c r="Q381" s="101">
        <v>155</v>
      </c>
      <c r="R381" s="12" t="s">
        <v>25</v>
      </c>
      <c r="S381" s="12" t="s">
        <v>25</v>
      </c>
      <c r="T381" s="12" t="s">
        <v>25</v>
      </c>
    </row>
    <row r="382" spans="1:20" x14ac:dyDescent="0.3">
      <c r="A382" s="13">
        <v>43903.708333333336</v>
      </c>
      <c r="B382" s="12" t="s">
        <v>22</v>
      </c>
      <c r="C382" s="101">
        <v>4</v>
      </c>
      <c r="D382" s="12" t="s">
        <v>44</v>
      </c>
      <c r="E382" s="101">
        <v>4649933453</v>
      </c>
      <c r="F382" s="101">
        <v>1135662422</v>
      </c>
      <c r="G382" s="101">
        <v>20</v>
      </c>
      <c r="H382" s="101">
        <v>5</v>
      </c>
      <c r="I382" s="101">
        <v>25</v>
      </c>
      <c r="J382" s="101">
        <v>98</v>
      </c>
      <c r="K382" s="101">
        <v>123</v>
      </c>
      <c r="L382" s="101">
        <v>20</v>
      </c>
      <c r="M382" s="101">
        <v>21</v>
      </c>
      <c r="N382" s="101">
        <v>0</v>
      </c>
      <c r="O382" s="101">
        <v>2</v>
      </c>
      <c r="P382" s="101">
        <v>125</v>
      </c>
      <c r="Q382" s="101">
        <v>811</v>
      </c>
      <c r="R382" s="12" t="s">
        <v>25</v>
      </c>
      <c r="S382" s="12" t="s">
        <v>25</v>
      </c>
      <c r="T382" s="12" t="s">
        <v>25</v>
      </c>
    </row>
    <row r="383" spans="1:20" x14ac:dyDescent="0.3">
      <c r="A383" s="13">
        <v>43903.708333333336</v>
      </c>
      <c r="B383" s="12" t="s">
        <v>22</v>
      </c>
      <c r="C383" s="101">
        <v>18</v>
      </c>
      <c r="D383" s="12" t="s">
        <v>45</v>
      </c>
      <c r="E383" s="101">
        <v>3890597598</v>
      </c>
      <c r="F383" s="101">
        <v>1659440194</v>
      </c>
      <c r="G383" s="101">
        <v>18</v>
      </c>
      <c r="H383" s="101">
        <v>3</v>
      </c>
      <c r="I383" s="101">
        <v>21</v>
      </c>
      <c r="J383" s="101">
        <v>16</v>
      </c>
      <c r="K383" s="101">
        <v>37</v>
      </c>
      <c r="L383" s="101">
        <v>5</v>
      </c>
      <c r="M383" s="101">
        <v>5</v>
      </c>
      <c r="N383" s="101">
        <v>1</v>
      </c>
      <c r="O383" s="101">
        <v>0</v>
      </c>
      <c r="P383" s="101">
        <v>38</v>
      </c>
      <c r="Q383" s="101">
        <v>504</v>
      </c>
      <c r="R383" s="12" t="s">
        <v>25</v>
      </c>
      <c r="S383" s="12" t="s">
        <v>25</v>
      </c>
      <c r="T383" s="12" t="s">
        <v>25</v>
      </c>
    </row>
    <row r="384" spans="1:20" x14ac:dyDescent="0.3">
      <c r="A384" s="13">
        <v>43903.708333333336</v>
      </c>
      <c r="B384" s="12" t="s">
        <v>22</v>
      </c>
      <c r="C384" s="101">
        <v>15</v>
      </c>
      <c r="D384" s="12" t="s">
        <v>46</v>
      </c>
      <c r="E384" s="101">
        <v>4083956555</v>
      </c>
      <c r="F384" s="101">
        <v>1425084984</v>
      </c>
      <c r="G384" s="101">
        <v>60</v>
      </c>
      <c r="H384" s="101">
        <v>19</v>
      </c>
      <c r="I384" s="101">
        <v>79</v>
      </c>
      <c r="J384" s="101">
        <v>134</v>
      </c>
      <c r="K384" s="101">
        <v>213</v>
      </c>
      <c r="L384" s="101">
        <v>39</v>
      </c>
      <c r="M384" s="101">
        <v>41</v>
      </c>
      <c r="N384" s="101">
        <v>5</v>
      </c>
      <c r="O384" s="101">
        <v>2</v>
      </c>
      <c r="P384" s="101">
        <v>220</v>
      </c>
      <c r="Q384" s="101">
        <v>1671</v>
      </c>
      <c r="R384" s="12" t="s">
        <v>25</v>
      </c>
      <c r="S384" s="12" t="s">
        <v>25</v>
      </c>
      <c r="T384" s="12" t="s">
        <v>25</v>
      </c>
    </row>
    <row r="385" spans="1:20" x14ac:dyDescent="0.3">
      <c r="A385" s="13">
        <v>43903.708333333336</v>
      </c>
      <c r="B385" s="12" t="s">
        <v>22</v>
      </c>
      <c r="C385" s="101">
        <v>8</v>
      </c>
      <c r="D385" s="12" t="s">
        <v>96</v>
      </c>
      <c r="E385" s="101">
        <v>4449436681</v>
      </c>
      <c r="F385" s="101">
        <v>113417208</v>
      </c>
      <c r="G385" s="101">
        <v>942</v>
      </c>
      <c r="H385" s="101">
        <v>128</v>
      </c>
      <c r="I385" s="101">
        <v>1070</v>
      </c>
      <c r="J385" s="101">
        <v>941</v>
      </c>
      <c r="K385" s="101">
        <v>2011</v>
      </c>
      <c r="L385" s="101">
        <v>253</v>
      </c>
      <c r="M385" s="101">
        <v>316</v>
      </c>
      <c r="N385" s="101">
        <v>51</v>
      </c>
      <c r="O385" s="101">
        <v>201</v>
      </c>
      <c r="P385" s="101">
        <v>2263</v>
      </c>
      <c r="Q385" s="101">
        <v>8787</v>
      </c>
      <c r="R385" s="12" t="s">
        <v>25</v>
      </c>
      <c r="S385" s="12" t="s">
        <v>25</v>
      </c>
      <c r="T385" s="12" t="s">
        <v>25</v>
      </c>
    </row>
    <row r="386" spans="1:20" x14ac:dyDescent="0.3">
      <c r="A386" s="13">
        <v>43903.708333333336</v>
      </c>
      <c r="B386" s="12" t="s">
        <v>22</v>
      </c>
      <c r="C386" s="101">
        <v>6</v>
      </c>
      <c r="D386" s="12" t="s">
        <v>47</v>
      </c>
      <c r="E386" s="101">
        <v>456494354</v>
      </c>
      <c r="F386" s="101">
        <v>1376813649</v>
      </c>
      <c r="G386" s="101">
        <v>59</v>
      </c>
      <c r="H386" s="101">
        <v>8</v>
      </c>
      <c r="I386" s="101">
        <v>67</v>
      </c>
      <c r="J386" s="101">
        <v>169</v>
      </c>
      <c r="K386" s="101">
        <v>236</v>
      </c>
      <c r="L386" s="101">
        <v>88</v>
      </c>
      <c r="M386" s="101">
        <v>90</v>
      </c>
      <c r="N386" s="101">
        <v>11</v>
      </c>
      <c r="O386" s="101">
        <v>10</v>
      </c>
      <c r="P386" s="101">
        <v>257</v>
      </c>
      <c r="Q386" s="101">
        <v>3149</v>
      </c>
      <c r="R386" s="12" t="s">
        <v>25</v>
      </c>
      <c r="S386" s="12" t="s">
        <v>25</v>
      </c>
      <c r="T386" s="12" t="s">
        <v>25</v>
      </c>
    </row>
    <row r="387" spans="1:20" x14ac:dyDescent="0.3">
      <c r="A387" s="13">
        <v>43903.708333333336</v>
      </c>
      <c r="B387" s="12" t="s">
        <v>22</v>
      </c>
      <c r="C387" s="101">
        <v>12</v>
      </c>
      <c r="D387" s="12" t="s">
        <v>48</v>
      </c>
      <c r="E387" s="101">
        <v>4189277044</v>
      </c>
      <c r="F387" s="101">
        <v>1248366722</v>
      </c>
      <c r="G387" s="101">
        <v>122</v>
      </c>
      <c r="H387" s="101">
        <v>24</v>
      </c>
      <c r="I387" s="101">
        <v>146</v>
      </c>
      <c r="J387" s="101">
        <v>96</v>
      </c>
      <c r="K387" s="101">
        <v>242</v>
      </c>
      <c r="L387" s="101">
        <v>70</v>
      </c>
      <c r="M387" s="101">
        <v>77</v>
      </c>
      <c r="N387" s="101">
        <v>24</v>
      </c>
      <c r="O387" s="101">
        <v>11</v>
      </c>
      <c r="P387" s="101">
        <v>277</v>
      </c>
      <c r="Q387" s="101">
        <v>6491</v>
      </c>
      <c r="R387" s="12" t="s">
        <v>25</v>
      </c>
      <c r="S387" s="12" t="s">
        <v>25</v>
      </c>
      <c r="T387" s="12" t="s">
        <v>25</v>
      </c>
    </row>
    <row r="388" spans="1:20" x14ac:dyDescent="0.3">
      <c r="A388" s="13">
        <v>43903.708333333336</v>
      </c>
      <c r="B388" s="12" t="s">
        <v>22</v>
      </c>
      <c r="C388" s="101">
        <v>7</v>
      </c>
      <c r="D388" s="12" t="s">
        <v>49</v>
      </c>
      <c r="E388" s="101">
        <v>4441149315</v>
      </c>
      <c r="F388" s="101">
        <v>89326992</v>
      </c>
      <c r="G388" s="101">
        <v>128</v>
      </c>
      <c r="H388" s="101">
        <v>44</v>
      </c>
      <c r="I388" s="101">
        <v>172</v>
      </c>
      <c r="J388" s="101">
        <v>132</v>
      </c>
      <c r="K388" s="101">
        <v>304</v>
      </c>
      <c r="L388" s="101">
        <v>61</v>
      </c>
      <c r="M388" s="101">
        <v>71</v>
      </c>
      <c r="N388" s="101">
        <v>24</v>
      </c>
      <c r="O388" s="101">
        <v>17</v>
      </c>
      <c r="P388" s="101">
        <v>345</v>
      </c>
      <c r="Q388" s="101">
        <v>1442</v>
      </c>
      <c r="R388" s="12" t="s">
        <v>25</v>
      </c>
      <c r="S388" s="12" t="s">
        <v>25</v>
      </c>
      <c r="T388" s="12" t="s">
        <v>25</v>
      </c>
    </row>
    <row r="389" spans="1:20" x14ac:dyDescent="0.3">
      <c r="A389" s="13">
        <v>43903.708333333336</v>
      </c>
      <c r="B389" s="12" t="s">
        <v>22</v>
      </c>
      <c r="C389" s="101">
        <v>3</v>
      </c>
      <c r="D389" s="12" t="s">
        <v>50</v>
      </c>
      <c r="E389" s="101">
        <v>4546679409</v>
      </c>
      <c r="F389" s="101">
        <v>9190347404</v>
      </c>
      <c r="G389" s="101">
        <v>4435</v>
      </c>
      <c r="H389" s="101">
        <v>650</v>
      </c>
      <c r="I389" s="101">
        <v>5085</v>
      </c>
      <c r="J389" s="101">
        <v>2647</v>
      </c>
      <c r="K389" s="101">
        <v>7732</v>
      </c>
      <c r="L389" s="101">
        <v>836</v>
      </c>
      <c r="M389" s="101">
        <v>1095</v>
      </c>
      <c r="N389" s="101">
        <v>1198</v>
      </c>
      <c r="O389" s="101">
        <v>890</v>
      </c>
      <c r="P389" s="101">
        <v>9820</v>
      </c>
      <c r="Q389" s="101">
        <v>32700</v>
      </c>
      <c r="R389" s="12" t="s">
        <v>25</v>
      </c>
      <c r="S389" s="12" t="s">
        <v>25</v>
      </c>
      <c r="T389" s="12" t="s">
        <v>25</v>
      </c>
    </row>
    <row r="390" spans="1:20" x14ac:dyDescent="0.3">
      <c r="A390" s="13">
        <v>43903.708333333336</v>
      </c>
      <c r="B390" s="12" t="s">
        <v>22</v>
      </c>
      <c r="C390" s="101">
        <v>11</v>
      </c>
      <c r="D390" s="12" t="s">
        <v>51</v>
      </c>
      <c r="E390" s="101">
        <v>4361675973</v>
      </c>
      <c r="F390" s="101">
        <v>135188753</v>
      </c>
      <c r="G390" s="101">
        <v>337</v>
      </c>
      <c r="H390" s="101">
        <v>85</v>
      </c>
      <c r="I390" s="101">
        <v>422</v>
      </c>
      <c r="J390" s="101">
        <v>276</v>
      </c>
      <c r="K390" s="101">
        <v>698</v>
      </c>
      <c r="L390" s="101">
        <v>128</v>
      </c>
      <c r="M390" s="101">
        <v>133</v>
      </c>
      <c r="N390" s="101">
        <v>0</v>
      </c>
      <c r="O390" s="101">
        <v>27</v>
      </c>
      <c r="P390" s="101">
        <v>725</v>
      </c>
      <c r="Q390" s="101">
        <v>2218</v>
      </c>
      <c r="R390" s="12" t="s">
        <v>25</v>
      </c>
      <c r="S390" s="12" t="s">
        <v>25</v>
      </c>
      <c r="T390" s="12" t="s">
        <v>25</v>
      </c>
    </row>
    <row r="391" spans="1:20" x14ac:dyDescent="0.3">
      <c r="A391" s="13">
        <v>43903.708333333336</v>
      </c>
      <c r="B391" s="12" t="s">
        <v>22</v>
      </c>
      <c r="C391" s="101">
        <v>14</v>
      </c>
      <c r="D391" s="12" t="s">
        <v>52</v>
      </c>
      <c r="E391" s="101">
        <v>4155774754</v>
      </c>
      <c r="F391" s="101">
        <v>1465916051</v>
      </c>
      <c r="G391" s="101">
        <v>5</v>
      </c>
      <c r="H391" s="101">
        <v>3</v>
      </c>
      <c r="I391" s="101">
        <v>8</v>
      </c>
      <c r="J391" s="101">
        <v>9</v>
      </c>
      <c r="K391" s="101">
        <v>17</v>
      </c>
      <c r="L391" s="101">
        <v>1</v>
      </c>
      <c r="M391" s="101">
        <v>1</v>
      </c>
      <c r="N391" s="101">
        <v>0</v>
      </c>
      <c r="O391" s="101">
        <v>0</v>
      </c>
      <c r="P391" s="101">
        <v>17</v>
      </c>
      <c r="Q391" s="101">
        <v>243</v>
      </c>
      <c r="R391" s="12" t="s">
        <v>25</v>
      </c>
      <c r="S391" s="12" t="s">
        <v>25</v>
      </c>
      <c r="T391" s="12" t="s">
        <v>25</v>
      </c>
    </row>
    <row r="392" spans="1:20" x14ac:dyDescent="0.3">
      <c r="A392" s="13">
        <v>43903.708333333336</v>
      </c>
      <c r="B392" s="12" t="s">
        <v>22</v>
      </c>
      <c r="C392" s="101">
        <v>1</v>
      </c>
      <c r="D392" s="12" t="s">
        <v>53</v>
      </c>
      <c r="E392" s="101">
        <v>450732745</v>
      </c>
      <c r="F392" s="101">
        <v>7680687483</v>
      </c>
      <c r="G392" s="101">
        <v>556</v>
      </c>
      <c r="H392" s="101">
        <v>135</v>
      </c>
      <c r="I392" s="101">
        <v>691</v>
      </c>
      <c r="J392" s="101">
        <v>103</v>
      </c>
      <c r="K392" s="101">
        <v>794</v>
      </c>
      <c r="L392" s="101">
        <v>240</v>
      </c>
      <c r="M392" s="101">
        <v>260</v>
      </c>
      <c r="N392" s="101">
        <v>0</v>
      </c>
      <c r="O392" s="101">
        <v>46</v>
      </c>
      <c r="P392" s="101">
        <v>840</v>
      </c>
      <c r="Q392" s="101">
        <v>3105</v>
      </c>
      <c r="R392" s="12" t="s">
        <v>25</v>
      </c>
      <c r="S392" s="12" t="s">
        <v>25</v>
      </c>
      <c r="T392" s="12" t="s">
        <v>25</v>
      </c>
    </row>
    <row r="393" spans="1:20" x14ac:dyDescent="0.3">
      <c r="A393" s="13">
        <v>43903.708333333336</v>
      </c>
      <c r="B393" s="12" t="s">
        <v>22</v>
      </c>
      <c r="C393" s="101">
        <v>16</v>
      </c>
      <c r="D393" s="12" t="s">
        <v>54</v>
      </c>
      <c r="E393" s="101">
        <v>4112559576</v>
      </c>
      <c r="F393" s="101">
        <v>1686736689</v>
      </c>
      <c r="G393" s="101">
        <v>77</v>
      </c>
      <c r="H393" s="101">
        <v>2</v>
      </c>
      <c r="I393" s="101">
        <v>79</v>
      </c>
      <c r="J393" s="101">
        <v>42</v>
      </c>
      <c r="K393" s="101">
        <v>121</v>
      </c>
      <c r="L393" s="101">
        <v>23</v>
      </c>
      <c r="M393" s="101">
        <v>25</v>
      </c>
      <c r="N393" s="101">
        <v>3</v>
      </c>
      <c r="O393" s="101">
        <v>5</v>
      </c>
      <c r="P393" s="101">
        <v>129</v>
      </c>
      <c r="Q393" s="101">
        <v>1449</v>
      </c>
      <c r="R393" s="12" t="s">
        <v>25</v>
      </c>
      <c r="S393" s="12" t="s">
        <v>25</v>
      </c>
      <c r="T393" s="12" t="s">
        <v>25</v>
      </c>
    </row>
    <row r="394" spans="1:20" x14ac:dyDescent="0.3">
      <c r="A394" s="13">
        <v>43903.708333333336</v>
      </c>
      <c r="B394" s="12" t="s">
        <v>22</v>
      </c>
      <c r="C394" s="101">
        <v>20</v>
      </c>
      <c r="D394" s="12" t="s">
        <v>55</v>
      </c>
      <c r="E394" s="101">
        <v>3921531192</v>
      </c>
      <c r="F394" s="101">
        <v>9110616306</v>
      </c>
      <c r="G394" s="101">
        <v>12</v>
      </c>
      <c r="H394" s="101">
        <v>0</v>
      </c>
      <c r="I394" s="101">
        <v>12</v>
      </c>
      <c r="J394" s="101">
        <v>31</v>
      </c>
      <c r="K394" s="101">
        <v>43</v>
      </c>
      <c r="L394" s="101">
        <v>4</v>
      </c>
      <c r="M394" s="101">
        <v>4</v>
      </c>
      <c r="N394" s="101">
        <v>0</v>
      </c>
      <c r="O394" s="101">
        <v>0</v>
      </c>
      <c r="P394" s="101">
        <v>43</v>
      </c>
      <c r="Q394" s="101">
        <v>504</v>
      </c>
      <c r="R394" s="12" t="s">
        <v>25</v>
      </c>
      <c r="S394" s="12" t="s">
        <v>25</v>
      </c>
      <c r="T394" s="12" t="s">
        <v>25</v>
      </c>
    </row>
    <row r="395" spans="1:20" x14ac:dyDescent="0.3">
      <c r="A395" s="13">
        <v>43903.708333333336</v>
      </c>
      <c r="B395" s="12" t="s">
        <v>22</v>
      </c>
      <c r="C395" s="101">
        <v>19</v>
      </c>
      <c r="D395" s="12" t="s">
        <v>56</v>
      </c>
      <c r="E395" s="101">
        <v>3811569725</v>
      </c>
      <c r="F395" s="101">
        <v>133623567</v>
      </c>
      <c r="G395" s="101">
        <v>37</v>
      </c>
      <c r="H395" s="101">
        <v>7</v>
      </c>
      <c r="I395" s="101">
        <v>44</v>
      </c>
      <c r="J395" s="101">
        <v>82</v>
      </c>
      <c r="K395" s="101">
        <v>126</v>
      </c>
      <c r="L395" s="101">
        <v>15</v>
      </c>
      <c r="M395" s="101">
        <v>15</v>
      </c>
      <c r="N395" s="101">
        <v>2</v>
      </c>
      <c r="O395" s="101">
        <v>2</v>
      </c>
      <c r="P395" s="101">
        <v>130</v>
      </c>
      <c r="Q395" s="101">
        <v>1950</v>
      </c>
      <c r="R395" s="12" t="s">
        <v>25</v>
      </c>
      <c r="S395" s="12" t="s">
        <v>25</v>
      </c>
      <c r="T395" s="12" t="s">
        <v>25</v>
      </c>
    </row>
    <row r="396" spans="1:20" x14ac:dyDescent="0.3">
      <c r="A396" s="13">
        <v>43903.708333333336</v>
      </c>
      <c r="B396" s="12" t="s">
        <v>22</v>
      </c>
      <c r="C396" s="101">
        <v>9</v>
      </c>
      <c r="D396" s="12" t="s">
        <v>57</v>
      </c>
      <c r="E396" s="101">
        <v>4376923077</v>
      </c>
      <c r="F396" s="101">
        <v>1125588885</v>
      </c>
      <c r="G396" s="101">
        <v>134</v>
      </c>
      <c r="H396" s="101">
        <v>77</v>
      </c>
      <c r="I396" s="101">
        <v>211</v>
      </c>
      <c r="J396" s="101">
        <v>244</v>
      </c>
      <c r="K396" s="101">
        <v>455</v>
      </c>
      <c r="L396" s="101">
        <v>103</v>
      </c>
      <c r="M396" s="101">
        <v>106</v>
      </c>
      <c r="N396" s="101">
        <v>10</v>
      </c>
      <c r="O396" s="101">
        <v>5</v>
      </c>
      <c r="P396" s="101">
        <v>470</v>
      </c>
      <c r="Q396" s="101">
        <v>4049</v>
      </c>
      <c r="R396" s="12" t="s">
        <v>25</v>
      </c>
      <c r="S396" s="12" t="s">
        <v>25</v>
      </c>
      <c r="T396" s="12" t="s">
        <v>25</v>
      </c>
    </row>
    <row r="397" spans="1:20" x14ac:dyDescent="0.3">
      <c r="A397" s="13">
        <v>43903.708333333336</v>
      </c>
      <c r="B397" s="12" t="s">
        <v>22</v>
      </c>
      <c r="C397" s="101">
        <v>4</v>
      </c>
      <c r="D397" s="12" t="s">
        <v>58</v>
      </c>
      <c r="E397" s="101">
        <v>4606893511</v>
      </c>
      <c r="F397" s="101">
        <v>1112123097</v>
      </c>
      <c r="G397" s="101">
        <v>58</v>
      </c>
      <c r="H397" s="101">
        <v>6</v>
      </c>
      <c r="I397" s="101">
        <v>64</v>
      </c>
      <c r="J397" s="101">
        <v>93</v>
      </c>
      <c r="K397" s="101">
        <v>157</v>
      </c>
      <c r="L397" s="101">
        <v>55</v>
      </c>
      <c r="M397" s="101">
        <v>56</v>
      </c>
      <c r="N397" s="101">
        <v>4</v>
      </c>
      <c r="O397" s="101">
        <v>2</v>
      </c>
      <c r="P397" s="101">
        <v>163</v>
      </c>
      <c r="Q397" s="101">
        <v>846</v>
      </c>
      <c r="R397" s="12" t="s">
        <v>25</v>
      </c>
      <c r="S397" s="12" t="s">
        <v>25</v>
      </c>
      <c r="T397" s="12" t="s">
        <v>25</v>
      </c>
    </row>
    <row r="398" spans="1:20" x14ac:dyDescent="0.3">
      <c r="A398" s="13">
        <v>43903.708333333336</v>
      </c>
      <c r="B398" s="12" t="s">
        <v>22</v>
      </c>
      <c r="C398" s="101">
        <v>10</v>
      </c>
      <c r="D398" s="12" t="s">
        <v>59</v>
      </c>
      <c r="E398" s="101">
        <v>4310675841</v>
      </c>
      <c r="F398" s="101">
        <v>1238824698</v>
      </c>
      <c r="G398" s="101">
        <v>11</v>
      </c>
      <c r="H398" s="101">
        <v>10</v>
      </c>
      <c r="I398" s="101">
        <v>21</v>
      </c>
      <c r="J398" s="101">
        <v>52</v>
      </c>
      <c r="K398" s="101">
        <v>73</v>
      </c>
      <c r="L398" s="101">
        <v>11</v>
      </c>
      <c r="M398" s="101">
        <v>12</v>
      </c>
      <c r="N398" s="101">
        <v>2</v>
      </c>
      <c r="O398" s="101">
        <v>1</v>
      </c>
      <c r="P398" s="101">
        <v>76</v>
      </c>
      <c r="Q398" s="101">
        <v>576</v>
      </c>
      <c r="R398" s="12" t="s">
        <v>25</v>
      </c>
      <c r="S398" s="12" t="s">
        <v>25</v>
      </c>
      <c r="T398" s="12" t="s">
        <v>25</v>
      </c>
    </row>
    <row r="399" spans="1:20" x14ac:dyDescent="0.3">
      <c r="A399" s="13">
        <v>43903.708333333336</v>
      </c>
      <c r="B399" s="12" t="s">
        <v>22</v>
      </c>
      <c r="C399" s="101">
        <v>2</v>
      </c>
      <c r="D399" s="12" t="s">
        <v>60</v>
      </c>
      <c r="E399" s="101">
        <v>4573750286</v>
      </c>
      <c r="F399" s="101">
        <v>7320149366</v>
      </c>
      <c r="G399" s="101">
        <v>6</v>
      </c>
      <c r="H399" s="101">
        <v>0</v>
      </c>
      <c r="I399" s="101">
        <v>6</v>
      </c>
      <c r="J399" s="101">
        <v>21</v>
      </c>
      <c r="K399" s="101">
        <v>27</v>
      </c>
      <c r="L399" s="101">
        <v>1</v>
      </c>
      <c r="M399" s="101">
        <v>1</v>
      </c>
      <c r="N399" s="101">
        <v>0</v>
      </c>
      <c r="O399" s="101">
        <v>1</v>
      </c>
      <c r="P399" s="101">
        <v>28</v>
      </c>
      <c r="Q399" s="101">
        <v>189</v>
      </c>
      <c r="R399" s="12" t="s">
        <v>25</v>
      </c>
      <c r="S399" s="12" t="s">
        <v>25</v>
      </c>
      <c r="T399" s="12" t="s">
        <v>25</v>
      </c>
    </row>
    <row r="400" spans="1:20" x14ac:dyDescent="0.3">
      <c r="A400" s="13">
        <v>43903.708333333336</v>
      </c>
      <c r="B400" s="12" t="s">
        <v>22</v>
      </c>
      <c r="C400" s="101">
        <v>5</v>
      </c>
      <c r="D400" s="12" t="s">
        <v>61</v>
      </c>
      <c r="E400" s="101">
        <v>4543490485</v>
      </c>
      <c r="F400" s="101">
        <v>1233845213</v>
      </c>
      <c r="G400" s="101">
        <v>366</v>
      </c>
      <c r="H400" s="101">
        <v>107</v>
      </c>
      <c r="I400" s="101">
        <v>473</v>
      </c>
      <c r="J400" s="101">
        <v>980</v>
      </c>
      <c r="K400" s="101">
        <v>1453</v>
      </c>
      <c r="L400" s="101">
        <v>156</v>
      </c>
      <c r="M400" s="101">
        <v>211</v>
      </c>
      <c r="N400" s="101">
        <v>100</v>
      </c>
      <c r="O400" s="101">
        <v>42</v>
      </c>
      <c r="P400" s="101">
        <v>1595</v>
      </c>
      <c r="Q400" s="101">
        <v>25691</v>
      </c>
      <c r="R400" s="12" t="s">
        <v>25</v>
      </c>
      <c r="S400" s="12" t="s">
        <v>25</v>
      </c>
      <c r="T400" s="12" t="s">
        <v>25</v>
      </c>
    </row>
    <row r="401" spans="1:20" x14ac:dyDescent="0.3">
      <c r="A401" s="13">
        <v>43904.708333333336</v>
      </c>
      <c r="B401" s="12" t="s">
        <v>22</v>
      </c>
      <c r="C401" s="101">
        <v>13</v>
      </c>
      <c r="D401" s="12" t="s">
        <v>42</v>
      </c>
      <c r="E401" s="101">
        <v>4235122196</v>
      </c>
      <c r="F401" s="101">
        <v>1339843823</v>
      </c>
      <c r="G401" s="101">
        <v>51</v>
      </c>
      <c r="H401" s="101">
        <v>14</v>
      </c>
      <c r="I401" s="101">
        <v>65</v>
      </c>
      <c r="J401" s="101">
        <v>41</v>
      </c>
      <c r="K401" s="101">
        <v>106</v>
      </c>
      <c r="L401" s="101">
        <v>23</v>
      </c>
      <c r="M401" s="101">
        <v>23</v>
      </c>
      <c r="N401" s="101">
        <v>4</v>
      </c>
      <c r="O401" s="101">
        <v>2</v>
      </c>
      <c r="P401" s="101">
        <v>112</v>
      </c>
      <c r="Q401" s="101">
        <v>1232</v>
      </c>
      <c r="R401" s="12" t="s">
        <v>25</v>
      </c>
      <c r="S401" s="12" t="s">
        <v>25</v>
      </c>
      <c r="T401" s="12" t="s">
        <v>25</v>
      </c>
    </row>
    <row r="402" spans="1:20" x14ac:dyDescent="0.3">
      <c r="A402" s="13">
        <v>43904.708333333336</v>
      </c>
      <c r="B402" s="12" t="s">
        <v>22</v>
      </c>
      <c r="C402" s="101">
        <v>17</v>
      </c>
      <c r="D402" s="12" t="s">
        <v>43</v>
      </c>
      <c r="E402" s="101">
        <v>4063947052</v>
      </c>
      <c r="F402" s="101">
        <v>1580514834</v>
      </c>
      <c r="G402" s="101">
        <v>0</v>
      </c>
      <c r="H402" s="101">
        <v>2</v>
      </c>
      <c r="I402" s="101">
        <v>2</v>
      </c>
      <c r="J402" s="101">
        <v>8</v>
      </c>
      <c r="K402" s="101">
        <v>10</v>
      </c>
      <c r="L402" s="101">
        <v>0</v>
      </c>
      <c r="M402" s="101">
        <v>0</v>
      </c>
      <c r="N402" s="101">
        <v>0</v>
      </c>
      <c r="O402" s="101">
        <v>0</v>
      </c>
      <c r="P402" s="101">
        <v>10</v>
      </c>
      <c r="Q402" s="101">
        <v>155</v>
      </c>
      <c r="R402" s="12" t="s">
        <v>25</v>
      </c>
      <c r="S402" s="12" t="s">
        <v>25</v>
      </c>
      <c r="T402" s="12" t="s">
        <v>25</v>
      </c>
    </row>
    <row r="403" spans="1:20" x14ac:dyDescent="0.3">
      <c r="A403" s="13">
        <v>43904.708333333336</v>
      </c>
      <c r="B403" s="12" t="s">
        <v>22</v>
      </c>
      <c r="C403" s="101">
        <v>4</v>
      </c>
      <c r="D403" s="12" t="s">
        <v>44</v>
      </c>
      <c r="E403" s="101">
        <v>4649933453</v>
      </c>
      <c r="F403" s="101">
        <v>1135662422</v>
      </c>
      <c r="G403" s="101">
        <v>26</v>
      </c>
      <c r="H403" s="101">
        <v>7</v>
      </c>
      <c r="I403" s="101">
        <v>33</v>
      </c>
      <c r="J403" s="101">
        <v>137</v>
      </c>
      <c r="K403" s="101">
        <v>170</v>
      </c>
      <c r="L403" s="101">
        <v>47</v>
      </c>
      <c r="M403" s="101">
        <v>48</v>
      </c>
      <c r="N403" s="101">
        <v>0</v>
      </c>
      <c r="O403" s="101">
        <v>3</v>
      </c>
      <c r="P403" s="101">
        <v>173</v>
      </c>
      <c r="Q403" s="101">
        <v>1135</v>
      </c>
      <c r="R403" s="12" t="s">
        <v>25</v>
      </c>
      <c r="S403" s="12" t="s">
        <v>25</v>
      </c>
      <c r="T403" s="12" t="s">
        <v>25</v>
      </c>
    </row>
    <row r="404" spans="1:20" x14ac:dyDescent="0.3">
      <c r="A404" s="13">
        <v>43904.708333333336</v>
      </c>
      <c r="B404" s="12" t="s">
        <v>22</v>
      </c>
      <c r="C404" s="101">
        <v>18</v>
      </c>
      <c r="D404" s="12" t="s">
        <v>45</v>
      </c>
      <c r="E404" s="101">
        <v>3890597598</v>
      </c>
      <c r="F404" s="101">
        <v>1659440194</v>
      </c>
      <c r="G404" s="101">
        <v>22</v>
      </c>
      <c r="H404" s="101">
        <v>4</v>
      </c>
      <c r="I404" s="101">
        <v>26</v>
      </c>
      <c r="J404" s="101">
        <v>33</v>
      </c>
      <c r="K404" s="101">
        <v>59</v>
      </c>
      <c r="L404" s="101">
        <v>22</v>
      </c>
      <c r="M404" s="101">
        <v>22</v>
      </c>
      <c r="N404" s="101">
        <v>1</v>
      </c>
      <c r="O404" s="101">
        <v>0</v>
      </c>
      <c r="P404" s="101">
        <v>60</v>
      </c>
      <c r="Q404" s="101">
        <v>711</v>
      </c>
      <c r="R404" s="12" t="s">
        <v>25</v>
      </c>
      <c r="S404" s="12" t="s">
        <v>25</v>
      </c>
      <c r="T404" s="12" t="s">
        <v>25</v>
      </c>
    </row>
    <row r="405" spans="1:20" x14ac:dyDescent="0.3">
      <c r="A405" s="13">
        <v>43904.708333333336</v>
      </c>
      <c r="B405" s="12" t="s">
        <v>22</v>
      </c>
      <c r="C405" s="101">
        <v>15</v>
      </c>
      <c r="D405" s="12" t="s">
        <v>46</v>
      </c>
      <c r="E405" s="101">
        <v>4083956555</v>
      </c>
      <c r="F405" s="101">
        <v>1425084984</v>
      </c>
      <c r="G405" s="101">
        <v>72</v>
      </c>
      <c r="H405" s="101">
        <v>17</v>
      </c>
      <c r="I405" s="101">
        <v>89</v>
      </c>
      <c r="J405" s="101">
        <v>154</v>
      </c>
      <c r="K405" s="101">
        <v>243</v>
      </c>
      <c r="L405" s="101">
        <v>30</v>
      </c>
      <c r="M405" s="101">
        <v>52</v>
      </c>
      <c r="N405" s="101">
        <v>23</v>
      </c>
      <c r="O405" s="101">
        <v>6</v>
      </c>
      <c r="P405" s="101">
        <v>272</v>
      </c>
      <c r="Q405" s="101">
        <v>1936</v>
      </c>
      <c r="R405" s="12" t="s">
        <v>25</v>
      </c>
      <c r="S405" s="12" t="s">
        <v>25</v>
      </c>
      <c r="T405" s="12" t="s">
        <v>25</v>
      </c>
    </row>
    <row r="406" spans="1:20" x14ac:dyDescent="0.3">
      <c r="A406" s="13">
        <v>43904.708333333336</v>
      </c>
      <c r="B406" s="12" t="s">
        <v>22</v>
      </c>
      <c r="C406" s="101">
        <v>8</v>
      </c>
      <c r="D406" s="12" t="s">
        <v>96</v>
      </c>
      <c r="E406" s="101">
        <v>4449436681</v>
      </c>
      <c r="F406" s="101">
        <v>113417208</v>
      </c>
      <c r="G406" s="101">
        <v>1076</v>
      </c>
      <c r="H406" s="101">
        <v>152</v>
      </c>
      <c r="I406" s="101">
        <v>1228</v>
      </c>
      <c r="J406" s="101">
        <v>1121</v>
      </c>
      <c r="K406" s="101">
        <v>2349</v>
      </c>
      <c r="L406" s="101">
        <v>338</v>
      </c>
      <c r="M406" s="101">
        <v>381</v>
      </c>
      <c r="N406" s="101">
        <v>54</v>
      </c>
      <c r="O406" s="101">
        <v>241</v>
      </c>
      <c r="P406" s="101">
        <v>2644</v>
      </c>
      <c r="Q406" s="101">
        <v>10043</v>
      </c>
      <c r="R406" s="12" t="s">
        <v>25</v>
      </c>
      <c r="S406" s="12" t="s">
        <v>25</v>
      </c>
      <c r="T406" s="12" t="s">
        <v>25</v>
      </c>
    </row>
    <row r="407" spans="1:20" x14ac:dyDescent="0.3">
      <c r="A407" s="13">
        <v>43904.708333333336</v>
      </c>
      <c r="B407" s="12" t="s">
        <v>22</v>
      </c>
      <c r="C407" s="101">
        <v>6</v>
      </c>
      <c r="D407" s="12" t="s">
        <v>47</v>
      </c>
      <c r="E407" s="101">
        <v>456494354</v>
      </c>
      <c r="F407" s="101">
        <v>1376813649</v>
      </c>
      <c r="G407" s="101">
        <v>67</v>
      </c>
      <c r="H407" s="101">
        <v>11</v>
      </c>
      <c r="I407" s="101">
        <v>78</v>
      </c>
      <c r="J407" s="101">
        <v>193</v>
      </c>
      <c r="K407" s="101">
        <v>271</v>
      </c>
      <c r="L407" s="101">
        <v>35</v>
      </c>
      <c r="M407" s="101">
        <v>44</v>
      </c>
      <c r="N407" s="101">
        <v>17</v>
      </c>
      <c r="O407" s="101">
        <v>13</v>
      </c>
      <c r="P407" s="101">
        <v>301</v>
      </c>
      <c r="Q407" s="101">
        <v>3376</v>
      </c>
      <c r="R407" s="12" t="s">
        <v>25</v>
      </c>
      <c r="S407" s="12" t="s">
        <v>25</v>
      </c>
      <c r="T407" s="12" t="s">
        <v>25</v>
      </c>
    </row>
    <row r="408" spans="1:20" x14ac:dyDescent="0.3">
      <c r="A408" s="13">
        <v>43904.708333333336</v>
      </c>
      <c r="B408" s="12" t="s">
        <v>22</v>
      </c>
      <c r="C408" s="101">
        <v>12</v>
      </c>
      <c r="D408" s="12" t="s">
        <v>48</v>
      </c>
      <c r="E408" s="101">
        <v>4189277044</v>
      </c>
      <c r="F408" s="101">
        <v>1248366722</v>
      </c>
      <c r="G408" s="101">
        <v>181</v>
      </c>
      <c r="H408" s="101">
        <v>25</v>
      </c>
      <c r="I408" s="101">
        <v>206</v>
      </c>
      <c r="J408" s="101">
        <v>114</v>
      </c>
      <c r="K408" s="101">
        <v>320</v>
      </c>
      <c r="L408" s="101">
        <v>78</v>
      </c>
      <c r="M408" s="101">
        <v>80</v>
      </c>
      <c r="N408" s="101">
        <v>24</v>
      </c>
      <c r="O408" s="101">
        <v>13</v>
      </c>
      <c r="P408" s="101">
        <v>357</v>
      </c>
      <c r="Q408" s="101">
        <v>7335</v>
      </c>
      <c r="R408" s="12" t="s">
        <v>25</v>
      </c>
      <c r="S408" s="12" t="s">
        <v>25</v>
      </c>
      <c r="T408" s="12" t="s">
        <v>25</v>
      </c>
    </row>
    <row r="409" spans="1:20" x14ac:dyDescent="0.3">
      <c r="A409" s="13">
        <v>43904.708333333336</v>
      </c>
      <c r="B409" s="12" t="s">
        <v>22</v>
      </c>
      <c r="C409" s="101">
        <v>7</v>
      </c>
      <c r="D409" s="12" t="s">
        <v>49</v>
      </c>
      <c r="E409" s="101">
        <v>4441149315</v>
      </c>
      <c r="F409" s="101">
        <v>89326992</v>
      </c>
      <c r="G409" s="101">
        <v>213</v>
      </c>
      <c r="H409" s="101">
        <v>62</v>
      </c>
      <c r="I409" s="101">
        <v>275</v>
      </c>
      <c r="J409" s="101">
        <v>109</v>
      </c>
      <c r="K409" s="101">
        <v>384</v>
      </c>
      <c r="L409" s="101">
        <v>80</v>
      </c>
      <c r="M409" s="101">
        <v>118</v>
      </c>
      <c r="N409" s="101">
        <v>52</v>
      </c>
      <c r="O409" s="101">
        <v>27</v>
      </c>
      <c r="P409" s="101">
        <v>463</v>
      </c>
      <c r="Q409" s="101">
        <v>1750</v>
      </c>
      <c r="R409" s="12" t="s">
        <v>25</v>
      </c>
      <c r="S409" s="12" t="s">
        <v>25</v>
      </c>
      <c r="T409" s="12" t="s">
        <v>25</v>
      </c>
    </row>
    <row r="410" spans="1:20" x14ac:dyDescent="0.3">
      <c r="A410" s="13">
        <v>43904.708333333336</v>
      </c>
      <c r="B410" s="12" t="s">
        <v>22</v>
      </c>
      <c r="C410" s="101">
        <v>3</v>
      </c>
      <c r="D410" s="12" t="s">
        <v>50</v>
      </c>
      <c r="E410" s="101">
        <v>4546679409</v>
      </c>
      <c r="F410" s="101">
        <v>9190347404</v>
      </c>
      <c r="G410" s="101">
        <v>4898</v>
      </c>
      <c r="H410" s="101">
        <v>732</v>
      </c>
      <c r="I410" s="101">
        <v>5630</v>
      </c>
      <c r="J410" s="101">
        <v>3429</v>
      </c>
      <c r="K410" s="101">
        <v>9059</v>
      </c>
      <c r="L410" s="101">
        <v>1327</v>
      </c>
      <c r="M410" s="101">
        <v>1865</v>
      </c>
      <c r="N410" s="101">
        <v>1660</v>
      </c>
      <c r="O410" s="101">
        <v>966</v>
      </c>
      <c r="P410" s="101">
        <v>11685</v>
      </c>
      <c r="Q410" s="101">
        <v>37138</v>
      </c>
      <c r="R410" s="12" t="s">
        <v>25</v>
      </c>
      <c r="S410" s="12" t="s">
        <v>25</v>
      </c>
      <c r="T410" s="12" t="s">
        <v>25</v>
      </c>
    </row>
    <row r="411" spans="1:20" x14ac:dyDescent="0.3">
      <c r="A411" s="13">
        <v>43904.708333333336</v>
      </c>
      <c r="B411" s="12" t="s">
        <v>22</v>
      </c>
      <c r="C411" s="101">
        <v>11</v>
      </c>
      <c r="D411" s="12" t="s">
        <v>51</v>
      </c>
      <c r="E411" s="101">
        <v>4361675973</v>
      </c>
      <c r="F411" s="101">
        <v>135188753</v>
      </c>
      <c r="G411" s="101">
        <v>449</v>
      </c>
      <c r="H411" s="101">
        <v>93</v>
      </c>
      <c r="I411" s="101">
        <v>542</v>
      </c>
      <c r="J411" s="101">
        <v>321</v>
      </c>
      <c r="K411" s="101">
        <v>863</v>
      </c>
      <c r="L411" s="101">
        <v>165</v>
      </c>
      <c r="M411" s="101">
        <v>174</v>
      </c>
      <c r="N411" s="101">
        <v>0</v>
      </c>
      <c r="O411" s="101">
        <v>36</v>
      </c>
      <c r="P411" s="101">
        <v>899</v>
      </c>
      <c r="Q411" s="101">
        <v>2561</v>
      </c>
      <c r="R411" s="12" t="s">
        <v>25</v>
      </c>
      <c r="S411" s="12" t="s">
        <v>25</v>
      </c>
      <c r="T411" s="12" t="s">
        <v>25</v>
      </c>
    </row>
    <row r="412" spans="1:20" x14ac:dyDescent="0.3">
      <c r="A412" s="13">
        <v>43904.708333333336</v>
      </c>
      <c r="B412" s="12" t="s">
        <v>22</v>
      </c>
      <c r="C412" s="101">
        <v>14</v>
      </c>
      <c r="D412" s="12" t="s">
        <v>52</v>
      </c>
      <c r="E412" s="101">
        <v>4155774754</v>
      </c>
      <c r="F412" s="101">
        <v>1465916051</v>
      </c>
      <c r="G412" s="101">
        <v>5</v>
      </c>
      <c r="H412" s="101">
        <v>3</v>
      </c>
      <c r="I412" s="101">
        <v>8</v>
      </c>
      <c r="J412" s="101">
        <v>9</v>
      </c>
      <c r="K412" s="101">
        <v>17</v>
      </c>
      <c r="L412" s="101">
        <v>0</v>
      </c>
      <c r="M412" s="101">
        <v>0</v>
      </c>
      <c r="N412" s="101">
        <v>0</v>
      </c>
      <c r="O412" s="101">
        <v>0</v>
      </c>
      <c r="P412" s="101">
        <v>17</v>
      </c>
      <c r="Q412" s="101">
        <v>247</v>
      </c>
      <c r="R412" s="12" t="s">
        <v>25</v>
      </c>
      <c r="S412" s="12" t="s">
        <v>25</v>
      </c>
      <c r="T412" s="12" t="s">
        <v>25</v>
      </c>
    </row>
    <row r="413" spans="1:20" x14ac:dyDescent="0.3">
      <c r="A413" s="13">
        <v>43904.708333333336</v>
      </c>
      <c r="B413" s="12" t="s">
        <v>22</v>
      </c>
      <c r="C413" s="101">
        <v>1</v>
      </c>
      <c r="D413" s="12" t="s">
        <v>53</v>
      </c>
      <c r="E413" s="101">
        <v>450732745</v>
      </c>
      <c r="F413" s="101">
        <v>7680687483</v>
      </c>
      <c r="G413" s="101">
        <v>538</v>
      </c>
      <c r="H413" s="101">
        <v>150</v>
      </c>
      <c r="I413" s="101">
        <v>688</v>
      </c>
      <c r="J413" s="101">
        <v>126</v>
      </c>
      <c r="K413" s="101">
        <v>814</v>
      </c>
      <c r="L413" s="101">
        <v>20</v>
      </c>
      <c r="M413" s="101">
        <v>33</v>
      </c>
      <c r="N413" s="101">
        <v>0</v>
      </c>
      <c r="O413" s="101">
        <v>59</v>
      </c>
      <c r="P413" s="101">
        <v>873</v>
      </c>
      <c r="Q413" s="101">
        <v>3680</v>
      </c>
      <c r="R413" s="12" t="s">
        <v>25</v>
      </c>
      <c r="S413" s="12" t="s">
        <v>25</v>
      </c>
      <c r="T413" s="12" t="s">
        <v>25</v>
      </c>
    </row>
    <row r="414" spans="1:20" x14ac:dyDescent="0.3">
      <c r="A414" s="13">
        <v>43904.708333333336</v>
      </c>
      <c r="B414" s="12" t="s">
        <v>22</v>
      </c>
      <c r="C414" s="101">
        <v>16</v>
      </c>
      <c r="D414" s="12" t="s">
        <v>54</v>
      </c>
      <c r="E414" s="101">
        <v>4112559576</v>
      </c>
      <c r="F414" s="101">
        <v>1686736689</v>
      </c>
      <c r="G414" s="101">
        <v>91</v>
      </c>
      <c r="H414" s="101">
        <v>6</v>
      </c>
      <c r="I414" s="101">
        <v>97</v>
      </c>
      <c r="J414" s="101">
        <v>59</v>
      </c>
      <c r="K414" s="101">
        <v>156</v>
      </c>
      <c r="L414" s="101">
        <v>35</v>
      </c>
      <c r="M414" s="101">
        <v>37</v>
      </c>
      <c r="N414" s="101">
        <v>2</v>
      </c>
      <c r="O414" s="101">
        <v>8</v>
      </c>
      <c r="P414" s="101">
        <v>166</v>
      </c>
      <c r="Q414" s="101">
        <v>1681</v>
      </c>
      <c r="R414" s="12" t="s">
        <v>25</v>
      </c>
      <c r="S414" s="12" t="s">
        <v>25</v>
      </c>
      <c r="T414" s="12" t="s">
        <v>25</v>
      </c>
    </row>
    <row r="415" spans="1:20" x14ac:dyDescent="0.3">
      <c r="A415" s="13">
        <v>43904.708333333336</v>
      </c>
      <c r="B415" s="12" t="s">
        <v>22</v>
      </c>
      <c r="C415" s="101">
        <v>20</v>
      </c>
      <c r="D415" s="12" t="s">
        <v>55</v>
      </c>
      <c r="E415" s="101">
        <v>3921531192</v>
      </c>
      <c r="F415" s="101">
        <v>9110616306</v>
      </c>
      <c r="G415" s="101">
        <v>14</v>
      </c>
      <c r="H415" s="101">
        <v>0</v>
      </c>
      <c r="I415" s="101">
        <v>14</v>
      </c>
      <c r="J415" s="101">
        <v>33</v>
      </c>
      <c r="K415" s="101">
        <v>47</v>
      </c>
      <c r="L415" s="101">
        <v>4</v>
      </c>
      <c r="M415" s="101">
        <v>4</v>
      </c>
      <c r="N415" s="101">
        <v>0</v>
      </c>
      <c r="O415" s="101">
        <v>0</v>
      </c>
      <c r="P415" s="101">
        <v>47</v>
      </c>
      <c r="Q415" s="101">
        <v>530</v>
      </c>
      <c r="R415" s="12" t="s">
        <v>25</v>
      </c>
      <c r="S415" s="12" t="s">
        <v>25</v>
      </c>
      <c r="T415" s="12" t="s">
        <v>25</v>
      </c>
    </row>
    <row r="416" spans="1:20" x14ac:dyDescent="0.3">
      <c r="A416" s="13">
        <v>43904.708333333336</v>
      </c>
      <c r="B416" s="12" t="s">
        <v>22</v>
      </c>
      <c r="C416" s="101">
        <v>19</v>
      </c>
      <c r="D416" s="12" t="s">
        <v>56</v>
      </c>
      <c r="E416" s="101">
        <v>3811569725</v>
      </c>
      <c r="F416" s="101">
        <v>133623567</v>
      </c>
      <c r="G416" s="101">
        <v>42</v>
      </c>
      <c r="H416" s="101">
        <v>11</v>
      </c>
      <c r="I416" s="101">
        <v>53</v>
      </c>
      <c r="J416" s="101">
        <v>97</v>
      </c>
      <c r="K416" s="101">
        <v>150</v>
      </c>
      <c r="L416" s="101">
        <v>24</v>
      </c>
      <c r="M416" s="101">
        <v>26</v>
      </c>
      <c r="N416" s="101">
        <v>4</v>
      </c>
      <c r="O416" s="101">
        <v>2</v>
      </c>
      <c r="P416" s="101">
        <v>156</v>
      </c>
      <c r="Q416" s="101">
        <v>2100</v>
      </c>
      <c r="R416" s="12" t="s">
        <v>25</v>
      </c>
      <c r="S416" s="12" t="s">
        <v>25</v>
      </c>
      <c r="T416" s="12" t="s">
        <v>25</v>
      </c>
    </row>
    <row r="417" spans="1:20" x14ac:dyDescent="0.3">
      <c r="A417" s="13">
        <v>43904.708333333336</v>
      </c>
      <c r="B417" s="12" t="s">
        <v>22</v>
      </c>
      <c r="C417" s="101">
        <v>9</v>
      </c>
      <c r="D417" s="12" t="s">
        <v>57</v>
      </c>
      <c r="E417" s="101">
        <v>4376923077</v>
      </c>
      <c r="F417" s="101">
        <v>1125588885</v>
      </c>
      <c r="G417" s="101">
        <v>160</v>
      </c>
      <c r="H417" s="101">
        <v>87</v>
      </c>
      <c r="I417" s="101">
        <v>247</v>
      </c>
      <c r="J417" s="101">
        <v>367</v>
      </c>
      <c r="K417" s="101">
        <v>614</v>
      </c>
      <c r="L417" s="101">
        <v>159</v>
      </c>
      <c r="M417" s="101">
        <v>160</v>
      </c>
      <c r="N417" s="101">
        <v>10</v>
      </c>
      <c r="O417" s="101">
        <v>6</v>
      </c>
      <c r="P417" s="101">
        <v>630</v>
      </c>
      <c r="Q417" s="101">
        <v>4595</v>
      </c>
      <c r="R417" s="12" t="s">
        <v>25</v>
      </c>
      <c r="S417" s="12" t="s">
        <v>25</v>
      </c>
      <c r="T417" s="12" t="s">
        <v>25</v>
      </c>
    </row>
    <row r="418" spans="1:20" x14ac:dyDescent="0.3">
      <c r="A418" s="13">
        <v>43904.708333333336</v>
      </c>
      <c r="B418" s="12" t="s">
        <v>22</v>
      </c>
      <c r="C418" s="101">
        <v>4</v>
      </c>
      <c r="D418" s="12" t="s">
        <v>58</v>
      </c>
      <c r="E418" s="101">
        <v>4606893511</v>
      </c>
      <c r="F418" s="101">
        <v>1112123097</v>
      </c>
      <c r="G418" s="101">
        <v>68</v>
      </c>
      <c r="H418" s="101">
        <v>12</v>
      </c>
      <c r="I418" s="101">
        <v>80</v>
      </c>
      <c r="J418" s="101">
        <v>119</v>
      </c>
      <c r="K418" s="101">
        <v>199</v>
      </c>
      <c r="L418" s="101">
        <v>42</v>
      </c>
      <c r="M418" s="101">
        <v>43</v>
      </c>
      <c r="N418" s="101">
        <v>5</v>
      </c>
      <c r="O418" s="101">
        <v>2</v>
      </c>
      <c r="P418" s="101">
        <v>206</v>
      </c>
      <c r="Q418" s="101">
        <v>1006</v>
      </c>
      <c r="R418" s="12" t="s">
        <v>25</v>
      </c>
      <c r="S418" s="12" t="s">
        <v>25</v>
      </c>
      <c r="T418" s="12" t="s">
        <v>25</v>
      </c>
    </row>
    <row r="419" spans="1:20" x14ac:dyDescent="0.3">
      <c r="A419" s="13">
        <v>43904.708333333336</v>
      </c>
      <c r="B419" s="12" t="s">
        <v>22</v>
      </c>
      <c r="C419" s="101">
        <v>10</v>
      </c>
      <c r="D419" s="12" t="s">
        <v>59</v>
      </c>
      <c r="E419" s="101">
        <v>4310675841</v>
      </c>
      <c r="F419" s="101">
        <v>1238824698</v>
      </c>
      <c r="G419" s="101">
        <v>21</v>
      </c>
      <c r="H419" s="101">
        <v>11</v>
      </c>
      <c r="I419" s="101">
        <v>32</v>
      </c>
      <c r="J419" s="101">
        <v>71</v>
      </c>
      <c r="K419" s="101">
        <v>103</v>
      </c>
      <c r="L419" s="101">
        <v>30</v>
      </c>
      <c r="M419" s="101">
        <v>31</v>
      </c>
      <c r="N419" s="101">
        <v>3</v>
      </c>
      <c r="O419" s="101">
        <v>1</v>
      </c>
      <c r="P419" s="101">
        <v>107</v>
      </c>
      <c r="Q419" s="101">
        <v>748</v>
      </c>
      <c r="R419" s="12" t="s">
        <v>25</v>
      </c>
      <c r="S419" s="12" t="s">
        <v>25</v>
      </c>
      <c r="T419" s="12" t="s">
        <v>25</v>
      </c>
    </row>
    <row r="420" spans="1:20" x14ac:dyDescent="0.3">
      <c r="A420" s="13">
        <v>43904.708333333336</v>
      </c>
      <c r="B420" s="12" t="s">
        <v>22</v>
      </c>
      <c r="C420" s="101">
        <v>2</v>
      </c>
      <c r="D420" s="12" t="s">
        <v>60</v>
      </c>
      <c r="E420" s="101">
        <v>4573750286</v>
      </c>
      <c r="F420" s="101">
        <v>7320149366</v>
      </c>
      <c r="G420" s="101">
        <v>12</v>
      </c>
      <c r="H420" s="101">
        <v>0</v>
      </c>
      <c r="I420" s="101">
        <v>12</v>
      </c>
      <c r="J420" s="101">
        <v>29</v>
      </c>
      <c r="K420" s="101">
        <v>41</v>
      </c>
      <c r="L420" s="101">
        <v>14</v>
      </c>
      <c r="M420" s="101">
        <v>14</v>
      </c>
      <c r="N420" s="101">
        <v>0</v>
      </c>
      <c r="O420" s="101">
        <v>1</v>
      </c>
      <c r="P420" s="101">
        <v>42</v>
      </c>
      <c r="Q420" s="101">
        <v>231</v>
      </c>
      <c r="R420" s="12" t="s">
        <v>25</v>
      </c>
      <c r="S420" s="12" t="s">
        <v>25</v>
      </c>
      <c r="T420" s="12" t="s">
        <v>25</v>
      </c>
    </row>
    <row r="421" spans="1:20" x14ac:dyDescent="0.3">
      <c r="A421" s="13">
        <v>43904.708333333336</v>
      </c>
      <c r="B421" s="12" t="s">
        <v>22</v>
      </c>
      <c r="C421" s="101">
        <v>5</v>
      </c>
      <c r="D421" s="12" t="s">
        <v>61</v>
      </c>
      <c r="E421" s="101">
        <v>4543490485</v>
      </c>
      <c r="F421" s="101">
        <v>1233845213</v>
      </c>
      <c r="G421" s="101">
        <v>366</v>
      </c>
      <c r="H421" s="101">
        <v>119</v>
      </c>
      <c r="I421" s="101">
        <v>485</v>
      </c>
      <c r="J421" s="101">
        <v>1290</v>
      </c>
      <c r="K421" s="101">
        <v>1775</v>
      </c>
      <c r="L421" s="101">
        <v>322</v>
      </c>
      <c r="M421" s="101">
        <v>342</v>
      </c>
      <c r="N421" s="101">
        <v>107</v>
      </c>
      <c r="O421" s="101">
        <v>55</v>
      </c>
      <c r="P421" s="101">
        <v>1937</v>
      </c>
      <c r="Q421" s="101">
        <v>26980</v>
      </c>
      <c r="R421" s="12" t="s">
        <v>25</v>
      </c>
      <c r="S421" s="12" t="s">
        <v>25</v>
      </c>
      <c r="T421" s="12" t="s">
        <v>25</v>
      </c>
    </row>
    <row r="422" spans="1:20" x14ac:dyDescent="0.3">
      <c r="A422" s="13">
        <v>43905.708333333336</v>
      </c>
      <c r="B422" s="12" t="s">
        <v>22</v>
      </c>
      <c r="C422" s="101">
        <v>13</v>
      </c>
      <c r="D422" s="12" t="s">
        <v>42</v>
      </c>
      <c r="E422" s="101">
        <v>4235122196</v>
      </c>
      <c r="F422" s="101">
        <v>1339843823</v>
      </c>
      <c r="G422" s="101">
        <v>72</v>
      </c>
      <c r="H422" s="101">
        <v>28</v>
      </c>
      <c r="I422" s="101">
        <v>100</v>
      </c>
      <c r="J422" s="101">
        <v>28</v>
      </c>
      <c r="K422" s="101">
        <v>128</v>
      </c>
      <c r="L422" s="101">
        <v>22</v>
      </c>
      <c r="M422" s="101">
        <v>25</v>
      </c>
      <c r="N422" s="101">
        <v>6</v>
      </c>
      <c r="O422" s="101">
        <v>3</v>
      </c>
      <c r="P422" s="101">
        <v>137</v>
      </c>
      <c r="Q422" s="101">
        <v>1419</v>
      </c>
      <c r="R422" s="12" t="s">
        <v>25</v>
      </c>
      <c r="S422" s="12" t="s">
        <v>25</v>
      </c>
      <c r="T422" s="12" t="s">
        <v>25</v>
      </c>
    </row>
    <row r="423" spans="1:20" x14ac:dyDescent="0.3">
      <c r="A423" s="13">
        <v>43905.708333333336</v>
      </c>
      <c r="B423" s="12" t="s">
        <v>22</v>
      </c>
      <c r="C423" s="101">
        <v>17</v>
      </c>
      <c r="D423" s="12" t="s">
        <v>43</v>
      </c>
      <c r="E423" s="101">
        <v>4063947052</v>
      </c>
      <c r="F423" s="101">
        <v>1580514834</v>
      </c>
      <c r="G423" s="101">
        <v>0</v>
      </c>
      <c r="H423" s="101">
        <v>2</v>
      </c>
      <c r="I423" s="101">
        <v>2</v>
      </c>
      <c r="J423" s="101">
        <v>9</v>
      </c>
      <c r="K423" s="101">
        <v>11</v>
      </c>
      <c r="L423" s="101">
        <v>1</v>
      </c>
      <c r="M423" s="101">
        <v>1</v>
      </c>
      <c r="N423" s="101">
        <v>0</v>
      </c>
      <c r="O423" s="101">
        <v>0</v>
      </c>
      <c r="P423" s="101">
        <v>11</v>
      </c>
      <c r="Q423" s="101">
        <v>208</v>
      </c>
      <c r="R423" s="12" t="s">
        <v>25</v>
      </c>
      <c r="S423" s="12" t="s">
        <v>25</v>
      </c>
      <c r="T423" s="12" t="s">
        <v>25</v>
      </c>
    </row>
    <row r="424" spans="1:20" x14ac:dyDescent="0.3">
      <c r="A424" s="13">
        <v>43905.708333333336</v>
      </c>
      <c r="B424" s="12" t="s">
        <v>22</v>
      </c>
      <c r="C424" s="101">
        <v>4</v>
      </c>
      <c r="D424" s="12" t="s">
        <v>44</v>
      </c>
      <c r="E424" s="101">
        <v>4649933453</v>
      </c>
      <c r="F424" s="101">
        <v>1135662422</v>
      </c>
      <c r="G424" s="101">
        <v>50</v>
      </c>
      <c r="H424" s="101">
        <v>4</v>
      </c>
      <c r="I424" s="101">
        <v>54</v>
      </c>
      <c r="J424" s="101">
        <v>145</v>
      </c>
      <c r="K424" s="101">
        <v>199</v>
      </c>
      <c r="L424" s="101">
        <v>29</v>
      </c>
      <c r="M424" s="101">
        <v>31</v>
      </c>
      <c r="N424" s="101">
        <v>0</v>
      </c>
      <c r="O424" s="101">
        <v>5</v>
      </c>
      <c r="P424" s="101">
        <v>204</v>
      </c>
      <c r="Q424" s="101">
        <v>1497</v>
      </c>
      <c r="R424" s="12" t="s">
        <v>25</v>
      </c>
      <c r="S424" s="12" t="s">
        <v>25</v>
      </c>
      <c r="T424" s="12" t="s">
        <v>25</v>
      </c>
    </row>
    <row r="425" spans="1:20" x14ac:dyDescent="0.3">
      <c r="A425" s="13">
        <v>43905.708333333336</v>
      </c>
      <c r="B425" s="12" t="s">
        <v>22</v>
      </c>
      <c r="C425" s="101">
        <v>18</v>
      </c>
      <c r="D425" s="12" t="s">
        <v>45</v>
      </c>
      <c r="E425" s="101">
        <v>3890597598</v>
      </c>
      <c r="F425" s="101">
        <v>1659440194</v>
      </c>
      <c r="G425" s="101">
        <v>32</v>
      </c>
      <c r="H425" s="101">
        <v>6</v>
      </c>
      <c r="I425" s="101">
        <v>38</v>
      </c>
      <c r="J425" s="101">
        <v>28</v>
      </c>
      <c r="K425" s="101">
        <v>66</v>
      </c>
      <c r="L425" s="101">
        <v>7</v>
      </c>
      <c r="M425" s="101">
        <v>8</v>
      </c>
      <c r="N425" s="101">
        <v>1</v>
      </c>
      <c r="O425" s="101">
        <v>1</v>
      </c>
      <c r="P425" s="101">
        <v>68</v>
      </c>
      <c r="Q425" s="101">
        <v>884</v>
      </c>
      <c r="R425" s="12" t="s">
        <v>25</v>
      </c>
      <c r="S425" s="12" t="s">
        <v>25</v>
      </c>
      <c r="T425" s="12" t="s">
        <v>25</v>
      </c>
    </row>
    <row r="426" spans="1:20" x14ac:dyDescent="0.3">
      <c r="A426" s="13">
        <v>43905.708333333336</v>
      </c>
      <c r="B426" s="12" t="s">
        <v>22</v>
      </c>
      <c r="C426" s="101">
        <v>15</v>
      </c>
      <c r="D426" s="12" t="s">
        <v>46</v>
      </c>
      <c r="E426" s="101">
        <v>4083956555</v>
      </c>
      <c r="F426" s="101">
        <v>1425084984</v>
      </c>
      <c r="G426" s="101">
        <v>73</v>
      </c>
      <c r="H426" s="101">
        <v>22</v>
      </c>
      <c r="I426" s="101">
        <v>95</v>
      </c>
      <c r="J426" s="101">
        <v>201</v>
      </c>
      <c r="K426" s="101">
        <v>296</v>
      </c>
      <c r="L426" s="101">
        <v>53</v>
      </c>
      <c r="M426" s="101">
        <v>61</v>
      </c>
      <c r="N426" s="101">
        <v>28</v>
      </c>
      <c r="O426" s="101">
        <v>9</v>
      </c>
      <c r="P426" s="101">
        <v>333</v>
      </c>
      <c r="Q426" s="101">
        <v>2213</v>
      </c>
      <c r="R426" s="12" t="s">
        <v>25</v>
      </c>
      <c r="S426" s="12" t="s">
        <v>25</v>
      </c>
      <c r="T426" s="12" t="s">
        <v>25</v>
      </c>
    </row>
    <row r="427" spans="1:20" x14ac:dyDescent="0.3">
      <c r="A427" s="13">
        <v>43905.708333333336</v>
      </c>
      <c r="B427" s="12" t="s">
        <v>22</v>
      </c>
      <c r="C427" s="101">
        <v>8</v>
      </c>
      <c r="D427" s="12" t="s">
        <v>96</v>
      </c>
      <c r="E427" s="101">
        <v>4449436681</v>
      </c>
      <c r="F427" s="101">
        <v>113417208</v>
      </c>
      <c r="G427" s="101">
        <v>1215</v>
      </c>
      <c r="H427" s="101">
        <v>169</v>
      </c>
      <c r="I427" s="101">
        <v>1384</v>
      </c>
      <c r="J427" s="101">
        <v>1357</v>
      </c>
      <c r="K427" s="101">
        <v>2741</v>
      </c>
      <c r="L427" s="101">
        <v>392</v>
      </c>
      <c r="M427" s="101">
        <v>449</v>
      </c>
      <c r="N427" s="101">
        <v>68</v>
      </c>
      <c r="O427" s="101">
        <v>284</v>
      </c>
      <c r="P427" s="101">
        <v>3093</v>
      </c>
      <c r="Q427" s="101">
        <v>12054</v>
      </c>
      <c r="R427" s="12" t="s">
        <v>25</v>
      </c>
      <c r="S427" s="12" t="s">
        <v>25</v>
      </c>
      <c r="T427" s="12" t="s">
        <v>25</v>
      </c>
    </row>
    <row r="428" spans="1:20" x14ac:dyDescent="0.3">
      <c r="A428" s="13">
        <v>43905.708333333336</v>
      </c>
      <c r="B428" s="12" t="s">
        <v>22</v>
      </c>
      <c r="C428" s="101">
        <v>6</v>
      </c>
      <c r="D428" s="12" t="s">
        <v>47</v>
      </c>
      <c r="E428" s="101">
        <v>456494354</v>
      </c>
      <c r="F428" s="101">
        <v>1376813649</v>
      </c>
      <c r="G428" s="101">
        <v>98</v>
      </c>
      <c r="H428" s="101">
        <v>12</v>
      </c>
      <c r="I428" s="101">
        <v>110</v>
      </c>
      <c r="J428" s="101">
        <v>206</v>
      </c>
      <c r="K428" s="101">
        <v>316</v>
      </c>
      <c r="L428" s="101">
        <v>45</v>
      </c>
      <c r="M428" s="101">
        <v>46</v>
      </c>
      <c r="N428" s="101">
        <v>17</v>
      </c>
      <c r="O428" s="101">
        <v>14</v>
      </c>
      <c r="P428" s="101">
        <v>347</v>
      </c>
      <c r="Q428" s="101">
        <v>3407</v>
      </c>
      <c r="R428" s="12" t="s">
        <v>25</v>
      </c>
      <c r="S428" s="12" t="s">
        <v>25</v>
      </c>
      <c r="T428" s="12" t="s">
        <v>25</v>
      </c>
    </row>
    <row r="429" spans="1:20" x14ac:dyDescent="0.3">
      <c r="A429" s="13">
        <v>43905.708333333336</v>
      </c>
      <c r="B429" s="12" t="s">
        <v>22</v>
      </c>
      <c r="C429" s="101">
        <v>12</v>
      </c>
      <c r="D429" s="12" t="s">
        <v>48</v>
      </c>
      <c r="E429" s="101">
        <v>4189277044</v>
      </c>
      <c r="F429" s="101">
        <v>1248366722</v>
      </c>
      <c r="G429" s="101">
        <v>223</v>
      </c>
      <c r="H429" s="101">
        <v>31</v>
      </c>
      <c r="I429" s="101">
        <v>254</v>
      </c>
      <c r="J429" s="101">
        <v>142</v>
      </c>
      <c r="K429" s="101">
        <v>396</v>
      </c>
      <c r="L429" s="101">
        <v>76</v>
      </c>
      <c r="M429" s="101">
        <v>79</v>
      </c>
      <c r="N429" s="101">
        <v>24</v>
      </c>
      <c r="O429" s="101">
        <v>16</v>
      </c>
      <c r="P429" s="101">
        <v>436</v>
      </c>
      <c r="Q429" s="101">
        <v>8345</v>
      </c>
      <c r="R429" s="12" t="s">
        <v>25</v>
      </c>
      <c r="S429" s="12" t="s">
        <v>25</v>
      </c>
      <c r="T429" s="12" t="s">
        <v>25</v>
      </c>
    </row>
    <row r="430" spans="1:20" x14ac:dyDescent="0.3">
      <c r="A430" s="13">
        <v>43905.708333333336</v>
      </c>
      <c r="B430" s="12" t="s">
        <v>22</v>
      </c>
      <c r="C430" s="101">
        <v>7</v>
      </c>
      <c r="D430" s="12" t="s">
        <v>49</v>
      </c>
      <c r="E430" s="101">
        <v>4441149315</v>
      </c>
      <c r="F430" s="101">
        <v>89326992</v>
      </c>
      <c r="G430" s="101">
        <v>253</v>
      </c>
      <c r="H430" s="101">
        <v>66</v>
      </c>
      <c r="I430" s="101">
        <v>319</v>
      </c>
      <c r="J430" s="101">
        <v>174</v>
      </c>
      <c r="K430" s="101">
        <v>493</v>
      </c>
      <c r="L430" s="101">
        <v>109</v>
      </c>
      <c r="M430" s="101">
        <v>96</v>
      </c>
      <c r="N430" s="101">
        <v>33</v>
      </c>
      <c r="O430" s="101">
        <v>33</v>
      </c>
      <c r="P430" s="101">
        <v>559</v>
      </c>
      <c r="Q430" s="101">
        <v>1973</v>
      </c>
      <c r="R430" s="12" t="s">
        <v>25</v>
      </c>
      <c r="S430" s="12" t="s">
        <v>25</v>
      </c>
      <c r="T430" s="12" t="s">
        <v>25</v>
      </c>
    </row>
    <row r="431" spans="1:20" x14ac:dyDescent="0.3">
      <c r="A431" s="13">
        <v>43905.708333333336</v>
      </c>
      <c r="B431" s="12" t="s">
        <v>22</v>
      </c>
      <c r="C431" s="101">
        <v>3</v>
      </c>
      <c r="D431" s="12" t="s">
        <v>50</v>
      </c>
      <c r="E431" s="101">
        <v>4546679409</v>
      </c>
      <c r="F431" s="101">
        <v>9190347404</v>
      </c>
      <c r="G431" s="101">
        <v>5500</v>
      </c>
      <c r="H431" s="101">
        <v>767</v>
      </c>
      <c r="I431" s="101">
        <v>6267</v>
      </c>
      <c r="J431" s="101">
        <v>3776</v>
      </c>
      <c r="K431" s="101">
        <v>10043</v>
      </c>
      <c r="L431" s="101">
        <v>984</v>
      </c>
      <c r="M431" s="101">
        <v>1587</v>
      </c>
      <c r="N431" s="101">
        <v>2011</v>
      </c>
      <c r="O431" s="101">
        <v>1218</v>
      </c>
      <c r="P431" s="101">
        <v>13272</v>
      </c>
      <c r="Q431" s="101">
        <v>40369</v>
      </c>
      <c r="R431" s="12" t="s">
        <v>25</v>
      </c>
      <c r="S431" s="12" t="s">
        <v>25</v>
      </c>
      <c r="T431" s="12" t="s">
        <v>25</v>
      </c>
    </row>
    <row r="432" spans="1:20" x14ac:dyDescent="0.3">
      <c r="A432" s="13">
        <v>43905.708333333336</v>
      </c>
      <c r="B432" s="12" t="s">
        <v>22</v>
      </c>
      <c r="C432" s="101">
        <v>11</v>
      </c>
      <c r="D432" s="12" t="s">
        <v>51</v>
      </c>
      <c r="E432" s="101">
        <v>4361675973</v>
      </c>
      <c r="F432" s="101">
        <v>135188753</v>
      </c>
      <c r="G432" s="101">
        <v>521</v>
      </c>
      <c r="H432" s="101">
        <v>98</v>
      </c>
      <c r="I432" s="101">
        <v>619</v>
      </c>
      <c r="J432" s="101">
        <v>468</v>
      </c>
      <c r="K432" s="101">
        <v>1087</v>
      </c>
      <c r="L432" s="101">
        <v>224</v>
      </c>
      <c r="M432" s="101">
        <v>234</v>
      </c>
      <c r="N432" s="101">
        <v>0</v>
      </c>
      <c r="O432" s="101">
        <v>46</v>
      </c>
      <c r="P432" s="101">
        <v>1133</v>
      </c>
      <c r="Q432" s="101">
        <v>2946</v>
      </c>
      <c r="R432" s="12" t="s">
        <v>25</v>
      </c>
      <c r="S432" s="12" t="s">
        <v>25</v>
      </c>
      <c r="T432" s="12" t="s">
        <v>25</v>
      </c>
    </row>
    <row r="433" spans="1:20" x14ac:dyDescent="0.3">
      <c r="A433" s="13">
        <v>43905.708333333336</v>
      </c>
      <c r="B433" s="12" t="s">
        <v>22</v>
      </c>
      <c r="C433" s="101">
        <v>14</v>
      </c>
      <c r="D433" s="12" t="s">
        <v>52</v>
      </c>
      <c r="E433" s="101">
        <v>4155774754</v>
      </c>
      <c r="F433" s="101">
        <v>1465916051</v>
      </c>
      <c r="G433" s="101">
        <v>3</v>
      </c>
      <c r="H433" s="101">
        <v>4</v>
      </c>
      <c r="I433" s="101">
        <v>7</v>
      </c>
      <c r="J433" s="101">
        <v>10</v>
      </c>
      <c r="K433" s="101">
        <v>17</v>
      </c>
      <c r="L433" s="101">
        <v>0</v>
      </c>
      <c r="M433" s="101">
        <v>0</v>
      </c>
      <c r="N433" s="101">
        <v>0</v>
      </c>
      <c r="O433" s="101">
        <v>0</v>
      </c>
      <c r="P433" s="101">
        <v>17</v>
      </c>
      <c r="Q433" s="101">
        <v>248</v>
      </c>
      <c r="R433" s="12" t="s">
        <v>25</v>
      </c>
      <c r="S433" s="12" t="s">
        <v>25</v>
      </c>
      <c r="T433" s="12" t="s">
        <v>25</v>
      </c>
    </row>
    <row r="434" spans="1:20" x14ac:dyDescent="0.3">
      <c r="A434" s="13">
        <v>43905.708333333336</v>
      </c>
      <c r="B434" s="12" t="s">
        <v>22</v>
      </c>
      <c r="C434" s="101">
        <v>1</v>
      </c>
      <c r="D434" s="12" t="s">
        <v>53</v>
      </c>
      <c r="E434" s="101">
        <v>450732745</v>
      </c>
      <c r="F434" s="101">
        <v>7680687483</v>
      </c>
      <c r="G434" s="101">
        <v>726</v>
      </c>
      <c r="H434" s="101">
        <v>171</v>
      </c>
      <c r="I434" s="101">
        <v>897</v>
      </c>
      <c r="J434" s="101">
        <v>133</v>
      </c>
      <c r="K434" s="101">
        <v>1030</v>
      </c>
      <c r="L434" s="101">
        <v>216</v>
      </c>
      <c r="M434" s="101">
        <v>238</v>
      </c>
      <c r="N434" s="101">
        <v>0</v>
      </c>
      <c r="O434" s="101">
        <v>81</v>
      </c>
      <c r="P434" s="101">
        <v>1111</v>
      </c>
      <c r="Q434" s="101">
        <v>4375</v>
      </c>
      <c r="R434" s="12" t="s">
        <v>25</v>
      </c>
      <c r="S434" s="12" t="s">
        <v>25</v>
      </c>
      <c r="T434" s="12" t="s">
        <v>25</v>
      </c>
    </row>
    <row r="435" spans="1:20" x14ac:dyDescent="0.3">
      <c r="A435" s="13">
        <v>43905.708333333336</v>
      </c>
      <c r="B435" s="12" t="s">
        <v>22</v>
      </c>
      <c r="C435" s="101">
        <v>16</v>
      </c>
      <c r="D435" s="12" t="s">
        <v>54</v>
      </c>
      <c r="E435" s="101">
        <v>4112559576</v>
      </c>
      <c r="F435" s="101">
        <v>1686736689</v>
      </c>
      <c r="G435" s="101">
        <v>116</v>
      </c>
      <c r="H435" s="101">
        <v>6</v>
      </c>
      <c r="I435" s="101">
        <v>122</v>
      </c>
      <c r="J435" s="101">
        <v>90</v>
      </c>
      <c r="K435" s="101">
        <v>212</v>
      </c>
      <c r="L435" s="101">
        <v>56</v>
      </c>
      <c r="M435" s="101">
        <v>64</v>
      </c>
      <c r="N435" s="101">
        <v>2</v>
      </c>
      <c r="O435" s="101">
        <v>16</v>
      </c>
      <c r="P435" s="101">
        <v>230</v>
      </c>
      <c r="Q435" s="101">
        <v>2017</v>
      </c>
      <c r="R435" s="12" t="s">
        <v>25</v>
      </c>
      <c r="S435" s="12" t="s">
        <v>25</v>
      </c>
      <c r="T435" s="12" t="s">
        <v>25</v>
      </c>
    </row>
    <row r="436" spans="1:20" x14ac:dyDescent="0.3">
      <c r="A436" s="13">
        <v>43905.708333333336</v>
      </c>
      <c r="B436" s="12" t="s">
        <v>22</v>
      </c>
      <c r="C436" s="101">
        <v>20</v>
      </c>
      <c r="D436" s="12" t="s">
        <v>55</v>
      </c>
      <c r="E436" s="101">
        <v>3921531192</v>
      </c>
      <c r="F436" s="101">
        <v>9110616306</v>
      </c>
      <c r="G436" s="101">
        <v>16</v>
      </c>
      <c r="H436" s="101">
        <v>0</v>
      </c>
      <c r="I436" s="101">
        <v>16</v>
      </c>
      <c r="J436" s="101">
        <v>59</v>
      </c>
      <c r="K436" s="101">
        <v>75</v>
      </c>
      <c r="L436" s="101">
        <v>28</v>
      </c>
      <c r="M436" s="101">
        <v>30</v>
      </c>
      <c r="N436" s="101">
        <v>0</v>
      </c>
      <c r="O436" s="101">
        <v>2</v>
      </c>
      <c r="P436" s="101">
        <v>77</v>
      </c>
      <c r="Q436" s="101">
        <v>613</v>
      </c>
      <c r="R436" s="12" t="s">
        <v>25</v>
      </c>
      <c r="S436" s="12" t="s">
        <v>25</v>
      </c>
      <c r="T436" s="12" t="s">
        <v>25</v>
      </c>
    </row>
    <row r="437" spans="1:20" x14ac:dyDescent="0.3">
      <c r="A437" s="13">
        <v>43905.708333333336</v>
      </c>
      <c r="B437" s="12" t="s">
        <v>22</v>
      </c>
      <c r="C437" s="101">
        <v>19</v>
      </c>
      <c r="D437" s="12" t="s">
        <v>56</v>
      </c>
      <c r="E437" s="101">
        <v>3811569725</v>
      </c>
      <c r="F437" s="101">
        <v>133623567</v>
      </c>
      <c r="G437" s="101">
        <v>56</v>
      </c>
      <c r="H437" s="101">
        <v>15</v>
      </c>
      <c r="I437" s="101">
        <v>71</v>
      </c>
      <c r="J437" s="101">
        <v>108</v>
      </c>
      <c r="K437" s="101">
        <v>179</v>
      </c>
      <c r="L437" s="101">
        <v>29</v>
      </c>
      <c r="M437" s="101">
        <v>32</v>
      </c>
      <c r="N437" s="101">
        <v>7</v>
      </c>
      <c r="O437" s="101">
        <v>2</v>
      </c>
      <c r="P437" s="101">
        <v>188</v>
      </c>
      <c r="Q437" s="101">
        <v>2452</v>
      </c>
      <c r="R437" s="12" t="s">
        <v>25</v>
      </c>
      <c r="S437" s="12" t="s">
        <v>25</v>
      </c>
      <c r="T437" s="12" t="s">
        <v>25</v>
      </c>
    </row>
    <row r="438" spans="1:20" x14ac:dyDescent="0.3">
      <c r="A438" s="13">
        <v>43905.708333333336</v>
      </c>
      <c r="B438" s="12" t="s">
        <v>22</v>
      </c>
      <c r="C438" s="101">
        <v>9</v>
      </c>
      <c r="D438" s="12" t="s">
        <v>57</v>
      </c>
      <c r="E438" s="101">
        <v>4376923077</v>
      </c>
      <c r="F438" s="101">
        <v>1125588885</v>
      </c>
      <c r="G438" s="101">
        <v>175</v>
      </c>
      <c r="H438" s="101">
        <v>107</v>
      </c>
      <c r="I438" s="101">
        <v>282</v>
      </c>
      <c r="J438" s="101">
        <v>481</v>
      </c>
      <c r="K438" s="101">
        <v>763</v>
      </c>
      <c r="L438" s="101">
        <v>149</v>
      </c>
      <c r="M438" s="101">
        <v>151</v>
      </c>
      <c r="N438" s="101">
        <v>10</v>
      </c>
      <c r="O438" s="101">
        <v>8</v>
      </c>
      <c r="P438" s="101">
        <v>781</v>
      </c>
      <c r="Q438" s="101">
        <v>5132</v>
      </c>
      <c r="R438" s="12" t="s">
        <v>25</v>
      </c>
      <c r="S438" s="12" t="s">
        <v>25</v>
      </c>
      <c r="T438" s="12" t="s">
        <v>25</v>
      </c>
    </row>
    <row r="439" spans="1:20" x14ac:dyDescent="0.3">
      <c r="A439" s="13">
        <v>43905.708333333336</v>
      </c>
      <c r="B439" s="12" t="s">
        <v>22</v>
      </c>
      <c r="C439" s="101">
        <v>4</v>
      </c>
      <c r="D439" s="12" t="s">
        <v>58</v>
      </c>
      <c r="E439" s="101">
        <v>4606893511</v>
      </c>
      <c r="F439" s="101">
        <v>1112123097</v>
      </c>
      <c r="G439" s="101">
        <v>73</v>
      </c>
      <c r="H439" s="101">
        <v>19</v>
      </c>
      <c r="I439" s="101">
        <v>92</v>
      </c>
      <c r="J439" s="101">
        <v>275</v>
      </c>
      <c r="K439" s="101">
        <v>367</v>
      </c>
      <c r="L439" s="101">
        <v>168</v>
      </c>
      <c r="M439" s="101">
        <v>172</v>
      </c>
      <c r="N439" s="101">
        <v>5</v>
      </c>
      <c r="O439" s="101">
        <v>6</v>
      </c>
      <c r="P439" s="101">
        <v>378</v>
      </c>
      <c r="Q439" s="101">
        <v>1006</v>
      </c>
      <c r="R439" s="12" t="s">
        <v>25</v>
      </c>
      <c r="S439" s="12" t="s">
        <v>25</v>
      </c>
      <c r="T439" s="12" t="s">
        <v>25</v>
      </c>
    </row>
    <row r="440" spans="1:20" x14ac:dyDescent="0.3">
      <c r="A440" s="13">
        <v>43905.708333333336</v>
      </c>
      <c r="B440" s="12" t="s">
        <v>22</v>
      </c>
      <c r="C440" s="101">
        <v>10</v>
      </c>
      <c r="D440" s="12" t="s">
        <v>59</v>
      </c>
      <c r="E440" s="101">
        <v>4310675841</v>
      </c>
      <c r="F440" s="101">
        <v>1238824698</v>
      </c>
      <c r="G440" s="101">
        <v>25</v>
      </c>
      <c r="H440" s="101">
        <v>13</v>
      </c>
      <c r="I440" s="101">
        <v>38</v>
      </c>
      <c r="J440" s="101">
        <v>101</v>
      </c>
      <c r="K440" s="101">
        <v>139</v>
      </c>
      <c r="L440" s="101">
        <v>36</v>
      </c>
      <c r="M440" s="101">
        <v>36</v>
      </c>
      <c r="N440" s="101">
        <v>3</v>
      </c>
      <c r="O440" s="101">
        <v>1</v>
      </c>
      <c r="P440" s="101">
        <v>143</v>
      </c>
      <c r="Q440" s="101">
        <v>965</v>
      </c>
      <c r="R440" s="12" t="s">
        <v>25</v>
      </c>
      <c r="S440" s="12" t="s">
        <v>25</v>
      </c>
      <c r="T440" s="12" t="s">
        <v>25</v>
      </c>
    </row>
    <row r="441" spans="1:20" x14ac:dyDescent="0.3">
      <c r="A441" s="13">
        <v>43905.708333333336</v>
      </c>
      <c r="B441" s="12" t="s">
        <v>22</v>
      </c>
      <c r="C441" s="101">
        <v>2</v>
      </c>
      <c r="D441" s="12" t="s">
        <v>60</v>
      </c>
      <c r="E441" s="101">
        <v>4573750286</v>
      </c>
      <c r="F441" s="101">
        <v>7320149366</v>
      </c>
      <c r="G441" s="101">
        <v>10</v>
      </c>
      <c r="H441" s="101">
        <v>3</v>
      </c>
      <c r="I441" s="101">
        <v>13</v>
      </c>
      <c r="J441" s="101">
        <v>43</v>
      </c>
      <c r="K441" s="101">
        <v>56</v>
      </c>
      <c r="L441" s="101">
        <v>15</v>
      </c>
      <c r="M441" s="101">
        <v>15</v>
      </c>
      <c r="N441" s="101">
        <v>0</v>
      </c>
      <c r="O441" s="101">
        <v>1</v>
      </c>
      <c r="P441" s="101">
        <v>57</v>
      </c>
      <c r="Q441" s="101">
        <v>230</v>
      </c>
      <c r="R441" s="12" t="s">
        <v>25</v>
      </c>
      <c r="S441" s="12" t="s">
        <v>25</v>
      </c>
      <c r="T441" s="12" t="s">
        <v>25</v>
      </c>
    </row>
    <row r="442" spans="1:20" x14ac:dyDescent="0.3">
      <c r="A442" s="13">
        <v>43905.708333333336</v>
      </c>
      <c r="B442" s="12" t="s">
        <v>22</v>
      </c>
      <c r="C442" s="101">
        <v>5</v>
      </c>
      <c r="D442" s="12" t="s">
        <v>61</v>
      </c>
      <c r="E442" s="101">
        <v>4543490485</v>
      </c>
      <c r="F442" s="101">
        <v>1233845213</v>
      </c>
      <c r="G442" s="101">
        <v>426</v>
      </c>
      <c r="H442" s="101">
        <v>129</v>
      </c>
      <c r="I442" s="101">
        <v>555</v>
      </c>
      <c r="J442" s="101">
        <v>1434</v>
      </c>
      <c r="K442" s="101">
        <v>1989</v>
      </c>
      <c r="L442" s="101">
        <v>214</v>
      </c>
      <c r="M442" s="101">
        <v>235</v>
      </c>
      <c r="N442" s="101">
        <v>120</v>
      </c>
      <c r="O442" s="101">
        <v>63</v>
      </c>
      <c r="P442" s="101">
        <v>2172</v>
      </c>
      <c r="Q442" s="101">
        <v>32546</v>
      </c>
      <c r="R442" s="12" t="s">
        <v>25</v>
      </c>
      <c r="S442" s="12" t="s">
        <v>25</v>
      </c>
      <c r="T442" s="12" t="s">
        <v>25</v>
      </c>
    </row>
    <row r="443" spans="1:20" x14ac:dyDescent="0.3">
      <c r="A443" s="13">
        <v>43906.708333333336</v>
      </c>
      <c r="B443" s="12" t="s">
        <v>22</v>
      </c>
      <c r="C443" s="101">
        <v>13</v>
      </c>
      <c r="D443" s="12" t="s">
        <v>42</v>
      </c>
      <c r="E443" s="101">
        <v>4235122196</v>
      </c>
      <c r="F443" s="101">
        <v>1339843823</v>
      </c>
      <c r="G443" s="101">
        <v>71</v>
      </c>
      <c r="H443" s="101">
        <v>37</v>
      </c>
      <c r="I443" s="101">
        <v>108</v>
      </c>
      <c r="J443" s="101">
        <v>57</v>
      </c>
      <c r="K443" s="101">
        <v>165</v>
      </c>
      <c r="L443" s="101">
        <v>37</v>
      </c>
      <c r="M443" s="101">
        <v>39</v>
      </c>
      <c r="N443" s="101">
        <v>7</v>
      </c>
      <c r="O443" s="101">
        <v>4</v>
      </c>
      <c r="P443" s="101">
        <v>176</v>
      </c>
      <c r="Q443" s="101">
        <v>1533</v>
      </c>
      <c r="R443" s="12" t="s">
        <v>25</v>
      </c>
      <c r="S443" s="12" t="s">
        <v>25</v>
      </c>
      <c r="T443" s="12" t="s">
        <v>25</v>
      </c>
    </row>
    <row r="444" spans="1:20" x14ac:dyDescent="0.3">
      <c r="A444" s="13">
        <v>43906.708333333336</v>
      </c>
      <c r="B444" s="12" t="s">
        <v>22</v>
      </c>
      <c r="C444" s="101">
        <v>17</v>
      </c>
      <c r="D444" s="12" t="s">
        <v>43</v>
      </c>
      <c r="E444" s="101">
        <v>4063947052</v>
      </c>
      <c r="F444" s="101">
        <v>1580514834</v>
      </c>
      <c r="G444" s="101">
        <v>1</v>
      </c>
      <c r="H444" s="101">
        <v>2</v>
      </c>
      <c r="I444" s="101">
        <v>3</v>
      </c>
      <c r="J444" s="101">
        <v>9</v>
      </c>
      <c r="K444" s="101">
        <v>12</v>
      </c>
      <c r="L444" s="101">
        <v>1</v>
      </c>
      <c r="M444" s="101">
        <v>1</v>
      </c>
      <c r="N444" s="101">
        <v>0</v>
      </c>
      <c r="O444" s="101">
        <v>0</v>
      </c>
      <c r="P444" s="101">
        <v>12</v>
      </c>
      <c r="Q444" s="101">
        <v>230</v>
      </c>
      <c r="R444" s="12" t="s">
        <v>25</v>
      </c>
      <c r="S444" s="12" t="s">
        <v>25</v>
      </c>
      <c r="T444" s="12" t="s">
        <v>25</v>
      </c>
    </row>
    <row r="445" spans="1:20" x14ac:dyDescent="0.3">
      <c r="A445" s="13">
        <v>43906.708333333336</v>
      </c>
      <c r="B445" s="12" t="s">
        <v>22</v>
      </c>
      <c r="C445" s="101">
        <v>4</v>
      </c>
      <c r="D445" s="12" t="s">
        <v>44</v>
      </c>
      <c r="E445" s="101">
        <v>4649933453</v>
      </c>
      <c r="F445" s="101">
        <v>1135662422</v>
      </c>
      <c r="G445" s="101">
        <v>53</v>
      </c>
      <c r="H445" s="101">
        <v>11</v>
      </c>
      <c r="I445" s="101">
        <v>64</v>
      </c>
      <c r="J445" s="101">
        <v>171</v>
      </c>
      <c r="K445" s="101">
        <v>235</v>
      </c>
      <c r="L445" s="101">
        <v>36</v>
      </c>
      <c r="M445" s="101">
        <v>37</v>
      </c>
      <c r="N445" s="101">
        <v>0</v>
      </c>
      <c r="O445" s="101">
        <v>6</v>
      </c>
      <c r="P445" s="101">
        <v>241</v>
      </c>
      <c r="Q445" s="101">
        <v>1740</v>
      </c>
      <c r="R445" s="12" t="s">
        <v>25</v>
      </c>
      <c r="S445" s="12" t="s">
        <v>25</v>
      </c>
      <c r="T445" s="12" t="s">
        <v>25</v>
      </c>
    </row>
    <row r="446" spans="1:20" x14ac:dyDescent="0.3">
      <c r="A446" s="13">
        <v>43906.708333333336</v>
      </c>
      <c r="B446" s="12" t="s">
        <v>22</v>
      </c>
      <c r="C446" s="101">
        <v>18</v>
      </c>
      <c r="D446" s="12" t="s">
        <v>45</v>
      </c>
      <c r="E446" s="101">
        <v>3890597598</v>
      </c>
      <c r="F446" s="101">
        <v>1659440194</v>
      </c>
      <c r="G446" s="101">
        <v>36</v>
      </c>
      <c r="H446" s="101">
        <v>7</v>
      </c>
      <c r="I446" s="101">
        <v>43</v>
      </c>
      <c r="J446" s="101">
        <v>44</v>
      </c>
      <c r="K446" s="101">
        <v>87</v>
      </c>
      <c r="L446" s="101">
        <v>21</v>
      </c>
      <c r="M446" s="101">
        <v>21</v>
      </c>
      <c r="N446" s="101">
        <v>1</v>
      </c>
      <c r="O446" s="101">
        <v>1</v>
      </c>
      <c r="P446" s="101">
        <v>89</v>
      </c>
      <c r="Q446" s="101">
        <v>1030</v>
      </c>
      <c r="R446" s="12" t="s">
        <v>25</v>
      </c>
      <c r="S446" s="12" t="s">
        <v>25</v>
      </c>
      <c r="T446" s="12" t="s">
        <v>25</v>
      </c>
    </row>
    <row r="447" spans="1:20" x14ac:dyDescent="0.3">
      <c r="A447" s="13">
        <v>43906.708333333336</v>
      </c>
      <c r="B447" s="12" t="s">
        <v>22</v>
      </c>
      <c r="C447" s="101">
        <v>15</v>
      </c>
      <c r="D447" s="12" t="s">
        <v>46</v>
      </c>
      <c r="E447" s="101">
        <v>4083956555</v>
      </c>
      <c r="F447" s="101">
        <v>1425084984</v>
      </c>
      <c r="G447" s="101">
        <v>103</v>
      </c>
      <c r="H447" s="101">
        <v>22</v>
      </c>
      <c r="I447" s="101">
        <v>125</v>
      </c>
      <c r="J447" s="101">
        <v>238</v>
      </c>
      <c r="K447" s="101">
        <v>363</v>
      </c>
      <c r="L447" s="101">
        <v>67</v>
      </c>
      <c r="M447" s="101">
        <v>67</v>
      </c>
      <c r="N447" s="101">
        <v>28</v>
      </c>
      <c r="O447" s="101">
        <v>9</v>
      </c>
      <c r="P447" s="101">
        <v>400</v>
      </c>
      <c r="Q447" s="101">
        <v>2517</v>
      </c>
      <c r="R447" s="12" t="s">
        <v>25</v>
      </c>
      <c r="S447" s="12" t="s">
        <v>25</v>
      </c>
      <c r="T447" s="12" t="s">
        <v>25</v>
      </c>
    </row>
    <row r="448" spans="1:20" x14ac:dyDescent="0.3">
      <c r="A448" s="13">
        <v>43906.708333333336</v>
      </c>
      <c r="B448" s="12" t="s">
        <v>22</v>
      </c>
      <c r="C448" s="101">
        <v>8</v>
      </c>
      <c r="D448" s="12" t="s">
        <v>96</v>
      </c>
      <c r="E448" s="101">
        <v>4449436681</v>
      </c>
      <c r="F448" s="101">
        <v>113417208</v>
      </c>
      <c r="G448" s="101">
        <v>1362</v>
      </c>
      <c r="H448" s="101">
        <v>197</v>
      </c>
      <c r="I448" s="101">
        <v>1559</v>
      </c>
      <c r="J448" s="101">
        <v>1529</v>
      </c>
      <c r="K448" s="101">
        <v>3088</v>
      </c>
      <c r="L448" s="101">
        <v>347</v>
      </c>
      <c r="M448" s="101">
        <v>429</v>
      </c>
      <c r="N448" s="101">
        <v>88</v>
      </c>
      <c r="O448" s="101">
        <v>346</v>
      </c>
      <c r="P448" s="101">
        <v>3522</v>
      </c>
      <c r="Q448" s="101">
        <v>13096</v>
      </c>
      <c r="R448" s="12" t="s">
        <v>25</v>
      </c>
      <c r="S448" s="12" t="s">
        <v>25</v>
      </c>
      <c r="T448" s="12" t="s">
        <v>25</v>
      </c>
    </row>
    <row r="449" spans="1:20" x14ac:dyDescent="0.3">
      <c r="A449" s="13">
        <v>43906.708333333336</v>
      </c>
      <c r="B449" s="12" t="s">
        <v>22</v>
      </c>
      <c r="C449" s="101">
        <v>6</v>
      </c>
      <c r="D449" s="12" t="s">
        <v>47</v>
      </c>
      <c r="E449" s="101">
        <v>456494354</v>
      </c>
      <c r="F449" s="101">
        <v>1376813649</v>
      </c>
      <c r="G449" s="101">
        <v>96</v>
      </c>
      <c r="H449" s="101">
        <v>19</v>
      </c>
      <c r="I449" s="101">
        <v>115</v>
      </c>
      <c r="J449" s="101">
        <v>231</v>
      </c>
      <c r="K449" s="101">
        <v>346</v>
      </c>
      <c r="L449" s="101">
        <v>30</v>
      </c>
      <c r="M449" s="101">
        <v>39</v>
      </c>
      <c r="N449" s="101">
        <v>18</v>
      </c>
      <c r="O449" s="101">
        <v>22</v>
      </c>
      <c r="P449" s="101">
        <v>386</v>
      </c>
      <c r="Q449" s="101">
        <v>4851</v>
      </c>
      <c r="R449" s="12" t="s">
        <v>25</v>
      </c>
      <c r="S449" s="12" t="s">
        <v>25</v>
      </c>
      <c r="T449" s="12" t="s">
        <v>25</v>
      </c>
    </row>
    <row r="450" spans="1:20" x14ac:dyDescent="0.3">
      <c r="A450" s="13">
        <v>43906.708333333336</v>
      </c>
      <c r="B450" s="12" t="s">
        <v>22</v>
      </c>
      <c r="C450" s="101">
        <v>12</v>
      </c>
      <c r="D450" s="12" t="s">
        <v>48</v>
      </c>
      <c r="E450" s="101">
        <v>4189277044</v>
      </c>
      <c r="F450" s="101">
        <v>1248366722</v>
      </c>
      <c r="G450" s="101">
        <v>267</v>
      </c>
      <c r="H450" s="101">
        <v>31</v>
      </c>
      <c r="I450" s="101">
        <v>298</v>
      </c>
      <c r="J450" s="101">
        <v>174</v>
      </c>
      <c r="K450" s="101">
        <v>472</v>
      </c>
      <c r="L450" s="101">
        <v>76</v>
      </c>
      <c r="M450" s="101">
        <v>87</v>
      </c>
      <c r="N450" s="101">
        <v>32</v>
      </c>
      <c r="O450" s="101">
        <v>19</v>
      </c>
      <c r="P450" s="101">
        <v>523</v>
      </c>
      <c r="Q450" s="101">
        <v>9330</v>
      </c>
      <c r="R450" s="12" t="s">
        <v>25</v>
      </c>
      <c r="S450" s="12" t="s">
        <v>25</v>
      </c>
      <c r="T450" s="12" t="s">
        <v>25</v>
      </c>
    </row>
    <row r="451" spans="1:20" x14ac:dyDescent="0.3">
      <c r="A451" s="13">
        <v>43906.708333333336</v>
      </c>
      <c r="B451" s="12" t="s">
        <v>22</v>
      </c>
      <c r="C451" s="101">
        <v>7</v>
      </c>
      <c r="D451" s="12" t="s">
        <v>49</v>
      </c>
      <c r="E451" s="101">
        <v>4441149315</v>
      </c>
      <c r="F451" s="101">
        <v>89326992</v>
      </c>
      <c r="G451" s="101">
        <v>255</v>
      </c>
      <c r="H451" s="101">
        <v>73</v>
      </c>
      <c r="I451" s="101">
        <v>328</v>
      </c>
      <c r="J451" s="101">
        <v>247</v>
      </c>
      <c r="K451" s="101">
        <v>575</v>
      </c>
      <c r="L451" s="101">
        <v>82</v>
      </c>
      <c r="M451" s="101">
        <v>108</v>
      </c>
      <c r="N451" s="101">
        <v>42</v>
      </c>
      <c r="O451" s="101">
        <v>50</v>
      </c>
      <c r="P451" s="101">
        <v>667</v>
      </c>
      <c r="Q451" s="101">
        <v>2189</v>
      </c>
      <c r="R451" s="12" t="s">
        <v>25</v>
      </c>
      <c r="S451" s="12" t="s">
        <v>25</v>
      </c>
      <c r="T451" s="12" t="s">
        <v>25</v>
      </c>
    </row>
    <row r="452" spans="1:20" x14ac:dyDescent="0.3">
      <c r="A452" s="13">
        <v>43906.708333333336</v>
      </c>
      <c r="B452" s="12" t="s">
        <v>22</v>
      </c>
      <c r="C452" s="101">
        <v>3</v>
      </c>
      <c r="D452" s="12" t="s">
        <v>50</v>
      </c>
      <c r="E452" s="101">
        <v>4546679409</v>
      </c>
      <c r="F452" s="101">
        <v>9190347404</v>
      </c>
      <c r="G452" s="101">
        <v>6171</v>
      </c>
      <c r="H452" s="101">
        <v>823</v>
      </c>
      <c r="I452" s="101">
        <v>6994</v>
      </c>
      <c r="J452" s="101">
        <v>3867</v>
      </c>
      <c r="K452" s="101">
        <v>10861</v>
      </c>
      <c r="L452" s="101">
        <v>818</v>
      </c>
      <c r="M452" s="101">
        <v>1377</v>
      </c>
      <c r="N452" s="101">
        <v>2368</v>
      </c>
      <c r="O452" s="101">
        <v>1420</v>
      </c>
      <c r="P452" s="101">
        <v>14649</v>
      </c>
      <c r="Q452" s="101">
        <v>43565</v>
      </c>
      <c r="R452" s="12" t="s">
        <v>25</v>
      </c>
      <c r="S452" s="12" t="s">
        <v>25</v>
      </c>
      <c r="T452" s="12" t="s">
        <v>25</v>
      </c>
    </row>
    <row r="453" spans="1:20" x14ac:dyDescent="0.3">
      <c r="A453" s="13">
        <v>43906.708333333336</v>
      </c>
      <c r="B453" s="12" t="s">
        <v>22</v>
      </c>
      <c r="C453" s="101">
        <v>11</v>
      </c>
      <c r="D453" s="12" t="s">
        <v>51</v>
      </c>
      <c r="E453" s="101">
        <v>4361675973</v>
      </c>
      <c r="F453" s="101">
        <v>135188753</v>
      </c>
      <c r="G453" s="101">
        <v>528</v>
      </c>
      <c r="H453" s="101">
        <v>110</v>
      </c>
      <c r="I453" s="101">
        <v>638</v>
      </c>
      <c r="J453" s="101">
        <v>547</v>
      </c>
      <c r="K453" s="101">
        <v>1185</v>
      </c>
      <c r="L453" s="101">
        <v>98</v>
      </c>
      <c r="M453" s="101">
        <v>109</v>
      </c>
      <c r="N453" s="101">
        <v>0</v>
      </c>
      <c r="O453" s="101">
        <v>57</v>
      </c>
      <c r="P453" s="101">
        <v>1242</v>
      </c>
      <c r="Q453" s="101">
        <v>3225</v>
      </c>
      <c r="R453" s="12" t="s">
        <v>25</v>
      </c>
      <c r="S453" s="12" t="s">
        <v>25</v>
      </c>
      <c r="T453" s="12" t="s">
        <v>25</v>
      </c>
    </row>
    <row r="454" spans="1:20" x14ac:dyDescent="0.3">
      <c r="A454" s="13">
        <v>43906.708333333336</v>
      </c>
      <c r="B454" s="12" t="s">
        <v>22</v>
      </c>
      <c r="C454" s="101">
        <v>14</v>
      </c>
      <c r="D454" s="12" t="s">
        <v>52</v>
      </c>
      <c r="E454" s="101">
        <v>4155774754</v>
      </c>
      <c r="F454" s="101">
        <v>1465916051</v>
      </c>
      <c r="G454" s="101">
        <v>3</v>
      </c>
      <c r="H454" s="101">
        <v>5</v>
      </c>
      <c r="I454" s="101">
        <v>8</v>
      </c>
      <c r="J454" s="101">
        <v>7</v>
      </c>
      <c r="K454" s="101">
        <v>15</v>
      </c>
      <c r="L454" s="101">
        <v>-2</v>
      </c>
      <c r="M454" s="101">
        <v>4</v>
      </c>
      <c r="N454" s="101">
        <v>5</v>
      </c>
      <c r="O454" s="101">
        <v>1</v>
      </c>
      <c r="P454" s="101">
        <v>21</v>
      </c>
      <c r="Q454" s="101">
        <v>253</v>
      </c>
      <c r="R454" s="12" t="s">
        <v>25</v>
      </c>
      <c r="S454" s="12" t="s">
        <v>25</v>
      </c>
      <c r="T454" s="12" t="s">
        <v>25</v>
      </c>
    </row>
    <row r="455" spans="1:20" x14ac:dyDescent="0.3">
      <c r="A455" s="13">
        <v>43906.708333333336</v>
      </c>
      <c r="B455" s="12" t="s">
        <v>22</v>
      </c>
      <c r="C455" s="101">
        <v>1</v>
      </c>
      <c r="D455" s="12" t="s">
        <v>53</v>
      </c>
      <c r="E455" s="101">
        <v>450732745</v>
      </c>
      <c r="F455" s="101">
        <v>7680687483</v>
      </c>
      <c r="G455" s="101">
        <v>1045</v>
      </c>
      <c r="H455" s="101">
        <v>186</v>
      </c>
      <c r="I455" s="101">
        <v>1231</v>
      </c>
      <c r="J455" s="101">
        <v>174</v>
      </c>
      <c r="K455" s="101">
        <v>1405</v>
      </c>
      <c r="L455" s="101">
        <v>375</v>
      </c>
      <c r="M455" s="101">
        <v>405</v>
      </c>
      <c r="N455" s="101">
        <v>0</v>
      </c>
      <c r="O455" s="101">
        <v>111</v>
      </c>
      <c r="P455" s="101">
        <v>1516</v>
      </c>
      <c r="Q455" s="101">
        <v>5588</v>
      </c>
      <c r="R455" s="12" t="s">
        <v>25</v>
      </c>
      <c r="S455" s="12" t="s">
        <v>25</v>
      </c>
      <c r="T455" s="12" t="s">
        <v>25</v>
      </c>
    </row>
    <row r="456" spans="1:20" x14ac:dyDescent="0.3">
      <c r="A456" s="13">
        <v>43906.708333333336</v>
      </c>
      <c r="B456" s="12" t="s">
        <v>22</v>
      </c>
      <c r="C456" s="101">
        <v>16</v>
      </c>
      <c r="D456" s="12" t="s">
        <v>54</v>
      </c>
      <c r="E456" s="101">
        <v>4112559576</v>
      </c>
      <c r="F456" s="101">
        <v>1686736689</v>
      </c>
      <c r="G456" s="101">
        <v>116</v>
      </c>
      <c r="H456" s="101">
        <v>6</v>
      </c>
      <c r="I456" s="101">
        <v>122</v>
      </c>
      <c r="J456" s="101">
        <v>90</v>
      </c>
      <c r="K456" s="101">
        <v>212</v>
      </c>
      <c r="L456" s="101">
        <v>0</v>
      </c>
      <c r="M456" s="101">
        <v>0</v>
      </c>
      <c r="N456" s="101">
        <v>2</v>
      </c>
      <c r="O456" s="101">
        <v>16</v>
      </c>
      <c r="P456" s="101">
        <v>230</v>
      </c>
      <c r="Q456" s="101">
        <v>2017</v>
      </c>
      <c r="R456" s="12" t="s">
        <v>25</v>
      </c>
      <c r="S456" s="12" t="s">
        <v>68</v>
      </c>
      <c r="T456" s="12" t="s">
        <v>69</v>
      </c>
    </row>
    <row r="457" spans="1:20" x14ac:dyDescent="0.3">
      <c r="A457" s="13">
        <v>43906.708333333336</v>
      </c>
      <c r="B457" s="12" t="s">
        <v>22</v>
      </c>
      <c r="C457" s="101">
        <v>20</v>
      </c>
      <c r="D457" s="12" t="s">
        <v>55</v>
      </c>
      <c r="E457" s="101">
        <v>3921531192</v>
      </c>
      <c r="F457" s="101">
        <v>9110616306</v>
      </c>
      <c r="G457" s="101">
        <v>39</v>
      </c>
      <c r="H457" s="101">
        <v>0</v>
      </c>
      <c r="I457" s="101">
        <v>39</v>
      </c>
      <c r="J457" s="101">
        <v>66</v>
      </c>
      <c r="K457" s="101">
        <v>105</v>
      </c>
      <c r="L457" s="101">
        <v>30</v>
      </c>
      <c r="M457" s="101">
        <v>30</v>
      </c>
      <c r="N457" s="101">
        <v>0</v>
      </c>
      <c r="O457" s="101">
        <v>2</v>
      </c>
      <c r="P457" s="101">
        <v>107</v>
      </c>
      <c r="Q457" s="101">
        <v>797</v>
      </c>
      <c r="R457" s="12" t="s">
        <v>25</v>
      </c>
      <c r="S457" s="12" t="s">
        <v>25</v>
      </c>
      <c r="T457" s="12" t="s">
        <v>25</v>
      </c>
    </row>
    <row r="458" spans="1:20" x14ac:dyDescent="0.3">
      <c r="A458" s="13">
        <v>43906.708333333336</v>
      </c>
      <c r="B458" s="12" t="s">
        <v>22</v>
      </c>
      <c r="C458" s="101">
        <v>19</v>
      </c>
      <c r="D458" s="12" t="s">
        <v>56</v>
      </c>
      <c r="E458" s="101">
        <v>3811569725</v>
      </c>
      <c r="F458" s="101">
        <v>133623567</v>
      </c>
      <c r="G458" s="101">
        <v>75</v>
      </c>
      <c r="H458" s="101">
        <v>20</v>
      </c>
      <c r="I458" s="101">
        <v>95</v>
      </c>
      <c r="J458" s="101">
        <v>108</v>
      </c>
      <c r="K458" s="101">
        <v>203</v>
      </c>
      <c r="L458" s="101">
        <v>24</v>
      </c>
      <c r="M458" s="101">
        <v>25</v>
      </c>
      <c r="N458" s="101">
        <v>8</v>
      </c>
      <c r="O458" s="101">
        <v>2</v>
      </c>
      <c r="P458" s="101">
        <v>213</v>
      </c>
      <c r="Q458" s="101">
        <v>2653</v>
      </c>
      <c r="R458" s="12" t="s">
        <v>25</v>
      </c>
      <c r="S458" s="12" t="s">
        <v>25</v>
      </c>
      <c r="T458" s="12" t="s">
        <v>25</v>
      </c>
    </row>
    <row r="459" spans="1:20" x14ac:dyDescent="0.3">
      <c r="A459" s="13">
        <v>43906.708333333336</v>
      </c>
      <c r="B459" s="12" t="s">
        <v>22</v>
      </c>
      <c r="C459" s="101">
        <v>9</v>
      </c>
      <c r="D459" s="12" t="s">
        <v>57</v>
      </c>
      <c r="E459" s="101">
        <v>4376923077</v>
      </c>
      <c r="F459" s="101">
        <v>1125588885</v>
      </c>
      <c r="G459" s="101">
        <v>175</v>
      </c>
      <c r="H459" s="101">
        <v>107</v>
      </c>
      <c r="I459" s="101">
        <v>282</v>
      </c>
      <c r="J459" s="101">
        <v>559</v>
      </c>
      <c r="K459" s="101">
        <v>841</v>
      </c>
      <c r="L459" s="101">
        <v>78</v>
      </c>
      <c r="M459" s="101">
        <v>85</v>
      </c>
      <c r="N459" s="101">
        <v>11</v>
      </c>
      <c r="O459" s="101">
        <v>14</v>
      </c>
      <c r="P459" s="101">
        <v>866</v>
      </c>
      <c r="Q459" s="101">
        <v>5910</v>
      </c>
      <c r="R459" s="12" t="s">
        <v>25</v>
      </c>
      <c r="S459" s="12" t="s">
        <v>25</v>
      </c>
      <c r="T459" s="12" t="s">
        <v>25</v>
      </c>
    </row>
    <row r="460" spans="1:20" x14ac:dyDescent="0.3">
      <c r="A460" s="13">
        <v>43906.708333333336</v>
      </c>
      <c r="B460" s="12" t="s">
        <v>22</v>
      </c>
      <c r="C460" s="101">
        <v>4</v>
      </c>
      <c r="D460" s="12" t="s">
        <v>58</v>
      </c>
      <c r="E460" s="101">
        <v>4606893511</v>
      </c>
      <c r="F460" s="101">
        <v>1112123097</v>
      </c>
      <c r="G460" s="101">
        <v>73</v>
      </c>
      <c r="H460" s="101">
        <v>19</v>
      </c>
      <c r="I460" s="101">
        <v>92</v>
      </c>
      <c r="J460" s="101">
        <v>275</v>
      </c>
      <c r="K460" s="101">
        <v>367</v>
      </c>
      <c r="L460" s="101">
        <v>0</v>
      </c>
      <c r="M460" s="101">
        <v>0</v>
      </c>
      <c r="N460" s="101">
        <v>5</v>
      </c>
      <c r="O460" s="101">
        <v>6</v>
      </c>
      <c r="P460" s="101">
        <v>378</v>
      </c>
      <c r="Q460" s="101">
        <v>1006</v>
      </c>
      <c r="R460" s="12" t="s">
        <v>25</v>
      </c>
      <c r="S460" s="12" t="s">
        <v>70</v>
      </c>
      <c r="T460" s="12" t="s">
        <v>71</v>
      </c>
    </row>
    <row r="461" spans="1:20" x14ac:dyDescent="0.3">
      <c r="A461" s="13">
        <v>43906.708333333336</v>
      </c>
      <c r="B461" s="12" t="s">
        <v>22</v>
      </c>
      <c r="C461" s="101">
        <v>10</v>
      </c>
      <c r="D461" s="12" t="s">
        <v>59</v>
      </c>
      <c r="E461" s="101">
        <v>4310675841</v>
      </c>
      <c r="F461" s="101">
        <v>1238824698</v>
      </c>
      <c r="G461" s="101">
        <v>30</v>
      </c>
      <c r="H461" s="101">
        <v>15</v>
      </c>
      <c r="I461" s="101">
        <v>45</v>
      </c>
      <c r="J461" s="101">
        <v>114</v>
      </c>
      <c r="K461" s="101">
        <v>159</v>
      </c>
      <c r="L461" s="101">
        <v>20</v>
      </c>
      <c r="M461" s="101">
        <v>21</v>
      </c>
      <c r="N461" s="101">
        <v>4</v>
      </c>
      <c r="O461" s="101">
        <v>1</v>
      </c>
      <c r="P461" s="101">
        <v>164</v>
      </c>
      <c r="Q461" s="101">
        <v>1093</v>
      </c>
      <c r="R461" s="12" t="s">
        <v>25</v>
      </c>
      <c r="S461" s="12" t="s">
        <v>25</v>
      </c>
      <c r="T461" s="12" t="s">
        <v>25</v>
      </c>
    </row>
    <row r="462" spans="1:20" x14ac:dyDescent="0.3">
      <c r="A462" s="13">
        <v>43906.708333333336</v>
      </c>
      <c r="B462" s="12" t="s">
        <v>22</v>
      </c>
      <c r="C462" s="101">
        <v>2</v>
      </c>
      <c r="D462" s="12" t="s">
        <v>60</v>
      </c>
      <c r="E462" s="101">
        <v>4573750286</v>
      </c>
      <c r="F462" s="101">
        <v>7320149366</v>
      </c>
      <c r="G462" s="101">
        <v>28</v>
      </c>
      <c r="H462" s="101">
        <v>5</v>
      </c>
      <c r="I462" s="101">
        <v>33</v>
      </c>
      <c r="J462" s="101">
        <v>70</v>
      </c>
      <c r="K462" s="101">
        <v>103</v>
      </c>
      <c r="L462" s="101">
        <v>47</v>
      </c>
      <c r="M462" s="101">
        <v>48</v>
      </c>
      <c r="N462" s="101">
        <v>0</v>
      </c>
      <c r="O462" s="101">
        <v>2</v>
      </c>
      <c r="P462" s="101">
        <v>105</v>
      </c>
      <c r="Q462" s="101">
        <v>287</v>
      </c>
      <c r="R462" s="12" t="s">
        <v>25</v>
      </c>
      <c r="S462" s="12" t="s">
        <v>25</v>
      </c>
      <c r="T462" s="12" t="s">
        <v>25</v>
      </c>
    </row>
    <row r="463" spans="1:20" x14ac:dyDescent="0.3">
      <c r="A463" s="13">
        <v>43906.708333333336</v>
      </c>
      <c r="B463" s="12" t="s">
        <v>22</v>
      </c>
      <c r="C463" s="101">
        <v>5</v>
      </c>
      <c r="D463" s="12" t="s">
        <v>61</v>
      </c>
      <c r="E463" s="101">
        <v>4543490485</v>
      </c>
      <c r="F463" s="101">
        <v>1233845213</v>
      </c>
      <c r="G463" s="101">
        <v>498</v>
      </c>
      <c r="H463" s="101">
        <v>156</v>
      </c>
      <c r="I463" s="101">
        <v>654</v>
      </c>
      <c r="J463" s="101">
        <v>1620</v>
      </c>
      <c r="K463" s="101">
        <v>2274</v>
      </c>
      <c r="L463" s="101">
        <v>285</v>
      </c>
      <c r="M463" s="101">
        <v>301</v>
      </c>
      <c r="N463" s="101">
        <v>130</v>
      </c>
      <c r="O463" s="101">
        <v>69</v>
      </c>
      <c r="P463" s="101">
        <v>2473</v>
      </c>
      <c r="Q463" s="101">
        <v>35052</v>
      </c>
      <c r="R463" s="12" t="s">
        <v>25</v>
      </c>
      <c r="S463" s="12" t="s">
        <v>25</v>
      </c>
      <c r="T463" s="12" t="s">
        <v>25</v>
      </c>
    </row>
    <row r="464" spans="1:20" x14ac:dyDescent="0.3">
      <c r="A464" s="13">
        <v>43907.708333333336</v>
      </c>
      <c r="B464" s="12" t="s">
        <v>22</v>
      </c>
      <c r="C464" s="101">
        <v>13</v>
      </c>
      <c r="D464" s="12" t="s">
        <v>42</v>
      </c>
      <c r="E464" s="101">
        <v>4235122196</v>
      </c>
      <c r="F464" s="101">
        <v>1339843823</v>
      </c>
      <c r="G464" s="101">
        <v>94</v>
      </c>
      <c r="H464" s="101">
        <v>32</v>
      </c>
      <c r="I464" s="101">
        <v>126</v>
      </c>
      <c r="J464" s="101">
        <v>90</v>
      </c>
      <c r="K464" s="101">
        <v>216</v>
      </c>
      <c r="L464" s="101">
        <v>51</v>
      </c>
      <c r="M464" s="101">
        <v>53</v>
      </c>
      <c r="N464" s="101">
        <v>7</v>
      </c>
      <c r="O464" s="101">
        <v>6</v>
      </c>
      <c r="P464" s="101">
        <v>229</v>
      </c>
      <c r="Q464" s="101">
        <v>1688</v>
      </c>
      <c r="R464" s="12" t="s">
        <v>25</v>
      </c>
      <c r="S464" s="12" t="s">
        <v>25</v>
      </c>
      <c r="T464" s="12" t="s">
        <v>25</v>
      </c>
    </row>
    <row r="465" spans="1:20" x14ac:dyDescent="0.3">
      <c r="A465" s="13">
        <v>43907.708333333336</v>
      </c>
      <c r="B465" s="12" t="s">
        <v>22</v>
      </c>
      <c r="C465" s="101">
        <v>17</v>
      </c>
      <c r="D465" s="12" t="s">
        <v>43</v>
      </c>
      <c r="E465" s="101">
        <v>4063947052</v>
      </c>
      <c r="F465" s="101">
        <v>1580514834</v>
      </c>
      <c r="G465" s="101">
        <v>5</v>
      </c>
      <c r="H465" s="101">
        <v>2</v>
      </c>
      <c r="I465" s="101">
        <v>7</v>
      </c>
      <c r="J465" s="101">
        <v>13</v>
      </c>
      <c r="K465" s="101">
        <v>20</v>
      </c>
      <c r="L465" s="101">
        <v>8</v>
      </c>
      <c r="M465" s="101">
        <v>8</v>
      </c>
      <c r="N465" s="101">
        <v>0</v>
      </c>
      <c r="O465" s="101">
        <v>0</v>
      </c>
      <c r="P465" s="101">
        <v>20</v>
      </c>
      <c r="Q465" s="101">
        <v>262</v>
      </c>
      <c r="R465" s="12" t="s">
        <v>25</v>
      </c>
      <c r="S465" s="12" t="s">
        <v>25</v>
      </c>
      <c r="T465" s="12" t="s">
        <v>25</v>
      </c>
    </row>
    <row r="466" spans="1:20" x14ac:dyDescent="0.3">
      <c r="A466" s="13">
        <v>43907.708333333336</v>
      </c>
      <c r="B466" s="12" t="s">
        <v>22</v>
      </c>
      <c r="C466" s="101">
        <v>4</v>
      </c>
      <c r="D466" s="12" t="s">
        <v>44</v>
      </c>
      <c r="E466" s="101">
        <v>4649933453</v>
      </c>
      <c r="F466" s="101">
        <v>1135662422</v>
      </c>
      <c r="G466" s="101">
        <v>71</v>
      </c>
      <c r="H466" s="101">
        <v>11</v>
      </c>
      <c r="I466" s="101">
        <v>82</v>
      </c>
      <c r="J466" s="101">
        <v>200</v>
      </c>
      <c r="K466" s="101">
        <v>282</v>
      </c>
      <c r="L466" s="101">
        <v>47</v>
      </c>
      <c r="M466" s="101">
        <v>50</v>
      </c>
      <c r="N466" s="101">
        <v>1</v>
      </c>
      <c r="O466" s="101">
        <v>8</v>
      </c>
      <c r="P466" s="101">
        <v>291</v>
      </c>
      <c r="Q466" s="101">
        <v>2149</v>
      </c>
      <c r="R466" s="12" t="s">
        <v>25</v>
      </c>
      <c r="S466" s="12" t="s">
        <v>25</v>
      </c>
      <c r="T466" s="12" t="s">
        <v>25</v>
      </c>
    </row>
    <row r="467" spans="1:20" x14ac:dyDescent="0.3">
      <c r="A467" s="13">
        <v>43907.708333333336</v>
      </c>
      <c r="B467" s="12" t="s">
        <v>22</v>
      </c>
      <c r="C467" s="101">
        <v>18</v>
      </c>
      <c r="D467" s="12" t="s">
        <v>45</v>
      </c>
      <c r="E467" s="101">
        <v>3890597598</v>
      </c>
      <c r="F467" s="101">
        <v>1659440194</v>
      </c>
      <c r="G467" s="101">
        <v>45</v>
      </c>
      <c r="H467" s="101">
        <v>10</v>
      </c>
      <c r="I467" s="101">
        <v>55</v>
      </c>
      <c r="J467" s="101">
        <v>57</v>
      </c>
      <c r="K467" s="101">
        <v>112</v>
      </c>
      <c r="L467" s="101">
        <v>25</v>
      </c>
      <c r="M467" s="101">
        <v>25</v>
      </c>
      <c r="N467" s="101">
        <v>1</v>
      </c>
      <c r="O467" s="101">
        <v>1</v>
      </c>
      <c r="P467" s="101">
        <v>114</v>
      </c>
      <c r="Q467" s="101">
        <v>1293</v>
      </c>
      <c r="R467" s="12" t="s">
        <v>25</v>
      </c>
      <c r="S467" s="12" t="s">
        <v>25</v>
      </c>
      <c r="T467" s="12" t="s">
        <v>25</v>
      </c>
    </row>
    <row r="468" spans="1:20" x14ac:dyDescent="0.3">
      <c r="A468" s="13">
        <v>43907.708333333336</v>
      </c>
      <c r="B468" s="12" t="s">
        <v>22</v>
      </c>
      <c r="C468" s="101">
        <v>15</v>
      </c>
      <c r="D468" s="12" t="s">
        <v>46</v>
      </c>
      <c r="E468" s="101">
        <v>4083956555</v>
      </c>
      <c r="F468" s="101">
        <v>1425084984</v>
      </c>
      <c r="G468" s="101">
        <v>127</v>
      </c>
      <c r="H468" s="101">
        <v>24</v>
      </c>
      <c r="I468" s="101">
        <v>151</v>
      </c>
      <c r="J468" s="101">
        <v>272</v>
      </c>
      <c r="K468" s="101">
        <v>423</v>
      </c>
      <c r="L468" s="101">
        <v>60</v>
      </c>
      <c r="M468" s="101">
        <v>60</v>
      </c>
      <c r="N468" s="101">
        <v>28</v>
      </c>
      <c r="O468" s="101">
        <v>9</v>
      </c>
      <c r="P468" s="101">
        <v>460</v>
      </c>
      <c r="Q468" s="101">
        <v>2685</v>
      </c>
      <c r="R468" s="12" t="s">
        <v>25</v>
      </c>
      <c r="S468" s="12" t="s">
        <v>25</v>
      </c>
      <c r="T468" s="12" t="s">
        <v>25</v>
      </c>
    </row>
    <row r="469" spans="1:20" x14ac:dyDescent="0.3">
      <c r="A469" s="13">
        <v>43907.708333333336</v>
      </c>
      <c r="B469" s="12" t="s">
        <v>22</v>
      </c>
      <c r="C469" s="101">
        <v>8</v>
      </c>
      <c r="D469" s="12" t="s">
        <v>96</v>
      </c>
      <c r="E469" s="101">
        <v>4449436681</v>
      </c>
      <c r="F469" s="101">
        <v>113417208</v>
      </c>
      <c r="G469" s="101">
        <v>1566</v>
      </c>
      <c r="H469" s="101">
        <v>223</v>
      </c>
      <c r="I469" s="101">
        <v>1789</v>
      </c>
      <c r="J469" s="101">
        <v>1615</v>
      </c>
      <c r="K469" s="101">
        <v>3404</v>
      </c>
      <c r="L469" s="101">
        <v>316</v>
      </c>
      <c r="M469" s="101">
        <v>409</v>
      </c>
      <c r="N469" s="101">
        <v>134</v>
      </c>
      <c r="O469" s="101">
        <v>393</v>
      </c>
      <c r="P469" s="101">
        <v>3931</v>
      </c>
      <c r="Q469" s="101">
        <v>14510</v>
      </c>
      <c r="R469" s="12" t="s">
        <v>25</v>
      </c>
      <c r="S469" s="12" t="s">
        <v>72</v>
      </c>
      <c r="T469" s="12" t="s">
        <v>73</v>
      </c>
    </row>
    <row r="470" spans="1:20" x14ac:dyDescent="0.3">
      <c r="A470" s="13">
        <v>43907.708333333336</v>
      </c>
      <c r="B470" s="12" t="s">
        <v>22</v>
      </c>
      <c r="C470" s="101">
        <v>6</v>
      </c>
      <c r="D470" s="12" t="s">
        <v>47</v>
      </c>
      <c r="E470" s="101">
        <v>456494354</v>
      </c>
      <c r="F470" s="101">
        <v>1376813649</v>
      </c>
      <c r="G470" s="101">
        <v>104</v>
      </c>
      <c r="H470" s="101">
        <v>21</v>
      </c>
      <c r="I470" s="101">
        <v>125</v>
      </c>
      <c r="J470" s="101">
        <v>222</v>
      </c>
      <c r="K470" s="101">
        <v>347</v>
      </c>
      <c r="L470" s="101">
        <v>1</v>
      </c>
      <c r="M470" s="101">
        <v>8</v>
      </c>
      <c r="N470" s="101">
        <v>17</v>
      </c>
      <c r="O470" s="101">
        <v>30</v>
      </c>
      <c r="P470" s="101">
        <v>394</v>
      </c>
      <c r="Q470" s="101">
        <v>4958</v>
      </c>
      <c r="R470" s="12" t="s">
        <v>25</v>
      </c>
      <c r="S470" s="12" t="s">
        <v>25</v>
      </c>
      <c r="T470" s="12" t="s">
        <v>25</v>
      </c>
    </row>
    <row r="471" spans="1:20" x14ac:dyDescent="0.3">
      <c r="A471" s="13">
        <v>43907.708333333336</v>
      </c>
      <c r="B471" s="12" t="s">
        <v>22</v>
      </c>
      <c r="C471" s="101">
        <v>12</v>
      </c>
      <c r="D471" s="12" t="s">
        <v>48</v>
      </c>
      <c r="E471" s="101">
        <v>4189277044</v>
      </c>
      <c r="F471" s="101">
        <v>1248366722</v>
      </c>
      <c r="G471" s="101">
        <v>314</v>
      </c>
      <c r="H471" s="101">
        <v>44</v>
      </c>
      <c r="I471" s="101">
        <v>358</v>
      </c>
      <c r="J471" s="101">
        <v>192</v>
      </c>
      <c r="K471" s="101">
        <v>550</v>
      </c>
      <c r="L471" s="101">
        <v>78</v>
      </c>
      <c r="M471" s="101">
        <v>84</v>
      </c>
      <c r="N471" s="101">
        <v>34</v>
      </c>
      <c r="O471" s="101">
        <v>23</v>
      </c>
      <c r="P471" s="101">
        <v>607</v>
      </c>
      <c r="Q471" s="101">
        <v>9436</v>
      </c>
      <c r="R471" s="12" t="s">
        <v>25</v>
      </c>
      <c r="S471" s="12" t="s">
        <v>25</v>
      </c>
      <c r="T471" s="12" t="s">
        <v>25</v>
      </c>
    </row>
    <row r="472" spans="1:20" x14ac:dyDescent="0.3">
      <c r="A472" s="13">
        <v>43907.708333333336</v>
      </c>
      <c r="B472" s="12" t="s">
        <v>22</v>
      </c>
      <c r="C472" s="101">
        <v>7</v>
      </c>
      <c r="D472" s="12" t="s">
        <v>49</v>
      </c>
      <c r="E472" s="101">
        <v>4441149315</v>
      </c>
      <c r="F472" s="101">
        <v>89326992</v>
      </c>
      <c r="G472" s="101">
        <v>299</v>
      </c>
      <c r="H472" s="101">
        <v>85</v>
      </c>
      <c r="I472" s="101">
        <v>384</v>
      </c>
      <c r="J472" s="101">
        <v>277</v>
      </c>
      <c r="K472" s="101">
        <v>661</v>
      </c>
      <c r="L472" s="101">
        <v>86</v>
      </c>
      <c r="M472" s="101">
        <v>111</v>
      </c>
      <c r="N472" s="101">
        <v>57</v>
      </c>
      <c r="O472" s="101">
        <v>60</v>
      </c>
      <c r="P472" s="101">
        <v>778</v>
      </c>
      <c r="Q472" s="101">
        <v>2509</v>
      </c>
      <c r="R472" s="12" t="s">
        <v>25</v>
      </c>
      <c r="S472" s="12" t="s">
        <v>25</v>
      </c>
      <c r="T472" s="12" t="s">
        <v>25</v>
      </c>
    </row>
    <row r="473" spans="1:20" x14ac:dyDescent="0.3">
      <c r="A473" s="13">
        <v>43907.708333333336</v>
      </c>
      <c r="B473" s="12" t="s">
        <v>22</v>
      </c>
      <c r="C473" s="101">
        <v>3</v>
      </c>
      <c r="D473" s="12" t="s">
        <v>50</v>
      </c>
      <c r="E473" s="101">
        <v>4546679409</v>
      </c>
      <c r="F473" s="101">
        <v>9190347404</v>
      </c>
      <c r="G473" s="101">
        <v>6953</v>
      </c>
      <c r="H473" s="101">
        <v>879</v>
      </c>
      <c r="I473" s="101">
        <v>7832</v>
      </c>
      <c r="J473" s="101">
        <v>4263</v>
      </c>
      <c r="K473" s="101">
        <v>12095</v>
      </c>
      <c r="L473" s="101">
        <v>1234</v>
      </c>
      <c r="M473" s="101">
        <v>1571</v>
      </c>
      <c r="N473" s="101">
        <v>2485</v>
      </c>
      <c r="O473" s="101">
        <v>1640</v>
      </c>
      <c r="P473" s="101">
        <v>16220</v>
      </c>
      <c r="Q473" s="101">
        <v>46449</v>
      </c>
      <c r="R473" s="12" t="s">
        <v>25</v>
      </c>
      <c r="S473" s="12" t="s">
        <v>25</v>
      </c>
      <c r="T473" s="12" t="s">
        <v>25</v>
      </c>
    </row>
    <row r="474" spans="1:20" x14ac:dyDescent="0.3">
      <c r="A474" s="13">
        <v>43907.708333333336</v>
      </c>
      <c r="B474" s="12" t="s">
        <v>22</v>
      </c>
      <c r="C474" s="101">
        <v>11</v>
      </c>
      <c r="D474" s="12" t="s">
        <v>51</v>
      </c>
      <c r="E474" s="101">
        <v>4361675973</v>
      </c>
      <c r="F474" s="101">
        <v>135188753</v>
      </c>
      <c r="G474" s="101">
        <v>599</v>
      </c>
      <c r="H474" s="101">
        <v>109</v>
      </c>
      <c r="I474" s="101">
        <v>708</v>
      </c>
      <c r="J474" s="101">
        <v>594</v>
      </c>
      <c r="K474" s="101">
        <v>1302</v>
      </c>
      <c r="L474" s="101">
        <v>117</v>
      </c>
      <c r="M474" s="101">
        <v>129</v>
      </c>
      <c r="N474" s="101">
        <v>0</v>
      </c>
      <c r="O474" s="101">
        <v>69</v>
      </c>
      <c r="P474" s="101">
        <v>1371</v>
      </c>
      <c r="Q474" s="101">
        <v>3225</v>
      </c>
      <c r="R474" s="12" t="s">
        <v>25</v>
      </c>
      <c r="S474" s="12" t="s">
        <v>25</v>
      </c>
      <c r="T474" s="12" t="s">
        <v>25</v>
      </c>
    </row>
    <row r="475" spans="1:20" x14ac:dyDescent="0.3">
      <c r="A475" s="13">
        <v>43907.708333333336</v>
      </c>
      <c r="B475" s="12" t="s">
        <v>22</v>
      </c>
      <c r="C475" s="101">
        <v>14</v>
      </c>
      <c r="D475" s="12" t="s">
        <v>52</v>
      </c>
      <c r="E475" s="101">
        <v>4155774754</v>
      </c>
      <c r="F475" s="101">
        <v>1465916051</v>
      </c>
      <c r="G475" s="101">
        <v>7</v>
      </c>
      <c r="H475" s="101">
        <v>5</v>
      </c>
      <c r="I475" s="101">
        <v>12</v>
      </c>
      <c r="J475" s="101">
        <v>7</v>
      </c>
      <c r="K475" s="101">
        <v>19</v>
      </c>
      <c r="L475" s="101">
        <v>4</v>
      </c>
      <c r="M475" s="101">
        <v>4</v>
      </c>
      <c r="N475" s="101">
        <v>5</v>
      </c>
      <c r="O475" s="101">
        <v>1</v>
      </c>
      <c r="P475" s="101">
        <v>25</v>
      </c>
      <c r="Q475" s="101">
        <v>301</v>
      </c>
      <c r="R475" s="12" t="s">
        <v>25</v>
      </c>
      <c r="S475" s="12" t="s">
        <v>25</v>
      </c>
      <c r="T475" s="12" t="s">
        <v>25</v>
      </c>
    </row>
    <row r="476" spans="1:20" x14ac:dyDescent="0.3">
      <c r="A476" s="13">
        <v>43907.708333333336</v>
      </c>
      <c r="B476" s="12" t="s">
        <v>22</v>
      </c>
      <c r="C476" s="101">
        <v>1</v>
      </c>
      <c r="D476" s="12" t="s">
        <v>53</v>
      </c>
      <c r="E476" s="101">
        <v>450732745</v>
      </c>
      <c r="F476" s="101">
        <v>7680687483</v>
      </c>
      <c r="G476" s="101">
        <v>1378</v>
      </c>
      <c r="H476" s="101">
        <v>206</v>
      </c>
      <c r="I476" s="101">
        <v>1584</v>
      </c>
      <c r="J476" s="101">
        <v>180</v>
      </c>
      <c r="K476" s="101">
        <v>1764</v>
      </c>
      <c r="L476" s="101">
        <v>359</v>
      </c>
      <c r="M476" s="101">
        <v>381</v>
      </c>
      <c r="N476" s="101">
        <v>0</v>
      </c>
      <c r="O476" s="101">
        <v>133</v>
      </c>
      <c r="P476" s="101">
        <v>1897</v>
      </c>
      <c r="Q476" s="101">
        <v>6543</v>
      </c>
      <c r="R476" s="12" t="s">
        <v>25</v>
      </c>
      <c r="S476" s="12" t="s">
        <v>25</v>
      </c>
      <c r="T476" s="12" t="s">
        <v>25</v>
      </c>
    </row>
    <row r="477" spans="1:20" x14ac:dyDescent="0.3">
      <c r="A477" s="13">
        <v>43907.708333333336</v>
      </c>
      <c r="B477" s="12" t="s">
        <v>22</v>
      </c>
      <c r="C477" s="101">
        <v>16</v>
      </c>
      <c r="D477" s="12" t="s">
        <v>54</v>
      </c>
      <c r="E477" s="101">
        <v>4112559576</v>
      </c>
      <c r="F477" s="101">
        <v>1686736689</v>
      </c>
      <c r="G477" s="101">
        <v>155</v>
      </c>
      <c r="H477" s="101">
        <v>14</v>
      </c>
      <c r="I477" s="101">
        <v>169</v>
      </c>
      <c r="J477" s="101">
        <v>151</v>
      </c>
      <c r="K477" s="101">
        <v>320</v>
      </c>
      <c r="L477" s="101">
        <v>108</v>
      </c>
      <c r="M477" s="101">
        <v>110</v>
      </c>
      <c r="N477" s="101">
        <v>2</v>
      </c>
      <c r="O477" s="101">
        <v>18</v>
      </c>
      <c r="P477" s="101">
        <v>340</v>
      </c>
      <c r="Q477" s="101">
        <v>3077</v>
      </c>
      <c r="R477" s="12" t="s">
        <v>25</v>
      </c>
      <c r="S477" s="12" t="s">
        <v>25</v>
      </c>
      <c r="T477" s="12" t="s">
        <v>25</v>
      </c>
    </row>
    <row r="478" spans="1:20" x14ac:dyDescent="0.3">
      <c r="A478" s="13">
        <v>43907.708333333336</v>
      </c>
      <c r="B478" s="12" t="s">
        <v>22</v>
      </c>
      <c r="C478" s="101">
        <v>20</v>
      </c>
      <c r="D478" s="12" t="s">
        <v>55</v>
      </c>
      <c r="E478" s="101">
        <v>3921531192</v>
      </c>
      <c r="F478" s="101">
        <v>9110616306</v>
      </c>
      <c r="G478" s="101">
        <v>36</v>
      </c>
      <c r="H478" s="101">
        <v>4</v>
      </c>
      <c r="I478" s="101">
        <v>40</v>
      </c>
      <c r="J478" s="101">
        <v>75</v>
      </c>
      <c r="K478" s="101">
        <v>115</v>
      </c>
      <c r="L478" s="101">
        <v>10</v>
      </c>
      <c r="M478" s="101">
        <v>10</v>
      </c>
      <c r="N478" s="101">
        <v>0</v>
      </c>
      <c r="O478" s="101">
        <v>2</v>
      </c>
      <c r="P478" s="101">
        <v>117</v>
      </c>
      <c r="Q478" s="101">
        <v>1003</v>
      </c>
      <c r="R478" s="12" t="s">
        <v>25</v>
      </c>
      <c r="S478" s="12" t="s">
        <v>25</v>
      </c>
      <c r="T478" s="12" t="s">
        <v>25</v>
      </c>
    </row>
    <row r="479" spans="1:20" x14ac:dyDescent="0.3">
      <c r="A479" s="13">
        <v>43907.708333333336</v>
      </c>
      <c r="B479" s="12" t="s">
        <v>22</v>
      </c>
      <c r="C479" s="101">
        <v>19</v>
      </c>
      <c r="D479" s="12" t="s">
        <v>56</v>
      </c>
      <c r="E479" s="101">
        <v>3811569725</v>
      </c>
      <c r="F479" s="101">
        <v>133623567</v>
      </c>
      <c r="G479" s="101">
        <v>86</v>
      </c>
      <c r="H479" s="101">
        <v>28</v>
      </c>
      <c r="I479" s="101">
        <v>114</v>
      </c>
      <c r="J479" s="101">
        <v>112</v>
      </c>
      <c r="K479" s="101">
        <v>226</v>
      </c>
      <c r="L479" s="101">
        <v>23</v>
      </c>
      <c r="M479" s="101">
        <v>24</v>
      </c>
      <c r="N479" s="101">
        <v>8</v>
      </c>
      <c r="O479" s="101">
        <v>3</v>
      </c>
      <c r="P479" s="101">
        <v>237</v>
      </c>
      <c r="Q479" s="101">
        <v>2916</v>
      </c>
      <c r="R479" s="12" t="s">
        <v>25</v>
      </c>
      <c r="S479" s="12" t="s">
        <v>25</v>
      </c>
      <c r="T479" s="12" t="s">
        <v>25</v>
      </c>
    </row>
    <row r="480" spans="1:20" x14ac:dyDescent="0.3">
      <c r="A480" s="13">
        <v>43907.708333333336</v>
      </c>
      <c r="B480" s="12" t="s">
        <v>22</v>
      </c>
      <c r="C480" s="101">
        <v>9</v>
      </c>
      <c r="D480" s="12" t="s">
        <v>57</v>
      </c>
      <c r="E480" s="101">
        <v>4376923077</v>
      </c>
      <c r="F480" s="101">
        <v>1125588885</v>
      </c>
      <c r="G480" s="101">
        <v>329</v>
      </c>
      <c r="H480" s="101">
        <v>143</v>
      </c>
      <c r="I480" s="101">
        <v>472</v>
      </c>
      <c r="J480" s="101">
        <v>552</v>
      </c>
      <c r="K480" s="101">
        <v>1024</v>
      </c>
      <c r="L480" s="101">
        <v>183</v>
      </c>
      <c r="M480" s="101">
        <v>187</v>
      </c>
      <c r="N480" s="101">
        <v>12</v>
      </c>
      <c r="O480" s="101">
        <v>17</v>
      </c>
      <c r="P480" s="101">
        <v>1053</v>
      </c>
      <c r="Q480" s="101">
        <v>6727</v>
      </c>
      <c r="R480" s="12" t="s">
        <v>25</v>
      </c>
      <c r="S480" s="12" t="s">
        <v>25</v>
      </c>
      <c r="T480" s="12" t="s">
        <v>25</v>
      </c>
    </row>
    <row r="481" spans="1:20" x14ac:dyDescent="0.3">
      <c r="A481" s="13">
        <v>43907.708333333336</v>
      </c>
      <c r="B481" s="12" t="s">
        <v>22</v>
      </c>
      <c r="C481" s="101">
        <v>4</v>
      </c>
      <c r="D481" s="12" t="s">
        <v>58</v>
      </c>
      <c r="E481" s="101">
        <v>4606893511</v>
      </c>
      <c r="F481" s="101">
        <v>1112123097</v>
      </c>
      <c r="G481" s="101">
        <v>107</v>
      </c>
      <c r="H481" s="101">
        <v>22</v>
      </c>
      <c r="I481" s="101">
        <v>129</v>
      </c>
      <c r="J481" s="101">
        <v>239</v>
      </c>
      <c r="K481" s="101">
        <v>368</v>
      </c>
      <c r="L481" s="101">
        <v>1</v>
      </c>
      <c r="M481" s="101">
        <v>7</v>
      </c>
      <c r="N481" s="101">
        <v>10</v>
      </c>
      <c r="O481" s="101">
        <v>7</v>
      </c>
      <c r="P481" s="101">
        <v>385</v>
      </c>
      <c r="Q481" s="101">
        <v>1727</v>
      </c>
      <c r="R481" s="12" t="s">
        <v>25</v>
      </c>
      <c r="S481" s="12" t="s">
        <v>25</v>
      </c>
      <c r="T481" s="12" t="s">
        <v>25</v>
      </c>
    </row>
    <row r="482" spans="1:20" x14ac:dyDescent="0.3">
      <c r="A482" s="13">
        <v>43907.708333333336</v>
      </c>
      <c r="B482" s="12" t="s">
        <v>22</v>
      </c>
      <c r="C482" s="101">
        <v>10</v>
      </c>
      <c r="D482" s="12" t="s">
        <v>59</v>
      </c>
      <c r="E482" s="101">
        <v>4310675841</v>
      </c>
      <c r="F482" s="101">
        <v>1238824698</v>
      </c>
      <c r="G482" s="101">
        <v>36</v>
      </c>
      <c r="H482" s="101">
        <v>21</v>
      </c>
      <c r="I482" s="101">
        <v>57</v>
      </c>
      <c r="J482" s="101">
        <v>135</v>
      </c>
      <c r="K482" s="101">
        <v>192</v>
      </c>
      <c r="L482" s="101">
        <v>33</v>
      </c>
      <c r="M482" s="101">
        <v>33</v>
      </c>
      <c r="N482" s="101">
        <v>4</v>
      </c>
      <c r="O482" s="101">
        <v>1</v>
      </c>
      <c r="P482" s="101">
        <v>197</v>
      </c>
      <c r="Q482" s="101">
        <v>1323</v>
      </c>
      <c r="R482" s="12" t="s">
        <v>25</v>
      </c>
      <c r="S482" s="12" t="s">
        <v>25</v>
      </c>
      <c r="T482" s="12" t="s">
        <v>25</v>
      </c>
    </row>
    <row r="483" spans="1:20" x14ac:dyDescent="0.3">
      <c r="A483" s="13">
        <v>43907.708333333336</v>
      </c>
      <c r="B483" s="12" t="s">
        <v>22</v>
      </c>
      <c r="C483" s="101">
        <v>2</v>
      </c>
      <c r="D483" s="12" t="s">
        <v>60</v>
      </c>
      <c r="E483" s="101">
        <v>4573750286</v>
      </c>
      <c r="F483" s="101">
        <v>7320149366</v>
      </c>
      <c r="G483" s="101">
        <v>35</v>
      </c>
      <c r="H483" s="101">
        <v>6</v>
      </c>
      <c r="I483" s="101">
        <v>41</v>
      </c>
      <c r="J483" s="101">
        <v>93</v>
      </c>
      <c r="K483" s="101">
        <v>134</v>
      </c>
      <c r="L483" s="101">
        <v>31</v>
      </c>
      <c r="M483" s="101">
        <v>31</v>
      </c>
      <c r="N483" s="101">
        <v>0</v>
      </c>
      <c r="O483" s="101">
        <v>2</v>
      </c>
      <c r="P483" s="101">
        <v>136</v>
      </c>
      <c r="Q483" s="101">
        <v>398</v>
      </c>
      <c r="R483" s="12" t="s">
        <v>25</v>
      </c>
      <c r="S483" s="12" t="s">
        <v>25</v>
      </c>
      <c r="T483" s="12" t="s">
        <v>25</v>
      </c>
    </row>
    <row r="484" spans="1:20" x14ac:dyDescent="0.3">
      <c r="A484" s="13">
        <v>43907.708333333336</v>
      </c>
      <c r="B484" s="12" t="s">
        <v>22</v>
      </c>
      <c r="C484" s="101">
        <v>5</v>
      </c>
      <c r="D484" s="12" t="s">
        <v>61</v>
      </c>
      <c r="E484" s="101">
        <v>4543490485</v>
      </c>
      <c r="F484" s="101">
        <v>1233845213</v>
      </c>
      <c r="G484" s="101">
        <v>548</v>
      </c>
      <c r="H484" s="101">
        <v>171</v>
      </c>
      <c r="I484" s="101">
        <v>719</v>
      </c>
      <c r="J484" s="101">
        <v>1769</v>
      </c>
      <c r="K484" s="101">
        <v>2488</v>
      </c>
      <c r="L484" s="101">
        <v>214</v>
      </c>
      <c r="M484" s="101">
        <v>231</v>
      </c>
      <c r="N484" s="101">
        <v>136</v>
      </c>
      <c r="O484" s="101">
        <v>80</v>
      </c>
      <c r="P484" s="101">
        <v>2704</v>
      </c>
      <c r="Q484" s="101">
        <v>35478</v>
      </c>
      <c r="R484" s="12" t="s">
        <v>25</v>
      </c>
      <c r="S484" s="12" t="s">
        <v>25</v>
      </c>
      <c r="T484" s="12" t="s">
        <v>25</v>
      </c>
    </row>
    <row r="485" spans="1:20" x14ac:dyDescent="0.3">
      <c r="A485" s="13">
        <v>43908.708333333336</v>
      </c>
      <c r="B485" s="12" t="s">
        <v>22</v>
      </c>
      <c r="C485" s="101">
        <v>13</v>
      </c>
      <c r="D485" s="12" t="s">
        <v>42</v>
      </c>
      <c r="E485" s="101">
        <v>4235122196</v>
      </c>
      <c r="F485" s="101">
        <v>1339843823</v>
      </c>
      <c r="G485" s="101">
        <v>99</v>
      </c>
      <c r="H485" s="101">
        <v>41</v>
      </c>
      <c r="I485" s="101">
        <v>140</v>
      </c>
      <c r="J485" s="101">
        <v>109</v>
      </c>
      <c r="K485" s="101">
        <v>249</v>
      </c>
      <c r="L485" s="101">
        <v>33</v>
      </c>
      <c r="M485" s="101">
        <v>34</v>
      </c>
      <c r="N485" s="101">
        <v>7</v>
      </c>
      <c r="O485" s="101">
        <v>7</v>
      </c>
      <c r="P485" s="101">
        <v>263</v>
      </c>
      <c r="Q485" s="101">
        <v>2054</v>
      </c>
      <c r="R485" s="12" t="s">
        <v>25</v>
      </c>
      <c r="S485" s="12" t="s">
        <v>25</v>
      </c>
      <c r="T485" s="12" t="s">
        <v>25</v>
      </c>
    </row>
    <row r="486" spans="1:20" x14ac:dyDescent="0.3">
      <c r="A486" s="13">
        <v>43908.708333333336</v>
      </c>
      <c r="B486" s="12" t="s">
        <v>22</v>
      </c>
      <c r="C486" s="101">
        <v>17</v>
      </c>
      <c r="D486" s="12" t="s">
        <v>43</v>
      </c>
      <c r="E486" s="101">
        <v>4063947052</v>
      </c>
      <c r="F486" s="101">
        <v>1580514834</v>
      </c>
      <c r="G486" s="101">
        <v>9</v>
      </c>
      <c r="H486" s="101">
        <v>2</v>
      </c>
      <c r="I486" s="101">
        <v>11</v>
      </c>
      <c r="J486" s="101">
        <v>16</v>
      </c>
      <c r="K486" s="101">
        <v>27</v>
      </c>
      <c r="L486" s="101">
        <v>7</v>
      </c>
      <c r="M486" s="101">
        <v>7</v>
      </c>
      <c r="N486" s="101">
        <v>0</v>
      </c>
      <c r="O486" s="101">
        <v>0</v>
      </c>
      <c r="P486" s="101">
        <v>27</v>
      </c>
      <c r="Q486" s="101">
        <v>262</v>
      </c>
      <c r="R486" s="12" t="s">
        <v>25</v>
      </c>
      <c r="S486" s="12" t="s">
        <v>25</v>
      </c>
      <c r="T486" s="12" t="s">
        <v>25</v>
      </c>
    </row>
    <row r="487" spans="1:20" x14ac:dyDescent="0.3">
      <c r="A487" s="13">
        <v>43908.708333333336</v>
      </c>
      <c r="B487" s="12" t="s">
        <v>22</v>
      </c>
      <c r="C487" s="101">
        <v>4</v>
      </c>
      <c r="D487" s="12" t="s">
        <v>44</v>
      </c>
      <c r="E487" s="101">
        <v>4649933453</v>
      </c>
      <c r="F487" s="101">
        <v>1135662422</v>
      </c>
      <c r="G487" s="101">
        <v>79</v>
      </c>
      <c r="H487" s="101">
        <v>18</v>
      </c>
      <c r="I487" s="101">
        <v>97</v>
      </c>
      <c r="J487" s="101">
        <v>269</v>
      </c>
      <c r="K487" s="101">
        <v>366</v>
      </c>
      <c r="L487" s="101">
        <v>84</v>
      </c>
      <c r="M487" s="101">
        <v>85</v>
      </c>
      <c r="N487" s="101">
        <v>1</v>
      </c>
      <c r="O487" s="101">
        <v>9</v>
      </c>
      <c r="P487" s="101">
        <v>376</v>
      </c>
      <c r="Q487" s="101">
        <v>2844</v>
      </c>
      <c r="R487" s="12" t="s">
        <v>25</v>
      </c>
      <c r="S487" s="12" t="s">
        <v>25</v>
      </c>
      <c r="T487" s="12" t="s">
        <v>25</v>
      </c>
    </row>
    <row r="488" spans="1:20" x14ac:dyDescent="0.3">
      <c r="A488" s="13">
        <v>43908.708333333336</v>
      </c>
      <c r="B488" s="12" t="s">
        <v>22</v>
      </c>
      <c r="C488" s="101">
        <v>18</v>
      </c>
      <c r="D488" s="12" t="s">
        <v>45</v>
      </c>
      <c r="E488" s="101">
        <v>3890597598</v>
      </c>
      <c r="F488" s="101">
        <v>1659440194</v>
      </c>
      <c r="G488" s="101">
        <v>45</v>
      </c>
      <c r="H488" s="101">
        <v>11</v>
      </c>
      <c r="I488" s="101">
        <v>56</v>
      </c>
      <c r="J488" s="101">
        <v>70</v>
      </c>
      <c r="K488" s="101">
        <v>126</v>
      </c>
      <c r="L488" s="101">
        <v>14</v>
      </c>
      <c r="M488" s="101">
        <v>15</v>
      </c>
      <c r="N488" s="101">
        <v>2</v>
      </c>
      <c r="O488" s="101">
        <v>1</v>
      </c>
      <c r="P488" s="101">
        <v>129</v>
      </c>
      <c r="Q488" s="101">
        <v>1668</v>
      </c>
      <c r="R488" s="12" t="s">
        <v>25</v>
      </c>
      <c r="S488" s="12" t="s">
        <v>25</v>
      </c>
      <c r="T488" s="12" t="s">
        <v>25</v>
      </c>
    </row>
    <row r="489" spans="1:20" x14ac:dyDescent="0.3">
      <c r="A489" s="13">
        <v>43908.708333333336</v>
      </c>
      <c r="B489" s="12" t="s">
        <v>22</v>
      </c>
      <c r="C489" s="101">
        <v>15</v>
      </c>
      <c r="D489" s="12" t="s">
        <v>46</v>
      </c>
      <c r="E489" s="101">
        <v>4083956555</v>
      </c>
      <c r="F489" s="101">
        <v>1425084984</v>
      </c>
      <c r="G489" s="101">
        <v>127</v>
      </c>
      <c r="H489" s="101">
        <v>24</v>
      </c>
      <c r="I489" s="101">
        <v>151</v>
      </c>
      <c r="J489" s="101">
        <v>272</v>
      </c>
      <c r="K489" s="101">
        <v>423</v>
      </c>
      <c r="L489" s="101">
        <v>0</v>
      </c>
      <c r="M489" s="101">
        <v>0</v>
      </c>
      <c r="N489" s="101">
        <v>28</v>
      </c>
      <c r="O489" s="101">
        <v>9</v>
      </c>
      <c r="P489" s="101">
        <v>460</v>
      </c>
      <c r="Q489" s="101">
        <v>2685</v>
      </c>
      <c r="R489" s="12" t="s">
        <v>25</v>
      </c>
      <c r="S489" s="12" t="s">
        <v>74</v>
      </c>
      <c r="T489" s="12" t="s">
        <v>75</v>
      </c>
    </row>
    <row r="490" spans="1:20" x14ac:dyDescent="0.3">
      <c r="A490" s="13">
        <v>43908.708333333336</v>
      </c>
      <c r="B490" s="12" t="s">
        <v>22</v>
      </c>
      <c r="C490" s="101">
        <v>8</v>
      </c>
      <c r="D490" s="12" t="s">
        <v>96</v>
      </c>
      <c r="E490" s="101">
        <v>4449436681</v>
      </c>
      <c r="F490" s="101">
        <v>113417208</v>
      </c>
      <c r="G490" s="101">
        <v>1784</v>
      </c>
      <c r="H490" s="101">
        <v>247</v>
      </c>
      <c r="I490" s="101">
        <v>2031</v>
      </c>
      <c r="J490" s="101">
        <v>1884</v>
      </c>
      <c r="K490" s="101">
        <v>3915</v>
      </c>
      <c r="L490" s="101">
        <v>511</v>
      </c>
      <c r="M490" s="101">
        <v>594</v>
      </c>
      <c r="N490" s="101">
        <v>152</v>
      </c>
      <c r="O490" s="101">
        <v>458</v>
      </c>
      <c r="P490" s="101">
        <v>4525</v>
      </c>
      <c r="Q490" s="101">
        <v>15461</v>
      </c>
      <c r="R490" s="12" t="s">
        <v>25</v>
      </c>
      <c r="S490" s="12" t="s">
        <v>76</v>
      </c>
      <c r="T490" s="12" t="s">
        <v>77</v>
      </c>
    </row>
    <row r="491" spans="1:20" x14ac:dyDescent="0.3">
      <c r="A491" s="13">
        <v>43908.708333333336</v>
      </c>
      <c r="B491" s="12" t="s">
        <v>22</v>
      </c>
      <c r="C491" s="101">
        <v>6</v>
      </c>
      <c r="D491" s="12" t="s">
        <v>47</v>
      </c>
      <c r="E491" s="101">
        <v>456494354</v>
      </c>
      <c r="F491" s="101">
        <v>1376813649</v>
      </c>
      <c r="G491" s="101">
        <v>128</v>
      </c>
      <c r="H491" s="101">
        <v>27</v>
      </c>
      <c r="I491" s="101">
        <v>155</v>
      </c>
      <c r="J491" s="101">
        <v>261</v>
      </c>
      <c r="K491" s="101">
        <v>416</v>
      </c>
      <c r="L491" s="101">
        <v>69</v>
      </c>
      <c r="M491" s="101">
        <v>68</v>
      </c>
      <c r="N491" s="101">
        <v>15</v>
      </c>
      <c r="O491" s="101">
        <v>31</v>
      </c>
      <c r="P491" s="101">
        <v>462</v>
      </c>
      <c r="Q491" s="101">
        <v>4958</v>
      </c>
      <c r="R491" s="12" t="s">
        <v>25</v>
      </c>
      <c r="S491" s="12" t="s">
        <v>25</v>
      </c>
      <c r="T491" s="12" t="s">
        <v>25</v>
      </c>
    </row>
    <row r="492" spans="1:20" x14ac:dyDescent="0.3">
      <c r="A492" s="13">
        <v>43908.708333333336</v>
      </c>
      <c r="B492" s="12" t="s">
        <v>22</v>
      </c>
      <c r="C492" s="101">
        <v>12</v>
      </c>
      <c r="D492" s="12" t="s">
        <v>48</v>
      </c>
      <c r="E492" s="101">
        <v>4189277044</v>
      </c>
      <c r="F492" s="101">
        <v>1248366722</v>
      </c>
      <c r="G492" s="101">
        <v>374</v>
      </c>
      <c r="H492" s="101">
        <v>44</v>
      </c>
      <c r="I492" s="101">
        <v>418</v>
      </c>
      <c r="J492" s="101">
        <v>232</v>
      </c>
      <c r="K492" s="101">
        <v>650</v>
      </c>
      <c r="L492" s="101">
        <v>100</v>
      </c>
      <c r="M492" s="101">
        <v>117</v>
      </c>
      <c r="N492" s="101">
        <v>42</v>
      </c>
      <c r="O492" s="101">
        <v>32</v>
      </c>
      <c r="P492" s="101">
        <v>724</v>
      </c>
      <c r="Q492" s="101">
        <v>11145</v>
      </c>
      <c r="R492" s="12" t="s">
        <v>25</v>
      </c>
      <c r="S492" s="12" t="s">
        <v>25</v>
      </c>
      <c r="T492" s="12" t="s">
        <v>25</v>
      </c>
    </row>
    <row r="493" spans="1:20" x14ac:dyDescent="0.3">
      <c r="A493" s="13">
        <v>43908.708333333336</v>
      </c>
      <c r="B493" s="12" t="s">
        <v>22</v>
      </c>
      <c r="C493" s="101">
        <v>7</v>
      </c>
      <c r="D493" s="12" t="s">
        <v>49</v>
      </c>
      <c r="E493" s="101">
        <v>4441149315</v>
      </c>
      <c r="F493" s="101">
        <v>89326992</v>
      </c>
      <c r="G493" s="101">
        <v>401</v>
      </c>
      <c r="H493" s="101">
        <v>100</v>
      </c>
      <c r="I493" s="101">
        <v>501</v>
      </c>
      <c r="J493" s="101">
        <v>243</v>
      </c>
      <c r="K493" s="101">
        <v>744</v>
      </c>
      <c r="L493" s="101">
        <v>83</v>
      </c>
      <c r="M493" s="101">
        <v>109</v>
      </c>
      <c r="N493" s="101">
        <v>70</v>
      </c>
      <c r="O493" s="101">
        <v>73</v>
      </c>
      <c r="P493" s="101">
        <v>887</v>
      </c>
      <c r="Q493" s="101">
        <v>2912</v>
      </c>
      <c r="R493" s="12" t="s">
        <v>25</v>
      </c>
      <c r="S493" s="12" t="s">
        <v>25</v>
      </c>
      <c r="T493" s="12" t="s">
        <v>25</v>
      </c>
    </row>
    <row r="494" spans="1:20" x14ac:dyDescent="0.3">
      <c r="A494" s="13">
        <v>43908.708333333336</v>
      </c>
      <c r="B494" s="12" t="s">
        <v>22</v>
      </c>
      <c r="C494" s="101">
        <v>3</v>
      </c>
      <c r="D494" s="12" t="s">
        <v>50</v>
      </c>
      <c r="E494" s="101">
        <v>4546679409</v>
      </c>
      <c r="F494" s="101">
        <v>9190347404</v>
      </c>
      <c r="G494" s="101">
        <v>7285</v>
      </c>
      <c r="H494" s="101">
        <v>924</v>
      </c>
      <c r="I494" s="101">
        <v>8209</v>
      </c>
      <c r="J494" s="101">
        <v>4057</v>
      </c>
      <c r="K494" s="101">
        <v>12266</v>
      </c>
      <c r="L494" s="101">
        <v>171</v>
      </c>
      <c r="M494" s="101">
        <v>1493</v>
      </c>
      <c r="N494" s="101">
        <v>3488</v>
      </c>
      <c r="O494" s="101">
        <v>1959</v>
      </c>
      <c r="P494" s="101">
        <v>17713</v>
      </c>
      <c r="Q494" s="101">
        <v>48983</v>
      </c>
      <c r="R494" s="12" t="s">
        <v>25</v>
      </c>
      <c r="S494" s="12" t="s">
        <v>25</v>
      </c>
      <c r="T494" s="12" t="s">
        <v>25</v>
      </c>
    </row>
    <row r="495" spans="1:20" x14ac:dyDescent="0.3">
      <c r="A495" s="13">
        <v>43908.708333333336</v>
      </c>
      <c r="B495" s="12" t="s">
        <v>22</v>
      </c>
      <c r="C495" s="101">
        <v>11</v>
      </c>
      <c r="D495" s="12" t="s">
        <v>51</v>
      </c>
      <c r="E495" s="101">
        <v>4361675973</v>
      </c>
      <c r="F495" s="101">
        <v>135188753</v>
      </c>
      <c r="G495" s="101">
        <v>638</v>
      </c>
      <c r="H495" s="101">
        <v>119</v>
      </c>
      <c r="I495" s="101">
        <v>757</v>
      </c>
      <c r="J495" s="101">
        <v>719</v>
      </c>
      <c r="K495" s="101">
        <v>1476</v>
      </c>
      <c r="L495" s="101">
        <v>174</v>
      </c>
      <c r="M495" s="101">
        <v>197</v>
      </c>
      <c r="N495" s="101">
        <v>0</v>
      </c>
      <c r="O495" s="101">
        <v>92</v>
      </c>
      <c r="P495" s="101">
        <v>1568</v>
      </c>
      <c r="Q495" s="101">
        <v>4109</v>
      </c>
      <c r="R495" s="12" t="s">
        <v>25</v>
      </c>
      <c r="S495" s="12" t="s">
        <v>25</v>
      </c>
      <c r="T495" s="12" t="s">
        <v>25</v>
      </c>
    </row>
    <row r="496" spans="1:20" x14ac:dyDescent="0.3">
      <c r="A496" s="13">
        <v>43908.708333333336</v>
      </c>
      <c r="B496" s="12" t="s">
        <v>22</v>
      </c>
      <c r="C496" s="101">
        <v>14</v>
      </c>
      <c r="D496" s="12" t="s">
        <v>52</v>
      </c>
      <c r="E496" s="101">
        <v>4155774754</v>
      </c>
      <c r="F496" s="101">
        <v>1465916051</v>
      </c>
      <c r="G496" s="101">
        <v>7</v>
      </c>
      <c r="H496" s="101">
        <v>6</v>
      </c>
      <c r="I496" s="101">
        <v>13</v>
      </c>
      <c r="J496" s="101">
        <v>8</v>
      </c>
      <c r="K496" s="101">
        <v>21</v>
      </c>
      <c r="L496" s="101">
        <v>2</v>
      </c>
      <c r="M496" s="101">
        <v>3</v>
      </c>
      <c r="N496" s="101">
        <v>6</v>
      </c>
      <c r="O496" s="101">
        <v>1</v>
      </c>
      <c r="P496" s="101">
        <v>28</v>
      </c>
      <c r="Q496" s="101">
        <v>361</v>
      </c>
      <c r="R496" s="12" t="s">
        <v>25</v>
      </c>
      <c r="S496" s="12" t="s">
        <v>25</v>
      </c>
      <c r="T496" s="12" t="s">
        <v>25</v>
      </c>
    </row>
    <row r="497" spans="1:20" x14ac:dyDescent="0.3">
      <c r="A497" s="13">
        <v>43908.708333333336</v>
      </c>
      <c r="B497" s="12" t="s">
        <v>22</v>
      </c>
      <c r="C497" s="101">
        <v>1</v>
      </c>
      <c r="D497" s="12" t="s">
        <v>53</v>
      </c>
      <c r="E497" s="101">
        <v>450732745</v>
      </c>
      <c r="F497" s="101">
        <v>7680687483</v>
      </c>
      <c r="G497" s="101">
        <v>1780</v>
      </c>
      <c r="H497" s="101">
        <v>227</v>
      </c>
      <c r="I497" s="101">
        <v>2007</v>
      </c>
      <c r="J497" s="101">
        <v>180</v>
      </c>
      <c r="K497" s="101">
        <v>2187</v>
      </c>
      <c r="L497" s="101">
        <v>423</v>
      </c>
      <c r="M497" s="101">
        <v>444</v>
      </c>
      <c r="N497" s="101">
        <v>0</v>
      </c>
      <c r="O497" s="101">
        <v>154</v>
      </c>
      <c r="P497" s="101">
        <v>2341</v>
      </c>
      <c r="Q497" s="101">
        <v>7516</v>
      </c>
      <c r="R497" s="12" t="s">
        <v>25</v>
      </c>
      <c r="S497" s="12" t="s">
        <v>25</v>
      </c>
      <c r="T497" s="12" t="s">
        <v>25</v>
      </c>
    </row>
    <row r="498" spans="1:20" x14ac:dyDescent="0.3">
      <c r="A498" s="13">
        <v>43908.708333333336</v>
      </c>
      <c r="B498" s="12" t="s">
        <v>22</v>
      </c>
      <c r="C498" s="101">
        <v>16</v>
      </c>
      <c r="D498" s="12" t="s">
        <v>54</v>
      </c>
      <c r="E498" s="101">
        <v>4112559576</v>
      </c>
      <c r="F498" s="101">
        <v>1686736689</v>
      </c>
      <c r="G498" s="101">
        <v>156</v>
      </c>
      <c r="H498" s="101">
        <v>30</v>
      </c>
      <c r="I498" s="101">
        <v>186</v>
      </c>
      <c r="J498" s="101">
        <v>176</v>
      </c>
      <c r="K498" s="101">
        <v>362</v>
      </c>
      <c r="L498" s="101">
        <v>42</v>
      </c>
      <c r="M498" s="101">
        <v>43</v>
      </c>
      <c r="N498" s="101">
        <v>2</v>
      </c>
      <c r="O498" s="101">
        <v>19</v>
      </c>
      <c r="P498" s="101">
        <v>383</v>
      </c>
      <c r="Q498" s="101">
        <v>3433</v>
      </c>
      <c r="R498" s="12" t="s">
        <v>25</v>
      </c>
      <c r="S498" s="12" t="s">
        <v>25</v>
      </c>
      <c r="T498" s="12" t="s">
        <v>25</v>
      </c>
    </row>
    <row r="499" spans="1:20" x14ac:dyDescent="0.3">
      <c r="A499" s="13">
        <v>43908.708333333336</v>
      </c>
      <c r="B499" s="12" t="s">
        <v>22</v>
      </c>
      <c r="C499" s="101">
        <v>20</v>
      </c>
      <c r="D499" s="12" t="s">
        <v>55</v>
      </c>
      <c r="E499" s="101">
        <v>3921531192</v>
      </c>
      <c r="F499" s="101">
        <v>9110616306</v>
      </c>
      <c r="G499" s="101">
        <v>42</v>
      </c>
      <c r="H499" s="101">
        <v>7</v>
      </c>
      <c r="I499" s="101">
        <v>49</v>
      </c>
      <c r="J499" s="101">
        <v>83</v>
      </c>
      <c r="K499" s="101">
        <v>132</v>
      </c>
      <c r="L499" s="101">
        <v>17</v>
      </c>
      <c r="M499" s="101">
        <v>17</v>
      </c>
      <c r="N499" s="101">
        <v>0</v>
      </c>
      <c r="O499" s="101">
        <v>2</v>
      </c>
      <c r="P499" s="101">
        <v>134</v>
      </c>
      <c r="Q499" s="101">
        <v>1135</v>
      </c>
      <c r="R499" s="12" t="s">
        <v>25</v>
      </c>
      <c r="S499" s="12" t="s">
        <v>25</v>
      </c>
      <c r="T499" s="12" t="s">
        <v>25</v>
      </c>
    </row>
    <row r="500" spans="1:20" x14ac:dyDescent="0.3">
      <c r="A500" s="13">
        <v>43908.708333333336</v>
      </c>
      <c r="B500" s="12" t="s">
        <v>22</v>
      </c>
      <c r="C500" s="101">
        <v>19</v>
      </c>
      <c r="D500" s="12" t="s">
        <v>56</v>
      </c>
      <c r="E500" s="101">
        <v>3811569725</v>
      </c>
      <c r="F500" s="101">
        <v>133623567</v>
      </c>
      <c r="G500" s="101">
        <v>100</v>
      </c>
      <c r="H500" s="101">
        <v>29</v>
      </c>
      <c r="I500" s="101">
        <v>129</v>
      </c>
      <c r="J500" s="101">
        <v>138</v>
      </c>
      <c r="K500" s="101">
        <v>267</v>
      </c>
      <c r="L500" s="101">
        <v>41</v>
      </c>
      <c r="M500" s="101">
        <v>45</v>
      </c>
      <c r="N500" s="101">
        <v>12</v>
      </c>
      <c r="O500" s="101">
        <v>3</v>
      </c>
      <c r="P500" s="101">
        <v>282</v>
      </c>
      <c r="Q500" s="101">
        <v>3294</v>
      </c>
      <c r="R500" s="12" t="s">
        <v>25</v>
      </c>
      <c r="S500" s="12" t="s">
        <v>25</v>
      </c>
      <c r="T500" s="12" t="s">
        <v>25</v>
      </c>
    </row>
    <row r="501" spans="1:20" x14ac:dyDescent="0.3">
      <c r="A501" s="13">
        <v>43908.708333333336</v>
      </c>
      <c r="B501" s="12" t="s">
        <v>22</v>
      </c>
      <c r="C501" s="101">
        <v>9</v>
      </c>
      <c r="D501" s="12" t="s">
        <v>57</v>
      </c>
      <c r="E501" s="101">
        <v>4376923077</v>
      </c>
      <c r="F501" s="101">
        <v>1125588885</v>
      </c>
      <c r="G501" s="101">
        <v>427</v>
      </c>
      <c r="H501" s="101">
        <v>160</v>
      </c>
      <c r="I501" s="101">
        <v>587</v>
      </c>
      <c r="J501" s="101">
        <v>704</v>
      </c>
      <c r="K501" s="101">
        <v>1291</v>
      </c>
      <c r="L501" s="101">
        <v>267</v>
      </c>
      <c r="M501" s="101">
        <v>277</v>
      </c>
      <c r="N501" s="101">
        <v>17</v>
      </c>
      <c r="O501" s="101">
        <v>22</v>
      </c>
      <c r="P501" s="101">
        <v>1330</v>
      </c>
      <c r="Q501" s="101">
        <v>7606</v>
      </c>
      <c r="R501" s="12" t="s">
        <v>25</v>
      </c>
      <c r="S501" s="12" t="s">
        <v>25</v>
      </c>
      <c r="T501" s="12" t="s">
        <v>25</v>
      </c>
    </row>
    <row r="502" spans="1:20" x14ac:dyDescent="0.3">
      <c r="A502" s="13">
        <v>43908.708333333336</v>
      </c>
      <c r="B502" s="12" t="s">
        <v>22</v>
      </c>
      <c r="C502" s="101">
        <v>4</v>
      </c>
      <c r="D502" s="12" t="s">
        <v>58</v>
      </c>
      <c r="E502" s="101">
        <v>4606893511</v>
      </c>
      <c r="F502" s="101">
        <v>1112123097</v>
      </c>
      <c r="G502" s="101">
        <v>141</v>
      </c>
      <c r="H502" s="101">
        <v>22</v>
      </c>
      <c r="I502" s="101">
        <v>163</v>
      </c>
      <c r="J502" s="101">
        <v>273</v>
      </c>
      <c r="K502" s="101">
        <v>436</v>
      </c>
      <c r="L502" s="101">
        <v>68</v>
      </c>
      <c r="M502" s="101">
        <v>70</v>
      </c>
      <c r="N502" s="101">
        <v>12</v>
      </c>
      <c r="O502" s="101">
        <v>7</v>
      </c>
      <c r="P502" s="101">
        <v>455</v>
      </c>
      <c r="Q502" s="101">
        <v>2187</v>
      </c>
      <c r="R502" s="12" t="s">
        <v>25</v>
      </c>
      <c r="S502" s="12" t="s">
        <v>25</v>
      </c>
      <c r="T502" s="12" t="s">
        <v>25</v>
      </c>
    </row>
    <row r="503" spans="1:20" x14ac:dyDescent="0.3">
      <c r="A503" s="13">
        <v>43908.708333333336</v>
      </c>
      <c r="B503" s="12" t="s">
        <v>22</v>
      </c>
      <c r="C503" s="101">
        <v>10</v>
      </c>
      <c r="D503" s="12" t="s">
        <v>59</v>
      </c>
      <c r="E503" s="101">
        <v>4310675841</v>
      </c>
      <c r="F503" s="101">
        <v>1238824698</v>
      </c>
      <c r="G503" s="101">
        <v>54</v>
      </c>
      <c r="H503" s="101">
        <v>21</v>
      </c>
      <c r="I503" s="101">
        <v>75</v>
      </c>
      <c r="J503" s="101">
        <v>166</v>
      </c>
      <c r="K503" s="101">
        <v>241</v>
      </c>
      <c r="L503" s="101">
        <v>49</v>
      </c>
      <c r="M503" s="101">
        <v>50</v>
      </c>
      <c r="N503" s="101">
        <v>4</v>
      </c>
      <c r="O503" s="101">
        <v>2</v>
      </c>
      <c r="P503" s="101">
        <v>247</v>
      </c>
      <c r="Q503" s="101">
        <v>1601</v>
      </c>
      <c r="R503" s="12" t="s">
        <v>25</v>
      </c>
      <c r="S503" s="12" t="s">
        <v>25</v>
      </c>
      <c r="T503" s="12" t="s">
        <v>25</v>
      </c>
    </row>
    <row r="504" spans="1:20" x14ac:dyDescent="0.3">
      <c r="A504" s="13">
        <v>43908.708333333336</v>
      </c>
      <c r="B504" s="12" t="s">
        <v>22</v>
      </c>
      <c r="C504" s="101">
        <v>2</v>
      </c>
      <c r="D504" s="12" t="s">
        <v>60</v>
      </c>
      <c r="E504" s="101">
        <v>4573750286</v>
      </c>
      <c r="F504" s="101">
        <v>7320149366</v>
      </c>
      <c r="G504" s="101">
        <v>41</v>
      </c>
      <c r="H504" s="101">
        <v>3</v>
      </c>
      <c r="I504" s="101">
        <v>44</v>
      </c>
      <c r="J504" s="101">
        <v>118</v>
      </c>
      <c r="K504" s="101">
        <v>162</v>
      </c>
      <c r="L504" s="101">
        <v>28</v>
      </c>
      <c r="M504" s="101">
        <v>29</v>
      </c>
      <c r="N504" s="101">
        <v>0</v>
      </c>
      <c r="O504" s="101">
        <v>3</v>
      </c>
      <c r="P504" s="101">
        <v>165</v>
      </c>
      <c r="Q504" s="101">
        <v>486</v>
      </c>
      <c r="R504" s="12" t="s">
        <v>25</v>
      </c>
      <c r="S504" s="12" t="s">
        <v>25</v>
      </c>
      <c r="T504" s="12" t="s">
        <v>25</v>
      </c>
    </row>
    <row r="505" spans="1:20" x14ac:dyDescent="0.3">
      <c r="A505" s="13">
        <v>43908.708333333336</v>
      </c>
      <c r="B505" s="12" t="s">
        <v>22</v>
      </c>
      <c r="C505" s="101">
        <v>5</v>
      </c>
      <c r="D505" s="12" t="s">
        <v>61</v>
      </c>
      <c r="E505" s="101">
        <v>4543490485</v>
      </c>
      <c r="F505" s="101">
        <v>1233845213</v>
      </c>
      <c r="G505" s="101">
        <v>646</v>
      </c>
      <c r="H505" s="101">
        <v>195</v>
      </c>
      <c r="I505" s="101">
        <v>841</v>
      </c>
      <c r="J505" s="101">
        <v>2112</v>
      </c>
      <c r="K505" s="101">
        <v>2953</v>
      </c>
      <c r="L505" s="101">
        <v>465</v>
      </c>
      <c r="M505" s="101">
        <v>510</v>
      </c>
      <c r="N505" s="101">
        <v>167</v>
      </c>
      <c r="O505" s="101">
        <v>94</v>
      </c>
      <c r="P505" s="101">
        <v>3214</v>
      </c>
      <c r="Q505" s="101">
        <v>40841</v>
      </c>
      <c r="R505" s="12" t="s">
        <v>25</v>
      </c>
      <c r="S505" s="12" t="s">
        <v>25</v>
      </c>
      <c r="T505" s="12" t="s">
        <v>25</v>
      </c>
    </row>
    <row r="506" spans="1:20" x14ac:dyDescent="0.3">
      <c r="A506" s="13">
        <v>43909.708333333336</v>
      </c>
      <c r="B506" s="12" t="s">
        <v>22</v>
      </c>
      <c r="C506" s="101">
        <v>13</v>
      </c>
      <c r="D506" s="12" t="s">
        <v>42</v>
      </c>
      <c r="E506" s="101">
        <v>4235122196</v>
      </c>
      <c r="F506" s="101">
        <v>1339843823</v>
      </c>
      <c r="G506" s="101">
        <v>181</v>
      </c>
      <c r="H506" s="101">
        <v>47</v>
      </c>
      <c r="I506" s="101">
        <v>228</v>
      </c>
      <c r="J506" s="101">
        <v>138</v>
      </c>
      <c r="K506" s="101">
        <v>366</v>
      </c>
      <c r="L506" s="101">
        <v>117</v>
      </c>
      <c r="M506" s="101">
        <v>122</v>
      </c>
      <c r="N506" s="101">
        <v>8</v>
      </c>
      <c r="O506" s="101">
        <v>11</v>
      </c>
      <c r="P506" s="101">
        <v>385</v>
      </c>
      <c r="Q506" s="101">
        <v>2409</v>
      </c>
      <c r="R506" s="12" t="s">
        <v>25</v>
      </c>
      <c r="S506" s="12" t="s">
        <v>25</v>
      </c>
      <c r="T506" s="12" t="s">
        <v>25</v>
      </c>
    </row>
    <row r="507" spans="1:20" x14ac:dyDescent="0.3">
      <c r="A507" s="13">
        <v>43909.708333333336</v>
      </c>
      <c r="B507" s="12" t="s">
        <v>22</v>
      </c>
      <c r="C507" s="101">
        <v>17</v>
      </c>
      <c r="D507" s="12" t="s">
        <v>43</v>
      </c>
      <c r="E507" s="101">
        <v>4063947052</v>
      </c>
      <c r="F507" s="101">
        <v>1580514834</v>
      </c>
      <c r="G507" s="101">
        <v>8</v>
      </c>
      <c r="H507" s="101">
        <v>5</v>
      </c>
      <c r="I507" s="101">
        <v>13</v>
      </c>
      <c r="J507" s="101">
        <v>24</v>
      </c>
      <c r="K507" s="101">
        <v>37</v>
      </c>
      <c r="L507" s="101">
        <v>10</v>
      </c>
      <c r="M507" s="101">
        <v>10</v>
      </c>
      <c r="N507" s="101">
        <v>0</v>
      </c>
      <c r="O507" s="101">
        <v>0</v>
      </c>
      <c r="P507" s="101">
        <v>37</v>
      </c>
      <c r="Q507" s="101">
        <v>353</v>
      </c>
      <c r="R507" s="12" t="s">
        <v>25</v>
      </c>
      <c r="S507" s="12" t="s">
        <v>25</v>
      </c>
      <c r="T507" s="12" t="s">
        <v>25</v>
      </c>
    </row>
    <row r="508" spans="1:20" x14ac:dyDescent="0.3">
      <c r="A508" s="13">
        <v>43909.708333333336</v>
      </c>
      <c r="B508" s="12" t="s">
        <v>22</v>
      </c>
      <c r="C508" s="101">
        <v>4</v>
      </c>
      <c r="D508" s="12" t="s">
        <v>44</v>
      </c>
      <c r="E508" s="101">
        <v>4649933453</v>
      </c>
      <c r="F508" s="101">
        <v>1135662422</v>
      </c>
      <c r="G508" s="101">
        <v>87</v>
      </c>
      <c r="H508" s="101">
        <v>18</v>
      </c>
      <c r="I508" s="101">
        <v>105</v>
      </c>
      <c r="J508" s="101">
        <v>316</v>
      </c>
      <c r="K508" s="101">
        <v>421</v>
      </c>
      <c r="L508" s="101">
        <v>55</v>
      </c>
      <c r="M508" s="101">
        <v>60</v>
      </c>
      <c r="N508" s="101">
        <v>1</v>
      </c>
      <c r="O508" s="101">
        <v>14</v>
      </c>
      <c r="P508" s="101">
        <v>436</v>
      </c>
      <c r="Q508" s="101">
        <v>3568</v>
      </c>
      <c r="R508" s="12" t="s">
        <v>25</v>
      </c>
      <c r="S508" s="12" t="s">
        <v>25</v>
      </c>
      <c r="T508" s="12" t="s">
        <v>25</v>
      </c>
    </row>
    <row r="509" spans="1:20" x14ac:dyDescent="0.3">
      <c r="A509" s="13">
        <v>43909.708333333336</v>
      </c>
      <c r="B509" s="12" t="s">
        <v>22</v>
      </c>
      <c r="C509" s="101">
        <v>18</v>
      </c>
      <c r="D509" s="12" t="s">
        <v>45</v>
      </c>
      <c r="E509" s="101">
        <v>3890597598</v>
      </c>
      <c r="F509" s="101">
        <v>1659440194</v>
      </c>
      <c r="G509" s="101">
        <v>60</v>
      </c>
      <c r="H509" s="101">
        <v>13</v>
      </c>
      <c r="I509" s="101">
        <v>73</v>
      </c>
      <c r="J509" s="101">
        <v>91</v>
      </c>
      <c r="K509" s="101">
        <v>164</v>
      </c>
      <c r="L509" s="101">
        <v>38</v>
      </c>
      <c r="M509" s="101">
        <v>40</v>
      </c>
      <c r="N509" s="101">
        <v>2</v>
      </c>
      <c r="O509" s="101">
        <v>3</v>
      </c>
      <c r="P509" s="101">
        <v>169</v>
      </c>
      <c r="Q509" s="101">
        <v>2342</v>
      </c>
      <c r="R509" s="12" t="s">
        <v>25</v>
      </c>
      <c r="S509" s="12" t="s">
        <v>25</v>
      </c>
      <c r="T509" s="12" t="s">
        <v>25</v>
      </c>
    </row>
    <row r="510" spans="1:20" x14ac:dyDescent="0.3">
      <c r="A510" s="13">
        <v>43909.708333333336</v>
      </c>
      <c r="B510" s="12" t="s">
        <v>22</v>
      </c>
      <c r="C510" s="101">
        <v>15</v>
      </c>
      <c r="D510" s="12" t="s">
        <v>46</v>
      </c>
      <c r="E510" s="101">
        <v>4083956555</v>
      </c>
      <c r="F510" s="101">
        <v>1425084984</v>
      </c>
      <c r="G510" s="101">
        <v>213</v>
      </c>
      <c r="H510" s="101">
        <v>36</v>
      </c>
      <c r="I510" s="101">
        <v>249</v>
      </c>
      <c r="J510" s="101">
        <v>356</v>
      </c>
      <c r="K510" s="101">
        <v>605</v>
      </c>
      <c r="L510" s="101">
        <v>182</v>
      </c>
      <c r="M510" s="101">
        <v>192</v>
      </c>
      <c r="N510" s="101">
        <v>30</v>
      </c>
      <c r="O510" s="101">
        <v>17</v>
      </c>
      <c r="P510" s="101">
        <v>652</v>
      </c>
      <c r="Q510" s="101">
        <v>3544</v>
      </c>
      <c r="R510" s="12" t="s">
        <v>25</v>
      </c>
      <c r="S510" s="12" t="s">
        <v>25</v>
      </c>
      <c r="T510" s="12" t="s">
        <v>25</v>
      </c>
    </row>
    <row r="511" spans="1:20" x14ac:dyDescent="0.3">
      <c r="A511" s="13">
        <v>43909.708333333336</v>
      </c>
      <c r="B511" s="12" t="s">
        <v>22</v>
      </c>
      <c r="C511" s="101">
        <v>8</v>
      </c>
      <c r="D511" s="12" t="s">
        <v>96</v>
      </c>
      <c r="E511" s="101">
        <v>4449436681</v>
      </c>
      <c r="F511" s="101">
        <v>113417208</v>
      </c>
      <c r="G511" s="101">
        <v>1900</v>
      </c>
      <c r="H511" s="101">
        <v>260</v>
      </c>
      <c r="I511" s="101">
        <v>2160</v>
      </c>
      <c r="J511" s="101">
        <v>2346</v>
      </c>
      <c r="K511" s="101">
        <v>4506</v>
      </c>
      <c r="L511" s="101">
        <v>591</v>
      </c>
      <c r="M511" s="101">
        <v>689</v>
      </c>
      <c r="N511" s="101">
        <v>177</v>
      </c>
      <c r="O511" s="101">
        <v>531</v>
      </c>
      <c r="P511" s="101">
        <v>5214</v>
      </c>
      <c r="Q511" s="101">
        <v>18344</v>
      </c>
      <c r="R511" s="12" t="s">
        <v>25</v>
      </c>
      <c r="S511" s="12" t="s">
        <v>25</v>
      </c>
      <c r="T511" s="12" t="s">
        <v>25</v>
      </c>
    </row>
    <row r="512" spans="1:20" x14ac:dyDescent="0.3">
      <c r="A512" s="13">
        <v>43909.708333333336</v>
      </c>
      <c r="B512" s="12" t="s">
        <v>22</v>
      </c>
      <c r="C512" s="101">
        <v>6</v>
      </c>
      <c r="D512" s="12" t="s">
        <v>47</v>
      </c>
      <c r="E512" s="101">
        <v>456494354</v>
      </c>
      <c r="F512" s="101">
        <v>1376813649</v>
      </c>
      <c r="G512" s="101">
        <v>134</v>
      </c>
      <c r="H512" s="101">
        <v>29</v>
      </c>
      <c r="I512" s="101">
        <v>163</v>
      </c>
      <c r="J512" s="101">
        <v>359</v>
      </c>
      <c r="K512" s="101">
        <v>522</v>
      </c>
      <c r="L512" s="101">
        <v>106</v>
      </c>
      <c r="M512" s="101">
        <v>137</v>
      </c>
      <c r="N512" s="101">
        <v>41</v>
      </c>
      <c r="O512" s="101">
        <v>36</v>
      </c>
      <c r="P512" s="101">
        <v>599</v>
      </c>
      <c r="Q512" s="101">
        <v>4052</v>
      </c>
      <c r="R512" s="12" t="s">
        <v>25</v>
      </c>
      <c r="S512" s="12" t="s">
        <v>25</v>
      </c>
      <c r="T512" s="12" t="s">
        <v>25</v>
      </c>
    </row>
    <row r="513" spans="1:20" x14ac:dyDescent="0.3">
      <c r="A513" s="13">
        <v>43909.708333333336</v>
      </c>
      <c r="B513" s="12" t="s">
        <v>22</v>
      </c>
      <c r="C513" s="101">
        <v>12</v>
      </c>
      <c r="D513" s="12" t="s">
        <v>48</v>
      </c>
      <c r="E513" s="101">
        <v>4189277044</v>
      </c>
      <c r="F513" s="101">
        <v>1248366722</v>
      </c>
      <c r="G513" s="101">
        <v>426</v>
      </c>
      <c r="H513" s="101">
        <v>45</v>
      </c>
      <c r="I513" s="101">
        <v>471</v>
      </c>
      <c r="J513" s="101">
        <v>270</v>
      </c>
      <c r="K513" s="101">
        <v>741</v>
      </c>
      <c r="L513" s="101">
        <v>91</v>
      </c>
      <c r="M513" s="101">
        <v>99</v>
      </c>
      <c r="N513" s="101">
        <v>44</v>
      </c>
      <c r="O513" s="101">
        <v>38</v>
      </c>
      <c r="P513" s="101">
        <v>823</v>
      </c>
      <c r="Q513" s="101">
        <v>11145</v>
      </c>
      <c r="R513" s="12" t="s">
        <v>25</v>
      </c>
      <c r="S513" s="12" t="s">
        <v>25</v>
      </c>
      <c r="T513" s="12" t="s">
        <v>25</v>
      </c>
    </row>
    <row r="514" spans="1:20" x14ac:dyDescent="0.3">
      <c r="A514" s="13">
        <v>43909.708333333336</v>
      </c>
      <c r="B514" s="12" t="s">
        <v>22</v>
      </c>
      <c r="C514" s="101">
        <v>7</v>
      </c>
      <c r="D514" s="12" t="s">
        <v>49</v>
      </c>
      <c r="E514" s="101">
        <v>4441149315</v>
      </c>
      <c r="F514" s="101">
        <v>89326992</v>
      </c>
      <c r="G514" s="101">
        <v>491</v>
      </c>
      <c r="H514" s="101">
        <v>112</v>
      </c>
      <c r="I514" s="101">
        <v>603</v>
      </c>
      <c r="J514" s="101">
        <v>280</v>
      </c>
      <c r="K514" s="101">
        <v>883</v>
      </c>
      <c r="L514" s="101">
        <v>139</v>
      </c>
      <c r="M514" s="101">
        <v>172</v>
      </c>
      <c r="N514" s="101">
        <v>85</v>
      </c>
      <c r="O514" s="101">
        <v>91</v>
      </c>
      <c r="P514" s="101">
        <v>1059</v>
      </c>
      <c r="Q514" s="101">
        <v>3348</v>
      </c>
      <c r="R514" s="12" t="s">
        <v>25</v>
      </c>
      <c r="S514" s="12" t="s">
        <v>25</v>
      </c>
      <c r="T514" s="12" t="s">
        <v>25</v>
      </c>
    </row>
    <row r="515" spans="1:20" x14ac:dyDescent="0.3">
      <c r="A515" s="13">
        <v>43909.708333333336</v>
      </c>
      <c r="B515" s="12" t="s">
        <v>22</v>
      </c>
      <c r="C515" s="101">
        <v>3</v>
      </c>
      <c r="D515" s="12" t="s">
        <v>50</v>
      </c>
      <c r="E515" s="101">
        <v>4546679409</v>
      </c>
      <c r="F515" s="101">
        <v>9190347404</v>
      </c>
      <c r="G515" s="101">
        <v>7387</v>
      </c>
      <c r="H515" s="101">
        <v>1006</v>
      </c>
      <c r="I515" s="101">
        <v>8393</v>
      </c>
      <c r="J515" s="101">
        <v>5545</v>
      </c>
      <c r="K515" s="101">
        <v>13938</v>
      </c>
      <c r="L515" s="101">
        <v>1672</v>
      </c>
      <c r="M515" s="101">
        <v>2171</v>
      </c>
      <c r="N515" s="101">
        <v>3778</v>
      </c>
      <c r="O515" s="101">
        <v>2168</v>
      </c>
      <c r="P515" s="101">
        <v>19884</v>
      </c>
      <c r="Q515" s="101">
        <v>52244</v>
      </c>
      <c r="R515" s="12" t="s">
        <v>25</v>
      </c>
      <c r="S515" s="12" t="s">
        <v>25</v>
      </c>
      <c r="T515" s="12" t="s">
        <v>25</v>
      </c>
    </row>
    <row r="516" spans="1:20" x14ac:dyDescent="0.3">
      <c r="A516" s="13">
        <v>43909.708333333336</v>
      </c>
      <c r="B516" s="12" t="s">
        <v>22</v>
      </c>
      <c r="C516" s="101">
        <v>11</v>
      </c>
      <c r="D516" s="12" t="s">
        <v>51</v>
      </c>
      <c r="E516" s="101">
        <v>4361675973</v>
      </c>
      <c r="F516" s="101">
        <v>135188753</v>
      </c>
      <c r="G516" s="101">
        <v>656</v>
      </c>
      <c r="H516" s="101">
        <v>141</v>
      </c>
      <c r="I516" s="101">
        <v>797</v>
      </c>
      <c r="J516" s="101">
        <v>825</v>
      </c>
      <c r="K516" s="101">
        <v>1622</v>
      </c>
      <c r="L516" s="101">
        <v>146</v>
      </c>
      <c r="M516" s="101">
        <v>169</v>
      </c>
      <c r="N516" s="101">
        <v>0</v>
      </c>
      <c r="O516" s="101">
        <v>115</v>
      </c>
      <c r="P516" s="101">
        <v>1737</v>
      </c>
      <c r="Q516" s="101">
        <v>4512</v>
      </c>
      <c r="R516" s="12" t="s">
        <v>25</v>
      </c>
      <c r="S516" s="12" t="s">
        <v>25</v>
      </c>
      <c r="T516" s="12" t="s">
        <v>25</v>
      </c>
    </row>
    <row r="517" spans="1:20" x14ac:dyDescent="0.3">
      <c r="A517" s="13">
        <v>43909.708333333336</v>
      </c>
      <c r="B517" s="12" t="s">
        <v>22</v>
      </c>
      <c r="C517" s="101">
        <v>14</v>
      </c>
      <c r="D517" s="12" t="s">
        <v>52</v>
      </c>
      <c r="E517" s="101">
        <v>4155774754</v>
      </c>
      <c r="F517" s="101">
        <v>1465916051</v>
      </c>
      <c r="G517" s="101">
        <v>19</v>
      </c>
      <c r="H517" s="101">
        <v>6</v>
      </c>
      <c r="I517" s="101">
        <v>25</v>
      </c>
      <c r="J517" s="101">
        <v>13</v>
      </c>
      <c r="K517" s="101">
        <v>38</v>
      </c>
      <c r="L517" s="101">
        <v>17</v>
      </c>
      <c r="M517" s="101">
        <v>18</v>
      </c>
      <c r="N517" s="101">
        <v>6</v>
      </c>
      <c r="O517" s="101">
        <v>2</v>
      </c>
      <c r="P517" s="101">
        <v>46</v>
      </c>
      <c r="Q517" s="101">
        <v>426</v>
      </c>
      <c r="R517" s="12" t="s">
        <v>25</v>
      </c>
      <c r="S517" s="12" t="s">
        <v>25</v>
      </c>
      <c r="T517" s="12" t="s">
        <v>25</v>
      </c>
    </row>
    <row r="518" spans="1:20" x14ac:dyDescent="0.3">
      <c r="A518" s="13">
        <v>43909.708333333336</v>
      </c>
      <c r="B518" s="12" t="s">
        <v>22</v>
      </c>
      <c r="C518" s="101">
        <v>1</v>
      </c>
      <c r="D518" s="12" t="s">
        <v>53</v>
      </c>
      <c r="E518" s="101">
        <v>450732745</v>
      </c>
      <c r="F518" s="101">
        <v>7680687483</v>
      </c>
      <c r="G518" s="101">
        <v>2279</v>
      </c>
      <c r="H518" s="101">
        <v>257</v>
      </c>
      <c r="I518" s="101">
        <v>2536</v>
      </c>
      <c r="J518" s="101">
        <v>218</v>
      </c>
      <c r="K518" s="101">
        <v>2754</v>
      </c>
      <c r="L518" s="101">
        <v>567</v>
      </c>
      <c r="M518" s="101">
        <v>591</v>
      </c>
      <c r="N518" s="101">
        <v>3</v>
      </c>
      <c r="O518" s="101">
        <v>175</v>
      </c>
      <c r="P518" s="101">
        <v>2932</v>
      </c>
      <c r="Q518" s="101">
        <v>8853</v>
      </c>
      <c r="R518" s="12" t="s">
        <v>25</v>
      </c>
      <c r="S518" s="12" t="s">
        <v>25</v>
      </c>
      <c r="T518" s="12" t="s">
        <v>25</v>
      </c>
    </row>
    <row r="519" spans="1:20" x14ac:dyDescent="0.3">
      <c r="A519" s="13">
        <v>43909.708333333336</v>
      </c>
      <c r="B519" s="12" t="s">
        <v>22</v>
      </c>
      <c r="C519" s="101">
        <v>16</v>
      </c>
      <c r="D519" s="12" t="s">
        <v>54</v>
      </c>
      <c r="E519" s="101">
        <v>4112559576</v>
      </c>
      <c r="F519" s="101">
        <v>1686736689</v>
      </c>
      <c r="G519" s="101">
        <v>173</v>
      </c>
      <c r="H519" s="101">
        <v>31</v>
      </c>
      <c r="I519" s="101">
        <v>204</v>
      </c>
      <c r="J519" s="101">
        <v>245</v>
      </c>
      <c r="K519" s="101">
        <v>449</v>
      </c>
      <c r="L519" s="101">
        <v>87</v>
      </c>
      <c r="M519" s="101">
        <v>95</v>
      </c>
      <c r="N519" s="101">
        <v>4</v>
      </c>
      <c r="O519" s="101">
        <v>25</v>
      </c>
      <c r="P519" s="101">
        <v>478</v>
      </c>
      <c r="Q519" s="101">
        <v>4046</v>
      </c>
      <c r="R519" s="12" t="s">
        <v>25</v>
      </c>
      <c r="S519" s="12" t="s">
        <v>25</v>
      </c>
      <c r="T519" s="12" t="s">
        <v>25</v>
      </c>
    </row>
    <row r="520" spans="1:20" x14ac:dyDescent="0.3">
      <c r="A520" s="13">
        <v>43909.708333333336</v>
      </c>
      <c r="B520" s="12" t="s">
        <v>22</v>
      </c>
      <c r="C520" s="101">
        <v>20</v>
      </c>
      <c r="D520" s="12" t="s">
        <v>55</v>
      </c>
      <c r="E520" s="101">
        <v>3921531192</v>
      </c>
      <c r="F520" s="101">
        <v>9110616306</v>
      </c>
      <c r="G520" s="101">
        <v>43</v>
      </c>
      <c r="H520" s="101">
        <v>9</v>
      </c>
      <c r="I520" s="101">
        <v>52</v>
      </c>
      <c r="J520" s="101">
        <v>152</v>
      </c>
      <c r="K520" s="101">
        <v>204</v>
      </c>
      <c r="L520" s="101">
        <v>72</v>
      </c>
      <c r="M520" s="101">
        <v>72</v>
      </c>
      <c r="N520" s="101">
        <v>0</v>
      </c>
      <c r="O520" s="101">
        <v>2</v>
      </c>
      <c r="P520" s="101">
        <v>206</v>
      </c>
      <c r="Q520" s="101">
        <v>1334</v>
      </c>
      <c r="R520" s="12" t="s">
        <v>25</v>
      </c>
      <c r="S520" s="12" t="s">
        <v>25</v>
      </c>
      <c r="T520" s="12" t="s">
        <v>25</v>
      </c>
    </row>
    <row r="521" spans="1:20" x14ac:dyDescent="0.3">
      <c r="A521" s="13">
        <v>43909.708333333336</v>
      </c>
      <c r="B521" s="12" t="s">
        <v>22</v>
      </c>
      <c r="C521" s="101">
        <v>19</v>
      </c>
      <c r="D521" s="12" t="s">
        <v>56</v>
      </c>
      <c r="E521" s="101">
        <v>3811569725</v>
      </c>
      <c r="F521" s="101">
        <v>133623567</v>
      </c>
      <c r="G521" s="101">
        <v>143</v>
      </c>
      <c r="H521" s="101">
        <v>36</v>
      </c>
      <c r="I521" s="101">
        <v>179</v>
      </c>
      <c r="J521" s="101">
        <v>142</v>
      </c>
      <c r="K521" s="101">
        <v>321</v>
      </c>
      <c r="L521" s="101">
        <v>54</v>
      </c>
      <c r="M521" s="101">
        <v>58</v>
      </c>
      <c r="N521" s="101">
        <v>15</v>
      </c>
      <c r="O521" s="101">
        <v>4</v>
      </c>
      <c r="P521" s="101">
        <v>340</v>
      </c>
      <c r="Q521" s="101">
        <v>3961</v>
      </c>
      <c r="R521" s="12" t="s">
        <v>25</v>
      </c>
      <c r="S521" s="12" t="s">
        <v>25</v>
      </c>
      <c r="T521" s="12" t="s">
        <v>25</v>
      </c>
    </row>
    <row r="522" spans="1:20" x14ac:dyDescent="0.3">
      <c r="A522" s="13">
        <v>43909.708333333336</v>
      </c>
      <c r="B522" s="12" t="s">
        <v>22</v>
      </c>
      <c r="C522" s="101">
        <v>9</v>
      </c>
      <c r="D522" s="12" t="s">
        <v>57</v>
      </c>
      <c r="E522" s="101">
        <v>4376923077</v>
      </c>
      <c r="F522" s="101">
        <v>1125588885</v>
      </c>
      <c r="G522" s="101">
        <v>501</v>
      </c>
      <c r="H522" s="101">
        <v>178</v>
      </c>
      <c r="I522" s="101">
        <v>679</v>
      </c>
      <c r="J522" s="101">
        <v>743</v>
      </c>
      <c r="K522" s="101">
        <v>1422</v>
      </c>
      <c r="L522" s="101">
        <v>131</v>
      </c>
      <c r="M522" s="101">
        <v>152</v>
      </c>
      <c r="N522" s="101">
        <v>22</v>
      </c>
      <c r="O522" s="101">
        <v>38</v>
      </c>
      <c r="P522" s="101">
        <v>1482</v>
      </c>
      <c r="Q522" s="101">
        <v>8873</v>
      </c>
      <c r="R522" s="12" t="s">
        <v>25</v>
      </c>
      <c r="S522" s="12" t="s">
        <v>25</v>
      </c>
      <c r="T522" s="12" t="s">
        <v>25</v>
      </c>
    </row>
    <row r="523" spans="1:20" x14ac:dyDescent="0.3">
      <c r="A523" s="13">
        <v>43909.708333333336</v>
      </c>
      <c r="B523" s="12" t="s">
        <v>22</v>
      </c>
      <c r="C523" s="101">
        <v>4</v>
      </c>
      <c r="D523" s="12" t="s">
        <v>58</v>
      </c>
      <c r="E523" s="101">
        <v>4606893511</v>
      </c>
      <c r="F523" s="101">
        <v>1112123097</v>
      </c>
      <c r="G523" s="101">
        <v>169</v>
      </c>
      <c r="H523" s="101">
        <v>30</v>
      </c>
      <c r="I523" s="101">
        <v>199</v>
      </c>
      <c r="J523" s="101">
        <v>292</v>
      </c>
      <c r="K523" s="101">
        <v>491</v>
      </c>
      <c r="L523" s="101">
        <v>55</v>
      </c>
      <c r="M523" s="101">
        <v>68</v>
      </c>
      <c r="N523" s="101">
        <v>20</v>
      </c>
      <c r="O523" s="101">
        <v>12</v>
      </c>
      <c r="P523" s="101">
        <v>523</v>
      </c>
      <c r="Q523" s="101">
        <v>2203</v>
      </c>
      <c r="R523" s="12" t="s">
        <v>25</v>
      </c>
      <c r="S523" s="12" t="s">
        <v>25</v>
      </c>
      <c r="T523" s="12" t="s">
        <v>25</v>
      </c>
    </row>
    <row r="524" spans="1:20" x14ac:dyDescent="0.3">
      <c r="A524" s="13">
        <v>43909.708333333336</v>
      </c>
      <c r="B524" s="12" t="s">
        <v>22</v>
      </c>
      <c r="C524" s="101">
        <v>10</v>
      </c>
      <c r="D524" s="12" t="s">
        <v>59</v>
      </c>
      <c r="E524" s="101">
        <v>4310675841</v>
      </c>
      <c r="F524" s="101">
        <v>1238824698</v>
      </c>
      <c r="G524" s="101">
        <v>69</v>
      </c>
      <c r="H524" s="101">
        <v>21</v>
      </c>
      <c r="I524" s="101">
        <v>90</v>
      </c>
      <c r="J524" s="101">
        <v>238</v>
      </c>
      <c r="K524" s="101">
        <v>328</v>
      </c>
      <c r="L524" s="101">
        <v>87</v>
      </c>
      <c r="M524" s="101">
        <v>87</v>
      </c>
      <c r="N524" s="101">
        <v>4</v>
      </c>
      <c r="O524" s="101">
        <v>2</v>
      </c>
      <c r="P524" s="101">
        <v>334</v>
      </c>
      <c r="Q524" s="101">
        <v>1954</v>
      </c>
      <c r="R524" s="12" t="s">
        <v>25</v>
      </c>
      <c r="S524" s="12" t="s">
        <v>25</v>
      </c>
      <c r="T524" s="12" t="s">
        <v>25</v>
      </c>
    </row>
    <row r="525" spans="1:20" x14ac:dyDescent="0.3">
      <c r="A525" s="13">
        <v>43909.708333333336</v>
      </c>
      <c r="B525" s="12" t="s">
        <v>22</v>
      </c>
      <c r="C525" s="101">
        <v>2</v>
      </c>
      <c r="D525" s="12" t="s">
        <v>60</v>
      </c>
      <c r="E525" s="101">
        <v>4573750286</v>
      </c>
      <c r="F525" s="101">
        <v>7320149366</v>
      </c>
      <c r="G525" s="101">
        <v>47</v>
      </c>
      <c r="H525" s="101">
        <v>9</v>
      </c>
      <c r="I525" s="101">
        <v>56</v>
      </c>
      <c r="J525" s="101">
        <v>153</v>
      </c>
      <c r="K525" s="101">
        <v>209</v>
      </c>
      <c r="L525" s="101">
        <v>47</v>
      </c>
      <c r="M525" s="101">
        <v>50</v>
      </c>
      <c r="N525" s="101">
        <v>0</v>
      </c>
      <c r="O525" s="101">
        <v>6</v>
      </c>
      <c r="P525" s="101">
        <v>215</v>
      </c>
      <c r="Q525" s="101">
        <v>608</v>
      </c>
      <c r="R525" s="12" t="s">
        <v>25</v>
      </c>
      <c r="S525" s="12" t="s">
        <v>25</v>
      </c>
      <c r="T525" s="12" t="s">
        <v>25</v>
      </c>
    </row>
    <row r="526" spans="1:20" x14ac:dyDescent="0.3">
      <c r="A526" s="13">
        <v>43909.708333333336</v>
      </c>
      <c r="B526" s="12" t="s">
        <v>22</v>
      </c>
      <c r="C526" s="101">
        <v>5</v>
      </c>
      <c r="D526" s="12" t="s">
        <v>61</v>
      </c>
      <c r="E526" s="101">
        <v>4543490485</v>
      </c>
      <c r="F526" s="101">
        <v>1233845213</v>
      </c>
      <c r="G526" s="101">
        <v>771</v>
      </c>
      <c r="H526" s="101">
        <v>209</v>
      </c>
      <c r="I526" s="101">
        <v>980</v>
      </c>
      <c r="J526" s="101">
        <v>2189</v>
      </c>
      <c r="K526" s="101">
        <v>3169</v>
      </c>
      <c r="L526" s="101">
        <v>216</v>
      </c>
      <c r="M526" s="101">
        <v>270</v>
      </c>
      <c r="N526" s="101">
        <v>200</v>
      </c>
      <c r="O526" s="101">
        <v>115</v>
      </c>
      <c r="P526" s="101">
        <v>3484</v>
      </c>
      <c r="Q526" s="101">
        <v>44658</v>
      </c>
      <c r="R526" s="12" t="s">
        <v>25</v>
      </c>
      <c r="S526" s="12" t="s">
        <v>25</v>
      </c>
      <c r="T526" s="12" t="s">
        <v>25</v>
      </c>
    </row>
    <row r="527" spans="1:20" x14ac:dyDescent="0.3">
      <c r="A527" s="13">
        <v>43910.708333333336</v>
      </c>
      <c r="B527" s="12" t="s">
        <v>22</v>
      </c>
      <c r="C527" s="101">
        <v>13</v>
      </c>
      <c r="D527" s="12" t="s">
        <v>42</v>
      </c>
      <c r="E527" s="101">
        <v>4235122196</v>
      </c>
      <c r="F527" s="101">
        <v>1339843823</v>
      </c>
      <c r="G527" s="101">
        <v>190</v>
      </c>
      <c r="H527" s="101">
        <v>48</v>
      </c>
      <c r="I527" s="101">
        <v>238</v>
      </c>
      <c r="J527" s="101">
        <v>184</v>
      </c>
      <c r="K527" s="101">
        <v>422</v>
      </c>
      <c r="L527" s="101">
        <v>56</v>
      </c>
      <c r="M527" s="101">
        <v>64</v>
      </c>
      <c r="N527" s="101">
        <v>10</v>
      </c>
      <c r="O527" s="101">
        <v>17</v>
      </c>
      <c r="P527" s="101">
        <v>449</v>
      </c>
      <c r="Q527" s="101">
        <v>2695</v>
      </c>
      <c r="R527" s="12" t="s">
        <v>25</v>
      </c>
      <c r="S527" s="12" t="s">
        <v>25</v>
      </c>
      <c r="T527" s="12" t="s">
        <v>25</v>
      </c>
    </row>
    <row r="528" spans="1:20" x14ac:dyDescent="0.3">
      <c r="A528" s="13">
        <v>43910.708333333336</v>
      </c>
      <c r="B528" s="12" t="s">
        <v>22</v>
      </c>
      <c r="C528" s="101">
        <v>17</v>
      </c>
      <c r="D528" s="12" t="s">
        <v>43</v>
      </c>
      <c r="E528" s="101">
        <v>4063947052</v>
      </c>
      <c r="F528" s="101">
        <v>1580514834</v>
      </c>
      <c r="G528" s="101">
        <v>8</v>
      </c>
      <c r="H528" s="101">
        <v>5</v>
      </c>
      <c r="I528" s="101">
        <v>13</v>
      </c>
      <c r="J528" s="101">
        <v>39</v>
      </c>
      <c r="K528" s="101">
        <v>52</v>
      </c>
      <c r="L528" s="101">
        <v>15</v>
      </c>
      <c r="M528" s="101">
        <v>15</v>
      </c>
      <c r="N528" s="101">
        <v>0</v>
      </c>
      <c r="O528" s="101">
        <v>0</v>
      </c>
      <c r="P528" s="101">
        <v>52</v>
      </c>
      <c r="Q528" s="101">
        <v>443</v>
      </c>
      <c r="R528" s="12" t="s">
        <v>25</v>
      </c>
      <c r="S528" s="12" t="s">
        <v>25</v>
      </c>
      <c r="T528" s="12" t="s">
        <v>25</v>
      </c>
    </row>
    <row r="529" spans="1:20" x14ac:dyDescent="0.3">
      <c r="A529" s="13">
        <v>43910.708333333336</v>
      </c>
      <c r="B529" s="12" t="s">
        <v>22</v>
      </c>
      <c r="C529" s="101">
        <v>4</v>
      </c>
      <c r="D529" s="12" t="s">
        <v>44</v>
      </c>
      <c r="E529" s="101">
        <v>4649933453</v>
      </c>
      <c r="F529" s="101">
        <v>1135662422</v>
      </c>
      <c r="G529" s="101">
        <v>99</v>
      </c>
      <c r="H529" s="101">
        <v>24</v>
      </c>
      <c r="I529" s="101">
        <v>123</v>
      </c>
      <c r="J529" s="101">
        <v>407</v>
      </c>
      <c r="K529" s="101">
        <v>530</v>
      </c>
      <c r="L529" s="101">
        <v>109</v>
      </c>
      <c r="M529" s="101">
        <v>112</v>
      </c>
      <c r="N529" s="101">
        <v>1</v>
      </c>
      <c r="O529" s="101">
        <v>17</v>
      </c>
      <c r="P529" s="101">
        <v>548</v>
      </c>
      <c r="Q529" s="101">
        <v>4433</v>
      </c>
      <c r="R529" s="12" t="s">
        <v>25</v>
      </c>
      <c r="S529" s="12" t="s">
        <v>25</v>
      </c>
      <c r="T529" s="12" t="s">
        <v>25</v>
      </c>
    </row>
    <row r="530" spans="1:20" x14ac:dyDescent="0.3">
      <c r="A530" s="13">
        <v>43910.708333333336</v>
      </c>
      <c r="B530" s="12" t="s">
        <v>22</v>
      </c>
      <c r="C530" s="101">
        <v>18</v>
      </c>
      <c r="D530" s="12" t="s">
        <v>45</v>
      </c>
      <c r="E530" s="101">
        <v>3890597598</v>
      </c>
      <c r="F530" s="101">
        <v>1659440194</v>
      </c>
      <c r="G530" s="101">
        <v>71</v>
      </c>
      <c r="H530" s="101">
        <v>16</v>
      </c>
      <c r="I530" s="101">
        <v>87</v>
      </c>
      <c r="J530" s="101">
        <v>114</v>
      </c>
      <c r="K530" s="101">
        <v>201</v>
      </c>
      <c r="L530" s="101">
        <v>37</v>
      </c>
      <c r="M530" s="101">
        <v>38</v>
      </c>
      <c r="N530" s="101">
        <v>2</v>
      </c>
      <c r="O530" s="101">
        <v>4</v>
      </c>
      <c r="P530" s="101">
        <v>207</v>
      </c>
      <c r="Q530" s="101">
        <v>2690</v>
      </c>
      <c r="R530" s="12" t="s">
        <v>25</v>
      </c>
      <c r="S530" s="12" t="s">
        <v>25</v>
      </c>
      <c r="T530" s="12" t="s">
        <v>25</v>
      </c>
    </row>
    <row r="531" spans="1:20" x14ac:dyDescent="0.3">
      <c r="A531" s="13">
        <v>43910.708333333336</v>
      </c>
      <c r="B531" s="12" t="s">
        <v>22</v>
      </c>
      <c r="C531" s="101">
        <v>15</v>
      </c>
      <c r="D531" s="12" t="s">
        <v>46</v>
      </c>
      <c r="E531" s="101">
        <v>4083956555</v>
      </c>
      <c r="F531" s="101">
        <v>1425084984</v>
      </c>
      <c r="G531" s="101">
        <v>130</v>
      </c>
      <c r="H531" s="101">
        <v>41</v>
      </c>
      <c r="I531" s="101">
        <v>171</v>
      </c>
      <c r="J531" s="101">
        <v>531</v>
      </c>
      <c r="K531" s="101">
        <v>702</v>
      </c>
      <c r="L531" s="101">
        <v>97</v>
      </c>
      <c r="M531" s="101">
        <v>97</v>
      </c>
      <c r="N531" s="101">
        <v>30</v>
      </c>
      <c r="O531" s="101">
        <v>17</v>
      </c>
      <c r="P531" s="101">
        <v>749</v>
      </c>
      <c r="Q531" s="101">
        <v>3845</v>
      </c>
      <c r="R531" s="12" t="s">
        <v>25</v>
      </c>
      <c r="S531" s="12" t="s">
        <v>25</v>
      </c>
      <c r="T531" s="12" t="s">
        <v>25</v>
      </c>
    </row>
    <row r="532" spans="1:20" x14ac:dyDescent="0.3">
      <c r="A532" s="13">
        <v>43910.708333333336</v>
      </c>
      <c r="B532" s="12" t="s">
        <v>22</v>
      </c>
      <c r="C532" s="101">
        <v>8</v>
      </c>
      <c r="D532" s="12" t="s">
        <v>96</v>
      </c>
      <c r="E532" s="101">
        <v>4449436681</v>
      </c>
      <c r="F532" s="101">
        <v>113417208</v>
      </c>
      <c r="G532" s="101">
        <v>2083</v>
      </c>
      <c r="H532" s="101">
        <v>267</v>
      </c>
      <c r="I532" s="101">
        <v>2350</v>
      </c>
      <c r="J532" s="101">
        <v>2739</v>
      </c>
      <c r="K532" s="101">
        <v>5089</v>
      </c>
      <c r="L532" s="101">
        <v>583</v>
      </c>
      <c r="M532" s="101">
        <v>754</v>
      </c>
      <c r="N532" s="101">
        <v>239</v>
      </c>
      <c r="O532" s="101">
        <v>640</v>
      </c>
      <c r="P532" s="101">
        <v>5968</v>
      </c>
      <c r="Q532" s="101">
        <v>20753</v>
      </c>
      <c r="R532" s="12" t="s">
        <v>25</v>
      </c>
      <c r="S532" s="12" t="s">
        <v>25</v>
      </c>
      <c r="T532" s="12" t="s">
        <v>25</v>
      </c>
    </row>
    <row r="533" spans="1:20" x14ac:dyDescent="0.3">
      <c r="A533" s="13">
        <v>43910.708333333336</v>
      </c>
      <c r="B533" s="12" t="s">
        <v>22</v>
      </c>
      <c r="C533" s="101">
        <v>6</v>
      </c>
      <c r="D533" s="12" t="s">
        <v>47</v>
      </c>
      <c r="E533" s="101">
        <v>456494354</v>
      </c>
      <c r="F533" s="101">
        <v>1376813649</v>
      </c>
      <c r="G533" s="101">
        <v>143</v>
      </c>
      <c r="H533" s="101">
        <v>32</v>
      </c>
      <c r="I533" s="101">
        <v>175</v>
      </c>
      <c r="J533" s="101">
        <v>380</v>
      </c>
      <c r="K533" s="101">
        <v>555</v>
      </c>
      <c r="L533" s="101">
        <v>33</v>
      </c>
      <c r="M533" s="101">
        <v>57</v>
      </c>
      <c r="N533" s="101">
        <v>63</v>
      </c>
      <c r="O533" s="101">
        <v>38</v>
      </c>
      <c r="P533" s="101">
        <v>656</v>
      </c>
      <c r="Q533" s="101">
        <v>4964</v>
      </c>
      <c r="R533" s="12" t="s">
        <v>25</v>
      </c>
      <c r="S533" s="12" t="s">
        <v>25</v>
      </c>
      <c r="T533" s="12" t="s">
        <v>25</v>
      </c>
    </row>
    <row r="534" spans="1:20" x14ac:dyDescent="0.3">
      <c r="A534" s="13">
        <v>43910.708333333336</v>
      </c>
      <c r="B534" s="12" t="s">
        <v>22</v>
      </c>
      <c r="C534" s="101">
        <v>12</v>
      </c>
      <c r="D534" s="12" t="s">
        <v>48</v>
      </c>
      <c r="E534" s="101">
        <v>4189277044</v>
      </c>
      <c r="F534" s="101">
        <v>1248366722</v>
      </c>
      <c r="G534" s="101">
        <v>537</v>
      </c>
      <c r="H534" s="101">
        <v>47</v>
      </c>
      <c r="I534" s="101">
        <v>584</v>
      </c>
      <c r="J534" s="101">
        <v>328</v>
      </c>
      <c r="K534" s="101">
        <v>912</v>
      </c>
      <c r="L534" s="101">
        <v>171</v>
      </c>
      <c r="M534" s="101">
        <v>185</v>
      </c>
      <c r="N534" s="101">
        <v>53</v>
      </c>
      <c r="O534" s="101">
        <v>43</v>
      </c>
      <c r="P534" s="101">
        <v>1008</v>
      </c>
      <c r="Q534" s="101">
        <v>13889</v>
      </c>
      <c r="R534" s="12" t="s">
        <v>25</v>
      </c>
      <c r="S534" s="12" t="s">
        <v>25</v>
      </c>
      <c r="T534" s="12" t="s">
        <v>25</v>
      </c>
    </row>
    <row r="535" spans="1:20" x14ac:dyDescent="0.3">
      <c r="A535" s="13">
        <v>43910.708333333336</v>
      </c>
      <c r="B535" s="12" t="s">
        <v>22</v>
      </c>
      <c r="C535" s="101">
        <v>7</v>
      </c>
      <c r="D535" s="12" t="s">
        <v>49</v>
      </c>
      <c r="E535" s="101">
        <v>4441149315</v>
      </c>
      <c r="F535" s="101">
        <v>89326992</v>
      </c>
      <c r="G535" s="101">
        <v>573</v>
      </c>
      <c r="H535" s="101">
        <v>121</v>
      </c>
      <c r="I535" s="101">
        <v>694</v>
      </c>
      <c r="J535" s="101">
        <v>307</v>
      </c>
      <c r="K535" s="101">
        <v>1001</v>
      </c>
      <c r="L535" s="101">
        <v>118</v>
      </c>
      <c r="M535" s="101">
        <v>162</v>
      </c>
      <c r="N535" s="101">
        <v>101</v>
      </c>
      <c r="O535" s="101">
        <v>119</v>
      </c>
      <c r="P535" s="101">
        <v>1221</v>
      </c>
      <c r="Q535" s="101">
        <v>3794</v>
      </c>
      <c r="R535" s="12" t="s">
        <v>25</v>
      </c>
      <c r="S535" s="12" t="s">
        <v>25</v>
      </c>
      <c r="T535" s="12" t="s">
        <v>25</v>
      </c>
    </row>
    <row r="536" spans="1:20" x14ac:dyDescent="0.3">
      <c r="A536" s="13">
        <v>43910.708333333336</v>
      </c>
      <c r="B536" s="12" t="s">
        <v>22</v>
      </c>
      <c r="C536" s="101">
        <v>3</v>
      </c>
      <c r="D536" s="12" t="s">
        <v>50</v>
      </c>
      <c r="E536" s="101">
        <v>4546679409</v>
      </c>
      <c r="F536" s="101">
        <v>9190347404</v>
      </c>
      <c r="G536" s="101">
        <v>7735</v>
      </c>
      <c r="H536" s="101">
        <v>1050</v>
      </c>
      <c r="I536" s="101">
        <v>8785</v>
      </c>
      <c r="J536" s="101">
        <v>6635</v>
      </c>
      <c r="K536" s="101">
        <v>15420</v>
      </c>
      <c r="L536" s="101">
        <v>1482</v>
      </c>
      <c r="M536" s="101">
        <v>2380</v>
      </c>
      <c r="N536" s="101">
        <v>4295</v>
      </c>
      <c r="O536" s="101">
        <v>2549</v>
      </c>
      <c r="P536" s="101">
        <v>22264</v>
      </c>
      <c r="Q536" s="101">
        <v>57174</v>
      </c>
      <c r="R536" s="12" t="s">
        <v>25</v>
      </c>
      <c r="S536" s="12" t="s">
        <v>25</v>
      </c>
      <c r="T536" s="12" t="s">
        <v>25</v>
      </c>
    </row>
    <row r="537" spans="1:20" x14ac:dyDescent="0.3">
      <c r="A537" s="13">
        <v>43910.708333333336</v>
      </c>
      <c r="B537" s="12" t="s">
        <v>22</v>
      </c>
      <c r="C537" s="101">
        <v>11</v>
      </c>
      <c r="D537" s="12" t="s">
        <v>51</v>
      </c>
      <c r="E537" s="101">
        <v>4361675973</v>
      </c>
      <c r="F537" s="101">
        <v>135188753</v>
      </c>
      <c r="G537" s="101">
        <v>704</v>
      </c>
      <c r="H537" s="101">
        <v>138</v>
      </c>
      <c r="I537" s="101">
        <v>842</v>
      </c>
      <c r="J537" s="101">
        <v>1002</v>
      </c>
      <c r="K537" s="101">
        <v>1844</v>
      </c>
      <c r="L537" s="101">
        <v>222</v>
      </c>
      <c r="M537" s="101">
        <v>244</v>
      </c>
      <c r="N537" s="101">
        <v>0</v>
      </c>
      <c r="O537" s="101">
        <v>137</v>
      </c>
      <c r="P537" s="101">
        <v>1981</v>
      </c>
      <c r="Q537" s="101">
        <v>5170</v>
      </c>
      <c r="R537" s="12" t="s">
        <v>25</v>
      </c>
      <c r="S537" s="12" t="s">
        <v>25</v>
      </c>
      <c r="T537" s="12" t="s">
        <v>25</v>
      </c>
    </row>
    <row r="538" spans="1:20" x14ac:dyDescent="0.3">
      <c r="A538" s="13">
        <v>43910.708333333336</v>
      </c>
      <c r="B538" s="12" t="s">
        <v>22</v>
      </c>
      <c r="C538" s="101">
        <v>14</v>
      </c>
      <c r="D538" s="12" t="s">
        <v>52</v>
      </c>
      <c r="E538" s="101">
        <v>4155774754</v>
      </c>
      <c r="F538" s="101">
        <v>1465916051</v>
      </c>
      <c r="G538" s="101">
        <v>20</v>
      </c>
      <c r="H538" s="101">
        <v>6</v>
      </c>
      <c r="I538" s="101">
        <v>26</v>
      </c>
      <c r="J538" s="101">
        <v>13</v>
      </c>
      <c r="K538" s="101">
        <v>39</v>
      </c>
      <c r="L538" s="101">
        <v>1</v>
      </c>
      <c r="M538" s="101">
        <v>4</v>
      </c>
      <c r="N538" s="101">
        <v>6</v>
      </c>
      <c r="O538" s="101">
        <v>5</v>
      </c>
      <c r="P538" s="101">
        <v>50</v>
      </c>
      <c r="Q538" s="101">
        <v>426</v>
      </c>
      <c r="R538" s="12" t="s">
        <v>25</v>
      </c>
      <c r="S538" s="12" t="s">
        <v>25</v>
      </c>
      <c r="T538" s="12" t="s">
        <v>25</v>
      </c>
    </row>
    <row r="539" spans="1:20" x14ac:dyDescent="0.3">
      <c r="A539" s="13">
        <v>43910.708333333336</v>
      </c>
      <c r="B539" s="12" t="s">
        <v>22</v>
      </c>
      <c r="C539" s="101">
        <v>1</v>
      </c>
      <c r="D539" s="12" t="s">
        <v>53</v>
      </c>
      <c r="E539" s="101">
        <v>450732745</v>
      </c>
      <c r="F539" s="101">
        <v>7680687483</v>
      </c>
      <c r="G539" s="101">
        <v>1541</v>
      </c>
      <c r="H539" s="101">
        <v>280</v>
      </c>
      <c r="I539" s="101">
        <v>1821</v>
      </c>
      <c r="J539" s="101">
        <v>1423</v>
      </c>
      <c r="K539" s="101">
        <v>3244</v>
      </c>
      <c r="L539" s="101">
        <v>490</v>
      </c>
      <c r="M539" s="101">
        <v>529</v>
      </c>
      <c r="N539" s="101">
        <v>8</v>
      </c>
      <c r="O539" s="101">
        <v>209</v>
      </c>
      <c r="P539" s="101">
        <v>3461</v>
      </c>
      <c r="Q539" s="101">
        <v>9975</v>
      </c>
      <c r="R539" s="12" t="s">
        <v>25</v>
      </c>
      <c r="S539" s="12" t="s">
        <v>25</v>
      </c>
      <c r="T539" s="12" t="s">
        <v>25</v>
      </c>
    </row>
    <row r="540" spans="1:20" x14ac:dyDescent="0.3">
      <c r="A540" s="13">
        <v>43910.708333333336</v>
      </c>
      <c r="B540" s="12" t="s">
        <v>22</v>
      </c>
      <c r="C540" s="101">
        <v>16</v>
      </c>
      <c r="D540" s="12" t="s">
        <v>54</v>
      </c>
      <c r="E540" s="101">
        <v>4112559576</v>
      </c>
      <c r="F540" s="101">
        <v>1686736689</v>
      </c>
      <c r="G540" s="101">
        <v>191</v>
      </c>
      <c r="H540" s="101">
        <v>31</v>
      </c>
      <c r="I540" s="101">
        <v>222</v>
      </c>
      <c r="J540" s="101">
        <v>329</v>
      </c>
      <c r="K540" s="101">
        <v>551</v>
      </c>
      <c r="L540" s="101">
        <v>102</v>
      </c>
      <c r="M540" s="101">
        <v>103</v>
      </c>
      <c r="N540" s="101">
        <v>4</v>
      </c>
      <c r="O540" s="101">
        <v>26</v>
      </c>
      <c r="P540" s="101">
        <v>581</v>
      </c>
      <c r="Q540" s="101">
        <v>4789</v>
      </c>
      <c r="R540" s="12" t="s">
        <v>25</v>
      </c>
      <c r="S540" s="12" t="s">
        <v>25</v>
      </c>
      <c r="T540" s="12" t="s">
        <v>25</v>
      </c>
    </row>
    <row r="541" spans="1:20" x14ac:dyDescent="0.3">
      <c r="A541" s="13">
        <v>43910.708333333336</v>
      </c>
      <c r="B541" s="12" t="s">
        <v>22</v>
      </c>
      <c r="C541" s="101">
        <v>20</v>
      </c>
      <c r="D541" s="12" t="s">
        <v>55</v>
      </c>
      <c r="E541" s="101">
        <v>3921531192</v>
      </c>
      <c r="F541" s="101">
        <v>9110616306</v>
      </c>
      <c r="G541" s="101">
        <v>56</v>
      </c>
      <c r="H541" s="101">
        <v>15</v>
      </c>
      <c r="I541" s="101">
        <v>71</v>
      </c>
      <c r="J541" s="101">
        <v>217</v>
      </c>
      <c r="K541" s="101">
        <v>288</v>
      </c>
      <c r="L541" s="101">
        <v>84</v>
      </c>
      <c r="M541" s="101">
        <v>87</v>
      </c>
      <c r="N541" s="101">
        <v>3</v>
      </c>
      <c r="O541" s="101">
        <v>2</v>
      </c>
      <c r="P541" s="101">
        <v>293</v>
      </c>
      <c r="Q541" s="101">
        <v>1912</v>
      </c>
      <c r="R541" s="12" t="s">
        <v>25</v>
      </c>
      <c r="S541" s="12" t="s">
        <v>25</v>
      </c>
      <c r="T541" s="12" t="s">
        <v>25</v>
      </c>
    </row>
    <row r="542" spans="1:20" x14ac:dyDescent="0.3">
      <c r="A542" s="13">
        <v>43910.708333333336</v>
      </c>
      <c r="B542" s="12" t="s">
        <v>22</v>
      </c>
      <c r="C542" s="101">
        <v>19</v>
      </c>
      <c r="D542" s="12" t="s">
        <v>56</v>
      </c>
      <c r="E542" s="101">
        <v>3811569725</v>
      </c>
      <c r="F542" s="101">
        <v>133623567</v>
      </c>
      <c r="G542" s="101">
        <v>168</v>
      </c>
      <c r="H542" s="101">
        <v>42</v>
      </c>
      <c r="I542" s="101">
        <v>210</v>
      </c>
      <c r="J542" s="101">
        <v>169</v>
      </c>
      <c r="K542" s="101">
        <v>379</v>
      </c>
      <c r="L542" s="101">
        <v>58</v>
      </c>
      <c r="M542" s="101">
        <v>68</v>
      </c>
      <c r="N542" s="101">
        <v>25</v>
      </c>
      <c r="O542" s="101">
        <v>4</v>
      </c>
      <c r="P542" s="101">
        <v>408</v>
      </c>
      <c r="Q542" s="101">
        <v>4468</v>
      </c>
      <c r="R542" s="12" t="s">
        <v>25</v>
      </c>
      <c r="S542" s="12" t="s">
        <v>25</v>
      </c>
      <c r="T542" s="12" t="s">
        <v>25</v>
      </c>
    </row>
    <row r="543" spans="1:20" x14ac:dyDescent="0.3">
      <c r="A543" s="13">
        <v>43910.708333333336</v>
      </c>
      <c r="B543" s="12" t="s">
        <v>22</v>
      </c>
      <c r="C543" s="101">
        <v>9</v>
      </c>
      <c r="D543" s="12" t="s">
        <v>57</v>
      </c>
      <c r="E543" s="101">
        <v>4376923077</v>
      </c>
      <c r="F543" s="101">
        <v>1125588885</v>
      </c>
      <c r="G543" s="101">
        <v>601</v>
      </c>
      <c r="H543" s="101">
        <v>189</v>
      </c>
      <c r="I543" s="101">
        <v>790</v>
      </c>
      <c r="J543" s="101">
        <v>923</v>
      </c>
      <c r="K543" s="101">
        <v>1713</v>
      </c>
      <c r="L543" s="101">
        <v>291</v>
      </c>
      <c r="M543" s="101">
        <v>311</v>
      </c>
      <c r="N543" s="101">
        <v>33</v>
      </c>
      <c r="O543" s="101">
        <v>47</v>
      </c>
      <c r="P543" s="101">
        <v>1793</v>
      </c>
      <c r="Q543" s="101">
        <v>10405</v>
      </c>
      <c r="R543" s="12" t="s">
        <v>25</v>
      </c>
      <c r="S543" s="12" t="s">
        <v>25</v>
      </c>
      <c r="T543" s="12" t="s">
        <v>25</v>
      </c>
    </row>
    <row r="544" spans="1:20" x14ac:dyDescent="0.3">
      <c r="A544" s="13">
        <v>43910.708333333336</v>
      </c>
      <c r="B544" s="12" t="s">
        <v>22</v>
      </c>
      <c r="C544" s="101">
        <v>4</v>
      </c>
      <c r="D544" s="12" t="s">
        <v>58</v>
      </c>
      <c r="E544" s="101">
        <v>4606893511</v>
      </c>
      <c r="F544" s="101">
        <v>1112123097</v>
      </c>
      <c r="G544" s="101">
        <v>198</v>
      </c>
      <c r="H544" s="101">
        <v>34</v>
      </c>
      <c r="I544" s="101">
        <v>232</v>
      </c>
      <c r="J544" s="101">
        <v>368</v>
      </c>
      <c r="K544" s="101">
        <v>600</v>
      </c>
      <c r="L544" s="101">
        <v>109</v>
      </c>
      <c r="M544" s="101">
        <v>119</v>
      </c>
      <c r="N544" s="101">
        <v>29</v>
      </c>
      <c r="O544" s="101">
        <v>13</v>
      </c>
      <c r="P544" s="101">
        <v>642</v>
      </c>
      <c r="Q544" s="101">
        <v>2656</v>
      </c>
      <c r="R544" s="12" t="s">
        <v>25</v>
      </c>
      <c r="S544" s="12" t="s">
        <v>25</v>
      </c>
      <c r="T544" s="12" t="s">
        <v>25</v>
      </c>
    </row>
    <row r="545" spans="1:20" x14ac:dyDescent="0.3">
      <c r="A545" s="13">
        <v>43910.708333333336</v>
      </c>
      <c r="B545" s="12" t="s">
        <v>22</v>
      </c>
      <c r="C545" s="101">
        <v>10</v>
      </c>
      <c r="D545" s="12" t="s">
        <v>59</v>
      </c>
      <c r="E545" s="101">
        <v>4310675841</v>
      </c>
      <c r="F545" s="101">
        <v>1238824698</v>
      </c>
      <c r="G545" s="101">
        <v>75</v>
      </c>
      <c r="H545" s="101">
        <v>24</v>
      </c>
      <c r="I545" s="101">
        <v>99</v>
      </c>
      <c r="J545" s="101">
        <v>285</v>
      </c>
      <c r="K545" s="101">
        <v>384</v>
      </c>
      <c r="L545" s="101">
        <v>56</v>
      </c>
      <c r="M545" s="101">
        <v>61</v>
      </c>
      <c r="N545" s="101">
        <v>4</v>
      </c>
      <c r="O545" s="101">
        <v>7</v>
      </c>
      <c r="P545" s="101">
        <v>395</v>
      </c>
      <c r="Q545" s="101">
        <v>2303</v>
      </c>
      <c r="R545" s="12" t="s">
        <v>25</v>
      </c>
      <c r="S545" s="12" t="s">
        <v>25</v>
      </c>
      <c r="T545" s="12" t="s">
        <v>25</v>
      </c>
    </row>
    <row r="546" spans="1:20" x14ac:dyDescent="0.3">
      <c r="A546" s="13">
        <v>43910.708333333336</v>
      </c>
      <c r="B546" s="12" t="s">
        <v>22</v>
      </c>
      <c r="C546" s="101">
        <v>2</v>
      </c>
      <c r="D546" s="12" t="s">
        <v>60</v>
      </c>
      <c r="E546" s="101">
        <v>4573750286</v>
      </c>
      <c r="F546" s="101">
        <v>7320149366</v>
      </c>
      <c r="G546" s="101">
        <v>54</v>
      </c>
      <c r="H546" s="101">
        <v>9</v>
      </c>
      <c r="I546" s="101">
        <v>63</v>
      </c>
      <c r="J546" s="101">
        <v>194</v>
      </c>
      <c r="K546" s="101">
        <v>257</v>
      </c>
      <c r="L546" s="101">
        <v>48</v>
      </c>
      <c r="M546" s="101">
        <v>49</v>
      </c>
      <c r="N546" s="101">
        <v>0</v>
      </c>
      <c r="O546" s="101">
        <v>7</v>
      </c>
      <c r="P546" s="101">
        <v>264</v>
      </c>
      <c r="Q546" s="101">
        <v>814</v>
      </c>
      <c r="R546" s="12" t="s">
        <v>25</v>
      </c>
      <c r="S546" s="12" t="s">
        <v>25</v>
      </c>
      <c r="T546" s="12" t="s">
        <v>25</v>
      </c>
    </row>
    <row r="547" spans="1:20" x14ac:dyDescent="0.3">
      <c r="A547" s="13">
        <v>43910.708333333336</v>
      </c>
      <c r="B547" s="12" t="s">
        <v>22</v>
      </c>
      <c r="C547" s="101">
        <v>5</v>
      </c>
      <c r="D547" s="12" t="s">
        <v>61</v>
      </c>
      <c r="E547" s="101">
        <v>4543490485</v>
      </c>
      <c r="F547" s="101">
        <v>1233845213</v>
      </c>
      <c r="G547" s="101">
        <v>843</v>
      </c>
      <c r="H547" s="101">
        <v>236</v>
      </c>
      <c r="I547" s="101">
        <v>1079</v>
      </c>
      <c r="J547" s="101">
        <v>2598</v>
      </c>
      <c r="K547" s="101">
        <v>3677</v>
      </c>
      <c r="L547" s="101">
        <v>508</v>
      </c>
      <c r="M547" s="101">
        <v>547</v>
      </c>
      <c r="N547" s="101">
        <v>223</v>
      </c>
      <c r="O547" s="101">
        <v>131</v>
      </c>
      <c r="P547" s="101">
        <v>4031</v>
      </c>
      <c r="Q547" s="101">
        <v>49288</v>
      </c>
      <c r="R547" s="12" t="s">
        <v>25</v>
      </c>
      <c r="S547" s="12" t="s">
        <v>25</v>
      </c>
      <c r="T547" s="12" t="s">
        <v>25</v>
      </c>
    </row>
    <row r="548" spans="1:20" x14ac:dyDescent="0.3">
      <c r="A548" s="13">
        <v>43911.708333333336</v>
      </c>
      <c r="B548" s="12" t="s">
        <v>22</v>
      </c>
      <c r="C548" s="101">
        <v>13</v>
      </c>
      <c r="D548" s="12" t="s">
        <v>42</v>
      </c>
      <c r="E548" s="101">
        <v>4235122196</v>
      </c>
      <c r="F548" s="101">
        <v>1339843823</v>
      </c>
      <c r="G548" s="101">
        <v>185</v>
      </c>
      <c r="H548" s="101">
        <v>44</v>
      </c>
      <c r="I548" s="101">
        <v>229</v>
      </c>
      <c r="J548" s="101">
        <v>265</v>
      </c>
      <c r="K548" s="101">
        <v>494</v>
      </c>
      <c r="L548" s="101">
        <v>72</v>
      </c>
      <c r="M548" s="101">
        <v>80</v>
      </c>
      <c r="N548" s="101">
        <v>13</v>
      </c>
      <c r="O548" s="101">
        <v>22</v>
      </c>
      <c r="P548" s="101">
        <v>529</v>
      </c>
      <c r="Q548" s="101">
        <v>3035</v>
      </c>
      <c r="R548" s="12" t="s">
        <v>25</v>
      </c>
      <c r="S548" s="12" t="s">
        <v>25</v>
      </c>
      <c r="T548" s="12" t="s">
        <v>25</v>
      </c>
    </row>
    <row r="549" spans="1:20" x14ac:dyDescent="0.3">
      <c r="A549" s="13">
        <v>43911.708333333336</v>
      </c>
      <c r="B549" s="12" t="s">
        <v>22</v>
      </c>
      <c r="C549" s="101">
        <v>17</v>
      </c>
      <c r="D549" s="12" t="s">
        <v>43</v>
      </c>
      <c r="E549" s="101">
        <v>4063947052</v>
      </c>
      <c r="F549" s="101">
        <v>1580514834</v>
      </c>
      <c r="G549" s="101">
        <v>12</v>
      </c>
      <c r="H549" s="101">
        <v>7</v>
      </c>
      <c r="I549" s="101">
        <v>19</v>
      </c>
      <c r="J549" s="101">
        <v>47</v>
      </c>
      <c r="K549" s="101">
        <v>66</v>
      </c>
      <c r="L549" s="101">
        <v>14</v>
      </c>
      <c r="M549" s="101">
        <v>14</v>
      </c>
      <c r="N549" s="101">
        <v>0</v>
      </c>
      <c r="O549" s="101">
        <v>0</v>
      </c>
      <c r="P549" s="101">
        <v>66</v>
      </c>
      <c r="Q549" s="101">
        <v>522</v>
      </c>
      <c r="R549" s="12" t="s">
        <v>25</v>
      </c>
      <c r="S549" s="12" t="s">
        <v>25</v>
      </c>
      <c r="T549" s="12" t="s">
        <v>25</v>
      </c>
    </row>
    <row r="550" spans="1:20" x14ac:dyDescent="0.3">
      <c r="A550" s="13">
        <v>43911.708333333336</v>
      </c>
      <c r="B550" s="12" t="s">
        <v>22</v>
      </c>
      <c r="C550" s="101">
        <v>4</v>
      </c>
      <c r="D550" s="12" t="s">
        <v>44</v>
      </c>
      <c r="E550" s="101">
        <v>4649933453</v>
      </c>
      <c r="F550" s="101">
        <v>1135662422</v>
      </c>
      <c r="G550" s="101">
        <v>127</v>
      </c>
      <c r="H550" s="101">
        <v>30</v>
      </c>
      <c r="I550" s="101">
        <v>157</v>
      </c>
      <c r="J550" s="101">
        <v>443</v>
      </c>
      <c r="K550" s="101">
        <v>600</v>
      </c>
      <c r="L550" s="101">
        <v>70</v>
      </c>
      <c r="M550" s="101">
        <v>73</v>
      </c>
      <c r="N550" s="101">
        <v>1</v>
      </c>
      <c r="O550" s="101">
        <v>20</v>
      </c>
      <c r="P550" s="101">
        <v>621</v>
      </c>
      <c r="Q550" s="101">
        <v>5179</v>
      </c>
      <c r="R550" s="12" t="s">
        <v>25</v>
      </c>
      <c r="S550" s="12" t="s">
        <v>25</v>
      </c>
      <c r="T550" s="12" t="s">
        <v>25</v>
      </c>
    </row>
    <row r="551" spans="1:20" x14ac:dyDescent="0.3">
      <c r="A551" s="13">
        <v>43911.708333333336</v>
      </c>
      <c r="B551" s="12" t="s">
        <v>22</v>
      </c>
      <c r="C551" s="101">
        <v>18</v>
      </c>
      <c r="D551" s="12" t="s">
        <v>45</v>
      </c>
      <c r="E551" s="101">
        <v>3890597598</v>
      </c>
      <c r="F551" s="101">
        <v>1659440194</v>
      </c>
      <c r="G551" s="101">
        <v>73</v>
      </c>
      <c r="H551" s="101">
        <v>16</v>
      </c>
      <c r="I551" s="101">
        <v>89</v>
      </c>
      <c r="J551" s="101">
        <v>136</v>
      </c>
      <c r="K551" s="101">
        <v>225</v>
      </c>
      <c r="L551" s="101">
        <v>24</v>
      </c>
      <c r="M551" s="101">
        <v>28</v>
      </c>
      <c r="N551" s="101">
        <v>5</v>
      </c>
      <c r="O551" s="101">
        <v>5</v>
      </c>
      <c r="P551" s="101">
        <v>235</v>
      </c>
      <c r="Q551" s="101">
        <v>3050</v>
      </c>
      <c r="R551" s="12" t="s">
        <v>25</v>
      </c>
      <c r="S551" s="12" t="s">
        <v>25</v>
      </c>
      <c r="T551" s="12" t="s">
        <v>25</v>
      </c>
    </row>
    <row r="552" spans="1:20" x14ac:dyDescent="0.3">
      <c r="A552" s="13">
        <v>43911.708333333336</v>
      </c>
      <c r="B552" s="12" t="s">
        <v>22</v>
      </c>
      <c r="C552" s="101">
        <v>15</v>
      </c>
      <c r="D552" s="12" t="s">
        <v>46</v>
      </c>
      <c r="E552" s="101">
        <v>4083956555</v>
      </c>
      <c r="F552" s="101">
        <v>1425084984</v>
      </c>
      <c r="G552" s="101">
        <v>233</v>
      </c>
      <c r="H552" s="101">
        <v>87</v>
      </c>
      <c r="I552" s="101">
        <v>320</v>
      </c>
      <c r="J552" s="101">
        <v>473</v>
      </c>
      <c r="K552" s="101">
        <v>793</v>
      </c>
      <c r="L552" s="101">
        <v>91</v>
      </c>
      <c r="M552" s="101">
        <v>95</v>
      </c>
      <c r="N552" s="101">
        <v>29</v>
      </c>
      <c r="O552" s="101">
        <v>22</v>
      </c>
      <c r="P552" s="101">
        <v>844</v>
      </c>
      <c r="Q552" s="101">
        <v>4448</v>
      </c>
      <c r="R552" s="12" t="s">
        <v>25</v>
      </c>
      <c r="S552" s="12" t="s">
        <v>25</v>
      </c>
      <c r="T552" s="12" t="s">
        <v>25</v>
      </c>
    </row>
    <row r="553" spans="1:20" x14ac:dyDescent="0.3">
      <c r="A553" s="13">
        <v>43911.708333333336</v>
      </c>
      <c r="B553" s="12" t="s">
        <v>22</v>
      </c>
      <c r="C553" s="101">
        <v>8</v>
      </c>
      <c r="D553" s="12" t="s">
        <v>96</v>
      </c>
      <c r="E553" s="101">
        <v>4449436681</v>
      </c>
      <c r="F553" s="101">
        <v>113417208</v>
      </c>
      <c r="G553" s="101">
        <v>2267</v>
      </c>
      <c r="H553" s="101">
        <v>265</v>
      </c>
      <c r="I553" s="101">
        <v>2532</v>
      </c>
      <c r="J553" s="101">
        <v>3129</v>
      </c>
      <c r="K553" s="101">
        <v>5661</v>
      </c>
      <c r="L553" s="101">
        <v>572</v>
      </c>
      <c r="M553" s="101">
        <v>737</v>
      </c>
      <c r="N553" s="101">
        <v>329</v>
      </c>
      <c r="O553" s="101">
        <v>715</v>
      </c>
      <c r="P553" s="101">
        <v>6705</v>
      </c>
      <c r="Q553" s="101">
        <v>24620</v>
      </c>
      <c r="R553" s="12" t="s">
        <v>25</v>
      </c>
      <c r="S553" s="12" t="s">
        <v>25</v>
      </c>
      <c r="T553" s="12" t="s">
        <v>25</v>
      </c>
    </row>
    <row r="554" spans="1:20" x14ac:dyDescent="0.3">
      <c r="A554" s="13">
        <v>43911.708333333336</v>
      </c>
      <c r="B554" s="12" t="s">
        <v>22</v>
      </c>
      <c r="C554" s="101">
        <v>6</v>
      </c>
      <c r="D554" s="12" t="s">
        <v>47</v>
      </c>
      <c r="E554" s="101">
        <v>456494354</v>
      </c>
      <c r="F554" s="101">
        <v>1376813649</v>
      </c>
      <c r="G554" s="101">
        <v>152</v>
      </c>
      <c r="H554" s="101">
        <v>37</v>
      </c>
      <c r="I554" s="101">
        <v>189</v>
      </c>
      <c r="J554" s="101">
        <v>477</v>
      </c>
      <c r="K554" s="101">
        <v>666</v>
      </c>
      <c r="L554" s="101">
        <v>111</v>
      </c>
      <c r="M554" s="101">
        <v>134</v>
      </c>
      <c r="N554" s="101">
        <v>82</v>
      </c>
      <c r="O554" s="101">
        <v>42</v>
      </c>
      <c r="P554" s="101">
        <v>790</v>
      </c>
      <c r="Q554" s="101">
        <v>5955</v>
      </c>
      <c r="R554" s="12" t="s">
        <v>25</v>
      </c>
      <c r="S554" s="12" t="s">
        <v>25</v>
      </c>
      <c r="T554" s="12" t="s">
        <v>25</v>
      </c>
    </row>
    <row r="555" spans="1:20" x14ac:dyDescent="0.3">
      <c r="A555" s="13">
        <v>43911.708333333336</v>
      </c>
      <c r="B555" s="12" t="s">
        <v>22</v>
      </c>
      <c r="C555" s="101">
        <v>12</v>
      </c>
      <c r="D555" s="12" t="s">
        <v>48</v>
      </c>
      <c r="E555" s="101">
        <v>4189277044</v>
      </c>
      <c r="F555" s="101">
        <v>1248366722</v>
      </c>
      <c r="G555" s="101">
        <v>591</v>
      </c>
      <c r="H555" s="101">
        <v>70</v>
      </c>
      <c r="I555" s="101">
        <v>661</v>
      </c>
      <c r="J555" s="101">
        <v>425</v>
      </c>
      <c r="K555" s="101">
        <v>1086</v>
      </c>
      <c r="L555" s="101">
        <v>174</v>
      </c>
      <c r="M555" s="101">
        <v>182</v>
      </c>
      <c r="N555" s="101">
        <v>54</v>
      </c>
      <c r="O555" s="101">
        <v>50</v>
      </c>
      <c r="P555" s="101">
        <v>1190</v>
      </c>
      <c r="Q555" s="101">
        <v>13889</v>
      </c>
      <c r="R555" s="12" t="s">
        <v>25</v>
      </c>
      <c r="S555" s="12" t="s">
        <v>25</v>
      </c>
      <c r="T555" s="12" t="s">
        <v>25</v>
      </c>
    </row>
    <row r="556" spans="1:20" x14ac:dyDescent="0.3">
      <c r="A556" s="13">
        <v>43911.708333333336</v>
      </c>
      <c r="B556" s="12" t="s">
        <v>22</v>
      </c>
      <c r="C556" s="101">
        <v>7</v>
      </c>
      <c r="D556" s="12" t="s">
        <v>49</v>
      </c>
      <c r="E556" s="101">
        <v>4441149315</v>
      </c>
      <c r="F556" s="101">
        <v>89326992</v>
      </c>
      <c r="G556" s="101">
        <v>598</v>
      </c>
      <c r="H556" s="101">
        <v>129</v>
      </c>
      <c r="I556" s="101">
        <v>727</v>
      </c>
      <c r="J556" s="101">
        <v>432</v>
      </c>
      <c r="K556" s="101">
        <v>1159</v>
      </c>
      <c r="L556" s="101">
        <v>158</v>
      </c>
      <c r="M556" s="101">
        <v>215</v>
      </c>
      <c r="N556" s="101">
        <v>125</v>
      </c>
      <c r="O556" s="101">
        <v>152</v>
      </c>
      <c r="P556" s="101">
        <v>1436</v>
      </c>
      <c r="Q556" s="101">
        <v>4304</v>
      </c>
      <c r="R556" s="12" t="s">
        <v>25</v>
      </c>
      <c r="S556" s="12" t="s">
        <v>25</v>
      </c>
      <c r="T556" s="12" t="s">
        <v>25</v>
      </c>
    </row>
    <row r="557" spans="1:20" x14ac:dyDescent="0.3">
      <c r="A557" s="13">
        <v>43911.708333333336</v>
      </c>
      <c r="B557" s="12" t="s">
        <v>22</v>
      </c>
      <c r="C557" s="101">
        <v>3</v>
      </c>
      <c r="D557" s="12" t="s">
        <v>50</v>
      </c>
      <c r="E557" s="101">
        <v>4546679409</v>
      </c>
      <c r="F557" s="101">
        <v>9190347404</v>
      </c>
      <c r="G557" s="101">
        <v>8258</v>
      </c>
      <c r="H557" s="101">
        <v>1093</v>
      </c>
      <c r="I557" s="101">
        <v>9351</v>
      </c>
      <c r="J557" s="101">
        <v>8019</v>
      </c>
      <c r="K557" s="101">
        <v>17370</v>
      </c>
      <c r="L557" s="101">
        <v>1950</v>
      </c>
      <c r="M557" s="101">
        <v>3251</v>
      </c>
      <c r="N557" s="101">
        <v>5050</v>
      </c>
      <c r="O557" s="101">
        <v>3095</v>
      </c>
      <c r="P557" s="101">
        <v>25515</v>
      </c>
      <c r="Q557" s="101">
        <v>66730</v>
      </c>
      <c r="R557" s="12" t="s">
        <v>25</v>
      </c>
      <c r="S557" s="12" t="s">
        <v>25</v>
      </c>
      <c r="T557" s="12" t="s">
        <v>25</v>
      </c>
    </row>
    <row r="558" spans="1:20" x14ac:dyDescent="0.3">
      <c r="A558" s="13">
        <v>43911.708333333336</v>
      </c>
      <c r="B558" s="12" t="s">
        <v>22</v>
      </c>
      <c r="C558" s="101">
        <v>11</v>
      </c>
      <c r="D558" s="12" t="s">
        <v>51</v>
      </c>
      <c r="E558" s="101">
        <v>4361675973</v>
      </c>
      <c r="F558" s="101">
        <v>135188753</v>
      </c>
      <c r="G558" s="101">
        <v>742</v>
      </c>
      <c r="H558" s="101">
        <v>141</v>
      </c>
      <c r="I558" s="101">
        <v>883</v>
      </c>
      <c r="J558" s="101">
        <v>1114</v>
      </c>
      <c r="K558" s="101">
        <v>1997</v>
      </c>
      <c r="L558" s="101">
        <v>153</v>
      </c>
      <c r="M558" s="101">
        <v>172</v>
      </c>
      <c r="N558" s="101">
        <v>2</v>
      </c>
      <c r="O558" s="101">
        <v>154</v>
      </c>
      <c r="P558" s="101">
        <v>2153</v>
      </c>
      <c r="Q558" s="101">
        <v>5740</v>
      </c>
      <c r="R558" s="12" t="s">
        <v>25</v>
      </c>
      <c r="S558" s="12" t="s">
        <v>25</v>
      </c>
      <c r="T558" s="12" t="s">
        <v>25</v>
      </c>
    </row>
    <row r="559" spans="1:20" x14ac:dyDescent="0.3">
      <c r="A559" s="13">
        <v>43911.708333333336</v>
      </c>
      <c r="B559" s="12" t="s">
        <v>22</v>
      </c>
      <c r="C559" s="101">
        <v>14</v>
      </c>
      <c r="D559" s="12" t="s">
        <v>52</v>
      </c>
      <c r="E559" s="101">
        <v>4155774754</v>
      </c>
      <c r="F559" s="101">
        <v>1465916051</v>
      </c>
      <c r="G559" s="101">
        <v>21</v>
      </c>
      <c r="H559" s="101">
        <v>6</v>
      </c>
      <c r="I559" s="101">
        <v>27</v>
      </c>
      <c r="J559" s="101">
        <v>20</v>
      </c>
      <c r="K559" s="101">
        <v>47</v>
      </c>
      <c r="L559" s="101">
        <v>8</v>
      </c>
      <c r="M559" s="101">
        <v>11</v>
      </c>
      <c r="N559" s="101">
        <v>7</v>
      </c>
      <c r="O559" s="101">
        <v>7</v>
      </c>
      <c r="P559" s="101">
        <v>61</v>
      </c>
      <c r="Q559" s="101">
        <v>449</v>
      </c>
      <c r="R559" s="12" t="s">
        <v>25</v>
      </c>
      <c r="S559" s="12" t="s">
        <v>25</v>
      </c>
      <c r="T559" s="12" t="s">
        <v>25</v>
      </c>
    </row>
    <row r="560" spans="1:20" x14ac:dyDescent="0.3">
      <c r="A560" s="13">
        <v>43911.708333333336</v>
      </c>
      <c r="B560" s="12" t="s">
        <v>22</v>
      </c>
      <c r="C560" s="101">
        <v>1</v>
      </c>
      <c r="D560" s="12" t="s">
        <v>53</v>
      </c>
      <c r="E560" s="101">
        <v>450732745</v>
      </c>
      <c r="F560" s="101">
        <v>7680687483</v>
      </c>
      <c r="G560" s="101">
        <v>1976</v>
      </c>
      <c r="H560" s="101">
        <v>301</v>
      </c>
      <c r="I560" s="101">
        <v>2277</v>
      </c>
      <c r="J560" s="101">
        <v>1229</v>
      </c>
      <c r="K560" s="101">
        <v>3506</v>
      </c>
      <c r="L560" s="101">
        <v>262</v>
      </c>
      <c r="M560" s="101">
        <v>291</v>
      </c>
      <c r="N560" s="101">
        <v>8</v>
      </c>
      <c r="O560" s="101">
        <v>238</v>
      </c>
      <c r="P560" s="101">
        <v>3752</v>
      </c>
      <c r="Q560" s="101">
        <v>10701</v>
      </c>
      <c r="R560" s="12" t="s">
        <v>25</v>
      </c>
      <c r="S560" s="12" t="s">
        <v>25</v>
      </c>
      <c r="T560" s="12" t="s">
        <v>25</v>
      </c>
    </row>
    <row r="561" spans="1:20" x14ac:dyDescent="0.3">
      <c r="A561" s="13">
        <v>43911.708333333336</v>
      </c>
      <c r="B561" s="12" t="s">
        <v>22</v>
      </c>
      <c r="C561" s="101">
        <v>16</v>
      </c>
      <c r="D561" s="12" t="s">
        <v>54</v>
      </c>
      <c r="E561" s="101">
        <v>4112559576</v>
      </c>
      <c r="F561" s="101">
        <v>1686736689</v>
      </c>
      <c r="G561" s="101">
        <v>209</v>
      </c>
      <c r="H561" s="101">
        <v>33</v>
      </c>
      <c r="I561" s="101">
        <v>242</v>
      </c>
      <c r="J561" s="101">
        <v>400</v>
      </c>
      <c r="K561" s="101">
        <v>642</v>
      </c>
      <c r="L561" s="101">
        <v>91</v>
      </c>
      <c r="M561" s="101">
        <v>94</v>
      </c>
      <c r="N561" s="101">
        <v>4</v>
      </c>
      <c r="O561" s="101">
        <v>29</v>
      </c>
      <c r="P561" s="101">
        <v>675</v>
      </c>
      <c r="Q561" s="101">
        <v>5617</v>
      </c>
      <c r="R561" s="12" t="s">
        <v>25</v>
      </c>
      <c r="S561" s="12" t="s">
        <v>25</v>
      </c>
      <c r="T561" s="12" t="s">
        <v>25</v>
      </c>
    </row>
    <row r="562" spans="1:20" x14ac:dyDescent="0.3">
      <c r="A562" s="13">
        <v>43911.708333333336</v>
      </c>
      <c r="B562" s="12" t="s">
        <v>22</v>
      </c>
      <c r="C562" s="101">
        <v>20</v>
      </c>
      <c r="D562" s="12" t="s">
        <v>55</v>
      </c>
      <c r="E562" s="101">
        <v>3921531192</v>
      </c>
      <c r="F562" s="101">
        <v>9110616306</v>
      </c>
      <c r="G562" s="101">
        <v>65</v>
      </c>
      <c r="H562" s="101">
        <v>16</v>
      </c>
      <c r="I562" s="101">
        <v>81</v>
      </c>
      <c r="J562" s="101">
        <v>240</v>
      </c>
      <c r="K562" s="101">
        <v>321</v>
      </c>
      <c r="L562" s="101">
        <v>33</v>
      </c>
      <c r="M562" s="101">
        <v>37</v>
      </c>
      <c r="N562" s="101">
        <v>5</v>
      </c>
      <c r="O562" s="101">
        <v>4</v>
      </c>
      <c r="P562" s="101">
        <v>330</v>
      </c>
      <c r="Q562" s="101">
        <v>2297</v>
      </c>
      <c r="R562" s="12" t="s">
        <v>25</v>
      </c>
      <c r="S562" s="12" t="s">
        <v>25</v>
      </c>
      <c r="T562" s="12" t="s">
        <v>25</v>
      </c>
    </row>
    <row r="563" spans="1:20" x14ac:dyDescent="0.3">
      <c r="A563" s="13">
        <v>43911.708333333336</v>
      </c>
      <c r="B563" s="12" t="s">
        <v>22</v>
      </c>
      <c r="C563" s="101">
        <v>19</v>
      </c>
      <c r="D563" s="12" t="s">
        <v>56</v>
      </c>
      <c r="E563" s="101">
        <v>3811569725</v>
      </c>
      <c r="F563" s="101">
        <v>133623567</v>
      </c>
      <c r="G563" s="101">
        <v>206</v>
      </c>
      <c r="H563" s="101">
        <v>48</v>
      </c>
      <c r="I563" s="101">
        <v>254</v>
      </c>
      <c r="J563" s="101">
        <v>204</v>
      </c>
      <c r="K563" s="101">
        <v>458</v>
      </c>
      <c r="L563" s="101">
        <v>79</v>
      </c>
      <c r="M563" s="101">
        <v>82</v>
      </c>
      <c r="N563" s="101">
        <v>26</v>
      </c>
      <c r="O563" s="101">
        <v>6</v>
      </c>
      <c r="P563" s="101">
        <v>490</v>
      </c>
      <c r="Q563" s="101">
        <v>4883</v>
      </c>
      <c r="R563" s="12" t="s">
        <v>25</v>
      </c>
      <c r="S563" s="12" t="s">
        <v>25</v>
      </c>
      <c r="T563" s="12" t="s">
        <v>25</v>
      </c>
    </row>
    <row r="564" spans="1:20" x14ac:dyDescent="0.3">
      <c r="A564" s="13">
        <v>43911.708333333336</v>
      </c>
      <c r="B564" s="12" t="s">
        <v>22</v>
      </c>
      <c r="C564" s="101">
        <v>9</v>
      </c>
      <c r="D564" s="12" t="s">
        <v>57</v>
      </c>
      <c r="E564" s="101">
        <v>4376923077</v>
      </c>
      <c r="F564" s="101">
        <v>1125588885</v>
      </c>
      <c r="G564" s="101">
        <v>664</v>
      </c>
      <c r="H564" s="101">
        <v>202</v>
      </c>
      <c r="I564" s="101">
        <v>866</v>
      </c>
      <c r="J564" s="101">
        <v>1039</v>
      </c>
      <c r="K564" s="101">
        <v>1905</v>
      </c>
      <c r="L564" s="101">
        <v>192</v>
      </c>
      <c r="M564" s="101">
        <v>219</v>
      </c>
      <c r="N564" s="101">
        <v>35</v>
      </c>
      <c r="O564" s="101">
        <v>72</v>
      </c>
      <c r="P564" s="101">
        <v>2012</v>
      </c>
      <c r="Q564" s="101">
        <v>11909</v>
      </c>
      <c r="R564" s="12" t="s">
        <v>25</v>
      </c>
      <c r="S564" s="12" t="s">
        <v>25</v>
      </c>
      <c r="T564" s="12" t="s">
        <v>25</v>
      </c>
    </row>
    <row r="565" spans="1:20" x14ac:dyDescent="0.3">
      <c r="A565" s="13">
        <v>43911.708333333336</v>
      </c>
      <c r="B565" s="12" t="s">
        <v>22</v>
      </c>
      <c r="C565" s="101">
        <v>4</v>
      </c>
      <c r="D565" s="12" t="s">
        <v>58</v>
      </c>
      <c r="E565" s="101">
        <v>4606893511</v>
      </c>
      <c r="F565" s="101">
        <v>1112123097</v>
      </c>
      <c r="G565" s="101">
        <v>233</v>
      </c>
      <c r="H565" s="101">
        <v>39</v>
      </c>
      <c r="I565" s="101">
        <v>272</v>
      </c>
      <c r="J565" s="101">
        <v>448</v>
      </c>
      <c r="K565" s="101">
        <v>720</v>
      </c>
      <c r="L565" s="101">
        <v>120</v>
      </c>
      <c r="M565" s="101">
        <v>140</v>
      </c>
      <c r="N565" s="101">
        <v>34</v>
      </c>
      <c r="O565" s="101">
        <v>28</v>
      </c>
      <c r="P565" s="101">
        <v>782</v>
      </c>
      <c r="Q565" s="101">
        <v>2656</v>
      </c>
      <c r="R565" s="12" t="s">
        <v>25</v>
      </c>
      <c r="S565" s="12" t="s">
        <v>25</v>
      </c>
      <c r="T565" s="12" t="s">
        <v>25</v>
      </c>
    </row>
    <row r="566" spans="1:20" x14ac:dyDescent="0.3">
      <c r="A566" s="13">
        <v>43911.708333333336</v>
      </c>
      <c r="B566" s="12" t="s">
        <v>22</v>
      </c>
      <c r="C566" s="101">
        <v>10</v>
      </c>
      <c r="D566" s="12" t="s">
        <v>59</v>
      </c>
      <c r="E566" s="101">
        <v>4310675841</v>
      </c>
      <c r="F566" s="101">
        <v>1238824698</v>
      </c>
      <c r="G566" s="101">
        <v>92</v>
      </c>
      <c r="H566" s="101">
        <v>29</v>
      </c>
      <c r="I566" s="101">
        <v>121</v>
      </c>
      <c r="J566" s="101">
        <v>326</v>
      </c>
      <c r="K566" s="101">
        <v>447</v>
      </c>
      <c r="L566" s="101">
        <v>63</v>
      </c>
      <c r="M566" s="101">
        <v>67</v>
      </c>
      <c r="N566" s="101">
        <v>5</v>
      </c>
      <c r="O566" s="101">
        <v>10</v>
      </c>
      <c r="P566" s="101">
        <v>462</v>
      </c>
      <c r="Q566" s="101">
        <v>2712</v>
      </c>
      <c r="R566" s="12" t="s">
        <v>25</v>
      </c>
      <c r="S566" s="12" t="s">
        <v>25</v>
      </c>
      <c r="T566" s="12" t="s">
        <v>25</v>
      </c>
    </row>
    <row r="567" spans="1:20" x14ac:dyDescent="0.3">
      <c r="A567" s="13">
        <v>43911.708333333336</v>
      </c>
      <c r="B567" s="12" t="s">
        <v>22</v>
      </c>
      <c r="C567" s="101">
        <v>2</v>
      </c>
      <c r="D567" s="12" t="s">
        <v>60</v>
      </c>
      <c r="E567" s="101">
        <v>4573750286</v>
      </c>
      <c r="F567" s="101">
        <v>7320149366</v>
      </c>
      <c r="G567" s="101">
        <v>62</v>
      </c>
      <c r="H567" s="101">
        <v>15</v>
      </c>
      <c r="I567" s="101">
        <v>77</v>
      </c>
      <c r="J567" s="101">
        <v>227</v>
      </c>
      <c r="K567" s="101">
        <v>304</v>
      </c>
      <c r="L567" s="101">
        <v>47</v>
      </c>
      <c r="M567" s="101">
        <v>49</v>
      </c>
      <c r="N567" s="101">
        <v>1</v>
      </c>
      <c r="O567" s="101">
        <v>8</v>
      </c>
      <c r="P567" s="101">
        <v>313</v>
      </c>
      <c r="Q567" s="101">
        <v>884</v>
      </c>
      <c r="R567" s="12" t="s">
        <v>25</v>
      </c>
      <c r="S567" s="12" t="s">
        <v>25</v>
      </c>
      <c r="T567" s="12" t="s">
        <v>25</v>
      </c>
    </row>
    <row r="568" spans="1:20" x14ac:dyDescent="0.3">
      <c r="A568" s="13">
        <v>43911.708333333336</v>
      </c>
      <c r="B568" s="12" t="s">
        <v>22</v>
      </c>
      <c r="C568" s="101">
        <v>5</v>
      </c>
      <c r="D568" s="12" t="s">
        <v>61</v>
      </c>
      <c r="E568" s="101">
        <v>4543490485</v>
      </c>
      <c r="F568" s="101">
        <v>1233845213</v>
      </c>
      <c r="G568" s="101">
        <v>942</v>
      </c>
      <c r="H568" s="101">
        <v>249</v>
      </c>
      <c r="I568" s="101">
        <v>1191</v>
      </c>
      <c r="J568" s="101">
        <v>3023</v>
      </c>
      <c r="K568" s="101">
        <v>4214</v>
      </c>
      <c r="L568" s="101">
        <v>537</v>
      </c>
      <c r="M568" s="101">
        <v>586</v>
      </c>
      <c r="N568" s="101">
        <v>257</v>
      </c>
      <c r="O568" s="101">
        <v>146</v>
      </c>
      <c r="P568" s="101">
        <v>4617</v>
      </c>
      <c r="Q568" s="101">
        <v>53642</v>
      </c>
      <c r="R568" s="12" t="s">
        <v>25</v>
      </c>
      <c r="S568" s="12" t="s">
        <v>25</v>
      </c>
      <c r="T568" s="12" t="s">
        <v>25</v>
      </c>
    </row>
    <row r="569" spans="1:20" x14ac:dyDescent="0.3">
      <c r="A569" s="13">
        <v>43912.708333333336</v>
      </c>
      <c r="B569" s="12" t="s">
        <v>22</v>
      </c>
      <c r="C569" s="101">
        <v>13</v>
      </c>
      <c r="D569" s="12" t="s">
        <v>42</v>
      </c>
      <c r="E569" s="101">
        <v>4235122196</v>
      </c>
      <c r="F569" s="101">
        <v>1339843823</v>
      </c>
      <c r="G569" s="101">
        <v>218</v>
      </c>
      <c r="H569" s="101">
        <v>49</v>
      </c>
      <c r="I569" s="101">
        <v>267</v>
      </c>
      <c r="J569" s="101">
        <v>272</v>
      </c>
      <c r="K569" s="101">
        <v>539</v>
      </c>
      <c r="L569" s="101">
        <v>45</v>
      </c>
      <c r="M569" s="101">
        <v>58</v>
      </c>
      <c r="N569" s="101">
        <v>15</v>
      </c>
      <c r="O569" s="101">
        <v>33</v>
      </c>
      <c r="P569" s="101">
        <v>587</v>
      </c>
      <c r="Q569" s="101">
        <v>3375</v>
      </c>
      <c r="R569" s="12" t="s">
        <v>25</v>
      </c>
      <c r="S569" s="12" t="s">
        <v>25</v>
      </c>
      <c r="T569" s="12" t="s">
        <v>25</v>
      </c>
    </row>
    <row r="570" spans="1:20" x14ac:dyDescent="0.3">
      <c r="A570" s="13">
        <v>43912.708333333336</v>
      </c>
      <c r="B570" s="12" t="s">
        <v>22</v>
      </c>
      <c r="C570" s="101">
        <v>17</v>
      </c>
      <c r="D570" s="12" t="s">
        <v>43</v>
      </c>
      <c r="E570" s="101">
        <v>4063947052</v>
      </c>
      <c r="F570" s="101">
        <v>1580514834</v>
      </c>
      <c r="G570" s="101">
        <v>13</v>
      </c>
      <c r="H570" s="101">
        <v>10</v>
      </c>
      <c r="I570" s="101">
        <v>23</v>
      </c>
      <c r="J570" s="101">
        <v>58</v>
      </c>
      <c r="K570" s="101">
        <v>81</v>
      </c>
      <c r="L570" s="101">
        <v>15</v>
      </c>
      <c r="M570" s="101">
        <v>15</v>
      </c>
      <c r="N570" s="101">
        <v>0</v>
      </c>
      <c r="O570" s="101">
        <v>0</v>
      </c>
      <c r="P570" s="101">
        <v>81</v>
      </c>
      <c r="Q570" s="101">
        <v>643</v>
      </c>
      <c r="R570" s="12" t="s">
        <v>25</v>
      </c>
      <c r="S570" s="12" t="s">
        <v>25</v>
      </c>
      <c r="T570" s="12" t="s">
        <v>25</v>
      </c>
    </row>
    <row r="571" spans="1:20" x14ac:dyDescent="0.3">
      <c r="A571" s="13">
        <v>43912.708333333336</v>
      </c>
      <c r="B571" s="12" t="s">
        <v>22</v>
      </c>
      <c r="C571" s="101">
        <v>4</v>
      </c>
      <c r="D571" s="12" t="s">
        <v>44</v>
      </c>
      <c r="E571" s="101">
        <v>4649933453</v>
      </c>
      <c r="F571" s="101">
        <v>1135662422</v>
      </c>
      <c r="G571" s="101">
        <v>146</v>
      </c>
      <c r="H571" s="101">
        <v>32</v>
      </c>
      <c r="I571" s="101">
        <v>178</v>
      </c>
      <c r="J571" s="101">
        <v>470</v>
      </c>
      <c r="K571" s="101">
        <v>648</v>
      </c>
      <c r="L571" s="101">
        <v>48</v>
      </c>
      <c r="M571" s="101">
        <v>57</v>
      </c>
      <c r="N571" s="101">
        <v>7</v>
      </c>
      <c r="O571" s="101">
        <v>23</v>
      </c>
      <c r="P571" s="101">
        <v>678</v>
      </c>
      <c r="Q571" s="101">
        <v>5718</v>
      </c>
      <c r="R571" s="12" t="s">
        <v>25</v>
      </c>
      <c r="S571" s="12" t="s">
        <v>25</v>
      </c>
      <c r="T571" s="12" t="s">
        <v>25</v>
      </c>
    </row>
    <row r="572" spans="1:20" x14ac:dyDescent="0.3">
      <c r="A572" s="13">
        <v>43912.708333333336</v>
      </c>
      <c r="B572" s="12" t="s">
        <v>22</v>
      </c>
      <c r="C572" s="101">
        <v>18</v>
      </c>
      <c r="D572" s="12" t="s">
        <v>45</v>
      </c>
      <c r="E572" s="101">
        <v>3890597598</v>
      </c>
      <c r="F572" s="101">
        <v>1659440194</v>
      </c>
      <c r="G572" s="101">
        <v>77</v>
      </c>
      <c r="H572" s="101">
        <v>17</v>
      </c>
      <c r="I572" s="101">
        <v>94</v>
      </c>
      <c r="J572" s="101">
        <v>166</v>
      </c>
      <c r="K572" s="101">
        <v>260</v>
      </c>
      <c r="L572" s="101">
        <v>35</v>
      </c>
      <c r="M572" s="101">
        <v>38</v>
      </c>
      <c r="N572" s="101">
        <v>5</v>
      </c>
      <c r="O572" s="101">
        <v>8</v>
      </c>
      <c r="P572" s="101">
        <v>273</v>
      </c>
      <c r="Q572" s="101">
        <v>3666</v>
      </c>
      <c r="R572" s="12" t="s">
        <v>25</v>
      </c>
      <c r="S572" s="12" t="s">
        <v>25</v>
      </c>
      <c r="T572" s="12" t="s">
        <v>25</v>
      </c>
    </row>
    <row r="573" spans="1:20" x14ac:dyDescent="0.3">
      <c r="A573" s="13">
        <v>43912.708333333336</v>
      </c>
      <c r="B573" s="12" t="s">
        <v>22</v>
      </c>
      <c r="C573" s="101">
        <v>15</v>
      </c>
      <c r="D573" s="12" t="s">
        <v>46</v>
      </c>
      <c r="E573" s="101">
        <v>4083956555</v>
      </c>
      <c r="F573" s="101">
        <v>1425084984</v>
      </c>
      <c r="G573" s="101">
        <v>243</v>
      </c>
      <c r="H573" s="101">
        <v>99</v>
      </c>
      <c r="I573" s="101">
        <v>342</v>
      </c>
      <c r="J573" s="101">
        <v>524</v>
      </c>
      <c r="K573" s="101">
        <v>866</v>
      </c>
      <c r="L573" s="101">
        <v>73</v>
      </c>
      <c r="M573" s="101">
        <v>92</v>
      </c>
      <c r="N573" s="101">
        <v>41</v>
      </c>
      <c r="O573" s="101">
        <v>29</v>
      </c>
      <c r="P573" s="101">
        <v>936</v>
      </c>
      <c r="Q573" s="101">
        <v>4943</v>
      </c>
      <c r="R573" s="12" t="s">
        <v>25</v>
      </c>
      <c r="S573" s="12" t="s">
        <v>25</v>
      </c>
      <c r="T573" s="12" t="s">
        <v>25</v>
      </c>
    </row>
    <row r="574" spans="1:20" x14ac:dyDescent="0.3">
      <c r="A574" s="13">
        <v>43912.708333333336</v>
      </c>
      <c r="B574" s="12" t="s">
        <v>22</v>
      </c>
      <c r="C574" s="101">
        <v>8</v>
      </c>
      <c r="D574" s="12" t="s">
        <v>96</v>
      </c>
      <c r="E574" s="101">
        <v>4449436681</v>
      </c>
      <c r="F574" s="101">
        <v>113417208</v>
      </c>
      <c r="G574" s="101">
        <v>2429</v>
      </c>
      <c r="H574" s="101">
        <v>269</v>
      </c>
      <c r="I574" s="101">
        <v>2698</v>
      </c>
      <c r="J574" s="101">
        <v>3692</v>
      </c>
      <c r="K574" s="101">
        <v>6390</v>
      </c>
      <c r="L574" s="101">
        <v>729</v>
      </c>
      <c r="M574" s="101">
        <v>850</v>
      </c>
      <c r="N574" s="101">
        <v>349</v>
      </c>
      <c r="O574" s="101">
        <v>816</v>
      </c>
      <c r="P574" s="101">
        <v>7555</v>
      </c>
      <c r="Q574" s="101">
        <v>28022</v>
      </c>
      <c r="R574" s="12" t="s">
        <v>25</v>
      </c>
      <c r="S574" s="12" t="s">
        <v>25</v>
      </c>
      <c r="T574" s="12" t="s">
        <v>25</v>
      </c>
    </row>
    <row r="575" spans="1:20" x14ac:dyDescent="0.3">
      <c r="A575" s="13">
        <v>43912.708333333336</v>
      </c>
      <c r="B575" s="12" t="s">
        <v>22</v>
      </c>
      <c r="C575" s="101">
        <v>6</v>
      </c>
      <c r="D575" s="12" t="s">
        <v>47</v>
      </c>
      <c r="E575" s="101">
        <v>456494354</v>
      </c>
      <c r="F575" s="101">
        <v>1376813649</v>
      </c>
      <c r="G575" s="101">
        <v>163</v>
      </c>
      <c r="H575" s="101">
        <v>47</v>
      </c>
      <c r="I575" s="101">
        <v>210</v>
      </c>
      <c r="J575" s="101">
        <v>528</v>
      </c>
      <c r="K575" s="101">
        <v>738</v>
      </c>
      <c r="L575" s="101">
        <v>72</v>
      </c>
      <c r="M575" s="101">
        <v>84</v>
      </c>
      <c r="N575" s="101">
        <v>89</v>
      </c>
      <c r="O575" s="101">
        <v>47</v>
      </c>
      <c r="P575" s="101">
        <v>874</v>
      </c>
      <c r="Q575" s="101">
        <v>6761</v>
      </c>
      <c r="R575" s="12" t="s">
        <v>25</v>
      </c>
      <c r="S575" s="12" t="s">
        <v>25</v>
      </c>
      <c r="T575" s="12" t="s">
        <v>25</v>
      </c>
    </row>
    <row r="576" spans="1:20" x14ac:dyDescent="0.3">
      <c r="A576" s="13">
        <v>43912.708333333336</v>
      </c>
      <c r="B576" s="12" t="s">
        <v>22</v>
      </c>
      <c r="C576" s="101">
        <v>12</v>
      </c>
      <c r="D576" s="12" t="s">
        <v>48</v>
      </c>
      <c r="E576" s="101">
        <v>4189277044</v>
      </c>
      <c r="F576" s="101">
        <v>1248366722</v>
      </c>
      <c r="G576" s="101">
        <v>671</v>
      </c>
      <c r="H576" s="101">
        <v>79</v>
      </c>
      <c r="I576" s="101">
        <v>750</v>
      </c>
      <c r="J576" s="101">
        <v>522</v>
      </c>
      <c r="K576" s="101">
        <v>1272</v>
      </c>
      <c r="L576" s="101">
        <v>186</v>
      </c>
      <c r="M576" s="101">
        <v>193</v>
      </c>
      <c r="N576" s="101">
        <v>58</v>
      </c>
      <c r="O576" s="101">
        <v>53</v>
      </c>
      <c r="P576" s="101">
        <v>1383</v>
      </c>
      <c r="Q576" s="101">
        <v>17845</v>
      </c>
      <c r="R576" s="12" t="s">
        <v>25</v>
      </c>
      <c r="S576" s="12" t="s">
        <v>25</v>
      </c>
      <c r="T576" s="12" t="s">
        <v>25</v>
      </c>
    </row>
    <row r="577" spans="1:20" x14ac:dyDescent="0.3">
      <c r="A577" s="13">
        <v>43912.708333333336</v>
      </c>
      <c r="B577" s="12" t="s">
        <v>22</v>
      </c>
      <c r="C577" s="101">
        <v>7</v>
      </c>
      <c r="D577" s="12" t="s">
        <v>49</v>
      </c>
      <c r="E577" s="101">
        <v>4441149315</v>
      </c>
      <c r="F577" s="101">
        <v>89326992</v>
      </c>
      <c r="G577" s="101">
        <v>736</v>
      </c>
      <c r="H577" s="101">
        <v>132</v>
      </c>
      <c r="I577" s="101">
        <v>868</v>
      </c>
      <c r="J577" s="101">
        <v>483</v>
      </c>
      <c r="K577" s="101">
        <v>1351</v>
      </c>
      <c r="L577" s="101">
        <v>192</v>
      </c>
      <c r="M577" s="101">
        <v>229</v>
      </c>
      <c r="N577" s="101">
        <v>143</v>
      </c>
      <c r="O577" s="101">
        <v>171</v>
      </c>
      <c r="P577" s="101">
        <v>1665</v>
      </c>
      <c r="Q577" s="101">
        <v>4995</v>
      </c>
      <c r="R577" s="12" t="s">
        <v>25</v>
      </c>
      <c r="S577" s="12" t="s">
        <v>25</v>
      </c>
      <c r="T577" s="12" t="s">
        <v>25</v>
      </c>
    </row>
    <row r="578" spans="1:20" x14ac:dyDescent="0.3">
      <c r="A578" s="13">
        <v>43912.708333333336</v>
      </c>
      <c r="B578" s="12" t="s">
        <v>22</v>
      </c>
      <c r="C578" s="101">
        <v>3</v>
      </c>
      <c r="D578" s="12" t="s">
        <v>50</v>
      </c>
      <c r="E578" s="101">
        <v>4546679409</v>
      </c>
      <c r="F578" s="101">
        <v>9190347404</v>
      </c>
      <c r="G578" s="101">
        <v>9439</v>
      </c>
      <c r="H578" s="101">
        <v>1142</v>
      </c>
      <c r="I578" s="101">
        <v>10581</v>
      </c>
      <c r="J578" s="101">
        <v>7304</v>
      </c>
      <c r="K578" s="101">
        <v>17885</v>
      </c>
      <c r="L578" s="101">
        <v>515</v>
      </c>
      <c r="M578" s="101">
        <v>1691</v>
      </c>
      <c r="N578" s="101">
        <v>5865</v>
      </c>
      <c r="O578" s="101">
        <v>3456</v>
      </c>
      <c r="P578" s="101">
        <v>27206</v>
      </c>
      <c r="Q578" s="101">
        <v>70598</v>
      </c>
      <c r="R578" s="12" t="s">
        <v>25</v>
      </c>
      <c r="S578" s="12" t="s">
        <v>25</v>
      </c>
      <c r="T578" s="12" t="s">
        <v>25</v>
      </c>
    </row>
    <row r="579" spans="1:20" x14ac:dyDescent="0.3">
      <c r="A579" s="13">
        <v>43912.708333333336</v>
      </c>
      <c r="B579" s="12" t="s">
        <v>22</v>
      </c>
      <c r="C579" s="101">
        <v>11</v>
      </c>
      <c r="D579" s="12" t="s">
        <v>51</v>
      </c>
      <c r="E579" s="101">
        <v>4361675973</v>
      </c>
      <c r="F579" s="101">
        <v>135188753</v>
      </c>
      <c r="G579" s="101">
        <v>816</v>
      </c>
      <c r="H579" s="101">
        <v>138</v>
      </c>
      <c r="I579" s="101">
        <v>954</v>
      </c>
      <c r="J579" s="101">
        <v>1277</v>
      </c>
      <c r="K579" s="101">
        <v>2231</v>
      </c>
      <c r="L579" s="101">
        <v>234</v>
      </c>
      <c r="M579" s="101">
        <v>268</v>
      </c>
      <c r="N579" s="101">
        <v>6</v>
      </c>
      <c r="O579" s="101">
        <v>184</v>
      </c>
      <c r="P579" s="101">
        <v>2421</v>
      </c>
      <c r="Q579" s="101">
        <v>6391</v>
      </c>
      <c r="R579" s="12" t="s">
        <v>25</v>
      </c>
      <c r="S579" s="12" t="s">
        <v>25</v>
      </c>
      <c r="T579" s="12" t="s">
        <v>25</v>
      </c>
    </row>
    <row r="580" spans="1:20" x14ac:dyDescent="0.3">
      <c r="A580" s="13">
        <v>43912.708333333336</v>
      </c>
      <c r="B580" s="12" t="s">
        <v>22</v>
      </c>
      <c r="C580" s="101">
        <v>14</v>
      </c>
      <c r="D580" s="12" t="s">
        <v>52</v>
      </c>
      <c r="E580" s="101">
        <v>4155774754</v>
      </c>
      <c r="F580" s="101">
        <v>1465916051</v>
      </c>
      <c r="G580" s="101">
        <v>24</v>
      </c>
      <c r="H580" s="101">
        <v>7</v>
      </c>
      <c r="I580" s="101">
        <v>31</v>
      </c>
      <c r="J580" s="101">
        <v>21</v>
      </c>
      <c r="K580" s="101">
        <v>52</v>
      </c>
      <c r="L580" s="101">
        <v>5</v>
      </c>
      <c r="M580" s="101">
        <v>5</v>
      </c>
      <c r="N580" s="101">
        <v>7</v>
      </c>
      <c r="O580" s="101">
        <v>7</v>
      </c>
      <c r="P580" s="101">
        <v>66</v>
      </c>
      <c r="Q580" s="101">
        <v>532</v>
      </c>
      <c r="R580" s="12" t="s">
        <v>25</v>
      </c>
      <c r="S580" s="12" t="s">
        <v>25</v>
      </c>
      <c r="T580" s="12" t="s">
        <v>25</v>
      </c>
    </row>
    <row r="581" spans="1:20" x14ac:dyDescent="0.3">
      <c r="A581" s="13">
        <v>43912.708333333336</v>
      </c>
      <c r="B581" s="12" t="s">
        <v>22</v>
      </c>
      <c r="C581" s="101">
        <v>1</v>
      </c>
      <c r="D581" s="12" t="s">
        <v>53</v>
      </c>
      <c r="E581" s="101">
        <v>450732745</v>
      </c>
      <c r="F581" s="101">
        <v>7680687483</v>
      </c>
      <c r="G581" s="101">
        <v>2118</v>
      </c>
      <c r="H581" s="101">
        <v>308</v>
      </c>
      <c r="I581" s="101">
        <v>2426</v>
      </c>
      <c r="J581" s="101">
        <v>1701</v>
      </c>
      <c r="K581" s="101">
        <v>4127</v>
      </c>
      <c r="L581" s="101">
        <v>621</v>
      </c>
      <c r="M581" s="101">
        <v>668</v>
      </c>
      <c r="N581" s="101">
        <v>10</v>
      </c>
      <c r="O581" s="101">
        <v>283</v>
      </c>
      <c r="P581" s="101">
        <v>4420</v>
      </c>
      <c r="Q581" s="101">
        <v>12701</v>
      </c>
      <c r="R581" s="12" t="s">
        <v>25</v>
      </c>
      <c r="S581" s="12" t="s">
        <v>25</v>
      </c>
      <c r="T581" s="12" t="s">
        <v>25</v>
      </c>
    </row>
    <row r="582" spans="1:20" x14ac:dyDescent="0.3">
      <c r="A582" s="13">
        <v>43912.708333333336</v>
      </c>
      <c r="B582" s="12" t="s">
        <v>22</v>
      </c>
      <c r="C582" s="101">
        <v>16</v>
      </c>
      <c r="D582" s="12" t="s">
        <v>54</v>
      </c>
      <c r="E582" s="101">
        <v>4112559576</v>
      </c>
      <c r="F582" s="101">
        <v>1686736689</v>
      </c>
      <c r="G582" s="101">
        <v>252</v>
      </c>
      <c r="H582" s="101">
        <v>37</v>
      </c>
      <c r="I582" s="101">
        <v>289</v>
      </c>
      <c r="J582" s="101">
        <v>459</v>
      </c>
      <c r="K582" s="101">
        <v>748</v>
      </c>
      <c r="L582" s="101">
        <v>106</v>
      </c>
      <c r="M582" s="101">
        <v>111</v>
      </c>
      <c r="N582" s="101">
        <v>7</v>
      </c>
      <c r="O582" s="101">
        <v>31</v>
      </c>
      <c r="P582" s="101">
        <v>786</v>
      </c>
      <c r="Q582" s="101">
        <v>6160</v>
      </c>
      <c r="R582" s="12" t="s">
        <v>25</v>
      </c>
      <c r="S582" s="12" t="s">
        <v>25</v>
      </c>
      <c r="T582" s="12" t="s">
        <v>25</v>
      </c>
    </row>
    <row r="583" spans="1:20" x14ac:dyDescent="0.3">
      <c r="A583" s="13">
        <v>43912.708333333336</v>
      </c>
      <c r="B583" s="12" t="s">
        <v>22</v>
      </c>
      <c r="C583" s="101">
        <v>20</v>
      </c>
      <c r="D583" s="12" t="s">
        <v>55</v>
      </c>
      <c r="E583" s="101">
        <v>3921531192</v>
      </c>
      <c r="F583" s="101">
        <v>9110616306</v>
      </c>
      <c r="G583" s="101">
        <v>67</v>
      </c>
      <c r="H583" s="101">
        <v>16</v>
      </c>
      <c r="I583" s="101">
        <v>83</v>
      </c>
      <c r="J583" s="101">
        <v>244</v>
      </c>
      <c r="K583" s="101">
        <v>327</v>
      </c>
      <c r="L583" s="101">
        <v>6</v>
      </c>
      <c r="M583" s="101">
        <v>9</v>
      </c>
      <c r="N583" s="101">
        <v>5</v>
      </c>
      <c r="O583" s="101">
        <v>7</v>
      </c>
      <c r="P583" s="101">
        <v>339</v>
      </c>
      <c r="Q583" s="101">
        <v>2402</v>
      </c>
      <c r="R583" s="12" t="s">
        <v>25</v>
      </c>
      <c r="S583" s="12" t="s">
        <v>25</v>
      </c>
      <c r="T583" s="12" t="s">
        <v>25</v>
      </c>
    </row>
    <row r="584" spans="1:20" x14ac:dyDescent="0.3">
      <c r="A584" s="13">
        <v>43912.708333333336</v>
      </c>
      <c r="B584" s="12" t="s">
        <v>22</v>
      </c>
      <c r="C584" s="101">
        <v>19</v>
      </c>
      <c r="D584" s="12" t="s">
        <v>56</v>
      </c>
      <c r="E584" s="101">
        <v>3811569725</v>
      </c>
      <c r="F584" s="101">
        <v>133623567</v>
      </c>
      <c r="G584" s="101">
        <v>220</v>
      </c>
      <c r="H584" s="101">
        <v>55</v>
      </c>
      <c r="I584" s="101">
        <v>275</v>
      </c>
      <c r="J584" s="101">
        <v>321</v>
      </c>
      <c r="K584" s="101">
        <v>596</v>
      </c>
      <c r="L584" s="101">
        <v>138</v>
      </c>
      <c r="M584" s="101">
        <v>140</v>
      </c>
      <c r="N584" s="101">
        <v>26</v>
      </c>
      <c r="O584" s="101">
        <v>8</v>
      </c>
      <c r="P584" s="101">
        <v>630</v>
      </c>
      <c r="Q584" s="101">
        <v>5580</v>
      </c>
      <c r="R584" s="12" t="s">
        <v>25</v>
      </c>
      <c r="S584" s="12" t="s">
        <v>25</v>
      </c>
      <c r="T584" s="12" t="s">
        <v>25</v>
      </c>
    </row>
    <row r="585" spans="1:20" x14ac:dyDescent="0.3">
      <c r="A585" s="13">
        <v>43912.708333333336</v>
      </c>
      <c r="B585" s="12" t="s">
        <v>22</v>
      </c>
      <c r="C585" s="101">
        <v>9</v>
      </c>
      <c r="D585" s="12" t="s">
        <v>57</v>
      </c>
      <c r="E585" s="101">
        <v>4376923077</v>
      </c>
      <c r="F585" s="101">
        <v>1125588885</v>
      </c>
      <c r="G585" s="101">
        <v>706</v>
      </c>
      <c r="H585" s="101">
        <v>215</v>
      </c>
      <c r="I585" s="101">
        <v>921</v>
      </c>
      <c r="J585" s="101">
        <v>1223</v>
      </c>
      <c r="K585" s="101">
        <v>2144</v>
      </c>
      <c r="L585" s="101">
        <v>239</v>
      </c>
      <c r="M585" s="101">
        <v>265</v>
      </c>
      <c r="N585" s="101">
        <v>42</v>
      </c>
      <c r="O585" s="101">
        <v>91</v>
      </c>
      <c r="P585" s="101">
        <v>2277</v>
      </c>
      <c r="Q585" s="101">
        <v>13264</v>
      </c>
      <c r="R585" s="12" t="s">
        <v>25</v>
      </c>
      <c r="S585" s="12" t="s">
        <v>25</v>
      </c>
      <c r="T585" s="12" t="s">
        <v>25</v>
      </c>
    </row>
    <row r="586" spans="1:20" x14ac:dyDescent="0.3">
      <c r="A586" s="13">
        <v>43912.708333333336</v>
      </c>
      <c r="B586" s="12" t="s">
        <v>22</v>
      </c>
      <c r="C586" s="101">
        <v>4</v>
      </c>
      <c r="D586" s="12" t="s">
        <v>58</v>
      </c>
      <c r="E586" s="101">
        <v>4606893511</v>
      </c>
      <c r="F586" s="101">
        <v>1112123097</v>
      </c>
      <c r="G586" s="101">
        <v>235</v>
      </c>
      <c r="H586" s="101">
        <v>46</v>
      </c>
      <c r="I586" s="101">
        <v>281</v>
      </c>
      <c r="J586" s="101">
        <v>604</v>
      </c>
      <c r="K586" s="101">
        <v>885</v>
      </c>
      <c r="L586" s="101">
        <v>165</v>
      </c>
      <c r="M586" s="101">
        <v>172</v>
      </c>
      <c r="N586" s="101">
        <v>34</v>
      </c>
      <c r="O586" s="101">
        <v>35</v>
      </c>
      <c r="P586" s="101">
        <v>954</v>
      </c>
      <c r="Q586" s="101">
        <v>3050</v>
      </c>
      <c r="R586" s="12" t="s">
        <v>25</v>
      </c>
      <c r="S586" s="12" t="s">
        <v>25</v>
      </c>
      <c r="T586" s="12" t="s">
        <v>25</v>
      </c>
    </row>
    <row r="587" spans="1:20" x14ac:dyDescent="0.3">
      <c r="A587" s="13">
        <v>43912.708333333336</v>
      </c>
      <c r="B587" s="12" t="s">
        <v>22</v>
      </c>
      <c r="C587" s="101">
        <v>10</v>
      </c>
      <c r="D587" s="12" t="s">
        <v>59</v>
      </c>
      <c r="E587" s="101">
        <v>4310675841</v>
      </c>
      <c r="F587" s="101">
        <v>1238824698</v>
      </c>
      <c r="G587" s="101">
        <v>97</v>
      </c>
      <c r="H587" s="101">
        <v>35</v>
      </c>
      <c r="I587" s="101">
        <v>132</v>
      </c>
      <c r="J587" s="101">
        <v>368</v>
      </c>
      <c r="K587" s="101">
        <v>500</v>
      </c>
      <c r="L587" s="101">
        <v>53</v>
      </c>
      <c r="M587" s="101">
        <v>59</v>
      </c>
      <c r="N587" s="101">
        <v>5</v>
      </c>
      <c r="O587" s="101">
        <v>16</v>
      </c>
      <c r="P587" s="101">
        <v>521</v>
      </c>
      <c r="Q587" s="101">
        <v>3135</v>
      </c>
      <c r="R587" s="12" t="s">
        <v>25</v>
      </c>
      <c r="S587" s="12" t="s">
        <v>25</v>
      </c>
      <c r="T587" s="12" t="s">
        <v>25</v>
      </c>
    </row>
    <row r="588" spans="1:20" x14ac:dyDescent="0.3">
      <c r="A588" s="13">
        <v>43912.708333333336</v>
      </c>
      <c r="B588" s="12" t="s">
        <v>22</v>
      </c>
      <c r="C588" s="101">
        <v>2</v>
      </c>
      <c r="D588" s="12" t="s">
        <v>60</v>
      </c>
      <c r="E588" s="101">
        <v>4573750286</v>
      </c>
      <c r="F588" s="101">
        <v>7320149366</v>
      </c>
      <c r="G588" s="101">
        <v>63</v>
      </c>
      <c r="H588" s="101">
        <v>21</v>
      </c>
      <c r="I588" s="101">
        <v>84</v>
      </c>
      <c r="J588" s="101">
        <v>270</v>
      </c>
      <c r="K588" s="101">
        <v>354</v>
      </c>
      <c r="L588" s="101">
        <v>50</v>
      </c>
      <c r="M588" s="101">
        <v>51</v>
      </c>
      <c r="N588" s="101">
        <v>1</v>
      </c>
      <c r="O588" s="101">
        <v>9</v>
      </c>
      <c r="P588" s="101">
        <v>364</v>
      </c>
      <c r="Q588" s="101">
        <v>950</v>
      </c>
      <c r="R588" s="12" t="s">
        <v>25</v>
      </c>
      <c r="S588" s="12" t="s">
        <v>25</v>
      </c>
      <c r="T588" s="12" t="s">
        <v>25</v>
      </c>
    </row>
    <row r="589" spans="1:20" x14ac:dyDescent="0.3">
      <c r="A589" s="13">
        <v>43912.708333333336</v>
      </c>
      <c r="B589" s="12" t="s">
        <v>22</v>
      </c>
      <c r="C589" s="101">
        <v>5</v>
      </c>
      <c r="D589" s="12" t="s">
        <v>61</v>
      </c>
      <c r="E589" s="101">
        <v>4543490485</v>
      </c>
      <c r="F589" s="101">
        <v>1233845213</v>
      </c>
      <c r="G589" s="101">
        <v>1113</v>
      </c>
      <c r="H589" s="101">
        <v>255</v>
      </c>
      <c r="I589" s="101">
        <v>1368</v>
      </c>
      <c r="J589" s="101">
        <v>3276</v>
      </c>
      <c r="K589" s="101">
        <v>4644</v>
      </c>
      <c r="L589" s="101">
        <v>430</v>
      </c>
      <c r="M589" s="101">
        <v>505</v>
      </c>
      <c r="N589" s="101">
        <v>309</v>
      </c>
      <c r="O589" s="101">
        <v>169</v>
      </c>
      <c r="P589" s="101">
        <v>5122</v>
      </c>
      <c r="Q589" s="101">
        <v>57671</v>
      </c>
      <c r="R589" s="12" t="s">
        <v>25</v>
      </c>
      <c r="S589" s="12" t="s">
        <v>25</v>
      </c>
      <c r="T589" s="12" t="s">
        <v>25</v>
      </c>
    </row>
    <row r="590" spans="1:20" x14ac:dyDescent="0.3">
      <c r="A590" s="13">
        <v>43913.708333333336</v>
      </c>
      <c r="B590" s="12" t="s">
        <v>22</v>
      </c>
      <c r="C590" s="101">
        <v>13</v>
      </c>
      <c r="D590" s="12" t="s">
        <v>42</v>
      </c>
      <c r="E590" s="101">
        <v>4235122196</v>
      </c>
      <c r="F590" s="101">
        <v>1339843823</v>
      </c>
      <c r="G590" s="101">
        <v>228</v>
      </c>
      <c r="H590" s="101">
        <v>52</v>
      </c>
      <c r="I590" s="101">
        <v>280</v>
      </c>
      <c r="J590" s="101">
        <v>325</v>
      </c>
      <c r="K590" s="101">
        <v>605</v>
      </c>
      <c r="L590" s="101">
        <v>66</v>
      </c>
      <c r="M590" s="101">
        <v>76</v>
      </c>
      <c r="N590" s="101">
        <v>20</v>
      </c>
      <c r="O590" s="101">
        <v>38</v>
      </c>
      <c r="P590" s="101">
        <v>663</v>
      </c>
      <c r="Q590" s="101">
        <v>3674</v>
      </c>
      <c r="R590" s="12" t="s">
        <v>25</v>
      </c>
      <c r="S590" s="12" t="s">
        <v>25</v>
      </c>
      <c r="T590" s="12" t="s">
        <v>25</v>
      </c>
    </row>
    <row r="591" spans="1:20" x14ac:dyDescent="0.3">
      <c r="A591" s="13">
        <v>43913.708333333336</v>
      </c>
      <c r="B591" s="12" t="s">
        <v>22</v>
      </c>
      <c r="C591" s="101">
        <v>17</v>
      </c>
      <c r="D591" s="12" t="s">
        <v>43</v>
      </c>
      <c r="E591" s="101">
        <v>4063947052</v>
      </c>
      <c r="F591" s="101">
        <v>1580514834</v>
      </c>
      <c r="G591" s="101">
        <v>15</v>
      </c>
      <c r="H591" s="101">
        <v>12</v>
      </c>
      <c r="I591" s="101">
        <v>27</v>
      </c>
      <c r="J591" s="101">
        <v>62</v>
      </c>
      <c r="K591" s="101">
        <v>89</v>
      </c>
      <c r="L591" s="101">
        <v>8</v>
      </c>
      <c r="M591" s="101">
        <v>9</v>
      </c>
      <c r="N591" s="101">
        <v>0</v>
      </c>
      <c r="O591" s="101">
        <v>1</v>
      </c>
      <c r="P591" s="101">
        <v>90</v>
      </c>
      <c r="Q591" s="101">
        <v>696</v>
      </c>
      <c r="R591" s="12" t="s">
        <v>25</v>
      </c>
      <c r="S591" s="12" t="s">
        <v>25</v>
      </c>
      <c r="T591" s="12" t="s">
        <v>25</v>
      </c>
    </row>
    <row r="592" spans="1:20" x14ac:dyDescent="0.3">
      <c r="A592" s="13">
        <v>43913.708333333336</v>
      </c>
      <c r="B592" s="12" t="s">
        <v>22</v>
      </c>
      <c r="C592" s="101">
        <v>4</v>
      </c>
      <c r="D592" s="12" t="s">
        <v>44</v>
      </c>
      <c r="E592" s="101">
        <v>4649933453</v>
      </c>
      <c r="F592" s="101">
        <v>1135662422</v>
      </c>
      <c r="G592" s="101">
        <v>145</v>
      </c>
      <c r="H592" s="101">
        <v>33</v>
      </c>
      <c r="I592" s="101">
        <v>178</v>
      </c>
      <c r="J592" s="101">
        <v>510</v>
      </c>
      <c r="K592" s="101">
        <v>688</v>
      </c>
      <c r="L592" s="101">
        <v>40</v>
      </c>
      <c r="M592" s="101">
        <v>46</v>
      </c>
      <c r="N592" s="101">
        <v>7</v>
      </c>
      <c r="O592" s="101">
        <v>29</v>
      </c>
      <c r="P592" s="101">
        <v>724</v>
      </c>
      <c r="Q592" s="101">
        <v>6084</v>
      </c>
      <c r="R592" s="12" t="s">
        <v>25</v>
      </c>
      <c r="S592" s="12" t="s">
        <v>25</v>
      </c>
      <c r="T592" s="12" t="s">
        <v>25</v>
      </c>
    </row>
    <row r="593" spans="1:20" x14ac:dyDescent="0.3">
      <c r="A593" s="13">
        <v>43913.708333333336</v>
      </c>
      <c r="B593" s="12" t="s">
        <v>22</v>
      </c>
      <c r="C593" s="101">
        <v>18</v>
      </c>
      <c r="D593" s="12" t="s">
        <v>45</v>
      </c>
      <c r="E593" s="101">
        <v>3890597598</v>
      </c>
      <c r="F593" s="101">
        <v>1659440194</v>
      </c>
      <c r="G593" s="101">
        <v>82</v>
      </c>
      <c r="H593" s="101">
        <v>20</v>
      </c>
      <c r="I593" s="101">
        <v>102</v>
      </c>
      <c r="J593" s="101">
        <v>178</v>
      </c>
      <c r="K593" s="101">
        <v>280</v>
      </c>
      <c r="L593" s="101">
        <v>20</v>
      </c>
      <c r="M593" s="101">
        <v>19</v>
      </c>
      <c r="N593" s="101">
        <v>5</v>
      </c>
      <c r="O593" s="101">
        <v>7</v>
      </c>
      <c r="P593" s="101">
        <v>292</v>
      </c>
      <c r="Q593" s="101">
        <v>4073</v>
      </c>
      <c r="R593" s="12" t="s">
        <v>25</v>
      </c>
      <c r="S593" s="12" t="s">
        <v>25</v>
      </c>
      <c r="T593" s="12" t="s">
        <v>25</v>
      </c>
    </row>
    <row r="594" spans="1:20" x14ac:dyDescent="0.3">
      <c r="A594" s="13">
        <v>43913.708333333336</v>
      </c>
      <c r="B594" s="12" t="s">
        <v>22</v>
      </c>
      <c r="C594" s="101">
        <v>15</v>
      </c>
      <c r="D594" s="12" t="s">
        <v>46</v>
      </c>
      <c r="E594" s="101">
        <v>4083956555</v>
      </c>
      <c r="F594" s="101">
        <v>1425084984</v>
      </c>
      <c r="G594" s="101">
        <v>266</v>
      </c>
      <c r="H594" s="101">
        <v>110</v>
      </c>
      <c r="I594" s="101">
        <v>376</v>
      </c>
      <c r="J594" s="101">
        <v>553</v>
      </c>
      <c r="K594" s="101">
        <v>929</v>
      </c>
      <c r="L594" s="101">
        <v>63</v>
      </c>
      <c r="M594" s="101">
        <v>90</v>
      </c>
      <c r="N594" s="101">
        <v>48</v>
      </c>
      <c r="O594" s="101">
        <v>49</v>
      </c>
      <c r="P594" s="101">
        <v>1026</v>
      </c>
      <c r="Q594" s="101">
        <v>5813</v>
      </c>
      <c r="R594" s="12" t="s">
        <v>25</v>
      </c>
      <c r="S594" s="12" t="s">
        <v>25</v>
      </c>
      <c r="T594" s="12" t="s">
        <v>25</v>
      </c>
    </row>
    <row r="595" spans="1:20" x14ac:dyDescent="0.3">
      <c r="A595" s="13">
        <v>43913.708333333336</v>
      </c>
      <c r="B595" s="12" t="s">
        <v>22</v>
      </c>
      <c r="C595" s="101">
        <v>8</v>
      </c>
      <c r="D595" s="12" t="s">
        <v>96</v>
      </c>
      <c r="E595" s="101">
        <v>4449436681</v>
      </c>
      <c r="F595" s="101">
        <v>113417208</v>
      </c>
      <c r="G595" s="101">
        <v>2846</v>
      </c>
      <c r="H595" s="101">
        <v>276</v>
      </c>
      <c r="I595" s="101">
        <v>3122</v>
      </c>
      <c r="J595" s="101">
        <v>4098</v>
      </c>
      <c r="K595" s="101">
        <v>7220</v>
      </c>
      <c r="L595" s="101">
        <v>830</v>
      </c>
      <c r="M595" s="101">
        <v>980</v>
      </c>
      <c r="N595" s="101">
        <v>423</v>
      </c>
      <c r="O595" s="101">
        <v>892</v>
      </c>
      <c r="P595" s="101">
        <v>8535</v>
      </c>
      <c r="Q595" s="101">
        <v>31200</v>
      </c>
      <c r="R595" s="12" t="s">
        <v>25</v>
      </c>
      <c r="S595" s="12" t="s">
        <v>25</v>
      </c>
      <c r="T595" s="12" t="s">
        <v>25</v>
      </c>
    </row>
    <row r="596" spans="1:20" x14ac:dyDescent="0.3">
      <c r="A596" s="13">
        <v>43913.708333333336</v>
      </c>
      <c r="B596" s="12" t="s">
        <v>22</v>
      </c>
      <c r="C596" s="101">
        <v>6</v>
      </c>
      <c r="D596" s="12" t="s">
        <v>47</v>
      </c>
      <c r="E596" s="101">
        <v>456494354</v>
      </c>
      <c r="F596" s="101">
        <v>1376813649</v>
      </c>
      <c r="G596" s="101">
        <v>185</v>
      </c>
      <c r="H596" s="101">
        <v>41</v>
      </c>
      <c r="I596" s="101">
        <v>226</v>
      </c>
      <c r="J596" s="101">
        <v>545</v>
      </c>
      <c r="K596" s="101">
        <v>771</v>
      </c>
      <c r="L596" s="101">
        <v>33</v>
      </c>
      <c r="M596" s="101">
        <v>56</v>
      </c>
      <c r="N596" s="101">
        <v>105</v>
      </c>
      <c r="O596" s="101">
        <v>54</v>
      </c>
      <c r="P596" s="101">
        <v>930</v>
      </c>
      <c r="Q596" s="101">
        <v>7424</v>
      </c>
      <c r="R596" s="12" t="s">
        <v>25</v>
      </c>
      <c r="S596" s="12" t="s">
        <v>25</v>
      </c>
      <c r="T596" s="12" t="s">
        <v>25</v>
      </c>
    </row>
    <row r="597" spans="1:20" x14ac:dyDescent="0.3">
      <c r="A597" s="13">
        <v>43913.708333333336</v>
      </c>
      <c r="B597" s="12" t="s">
        <v>22</v>
      </c>
      <c r="C597" s="101">
        <v>12</v>
      </c>
      <c r="D597" s="12" t="s">
        <v>48</v>
      </c>
      <c r="E597" s="101">
        <v>4189277044</v>
      </c>
      <c r="F597" s="101">
        <v>1248366722</v>
      </c>
      <c r="G597" s="101">
        <v>718</v>
      </c>
      <c r="H597" s="101">
        <v>96</v>
      </c>
      <c r="I597" s="101">
        <v>814</v>
      </c>
      <c r="J597" s="101">
        <v>600</v>
      </c>
      <c r="K597" s="101">
        <v>1414</v>
      </c>
      <c r="L597" s="101">
        <v>142</v>
      </c>
      <c r="M597" s="101">
        <v>157</v>
      </c>
      <c r="N597" s="101">
        <v>63</v>
      </c>
      <c r="O597" s="101">
        <v>63</v>
      </c>
      <c r="P597" s="101">
        <v>1540</v>
      </c>
      <c r="Q597" s="101">
        <v>18371</v>
      </c>
      <c r="R597" s="12" t="s">
        <v>25</v>
      </c>
      <c r="S597" s="12" t="s">
        <v>25</v>
      </c>
      <c r="T597" s="12" t="s">
        <v>25</v>
      </c>
    </row>
    <row r="598" spans="1:20" x14ac:dyDescent="0.3">
      <c r="A598" s="13">
        <v>43913.708333333336</v>
      </c>
      <c r="B598" s="12" t="s">
        <v>22</v>
      </c>
      <c r="C598" s="101">
        <v>7</v>
      </c>
      <c r="D598" s="12" t="s">
        <v>49</v>
      </c>
      <c r="E598" s="101">
        <v>4441149315</v>
      </c>
      <c r="F598" s="101">
        <v>89326992</v>
      </c>
      <c r="G598" s="101">
        <v>761</v>
      </c>
      <c r="H598" s="101">
        <v>133</v>
      </c>
      <c r="I598" s="101">
        <v>894</v>
      </c>
      <c r="J598" s="101">
        <v>659</v>
      </c>
      <c r="K598" s="101">
        <v>1553</v>
      </c>
      <c r="L598" s="101">
        <v>202</v>
      </c>
      <c r="M598" s="101">
        <v>259</v>
      </c>
      <c r="N598" s="101">
        <v>159</v>
      </c>
      <c r="O598" s="101">
        <v>212</v>
      </c>
      <c r="P598" s="101">
        <v>1924</v>
      </c>
      <c r="Q598" s="101">
        <v>5538</v>
      </c>
      <c r="R598" s="12" t="s">
        <v>25</v>
      </c>
      <c r="S598" s="12" t="s">
        <v>25</v>
      </c>
      <c r="T598" s="12" t="s">
        <v>25</v>
      </c>
    </row>
    <row r="599" spans="1:20" x14ac:dyDescent="0.3">
      <c r="A599" s="13">
        <v>43913.708333333336</v>
      </c>
      <c r="B599" s="12" t="s">
        <v>22</v>
      </c>
      <c r="C599" s="101">
        <v>3</v>
      </c>
      <c r="D599" s="12" t="s">
        <v>50</v>
      </c>
      <c r="E599" s="101">
        <v>4546679409</v>
      </c>
      <c r="F599" s="101">
        <v>9190347404</v>
      </c>
      <c r="G599" s="101">
        <v>9266</v>
      </c>
      <c r="H599" s="101">
        <v>1183</v>
      </c>
      <c r="I599" s="101">
        <v>10449</v>
      </c>
      <c r="J599" s="101">
        <v>8461</v>
      </c>
      <c r="K599" s="101">
        <v>18910</v>
      </c>
      <c r="L599" s="101">
        <v>1025</v>
      </c>
      <c r="M599" s="101">
        <v>1555</v>
      </c>
      <c r="N599" s="101">
        <v>6075</v>
      </c>
      <c r="O599" s="101">
        <v>3776</v>
      </c>
      <c r="P599" s="101">
        <v>28761</v>
      </c>
      <c r="Q599" s="101">
        <v>73242</v>
      </c>
      <c r="R599" s="12" t="s">
        <v>25</v>
      </c>
      <c r="S599" s="12" t="s">
        <v>25</v>
      </c>
      <c r="T599" s="12" t="s">
        <v>25</v>
      </c>
    </row>
    <row r="600" spans="1:20" x14ac:dyDescent="0.3">
      <c r="A600" s="13">
        <v>43913.708333333336</v>
      </c>
      <c r="B600" s="12" t="s">
        <v>22</v>
      </c>
      <c r="C600" s="101">
        <v>11</v>
      </c>
      <c r="D600" s="12" t="s">
        <v>51</v>
      </c>
      <c r="E600" s="101">
        <v>4361675973</v>
      </c>
      <c r="F600" s="101">
        <v>135188753</v>
      </c>
      <c r="G600" s="101">
        <v>882</v>
      </c>
      <c r="H600" s="101">
        <v>148</v>
      </c>
      <c r="I600" s="101">
        <v>1030</v>
      </c>
      <c r="J600" s="101">
        <v>1328</v>
      </c>
      <c r="K600" s="101">
        <v>2358</v>
      </c>
      <c r="L600" s="101">
        <v>127</v>
      </c>
      <c r="M600" s="101">
        <v>148</v>
      </c>
      <c r="N600" s="101">
        <v>8</v>
      </c>
      <c r="O600" s="101">
        <v>203</v>
      </c>
      <c r="P600" s="101">
        <v>2569</v>
      </c>
      <c r="Q600" s="101">
        <v>6782</v>
      </c>
      <c r="R600" s="12" t="s">
        <v>25</v>
      </c>
      <c r="S600" s="12" t="s">
        <v>25</v>
      </c>
      <c r="T600" s="12" t="s">
        <v>25</v>
      </c>
    </row>
    <row r="601" spans="1:20" x14ac:dyDescent="0.3">
      <c r="A601" s="13">
        <v>43913.708333333336</v>
      </c>
      <c r="B601" s="12" t="s">
        <v>22</v>
      </c>
      <c r="C601" s="101">
        <v>14</v>
      </c>
      <c r="D601" s="12" t="s">
        <v>52</v>
      </c>
      <c r="E601" s="101">
        <v>4155774754</v>
      </c>
      <c r="F601" s="101">
        <v>1465916051</v>
      </c>
      <c r="G601" s="101">
        <v>25</v>
      </c>
      <c r="H601" s="101">
        <v>7</v>
      </c>
      <c r="I601" s="101">
        <v>32</v>
      </c>
      <c r="J601" s="101">
        <v>18</v>
      </c>
      <c r="K601" s="101">
        <v>50</v>
      </c>
      <c r="L601" s="101">
        <v>-2</v>
      </c>
      <c r="M601" s="101">
        <v>1</v>
      </c>
      <c r="N601" s="101">
        <v>10</v>
      </c>
      <c r="O601" s="101">
        <v>7</v>
      </c>
      <c r="P601" s="101">
        <v>67</v>
      </c>
      <c r="Q601" s="101">
        <v>532</v>
      </c>
      <c r="R601" s="12" t="s">
        <v>25</v>
      </c>
      <c r="S601" s="12" t="s">
        <v>25</v>
      </c>
      <c r="T601" s="12" t="s">
        <v>25</v>
      </c>
    </row>
    <row r="602" spans="1:20" x14ac:dyDescent="0.3">
      <c r="A602" s="13">
        <v>43913.708333333336</v>
      </c>
      <c r="B602" s="12" t="s">
        <v>22</v>
      </c>
      <c r="C602" s="101">
        <v>1</v>
      </c>
      <c r="D602" s="12" t="s">
        <v>53</v>
      </c>
      <c r="E602" s="101">
        <v>450732745</v>
      </c>
      <c r="F602" s="101">
        <v>7680687483</v>
      </c>
      <c r="G602" s="101">
        <v>2194</v>
      </c>
      <c r="H602" s="101">
        <v>343</v>
      </c>
      <c r="I602" s="101">
        <v>2537</v>
      </c>
      <c r="J602" s="101">
        <v>1992</v>
      </c>
      <c r="K602" s="101">
        <v>4529</v>
      </c>
      <c r="L602" s="101">
        <v>402</v>
      </c>
      <c r="M602" s="101">
        <v>441</v>
      </c>
      <c r="N602" s="101">
        <v>17</v>
      </c>
      <c r="O602" s="101">
        <v>315</v>
      </c>
      <c r="P602" s="101">
        <v>4861</v>
      </c>
      <c r="Q602" s="101">
        <v>13560</v>
      </c>
      <c r="R602" s="12" t="s">
        <v>25</v>
      </c>
      <c r="S602" s="12" t="s">
        <v>25</v>
      </c>
      <c r="T602" s="12" t="s">
        <v>25</v>
      </c>
    </row>
    <row r="603" spans="1:20" x14ac:dyDescent="0.3">
      <c r="A603" s="13">
        <v>43913.708333333336</v>
      </c>
      <c r="B603" s="12" t="s">
        <v>22</v>
      </c>
      <c r="C603" s="101">
        <v>16</v>
      </c>
      <c r="D603" s="12" t="s">
        <v>54</v>
      </c>
      <c r="E603" s="101">
        <v>4112559576</v>
      </c>
      <c r="F603" s="101">
        <v>1686736689</v>
      </c>
      <c r="G603" s="101">
        <v>285</v>
      </c>
      <c r="H603" s="101">
        <v>45</v>
      </c>
      <c r="I603" s="101">
        <v>330</v>
      </c>
      <c r="J603" s="101">
        <v>532</v>
      </c>
      <c r="K603" s="101">
        <v>862</v>
      </c>
      <c r="L603" s="101">
        <v>114</v>
      </c>
      <c r="M603" s="101">
        <v>120</v>
      </c>
      <c r="N603" s="101">
        <v>7</v>
      </c>
      <c r="O603" s="101">
        <v>37</v>
      </c>
      <c r="P603" s="101">
        <v>906</v>
      </c>
      <c r="Q603" s="101">
        <v>6761</v>
      </c>
      <c r="R603" s="12" t="s">
        <v>25</v>
      </c>
      <c r="S603" s="12" t="s">
        <v>25</v>
      </c>
      <c r="T603" s="12" t="s">
        <v>25</v>
      </c>
    </row>
    <row r="604" spans="1:20" x14ac:dyDescent="0.3">
      <c r="A604" s="13">
        <v>43913.708333333336</v>
      </c>
      <c r="B604" s="12" t="s">
        <v>22</v>
      </c>
      <c r="C604" s="101">
        <v>20</v>
      </c>
      <c r="D604" s="12" t="s">
        <v>55</v>
      </c>
      <c r="E604" s="101">
        <v>3921531192</v>
      </c>
      <c r="F604" s="101">
        <v>9110616306</v>
      </c>
      <c r="G604" s="101">
        <v>76</v>
      </c>
      <c r="H604" s="101">
        <v>18</v>
      </c>
      <c r="I604" s="101">
        <v>94</v>
      </c>
      <c r="J604" s="101">
        <v>249</v>
      </c>
      <c r="K604" s="101">
        <v>343</v>
      </c>
      <c r="L604" s="101">
        <v>16</v>
      </c>
      <c r="M604" s="101">
        <v>20</v>
      </c>
      <c r="N604" s="101">
        <v>5</v>
      </c>
      <c r="O604" s="101">
        <v>11</v>
      </c>
      <c r="P604" s="101">
        <v>359</v>
      </c>
      <c r="Q604" s="101">
        <v>2568</v>
      </c>
      <c r="R604" s="12" t="s">
        <v>25</v>
      </c>
      <c r="S604" s="12" t="s">
        <v>25</v>
      </c>
      <c r="T604" s="12" t="s">
        <v>25</v>
      </c>
    </row>
    <row r="605" spans="1:20" x14ac:dyDescent="0.3">
      <c r="A605" s="13">
        <v>43913.708333333336</v>
      </c>
      <c r="B605" s="12" t="s">
        <v>22</v>
      </c>
      <c r="C605" s="101">
        <v>19</v>
      </c>
      <c r="D605" s="12" t="s">
        <v>56</v>
      </c>
      <c r="E605" s="101">
        <v>3811569725</v>
      </c>
      <c r="F605" s="101">
        <v>133623567</v>
      </c>
      <c r="G605" s="101">
        <v>250</v>
      </c>
      <c r="H605" s="101">
        <v>60</v>
      </c>
      <c r="I605" s="101">
        <v>310</v>
      </c>
      <c r="J605" s="101">
        <v>371</v>
      </c>
      <c r="K605" s="101">
        <v>681</v>
      </c>
      <c r="L605" s="101">
        <v>85</v>
      </c>
      <c r="M605" s="101">
        <v>91</v>
      </c>
      <c r="N605" s="101">
        <v>27</v>
      </c>
      <c r="O605" s="101">
        <v>13</v>
      </c>
      <c r="P605" s="101">
        <v>721</v>
      </c>
      <c r="Q605" s="101">
        <v>6375</v>
      </c>
      <c r="R605" s="12" t="s">
        <v>25</v>
      </c>
      <c r="S605" s="12" t="s">
        <v>25</v>
      </c>
      <c r="T605" s="12" t="s">
        <v>25</v>
      </c>
    </row>
    <row r="606" spans="1:20" x14ac:dyDescent="0.3">
      <c r="A606" s="13">
        <v>43913.708333333336</v>
      </c>
      <c r="B606" s="12" t="s">
        <v>22</v>
      </c>
      <c r="C606" s="101">
        <v>9</v>
      </c>
      <c r="D606" s="12" t="s">
        <v>57</v>
      </c>
      <c r="E606" s="101">
        <v>4376923077</v>
      </c>
      <c r="F606" s="101">
        <v>1125588885</v>
      </c>
      <c r="G606" s="101">
        <v>838</v>
      </c>
      <c r="H606" s="101">
        <v>238</v>
      </c>
      <c r="I606" s="101">
        <v>1076</v>
      </c>
      <c r="J606" s="101">
        <v>1225</v>
      </c>
      <c r="K606" s="101">
        <v>2301</v>
      </c>
      <c r="L606" s="101">
        <v>157</v>
      </c>
      <c r="M606" s="101">
        <v>184</v>
      </c>
      <c r="N606" s="101">
        <v>51</v>
      </c>
      <c r="O606" s="101">
        <v>109</v>
      </c>
      <c r="P606" s="101">
        <v>2461</v>
      </c>
      <c r="Q606" s="101">
        <v>13851</v>
      </c>
      <c r="R606" s="12" t="s">
        <v>25</v>
      </c>
      <c r="S606" s="12" t="s">
        <v>25</v>
      </c>
      <c r="T606" s="12" t="s">
        <v>25</v>
      </c>
    </row>
    <row r="607" spans="1:20" x14ac:dyDescent="0.3">
      <c r="A607" s="13">
        <v>43913.708333333336</v>
      </c>
      <c r="B607" s="12" t="s">
        <v>22</v>
      </c>
      <c r="C607" s="101">
        <v>4</v>
      </c>
      <c r="D607" s="12" t="s">
        <v>58</v>
      </c>
      <c r="E607" s="101">
        <v>4606893511</v>
      </c>
      <c r="F607" s="101">
        <v>1112123097</v>
      </c>
      <c r="G607" s="101">
        <v>249</v>
      </c>
      <c r="H607" s="101">
        <v>46</v>
      </c>
      <c r="I607" s="101">
        <v>295</v>
      </c>
      <c r="J607" s="101">
        <v>619</v>
      </c>
      <c r="K607" s="101">
        <v>914</v>
      </c>
      <c r="L607" s="101">
        <v>29</v>
      </c>
      <c r="M607" s="101">
        <v>69</v>
      </c>
      <c r="N607" s="101">
        <v>68</v>
      </c>
      <c r="O607" s="101">
        <v>41</v>
      </c>
      <c r="P607" s="101">
        <v>1023</v>
      </c>
      <c r="Q607" s="101">
        <v>3150</v>
      </c>
      <c r="R607" s="12" t="s">
        <v>25</v>
      </c>
      <c r="S607" s="12" t="s">
        <v>25</v>
      </c>
      <c r="T607" s="12" t="s">
        <v>25</v>
      </c>
    </row>
    <row r="608" spans="1:20" x14ac:dyDescent="0.3">
      <c r="A608" s="13">
        <v>43913.708333333336</v>
      </c>
      <c r="B608" s="12" t="s">
        <v>22</v>
      </c>
      <c r="C608" s="101">
        <v>10</v>
      </c>
      <c r="D608" s="12" t="s">
        <v>59</v>
      </c>
      <c r="E608" s="101">
        <v>4310675841</v>
      </c>
      <c r="F608" s="101">
        <v>1238824698</v>
      </c>
      <c r="G608" s="101">
        <v>106</v>
      </c>
      <c r="H608" s="101">
        <v>42</v>
      </c>
      <c r="I608" s="101">
        <v>148</v>
      </c>
      <c r="J608" s="101">
        <v>408</v>
      </c>
      <c r="K608" s="101">
        <v>556</v>
      </c>
      <c r="L608" s="101">
        <v>56</v>
      </c>
      <c r="M608" s="101">
        <v>56</v>
      </c>
      <c r="N608" s="101">
        <v>5</v>
      </c>
      <c r="O608" s="101">
        <v>16</v>
      </c>
      <c r="P608" s="101">
        <v>577</v>
      </c>
      <c r="Q608" s="101">
        <v>3561</v>
      </c>
      <c r="R608" s="12" t="s">
        <v>25</v>
      </c>
      <c r="S608" s="12" t="s">
        <v>25</v>
      </c>
      <c r="T608" s="12" t="s">
        <v>25</v>
      </c>
    </row>
    <row r="609" spans="1:20" x14ac:dyDescent="0.3">
      <c r="A609" s="13">
        <v>43913.708333333336</v>
      </c>
      <c r="B609" s="12" t="s">
        <v>22</v>
      </c>
      <c r="C609" s="101">
        <v>2</v>
      </c>
      <c r="D609" s="12" t="s">
        <v>60</v>
      </c>
      <c r="E609" s="101">
        <v>4573750286</v>
      </c>
      <c r="F609" s="101">
        <v>7320149366</v>
      </c>
      <c r="G609" s="101">
        <v>69</v>
      </c>
      <c r="H609" s="101">
        <v>20</v>
      </c>
      <c r="I609" s="101">
        <v>89</v>
      </c>
      <c r="J609" s="101">
        <v>290</v>
      </c>
      <c r="K609" s="101">
        <v>379</v>
      </c>
      <c r="L609" s="101">
        <v>25</v>
      </c>
      <c r="M609" s="101">
        <v>29</v>
      </c>
      <c r="N609" s="101">
        <v>2</v>
      </c>
      <c r="O609" s="101">
        <v>12</v>
      </c>
      <c r="P609" s="101">
        <v>393</v>
      </c>
      <c r="Q609" s="101">
        <v>1098</v>
      </c>
      <c r="R609" s="12" t="s">
        <v>25</v>
      </c>
      <c r="S609" s="12" t="s">
        <v>25</v>
      </c>
      <c r="T609" s="12" t="s">
        <v>25</v>
      </c>
    </row>
    <row r="610" spans="1:20" x14ac:dyDescent="0.3">
      <c r="A610" s="13">
        <v>43913.708333333336</v>
      </c>
      <c r="B610" s="12" t="s">
        <v>22</v>
      </c>
      <c r="C610" s="101">
        <v>5</v>
      </c>
      <c r="D610" s="12" t="s">
        <v>61</v>
      </c>
      <c r="E610" s="101">
        <v>4543490485</v>
      </c>
      <c r="F610" s="101">
        <v>1233845213</v>
      </c>
      <c r="G610" s="101">
        <v>1206</v>
      </c>
      <c r="H610" s="101">
        <v>281</v>
      </c>
      <c r="I610" s="101">
        <v>1487</v>
      </c>
      <c r="J610" s="101">
        <v>3499</v>
      </c>
      <c r="K610" s="101">
        <v>4986</v>
      </c>
      <c r="L610" s="101">
        <v>342</v>
      </c>
      <c r="M610" s="101">
        <v>383</v>
      </c>
      <c r="N610" s="101">
        <v>327</v>
      </c>
      <c r="O610" s="101">
        <v>192</v>
      </c>
      <c r="P610" s="101">
        <v>5505</v>
      </c>
      <c r="Q610" s="101">
        <v>61115</v>
      </c>
      <c r="R610" s="12" t="s">
        <v>25</v>
      </c>
      <c r="S610" s="12" t="s">
        <v>25</v>
      </c>
      <c r="T610" s="12" t="s">
        <v>25</v>
      </c>
    </row>
    <row r="611" spans="1:20" x14ac:dyDescent="0.3">
      <c r="A611" s="13">
        <v>43914.708333333336</v>
      </c>
      <c r="B611" s="12" t="s">
        <v>22</v>
      </c>
      <c r="C611" s="101">
        <v>13</v>
      </c>
      <c r="D611" s="12" t="s">
        <v>42</v>
      </c>
      <c r="E611" s="101">
        <v>4235122196</v>
      </c>
      <c r="F611" s="101">
        <v>1339843823</v>
      </c>
      <c r="G611" s="101">
        <v>234</v>
      </c>
      <c r="H611" s="101">
        <v>57</v>
      </c>
      <c r="I611" s="101">
        <v>291</v>
      </c>
      <c r="J611" s="101">
        <v>331</v>
      </c>
      <c r="K611" s="101">
        <v>622</v>
      </c>
      <c r="L611" s="101">
        <v>17</v>
      </c>
      <c r="M611" s="101">
        <v>26</v>
      </c>
      <c r="N611" s="101">
        <v>21</v>
      </c>
      <c r="O611" s="101">
        <v>46</v>
      </c>
      <c r="P611" s="101">
        <v>689</v>
      </c>
      <c r="Q611" s="101">
        <v>4294</v>
      </c>
      <c r="R611" s="12" t="s">
        <v>25</v>
      </c>
      <c r="S611" s="12" t="s">
        <v>25</v>
      </c>
      <c r="T611" s="12" t="s">
        <v>25</v>
      </c>
    </row>
    <row r="612" spans="1:20" x14ac:dyDescent="0.3">
      <c r="A612" s="13">
        <v>43914.708333333336</v>
      </c>
      <c r="B612" s="12" t="s">
        <v>22</v>
      </c>
      <c r="C612" s="101">
        <v>17</v>
      </c>
      <c r="D612" s="12" t="s">
        <v>43</v>
      </c>
      <c r="E612" s="101">
        <v>4063947052</v>
      </c>
      <c r="F612" s="101">
        <v>1580514834</v>
      </c>
      <c r="G612" s="101">
        <v>14</v>
      </c>
      <c r="H612" s="101">
        <v>12</v>
      </c>
      <c r="I612" s="101">
        <v>26</v>
      </c>
      <c r="J612" s="101">
        <v>65</v>
      </c>
      <c r="K612" s="101">
        <v>91</v>
      </c>
      <c r="L612" s="101">
        <v>2</v>
      </c>
      <c r="M612" s="101">
        <v>2</v>
      </c>
      <c r="N612" s="101">
        <v>0</v>
      </c>
      <c r="O612" s="101">
        <v>1</v>
      </c>
      <c r="P612" s="101">
        <v>92</v>
      </c>
      <c r="Q612" s="101">
        <v>744</v>
      </c>
      <c r="R612" s="12" t="s">
        <v>25</v>
      </c>
      <c r="S612" s="12" t="s">
        <v>25</v>
      </c>
      <c r="T612" s="12" t="s">
        <v>25</v>
      </c>
    </row>
    <row r="613" spans="1:20" x14ac:dyDescent="0.3">
      <c r="A613" s="13">
        <v>43914.708333333336</v>
      </c>
      <c r="B613" s="12" t="s">
        <v>22</v>
      </c>
      <c r="C613" s="101">
        <v>4</v>
      </c>
      <c r="D613" s="12" t="s">
        <v>44</v>
      </c>
      <c r="E613" s="101">
        <v>4649933453</v>
      </c>
      <c r="F613" s="101">
        <v>1135662422</v>
      </c>
      <c r="G613" s="101">
        <v>166</v>
      </c>
      <c r="H613" s="101">
        <v>38</v>
      </c>
      <c r="I613" s="101">
        <v>204</v>
      </c>
      <c r="J613" s="101">
        <v>495</v>
      </c>
      <c r="K613" s="101">
        <v>699</v>
      </c>
      <c r="L613" s="101">
        <v>11</v>
      </c>
      <c r="M613" s="101">
        <v>57</v>
      </c>
      <c r="N613" s="101">
        <v>44</v>
      </c>
      <c r="O613" s="101">
        <v>38</v>
      </c>
      <c r="P613" s="101">
        <v>781</v>
      </c>
      <c r="Q613" s="101">
        <v>6509</v>
      </c>
      <c r="R613" s="12" t="s">
        <v>25</v>
      </c>
      <c r="S613" s="12" t="s">
        <v>25</v>
      </c>
      <c r="T613" s="12" t="s">
        <v>25</v>
      </c>
    </row>
    <row r="614" spans="1:20" x14ac:dyDescent="0.3">
      <c r="A614" s="13">
        <v>43914.708333333336</v>
      </c>
      <c r="B614" s="12" t="s">
        <v>22</v>
      </c>
      <c r="C614" s="101">
        <v>18</v>
      </c>
      <c r="D614" s="12" t="s">
        <v>45</v>
      </c>
      <c r="E614" s="101">
        <v>3890597598</v>
      </c>
      <c r="F614" s="101">
        <v>1659440194</v>
      </c>
      <c r="G614" s="101">
        <v>88</v>
      </c>
      <c r="H614" s="101">
        <v>21</v>
      </c>
      <c r="I614" s="101">
        <v>109</v>
      </c>
      <c r="J614" s="101">
        <v>195</v>
      </c>
      <c r="K614" s="101">
        <v>304</v>
      </c>
      <c r="L614" s="101">
        <v>24</v>
      </c>
      <c r="M614" s="101">
        <v>27</v>
      </c>
      <c r="N614" s="101">
        <v>5</v>
      </c>
      <c r="O614" s="101">
        <v>10</v>
      </c>
      <c r="P614" s="101">
        <v>319</v>
      </c>
      <c r="Q614" s="101">
        <v>4486</v>
      </c>
      <c r="R614" s="12" t="s">
        <v>25</v>
      </c>
      <c r="S614" s="12" t="s">
        <v>25</v>
      </c>
      <c r="T614" s="12" t="s">
        <v>25</v>
      </c>
    </row>
    <row r="615" spans="1:20" x14ac:dyDescent="0.3">
      <c r="A615" s="13">
        <v>43914.708333333336</v>
      </c>
      <c r="B615" s="12" t="s">
        <v>22</v>
      </c>
      <c r="C615" s="101">
        <v>15</v>
      </c>
      <c r="D615" s="12" t="s">
        <v>46</v>
      </c>
      <c r="E615" s="101">
        <v>4083956555</v>
      </c>
      <c r="F615" s="101">
        <v>1425084984</v>
      </c>
      <c r="G615" s="101">
        <v>345</v>
      </c>
      <c r="H615" s="101">
        <v>181</v>
      </c>
      <c r="I615" s="101">
        <v>526</v>
      </c>
      <c r="J615" s="101">
        <v>466</v>
      </c>
      <c r="K615" s="101">
        <v>992</v>
      </c>
      <c r="L615" s="101">
        <v>63</v>
      </c>
      <c r="M615" s="101">
        <v>75</v>
      </c>
      <c r="N615" s="101">
        <v>53</v>
      </c>
      <c r="O615" s="101">
        <v>56</v>
      </c>
      <c r="P615" s="101">
        <v>1101</v>
      </c>
      <c r="Q615" s="101">
        <v>6297</v>
      </c>
      <c r="R615" s="12" t="s">
        <v>25</v>
      </c>
      <c r="S615" s="12" t="s">
        <v>25</v>
      </c>
      <c r="T615" s="12" t="s">
        <v>25</v>
      </c>
    </row>
    <row r="616" spans="1:20" x14ac:dyDescent="0.3">
      <c r="A616" s="13">
        <v>43914.708333333336</v>
      </c>
      <c r="B616" s="12" t="s">
        <v>22</v>
      </c>
      <c r="C616" s="101">
        <v>8</v>
      </c>
      <c r="D616" s="12" t="s">
        <v>96</v>
      </c>
      <c r="E616" s="101">
        <v>4449436681</v>
      </c>
      <c r="F616" s="101">
        <v>113417208</v>
      </c>
      <c r="G616" s="101">
        <v>2974</v>
      </c>
      <c r="H616" s="101">
        <v>291</v>
      </c>
      <c r="I616" s="101">
        <v>3265</v>
      </c>
      <c r="J616" s="101">
        <v>4446</v>
      </c>
      <c r="K616" s="101">
        <v>7711</v>
      </c>
      <c r="L616" s="101">
        <v>491</v>
      </c>
      <c r="M616" s="101">
        <v>719</v>
      </c>
      <c r="N616" s="101">
        <v>558</v>
      </c>
      <c r="O616" s="101">
        <v>985</v>
      </c>
      <c r="P616" s="101">
        <v>9254</v>
      </c>
      <c r="Q616" s="101">
        <v>33527</v>
      </c>
      <c r="R616" s="12" t="s">
        <v>25</v>
      </c>
      <c r="S616" s="12" t="s">
        <v>25</v>
      </c>
      <c r="T616" s="12" t="s">
        <v>25</v>
      </c>
    </row>
    <row r="617" spans="1:20" x14ac:dyDescent="0.3">
      <c r="A617" s="13">
        <v>43914.708333333336</v>
      </c>
      <c r="B617" s="12" t="s">
        <v>22</v>
      </c>
      <c r="C617" s="101">
        <v>6</v>
      </c>
      <c r="D617" s="12" t="s">
        <v>47</v>
      </c>
      <c r="E617" s="101">
        <v>456494354</v>
      </c>
      <c r="F617" s="101">
        <v>1376813649</v>
      </c>
      <c r="G617" s="101">
        <v>195</v>
      </c>
      <c r="H617" s="101">
        <v>49</v>
      </c>
      <c r="I617" s="101">
        <v>244</v>
      </c>
      <c r="J617" s="101">
        <v>604</v>
      </c>
      <c r="K617" s="101">
        <v>848</v>
      </c>
      <c r="L617" s="101">
        <v>77</v>
      </c>
      <c r="M617" s="101">
        <v>62</v>
      </c>
      <c r="N617" s="101">
        <v>80</v>
      </c>
      <c r="O617" s="101">
        <v>64</v>
      </c>
      <c r="P617" s="101">
        <v>992</v>
      </c>
      <c r="Q617" s="101">
        <v>8526</v>
      </c>
      <c r="R617" s="12" t="s">
        <v>25</v>
      </c>
      <c r="S617" s="12" t="s">
        <v>25</v>
      </c>
      <c r="T617" s="12" t="s">
        <v>25</v>
      </c>
    </row>
    <row r="618" spans="1:20" x14ac:dyDescent="0.3">
      <c r="A618" s="13">
        <v>43914.708333333336</v>
      </c>
      <c r="B618" s="12" t="s">
        <v>22</v>
      </c>
      <c r="C618" s="101">
        <v>12</v>
      </c>
      <c r="D618" s="12" t="s">
        <v>48</v>
      </c>
      <c r="E618" s="101">
        <v>4189277044</v>
      </c>
      <c r="F618" s="101">
        <v>1248366722</v>
      </c>
      <c r="G618" s="101">
        <v>747</v>
      </c>
      <c r="H618" s="101">
        <v>94</v>
      </c>
      <c r="I618" s="101">
        <v>841</v>
      </c>
      <c r="J618" s="101">
        <v>704</v>
      </c>
      <c r="K618" s="101">
        <v>1545</v>
      </c>
      <c r="L618" s="101">
        <v>131</v>
      </c>
      <c r="M618" s="101">
        <v>188</v>
      </c>
      <c r="N618" s="101">
        <v>103</v>
      </c>
      <c r="O618" s="101">
        <v>80</v>
      </c>
      <c r="P618" s="101">
        <v>1728</v>
      </c>
      <c r="Q618" s="101">
        <v>18371</v>
      </c>
      <c r="R618" s="12" t="s">
        <v>25</v>
      </c>
      <c r="S618" s="12" t="s">
        <v>25</v>
      </c>
      <c r="T618" s="12" t="s">
        <v>25</v>
      </c>
    </row>
    <row r="619" spans="1:20" x14ac:dyDescent="0.3">
      <c r="A619" s="13">
        <v>43914.708333333336</v>
      </c>
      <c r="B619" s="12" t="s">
        <v>22</v>
      </c>
      <c r="C619" s="101">
        <v>7</v>
      </c>
      <c r="D619" s="12" t="s">
        <v>49</v>
      </c>
      <c r="E619" s="101">
        <v>4441149315</v>
      </c>
      <c r="F619" s="101">
        <v>89326992</v>
      </c>
      <c r="G619" s="101">
        <v>803</v>
      </c>
      <c r="H619" s="101">
        <v>147</v>
      </c>
      <c r="I619" s="101">
        <v>950</v>
      </c>
      <c r="J619" s="101">
        <v>742</v>
      </c>
      <c r="K619" s="101">
        <v>1692</v>
      </c>
      <c r="L619" s="101">
        <v>139</v>
      </c>
      <c r="M619" s="101">
        <v>192</v>
      </c>
      <c r="N619" s="101">
        <v>193</v>
      </c>
      <c r="O619" s="101">
        <v>231</v>
      </c>
      <c r="P619" s="101">
        <v>2116</v>
      </c>
      <c r="Q619" s="101">
        <v>5992</v>
      </c>
      <c r="R619" s="12" t="s">
        <v>25</v>
      </c>
      <c r="S619" s="12" t="s">
        <v>25</v>
      </c>
      <c r="T619" s="12" t="s">
        <v>25</v>
      </c>
    </row>
    <row r="620" spans="1:20" x14ac:dyDescent="0.3">
      <c r="A620" s="13">
        <v>43914.708333333336</v>
      </c>
      <c r="B620" s="12" t="s">
        <v>22</v>
      </c>
      <c r="C620" s="101">
        <v>3</v>
      </c>
      <c r="D620" s="12" t="s">
        <v>50</v>
      </c>
      <c r="E620" s="101">
        <v>4546679409</v>
      </c>
      <c r="F620" s="101">
        <v>9190347404</v>
      </c>
      <c r="G620" s="101">
        <v>9711</v>
      </c>
      <c r="H620" s="101">
        <v>1194</v>
      </c>
      <c r="I620" s="101">
        <v>10905</v>
      </c>
      <c r="J620" s="101">
        <v>8963</v>
      </c>
      <c r="K620" s="101">
        <v>19868</v>
      </c>
      <c r="L620" s="101">
        <v>958</v>
      </c>
      <c r="M620" s="101">
        <v>1942</v>
      </c>
      <c r="N620" s="101">
        <v>6657</v>
      </c>
      <c r="O620" s="101">
        <v>4178</v>
      </c>
      <c r="P620" s="101">
        <v>30703</v>
      </c>
      <c r="Q620" s="101">
        <v>76695</v>
      </c>
      <c r="R620" s="12" t="s">
        <v>25</v>
      </c>
      <c r="S620" s="12" t="s">
        <v>25</v>
      </c>
      <c r="T620" s="12" t="s">
        <v>25</v>
      </c>
    </row>
    <row r="621" spans="1:20" x14ac:dyDescent="0.3">
      <c r="A621" s="13">
        <v>43914.708333333336</v>
      </c>
      <c r="B621" s="12" t="s">
        <v>22</v>
      </c>
      <c r="C621" s="101">
        <v>11</v>
      </c>
      <c r="D621" s="12" t="s">
        <v>51</v>
      </c>
      <c r="E621" s="101">
        <v>4361675973</v>
      </c>
      <c r="F621" s="101">
        <v>135188753</v>
      </c>
      <c r="G621" s="101">
        <v>862</v>
      </c>
      <c r="H621" s="101">
        <v>149</v>
      </c>
      <c r="I621" s="101">
        <v>1011</v>
      </c>
      <c r="J621" s="101">
        <v>1486</v>
      </c>
      <c r="K621" s="101">
        <v>2497</v>
      </c>
      <c r="L621" s="101">
        <v>139</v>
      </c>
      <c r="M621" s="101">
        <v>167</v>
      </c>
      <c r="N621" s="101">
        <v>8</v>
      </c>
      <c r="O621" s="101">
        <v>231</v>
      </c>
      <c r="P621" s="101">
        <v>2736</v>
      </c>
      <c r="Q621" s="101">
        <v>7229</v>
      </c>
      <c r="R621" s="12" t="s">
        <v>25</v>
      </c>
      <c r="S621" s="12" t="s">
        <v>25</v>
      </c>
      <c r="T621" s="12" t="s">
        <v>25</v>
      </c>
    </row>
    <row r="622" spans="1:20" x14ac:dyDescent="0.3">
      <c r="A622" s="13">
        <v>43914.708333333336</v>
      </c>
      <c r="B622" s="12" t="s">
        <v>22</v>
      </c>
      <c r="C622" s="101">
        <v>14</v>
      </c>
      <c r="D622" s="12" t="s">
        <v>52</v>
      </c>
      <c r="E622" s="101">
        <v>4155774754</v>
      </c>
      <c r="F622" s="101">
        <v>1465916051</v>
      </c>
      <c r="G622" s="101">
        <v>27</v>
      </c>
      <c r="H622" s="101">
        <v>7</v>
      </c>
      <c r="I622" s="101">
        <v>34</v>
      </c>
      <c r="J622" s="101">
        <v>21</v>
      </c>
      <c r="K622" s="101">
        <v>55</v>
      </c>
      <c r="L622" s="101">
        <v>5</v>
      </c>
      <c r="M622" s="101">
        <v>6</v>
      </c>
      <c r="N622" s="101">
        <v>10</v>
      </c>
      <c r="O622" s="101">
        <v>8</v>
      </c>
      <c r="P622" s="101">
        <v>73</v>
      </c>
      <c r="Q622" s="101">
        <v>572</v>
      </c>
      <c r="R622" s="12" t="s">
        <v>25</v>
      </c>
      <c r="S622" s="12" t="s">
        <v>25</v>
      </c>
      <c r="T622" s="12" t="s">
        <v>25</v>
      </c>
    </row>
    <row r="623" spans="1:20" x14ac:dyDescent="0.3">
      <c r="A623" s="13">
        <v>43914.708333333336</v>
      </c>
      <c r="B623" s="12" t="s">
        <v>22</v>
      </c>
      <c r="C623" s="101">
        <v>1</v>
      </c>
      <c r="D623" s="12" t="s">
        <v>53</v>
      </c>
      <c r="E623" s="101">
        <v>450732745</v>
      </c>
      <c r="F623" s="101">
        <v>7680687483</v>
      </c>
      <c r="G623" s="101">
        <v>2404</v>
      </c>
      <c r="H623" s="101">
        <v>360</v>
      </c>
      <c r="I623" s="101">
        <v>2764</v>
      </c>
      <c r="J623" s="101">
        <v>2360</v>
      </c>
      <c r="K623" s="101">
        <v>5124</v>
      </c>
      <c r="L623" s="101">
        <v>595</v>
      </c>
      <c r="M623" s="101">
        <v>654</v>
      </c>
      <c r="N623" s="101">
        <v>17</v>
      </c>
      <c r="O623" s="101">
        <v>374</v>
      </c>
      <c r="P623" s="101">
        <v>5515</v>
      </c>
      <c r="Q623" s="101">
        <v>15469</v>
      </c>
      <c r="R623" s="12" t="s">
        <v>25</v>
      </c>
      <c r="S623" s="12" t="s">
        <v>25</v>
      </c>
      <c r="T623" s="12" t="s">
        <v>25</v>
      </c>
    </row>
    <row r="624" spans="1:20" x14ac:dyDescent="0.3">
      <c r="A624" s="13">
        <v>43914.708333333336</v>
      </c>
      <c r="B624" s="12" t="s">
        <v>22</v>
      </c>
      <c r="C624" s="101">
        <v>16</v>
      </c>
      <c r="D624" s="12" t="s">
        <v>54</v>
      </c>
      <c r="E624" s="101">
        <v>4112559576</v>
      </c>
      <c r="F624" s="101">
        <v>1686736689</v>
      </c>
      <c r="G624" s="101">
        <v>317</v>
      </c>
      <c r="H624" s="101">
        <v>57</v>
      </c>
      <c r="I624" s="101">
        <v>374</v>
      </c>
      <c r="J624" s="101">
        <v>566</v>
      </c>
      <c r="K624" s="101">
        <v>940</v>
      </c>
      <c r="L624" s="101">
        <v>78</v>
      </c>
      <c r="M624" s="101">
        <v>99</v>
      </c>
      <c r="N624" s="101">
        <v>21</v>
      </c>
      <c r="O624" s="101">
        <v>44</v>
      </c>
      <c r="P624" s="101">
        <v>1005</v>
      </c>
      <c r="Q624" s="101">
        <v>7345</v>
      </c>
      <c r="R624" s="12" t="s">
        <v>25</v>
      </c>
      <c r="S624" s="12" t="s">
        <v>25</v>
      </c>
      <c r="T624" s="12" t="s">
        <v>25</v>
      </c>
    </row>
    <row r="625" spans="1:20" x14ac:dyDescent="0.3">
      <c r="A625" s="13">
        <v>43914.708333333336</v>
      </c>
      <c r="B625" s="12" t="s">
        <v>22</v>
      </c>
      <c r="C625" s="101">
        <v>20</v>
      </c>
      <c r="D625" s="12" t="s">
        <v>55</v>
      </c>
      <c r="E625" s="101">
        <v>3921531192</v>
      </c>
      <c r="F625" s="101">
        <v>9110616306</v>
      </c>
      <c r="G625" s="101">
        <v>80</v>
      </c>
      <c r="H625" s="101">
        <v>19</v>
      </c>
      <c r="I625" s="101">
        <v>99</v>
      </c>
      <c r="J625" s="101">
        <v>296</v>
      </c>
      <c r="K625" s="101">
        <v>395</v>
      </c>
      <c r="L625" s="101">
        <v>52</v>
      </c>
      <c r="M625" s="101">
        <v>62</v>
      </c>
      <c r="N625" s="101">
        <v>11</v>
      </c>
      <c r="O625" s="101">
        <v>15</v>
      </c>
      <c r="P625" s="101">
        <v>421</v>
      </c>
      <c r="Q625" s="101">
        <v>2859</v>
      </c>
      <c r="R625" s="12" t="s">
        <v>25</v>
      </c>
      <c r="S625" s="12" t="s">
        <v>25</v>
      </c>
      <c r="T625" s="12" t="s">
        <v>25</v>
      </c>
    </row>
    <row r="626" spans="1:20" x14ac:dyDescent="0.3">
      <c r="A626" s="13">
        <v>43914.708333333336</v>
      </c>
      <c r="B626" s="12" t="s">
        <v>22</v>
      </c>
      <c r="C626" s="101">
        <v>19</v>
      </c>
      <c r="D626" s="12" t="s">
        <v>56</v>
      </c>
      <c r="E626" s="101">
        <v>3811569725</v>
      </c>
      <c r="F626" s="101">
        <v>133623567</v>
      </c>
      <c r="G626" s="101">
        <v>250</v>
      </c>
      <c r="H626" s="101">
        <v>60</v>
      </c>
      <c r="I626" s="101">
        <v>310</v>
      </c>
      <c r="J626" s="101">
        <v>489</v>
      </c>
      <c r="K626" s="101">
        <v>799</v>
      </c>
      <c r="L626" s="101">
        <v>118</v>
      </c>
      <c r="M626" s="101">
        <v>125</v>
      </c>
      <c r="N626" s="101">
        <v>27</v>
      </c>
      <c r="O626" s="101">
        <v>20</v>
      </c>
      <c r="P626" s="101">
        <v>846</v>
      </c>
      <c r="Q626" s="101">
        <v>7170</v>
      </c>
      <c r="R626" s="12" t="s">
        <v>25</v>
      </c>
      <c r="S626" s="12" t="s">
        <v>25</v>
      </c>
      <c r="T626" s="12" t="s">
        <v>25</v>
      </c>
    </row>
    <row r="627" spans="1:20" x14ac:dyDescent="0.3">
      <c r="A627" s="13">
        <v>43914.708333333336</v>
      </c>
      <c r="B627" s="12" t="s">
        <v>22</v>
      </c>
      <c r="C627" s="101">
        <v>9</v>
      </c>
      <c r="D627" s="12" t="s">
        <v>57</v>
      </c>
      <c r="E627" s="101">
        <v>4376923077</v>
      </c>
      <c r="F627" s="101">
        <v>1125588885</v>
      </c>
      <c r="G627" s="101">
        <v>918</v>
      </c>
      <c r="H627" s="101">
        <v>244</v>
      </c>
      <c r="I627" s="101">
        <v>1162</v>
      </c>
      <c r="J627" s="101">
        <v>1357</v>
      </c>
      <c r="K627" s="101">
        <v>2519</v>
      </c>
      <c r="L627" s="101">
        <v>218</v>
      </c>
      <c r="M627" s="101">
        <v>238</v>
      </c>
      <c r="N627" s="101">
        <v>51</v>
      </c>
      <c r="O627" s="101">
        <v>129</v>
      </c>
      <c r="P627" s="101">
        <v>2699</v>
      </c>
      <c r="Q627" s="101">
        <v>15701</v>
      </c>
      <c r="R627" s="12" t="s">
        <v>25</v>
      </c>
      <c r="S627" s="12" t="s">
        <v>25</v>
      </c>
      <c r="T627" s="12" t="s">
        <v>25</v>
      </c>
    </row>
    <row r="628" spans="1:20" x14ac:dyDescent="0.3">
      <c r="A628" s="13">
        <v>43914.708333333336</v>
      </c>
      <c r="B628" s="12" t="s">
        <v>22</v>
      </c>
      <c r="C628" s="101">
        <v>4</v>
      </c>
      <c r="D628" s="12" t="s">
        <v>58</v>
      </c>
      <c r="E628" s="101">
        <v>4606893511</v>
      </c>
      <c r="F628" s="101">
        <v>1112123097</v>
      </c>
      <c r="G628" s="101">
        <v>308</v>
      </c>
      <c r="H628" s="101">
        <v>49</v>
      </c>
      <c r="I628" s="101">
        <v>357</v>
      </c>
      <c r="J628" s="101">
        <v>618</v>
      </c>
      <c r="K628" s="101">
        <v>975</v>
      </c>
      <c r="L628" s="101">
        <v>61</v>
      </c>
      <c r="M628" s="101">
        <v>87</v>
      </c>
      <c r="N628" s="101">
        <v>79</v>
      </c>
      <c r="O628" s="101">
        <v>56</v>
      </c>
      <c r="P628" s="101">
        <v>1110</v>
      </c>
      <c r="Q628" s="101">
        <v>3712</v>
      </c>
      <c r="R628" s="12" t="s">
        <v>25</v>
      </c>
      <c r="S628" s="12" t="s">
        <v>25</v>
      </c>
      <c r="T628" s="12" t="s">
        <v>25</v>
      </c>
    </row>
    <row r="629" spans="1:20" x14ac:dyDescent="0.3">
      <c r="A629" s="13">
        <v>43914.708333333336</v>
      </c>
      <c r="B629" s="12" t="s">
        <v>22</v>
      </c>
      <c r="C629" s="101">
        <v>10</v>
      </c>
      <c r="D629" s="12" t="s">
        <v>59</v>
      </c>
      <c r="E629" s="101">
        <v>4310675841</v>
      </c>
      <c r="F629" s="101">
        <v>1238824698</v>
      </c>
      <c r="G629" s="101">
        <v>105</v>
      </c>
      <c r="H629" s="101">
        <v>43</v>
      </c>
      <c r="I629" s="101">
        <v>148</v>
      </c>
      <c r="J629" s="101">
        <v>476</v>
      </c>
      <c r="K629" s="101">
        <v>624</v>
      </c>
      <c r="L629" s="101">
        <v>68</v>
      </c>
      <c r="M629" s="101">
        <v>71</v>
      </c>
      <c r="N629" s="101">
        <v>5</v>
      </c>
      <c r="O629" s="101">
        <v>19</v>
      </c>
      <c r="P629" s="101">
        <v>648</v>
      </c>
      <c r="Q629" s="101">
        <v>4108</v>
      </c>
      <c r="R629" s="12" t="s">
        <v>25</v>
      </c>
      <c r="S629" s="12" t="s">
        <v>25</v>
      </c>
      <c r="T629" s="12" t="s">
        <v>25</v>
      </c>
    </row>
    <row r="630" spans="1:20" x14ac:dyDescent="0.3">
      <c r="A630" s="13">
        <v>43914.708333333336</v>
      </c>
      <c r="B630" s="12" t="s">
        <v>22</v>
      </c>
      <c r="C630" s="101">
        <v>2</v>
      </c>
      <c r="D630" s="12" t="s">
        <v>60</v>
      </c>
      <c r="E630" s="101">
        <v>4573750286</v>
      </c>
      <c r="F630" s="101">
        <v>7320149366</v>
      </c>
      <c r="G630" s="101">
        <v>71</v>
      </c>
      <c r="H630" s="101">
        <v>20</v>
      </c>
      <c r="I630" s="101">
        <v>91</v>
      </c>
      <c r="J630" s="101">
        <v>288</v>
      </c>
      <c r="K630" s="101">
        <v>379</v>
      </c>
      <c r="L630" s="101">
        <v>0</v>
      </c>
      <c r="M630" s="101">
        <v>7</v>
      </c>
      <c r="N630" s="101">
        <v>2</v>
      </c>
      <c r="O630" s="101">
        <v>19</v>
      </c>
      <c r="P630" s="101">
        <v>400</v>
      </c>
      <c r="Q630" s="101">
        <v>1180</v>
      </c>
      <c r="R630" s="12" t="s">
        <v>25</v>
      </c>
      <c r="S630" s="12" t="s">
        <v>25</v>
      </c>
      <c r="T630" s="12" t="s">
        <v>25</v>
      </c>
    </row>
    <row r="631" spans="1:20" x14ac:dyDescent="0.3">
      <c r="A631" s="13">
        <v>43914.708333333336</v>
      </c>
      <c r="B631" s="12" t="s">
        <v>22</v>
      </c>
      <c r="C631" s="101">
        <v>5</v>
      </c>
      <c r="D631" s="12" t="s">
        <v>61</v>
      </c>
      <c r="E631" s="101">
        <v>4543490485</v>
      </c>
      <c r="F631" s="101">
        <v>1233845213</v>
      </c>
      <c r="G631" s="101">
        <v>1318</v>
      </c>
      <c r="H631" s="101">
        <v>304</v>
      </c>
      <c r="I631" s="101">
        <v>1622</v>
      </c>
      <c r="J631" s="101">
        <v>3729</v>
      </c>
      <c r="K631" s="101">
        <v>5351</v>
      </c>
      <c r="L631" s="101">
        <v>365</v>
      </c>
      <c r="M631" s="101">
        <v>443</v>
      </c>
      <c r="N631" s="101">
        <v>381</v>
      </c>
      <c r="O631" s="101">
        <v>216</v>
      </c>
      <c r="P631" s="101">
        <v>5948</v>
      </c>
      <c r="Q631" s="101">
        <v>66178</v>
      </c>
      <c r="R631" s="12" t="s">
        <v>25</v>
      </c>
      <c r="S631" s="12" t="s">
        <v>25</v>
      </c>
      <c r="T631" s="12" t="s">
        <v>25</v>
      </c>
    </row>
    <row r="632" spans="1:20" x14ac:dyDescent="0.3">
      <c r="A632" s="13">
        <v>43915.708333333336</v>
      </c>
      <c r="B632" s="12" t="s">
        <v>22</v>
      </c>
      <c r="C632" s="101">
        <v>13</v>
      </c>
      <c r="D632" s="12" t="s">
        <v>42</v>
      </c>
      <c r="E632" s="101">
        <v>4235122196</v>
      </c>
      <c r="F632" s="101">
        <v>1339843823</v>
      </c>
      <c r="G632" s="101">
        <v>248</v>
      </c>
      <c r="H632" s="101">
        <v>59</v>
      </c>
      <c r="I632" s="101">
        <v>307</v>
      </c>
      <c r="J632" s="101">
        <v>431</v>
      </c>
      <c r="K632" s="101">
        <v>738</v>
      </c>
      <c r="L632" s="101">
        <v>116</v>
      </c>
      <c r="M632" s="101">
        <v>124</v>
      </c>
      <c r="N632" s="101">
        <v>23</v>
      </c>
      <c r="O632" s="101">
        <v>52</v>
      </c>
      <c r="P632" s="101">
        <v>813</v>
      </c>
      <c r="Q632" s="101">
        <v>4982</v>
      </c>
      <c r="R632" s="12" t="s">
        <v>25</v>
      </c>
      <c r="S632" s="12" t="s">
        <v>25</v>
      </c>
      <c r="T632" s="12" t="s">
        <v>25</v>
      </c>
    </row>
    <row r="633" spans="1:20" x14ac:dyDescent="0.3">
      <c r="A633" s="13">
        <v>43915.708333333336</v>
      </c>
      <c r="B633" s="12" t="s">
        <v>22</v>
      </c>
      <c r="C633" s="101">
        <v>17</v>
      </c>
      <c r="D633" s="12" t="s">
        <v>43</v>
      </c>
      <c r="E633" s="101">
        <v>4063947052</v>
      </c>
      <c r="F633" s="101">
        <v>1580514834</v>
      </c>
      <c r="G633" s="101">
        <v>20</v>
      </c>
      <c r="H633" s="101">
        <v>14</v>
      </c>
      <c r="I633" s="101">
        <v>34</v>
      </c>
      <c r="J633" s="101">
        <v>78</v>
      </c>
      <c r="K633" s="101">
        <v>112</v>
      </c>
      <c r="L633" s="101">
        <v>21</v>
      </c>
      <c r="M633" s="101">
        <v>21</v>
      </c>
      <c r="N633" s="101">
        <v>0</v>
      </c>
      <c r="O633" s="101">
        <v>1</v>
      </c>
      <c r="P633" s="101">
        <v>113</v>
      </c>
      <c r="Q633" s="101">
        <v>857</v>
      </c>
      <c r="R633" s="12" t="s">
        <v>25</v>
      </c>
      <c r="S633" s="12" t="s">
        <v>25</v>
      </c>
      <c r="T633" s="12" t="s">
        <v>25</v>
      </c>
    </row>
    <row r="634" spans="1:20" x14ac:dyDescent="0.3">
      <c r="A634" s="13">
        <v>43915.708333333336</v>
      </c>
      <c r="B634" s="12" t="s">
        <v>22</v>
      </c>
      <c r="C634" s="101">
        <v>4</v>
      </c>
      <c r="D634" s="12" t="s">
        <v>44</v>
      </c>
      <c r="E634" s="101">
        <v>4649933453</v>
      </c>
      <c r="F634" s="101">
        <v>1135662422</v>
      </c>
      <c r="G634" s="101">
        <v>190</v>
      </c>
      <c r="H634" s="101">
        <v>40</v>
      </c>
      <c r="I634" s="101">
        <v>230</v>
      </c>
      <c r="J634" s="101">
        <v>518</v>
      </c>
      <c r="K634" s="101">
        <v>748</v>
      </c>
      <c r="L634" s="101">
        <v>49</v>
      </c>
      <c r="M634" s="101">
        <v>77</v>
      </c>
      <c r="N634" s="101">
        <v>67</v>
      </c>
      <c r="O634" s="101">
        <v>43</v>
      </c>
      <c r="P634" s="101">
        <v>858</v>
      </c>
      <c r="Q634" s="101">
        <v>6649</v>
      </c>
      <c r="R634" s="12" t="s">
        <v>25</v>
      </c>
      <c r="S634" s="12" t="s">
        <v>25</v>
      </c>
      <c r="T634" s="12" t="s">
        <v>25</v>
      </c>
    </row>
    <row r="635" spans="1:20" x14ac:dyDescent="0.3">
      <c r="A635" s="13">
        <v>43915.708333333336</v>
      </c>
      <c r="B635" s="12" t="s">
        <v>22</v>
      </c>
      <c r="C635" s="101">
        <v>18</v>
      </c>
      <c r="D635" s="12" t="s">
        <v>45</v>
      </c>
      <c r="E635" s="101">
        <v>3890597598</v>
      </c>
      <c r="F635" s="101">
        <v>1659440194</v>
      </c>
      <c r="G635" s="101">
        <v>93</v>
      </c>
      <c r="H635" s="101">
        <v>23</v>
      </c>
      <c r="I635" s="101">
        <v>116</v>
      </c>
      <c r="J635" s="101">
        <v>217</v>
      </c>
      <c r="K635" s="101">
        <v>333</v>
      </c>
      <c r="L635" s="101">
        <v>29</v>
      </c>
      <c r="M635" s="101">
        <v>32</v>
      </c>
      <c r="N635" s="101">
        <v>7</v>
      </c>
      <c r="O635" s="101">
        <v>11</v>
      </c>
      <c r="P635" s="101">
        <v>351</v>
      </c>
      <c r="Q635" s="101">
        <v>5058</v>
      </c>
      <c r="R635" s="12" t="s">
        <v>25</v>
      </c>
      <c r="S635" s="12" t="s">
        <v>25</v>
      </c>
      <c r="T635" s="12" t="s">
        <v>25</v>
      </c>
    </row>
    <row r="636" spans="1:20" x14ac:dyDescent="0.3">
      <c r="A636" s="13">
        <v>43915.708333333336</v>
      </c>
      <c r="B636" s="12" t="s">
        <v>22</v>
      </c>
      <c r="C636" s="101">
        <v>15</v>
      </c>
      <c r="D636" s="12" t="s">
        <v>46</v>
      </c>
      <c r="E636" s="101">
        <v>4083956555</v>
      </c>
      <c r="F636" s="101">
        <v>1425084984</v>
      </c>
      <c r="G636" s="101">
        <v>318</v>
      </c>
      <c r="H636" s="101">
        <v>123</v>
      </c>
      <c r="I636" s="101">
        <v>441</v>
      </c>
      <c r="J636" s="101">
        <v>631</v>
      </c>
      <c r="K636" s="101">
        <v>1072</v>
      </c>
      <c r="L636" s="101">
        <v>80</v>
      </c>
      <c r="M636" s="101">
        <v>98</v>
      </c>
      <c r="N636" s="101">
        <v>53</v>
      </c>
      <c r="O636" s="101">
        <v>74</v>
      </c>
      <c r="P636" s="101">
        <v>1199</v>
      </c>
      <c r="Q636" s="101">
        <v>6972</v>
      </c>
      <c r="R636" s="12" t="s">
        <v>25</v>
      </c>
      <c r="S636" s="12" t="s">
        <v>25</v>
      </c>
      <c r="T636" s="12" t="s">
        <v>25</v>
      </c>
    </row>
    <row r="637" spans="1:20" x14ac:dyDescent="0.3">
      <c r="A637" s="13">
        <v>43915.708333333336</v>
      </c>
      <c r="B637" s="12" t="s">
        <v>22</v>
      </c>
      <c r="C637" s="101">
        <v>8</v>
      </c>
      <c r="D637" s="12" t="s">
        <v>96</v>
      </c>
      <c r="E637" s="101">
        <v>4449436681</v>
      </c>
      <c r="F637" s="101">
        <v>113417208</v>
      </c>
      <c r="G637" s="101">
        <v>3180</v>
      </c>
      <c r="H637" s="101">
        <v>294</v>
      </c>
      <c r="I637" s="101">
        <v>3474</v>
      </c>
      <c r="J637" s="101">
        <v>4782</v>
      </c>
      <c r="K637" s="101">
        <v>8256</v>
      </c>
      <c r="L637" s="101">
        <v>545</v>
      </c>
      <c r="M637" s="101">
        <v>800</v>
      </c>
      <c r="N637" s="101">
        <v>721</v>
      </c>
      <c r="O637" s="101">
        <v>1077</v>
      </c>
      <c r="P637" s="101">
        <v>10054</v>
      </c>
      <c r="Q637" s="101">
        <v>38045</v>
      </c>
      <c r="R637" s="12" t="s">
        <v>25</v>
      </c>
      <c r="S637" s="12" t="s">
        <v>25</v>
      </c>
      <c r="T637" s="12" t="s">
        <v>25</v>
      </c>
    </row>
    <row r="638" spans="1:20" x14ac:dyDescent="0.3">
      <c r="A638" s="13">
        <v>43915.708333333336</v>
      </c>
      <c r="B638" s="12" t="s">
        <v>22</v>
      </c>
      <c r="C638" s="101">
        <v>6</v>
      </c>
      <c r="D638" s="12" t="s">
        <v>47</v>
      </c>
      <c r="E638" s="101">
        <v>456494354</v>
      </c>
      <c r="F638" s="101">
        <v>1376813649</v>
      </c>
      <c r="G638" s="101">
        <v>200</v>
      </c>
      <c r="H638" s="101">
        <v>52</v>
      </c>
      <c r="I638" s="101">
        <v>252</v>
      </c>
      <c r="J638" s="101">
        <v>659</v>
      </c>
      <c r="K638" s="101">
        <v>911</v>
      </c>
      <c r="L638" s="101">
        <v>63</v>
      </c>
      <c r="M638" s="101">
        <v>147</v>
      </c>
      <c r="N638" s="101">
        <v>158</v>
      </c>
      <c r="O638" s="101">
        <v>70</v>
      </c>
      <c r="P638" s="101">
        <v>1139</v>
      </c>
      <c r="Q638" s="101">
        <v>9494</v>
      </c>
      <c r="R638" s="12" t="s">
        <v>25</v>
      </c>
      <c r="S638" s="12" t="s">
        <v>25</v>
      </c>
      <c r="T638" s="12" t="s">
        <v>25</v>
      </c>
    </row>
    <row r="639" spans="1:20" x14ac:dyDescent="0.3">
      <c r="A639" s="13">
        <v>43915.708333333336</v>
      </c>
      <c r="B639" s="12" t="s">
        <v>22</v>
      </c>
      <c r="C639" s="101">
        <v>12</v>
      </c>
      <c r="D639" s="12" t="s">
        <v>48</v>
      </c>
      <c r="E639" s="101">
        <v>4189277044</v>
      </c>
      <c r="F639" s="101">
        <v>1248366722</v>
      </c>
      <c r="G639" s="101">
        <v>805</v>
      </c>
      <c r="H639" s="101">
        <v>101</v>
      </c>
      <c r="I639" s="101">
        <v>906</v>
      </c>
      <c r="J639" s="101">
        <v>769</v>
      </c>
      <c r="K639" s="101">
        <v>1675</v>
      </c>
      <c r="L639" s="101">
        <v>130</v>
      </c>
      <c r="M639" s="101">
        <v>173</v>
      </c>
      <c r="N639" s="101">
        <v>131</v>
      </c>
      <c r="O639" s="101">
        <v>95</v>
      </c>
      <c r="P639" s="101">
        <v>1901</v>
      </c>
      <c r="Q639" s="101">
        <v>20669</v>
      </c>
      <c r="R639" s="12" t="s">
        <v>25</v>
      </c>
      <c r="S639" s="12" t="s">
        <v>25</v>
      </c>
      <c r="T639" s="12" t="s">
        <v>25</v>
      </c>
    </row>
    <row r="640" spans="1:20" x14ac:dyDescent="0.3">
      <c r="A640" s="13">
        <v>43915.708333333336</v>
      </c>
      <c r="B640" s="12" t="s">
        <v>22</v>
      </c>
      <c r="C640" s="101">
        <v>7</v>
      </c>
      <c r="D640" s="12" t="s">
        <v>49</v>
      </c>
      <c r="E640" s="101">
        <v>4441149315</v>
      </c>
      <c r="F640" s="101">
        <v>89326992</v>
      </c>
      <c r="G640" s="101">
        <v>927</v>
      </c>
      <c r="H640" s="101">
        <v>147</v>
      </c>
      <c r="I640" s="101">
        <v>1074</v>
      </c>
      <c r="J640" s="101">
        <v>752</v>
      </c>
      <c r="K640" s="101">
        <v>1826</v>
      </c>
      <c r="L640" s="101">
        <v>134</v>
      </c>
      <c r="M640" s="101">
        <v>189</v>
      </c>
      <c r="N640" s="101">
        <v>225</v>
      </c>
      <c r="O640" s="101">
        <v>254</v>
      </c>
      <c r="P640" s="101">
        <v>2305</v>
      </c>
      <c r="Q640" s="101">
        <v>6602</v>
      </c>
      <c r="R640" s="12" t="s">
        <v>25</v>
      </c>
      <c r="S640" s="12" t="s">
        <v>25</v>
      </c>
      <c r="T640" s="12" t="s">
        <v>25</v>
      </c>
    </row>
    <row r="641" spans="1:20" x14ac:dyDescent="0.3">
      <c r="A641" s="13">
        <v>43915.708333333336</v>
      </c>
      <c r="B641" s="12" t="s">
        <v>22</v>
      </c>
      <c r="C641" s="101">
        <v>3</v>
      </c>
      <c r="D641" s="12" t="s">
        <v>50</v>
      </c>
      <c r="E641" s="101">
        <v>4546679409</v>
      </c>
      <c r="F641" s="101">
        <v>9190347404</v>
      </c>
      <c r="G641" s="101">
        <v>10026</v>
      </c>
      <c r="H641" s="101">
        <v>1236</v>
      </c>
      <c r="I641" s="101">
        <v>11262</v>
      </c>
      <c r="J641" s="101">
        <v>9329</v>
      </c>
      <c r="K641" s="101">
        <v>20591</v>
      </c>
      <c r="L641" s="101">
        <v>723</v>
      </c>
      <c r="M641" s="101">
        <v>1643</v>
      </c>
      <c r="N641" s="101">
        <v>7281</v>
      </c>
      <c r="O641" s="101">
        <v>4474</v>
      </c>
      <c r="P641" s="101">
        <v>32346</v>
      </c>
      <c r="Q641" s="101">
        <v>81666</v>
      </c>
      <c r="R641" s="12" t="s">
        <v>25</v>
      </c>
      <c r="S641" s="12" t="s">
        <v>25</v>
      </c>
      <c r="T641" s="12" t="s">
        <v>25</v>
      </c>
    </row>
    <row r="642" spans="1:20" x14ac:dyDescent="0.3">
      <c r="A642" s="13">
        <v>43915.708333333336</v>
      </c>
      <c r="B642" s="12" t="s">
        <v>22</v>
      </c>
      <c r="C642" s="101">
        <v>11</v>
      </c>
      <c r="D642" s="12" t="s">
        <v>51</v>
      </c>
      <c r="E642" s="101">
        <v>4361675973</v>
      </c>
      <c r="F642" s="101">
        <v>135188753</v>
      </c>
      <c r="G642" s="101">
        <v>938</v>
      </c>
      <c r="H642" s="101">
        <v>148</v>
      </c>
      <c r="I642" s="101">
        <v>1086</v>
      </c>
      <c r="J642" s="101">
        <v>1553</v>
      </c>
      <c r="K642" s="101">
        <v>2639</v>
      </c>
      <c r="L642" s="101">
        <v>142</v>
      </c>
      <c r="M642" s="101">
        <v>198</v>
      </c>
      <c r="N642" s="101">
        <v>8</v>
      </c>
      <c r="O642" s="101">
        <v>287</v>
      </c>
      <c r="P642" s="101">
        <v>2934</v>
      </c>
      <c r="Q642" s="101">
        <v>7896</v>
      </c>
      <c r="R642" s="12" t="s">
        <v>25</v>
      </c>
      <c r="S642" s="12" t="s">
        <v>25</v>
      </c>
      <c r="T642" s="12" t="s">
        <v>25</v>
      </c>
    </row>
    <row r="643" spans="1:20" x14ac:dyDescent="0.3">
      <c r="A643" s="13">
        <v>43915.708333333336</v>
      </c>
      <c r="B643" s="12" t="s">
        <v>22</v>
      </c>
      <c r="C643" s="101">
        <v>14</v>
      </c>
      <c r="D643" s="12" t="s">
        <v>52</v>
      </c>
      <c r="E643" s="101">
        <v>4155774754</v>
      </c>
      <c r="F643" s="101">
        <v>1465916051</v>
      </c>
      <c r="G643" s="101">
        <v>26</v>
      </c>
      <c r="H643" s="101">
        <v>7</v>
      </c>
      <c r="I643" s="101">
        <v>33</v>
      </c>
      <c r="J643" s="101">
        <v>20</v>
      </c>
      <c r="K643" s="101">
        <v>53</v>
      </c>
      <c r="L643" s="101">
        <v>-2</v>
      </c>
      <c r="M643" s="101">
        <v>0</v>
      </c>
      <c r="N643" s="101">
        <v>12</v>
      </c>
      <c r="O643" s="101">
        <v>8</v>
      </c>
      <c r="P643" s="101">
        <v>73</v>
      </c>
      <c r="Q643" s="101">
        <v>580</v>
      </c>
      <c r="R643" s="12" t="s">
        <v>25</v>
      </c>
      <c r="S643" s="12" t="s">
        <v>25</v>
      </c>
      <c r="T643" s="12" t="s">
        <v>25</v>
      </c>
    </row>
    <row r="644" spans="1:20" x14ac:dyDescent="0.3">
      <c r="A644" s="13">
        <v>43915.708333333336</v>
      </c>
      <c r="B644" s="12" t="s">
        <v>22</v>
      </c>
      <c r="C644" s="101">
        <v>1</v>
      </c>
      <c r="D644" s="12" t="s">
        <v>53</v>
      </c>
      <c r="E644" s="101">
        <v>450732745</v>
      </c>
      <c r="F644" s="101">
        <v>7680687483</v>
      </c>
      <c r="G644" s="101">
        <v>2544</v>
      </c>
      <c r="H644" s="101">
        <v>381</v>
      </c>
      <c r="I644" s="101">
        <v>2925</v>
      </c>
      <c r="J644" s="101">
        <v>2631</v>
      </c>
      <c r="K644" s="101">
        <v>5556</v>
      </c>
      <c r="L644" s="101">
        <v>432</v>
      </c>
      <c r="M644" s="101">
        <v>509</v>
      </c>
      <c r="N644" s="101">
        <v>19</v>
      </c>
      <c r="O644" s="101">
        <v>449</v>
      </c>
      <c r="P644" s="101">
        <v>6024</v>
      </c>
      <c r="Q644" s="101">
        <v>16655</v>
      </c>
      <c r="R644" s="12" t="s">
        <v>25</v>
      </c>
      <c r="S644" s="12" t="s">
        <v>25</v>
      </c>
      <c r="T644" s="12" t="s">
        <v>25</v>
      </c>
    </row>
    <row r="645" spans="1:20" x14ac:dyDescent="0.3">
      <c r="A645" s="13">
        <v>43915.708333333336</v>
      </c>
      <c r="B645" s="12" t="s">
        <v>22</v>
      </c>
      <c r="C645" s="101">
        <v>16</v>
      </c>
      <c r="D645" s="12" t="s">
        <v>54</v>
      </c>
      <c r="E645" s="101">
        <v>4112559576</v>
      </c>
      <c r="F645" s="101">
        <v>1686736689</v>
      </c>
      <c r="G645" s="101">
        <v>349</v>
      </c>
      <c r="H645" s="101">
        <v>64</v>
      </c>
      <c r="I645" s="101">
        <v>413</v>
      </c>
      <c r="J645" s="101">
        <v>610</v>
      </c>
      <c r="K645" s="101">
        <v>1023</v>
      </c>
      <c r="L645" s="101">
        <v>83</v>
      </c>
      <c r="M645" s="101">
        <v>88</v>
      </c>
      <c r="N645" s="101">
        <v>22</v>
      </c>
      <c r="O645" s="101">
        <v>48</v>
      </c>
      <c r="P645" s="101">
        <v>1093</v>
      </c>
      <c r="Q645" s="101">
        <v>8223</v>
      </c>
      <c r="R645" s="12" t="s">
        <v>25</v>
      </c>
      <c r="S645" s="12" t="s">
        <v>25</v>
      </c>
      <c r="T645" s="12" t="s">
        <v>25</v>
      </c>
    </row>
    <row r="646" spans="1:20" x14ac:dyDescent="0.3">
      <c r="A646" s="13">
        <v>43915.708333333336</v>
      </c>
      <c r="B646" s="12" t="s">
        <v>22</v>
      </c>
      <c r="C646" s="101">
        <v>20</v>
      </c>
      <c r="D646" s="12" t="s">
        <v>55</v>
      </c>
      <c r="E646" s="101">
        <v>3921531192</v>
      </c>
      <c r="F646" s="101">
        <v>9110616306</v>
      </c>
      <c r="G646" s="101">
        <v>82</v>
      </c>
      <c r="H646" s="101">
        <v>19</v>
      </c>
      <c r="I646" s="101">
        <v>101</v>
      </c>
      <c r="J646" s="101">
        <v>311</v>
      </c>
      <c r="K646" s="101">
        <v>412</v>
      </c>
      <c r="L646" s="101">
        <v>17</v>
      </c>
      <c r="M646" s="101">
        <v>21</v>
      </c>
      <c r="N646" s="101">
        <v>12</v>
      </c>
      <c r="O646" s="101">
        <v>18</v>
      </c>
      <c r="P646" s="101">
        <v>442</v>
      </c>
      <c r="Q646" s="101">
        <v>3019</v>
      </c>
      <c r="R646" s="12" t="s">
        <v>25</v>
      </c>
      <c r="S646" s="12" t="s">
        <v>25</v>
      </c>
      <c r="T646" s="12" t="s">
        <v>25</v>
      </c>
    </row>
    <row r="647" spans="1:20" x14ac:dyDescent="0.3">
      <c r="A647" s="13">
        <v>43915.708333333336</v>
      </c>
      <c r="B647" s="12" t="s">
        <v>22</v>
      </c>
      <c r="C647" s="101">
        <v>19</v>
      </c>
      <c r="D647" s="12" t="s">
        <v>56</v>
      </c>
      <c r="E647" s="101">
        <v>3811569725</v>
      </c>
      <c r="F647" s="101">
        <v>133623567</v>
      </c>
      <c r="G647" s="101">
        <v>259</v>
      </c>
      <c r="H647" s="101">
        <v>80</v>
      </c>
      <c r="I647" s="101">
        <v>339</v>
      </c>
      <c r="J647" s="101">
        <v>597</v>
      </c>
      <c r="K647" s="101">
        <v>936</v>
      </c>
      <c r="L647" s="101">
        <v>137</v>
      </c>
      <c r="M647" s="101">
        <v>148</v>
      </c>
      <c r="N647" s="101">
        <v>33</v>
      </c>
      <c r="O647" s="101">
        <v>25</v>
      </c>
      <c r="P647" s="101">
        <v>994</v>
      </c>
      <c r="Q647" s="101">
        <v>8312</v>
      </c>
      <c r="R647" s="12" t="s">
        <v>25</v>
      </c>
      <c r="S647" s="12" t="s">
        <v>25</v>
      </c>
      <c r="T647" s="12" t="s">
        <v>25</v>
      </c>
    </row>
    <row r="648" spans="1:20" x14ac:dyDescent="0.3">
      <c r="A648" s="13">
        <v>43915.708333333336</v>
      </c>
      <c r="B648" s="12" t="s">
        <v>22</v>
      </c>
      <c r="C648" s="101">
        <v>9</v>
      </c>
      <c r="D648" s="12" t="s">
        <v>57</v>
      </c>
      <c r="E648" s="101">
        <v>4376923077</v>
      </c>
      <c r="F648" s="101">
        <v>1125588885</v>
      </c>
      <c r="G648" s="101">
        <v>999</v>
      </c>
      <c r="H648" s="101">
        <v>251</v>
      </c>
      <c r="I648" s="101">
        <v>1250</v>
      </c>
      <c r="J648" s="101">
        <v>1526</v>
      </c>
      <c r="K648" s="101">
        <v>2776</v>
      </c>
      <c r="L648" s="101">
        <v>257</v>
      </c>
      <c r="M648" s="101">
        <v>273</v>
      </c>
      <c r="N648" s="101">
        <v>54</v>
      </c>
      <c r="O648" s="101">
        <v>142</v>
      </c>
      <c r="P648" s="101">
        <v>2972</v>
      </c>
      <c r="Q648" s="101">
        <v>17868</v>
      </c>
      <c r="R648" s="12" t="s">
        <v>25</v>
      </c>
      <c r="S648" s="12" t="s">
        <v>25</v>
      </c>
      <c r="T648" s="12" t="s">
        <v>25</v>
      </c>
    </row>
    <row r="649" spans="1:20" x14ac:dyDescent="0.3">
      <c r="A649" s="13">
        <v>43915.708333333336</v>
      </c>
      <c r="B649" s="12" t="s">
        <v>22</v>
      </c>
      <c r="C649" s="101">
        <v>4</v>
      </c>
      <c r="D649" s="12" t="s">
        <v>58</v>
      </c>
      <c r="E649" s="101">
        <v>4606893511</v>
      </c>
      <c r="F649" s="101">
        <v>1112123097</v>
      </c>
      <c r="G649" s="101">
        <v>308</v>
      </c>
      <c r="H649" s="101">
        <v>65</v>
      </c>
      <c r="I649" s="101">
        <v>373</v>
      </c>
      <c r="J649" s="101">
        <v>685</v>
      </c>
      <c r="K649" s="101">
        <v>1058</v>
      </c>
      <c r="L649" s="101">
        <v>83</v>
      </c>
      <c r="M649" s="101">
        <v>112</v>
      </c>
      <c r="N649" s="101">
        <v>90</v>
      </c>
      <c r="O649" s="101">
        <v>74</v>
      </c>
      <c r="P649" s="101">
        <v>1222</v>
      </c>
      <c r="Q649" s="101">
        <v>4114</v>
      </c>
      <c r="R649" s="12" t="s">
        <v>25</v>
      </c>
      <c r="S649" s="12" t="s">
        <v>25</v>
      </c>
      <c r="T649" s="12" t="s">
        <v>25</v>
      </c>
    </row>
    <row r="650" spans="1:20" x14ac:dyDescent="0.3">
      <c r="A650" s="13">
        <v>43915.708333333336</v>
      </c>
      <c r="B650" s="12" t="s">
        <v>22</v>
      </c>
      <c r="C650" s="101">
        <v>10</v>
      </c>
      <c r="D650" s="12" t="s">
        <v>59</v>
      </c>
      <c r="E650" s="101">
        <v>4310675841</v>
      </c>
      <c r="F650" s="101">
        <v>1238824698</v>
      </c>
      <c r="G650" s="101">
        <v>123</v>
      </c>
      <c r="H650" s="101">
        <v>44</v>
      </c>
      <c r="I650" s="101">
        <v>167</v>
      </c>
      <c r="J650" s="101">
        <v>519</v>
      </c>
      <c r="K650" s="101">
        <v>686</v>
      </c>
      <c r="L650" s="101">
        <v>62</v>
      </c>
      <c r="M650" s="101">
        <v>62</v>
      </c>
      <c r="N650" s="101">
        <v>5</v>
      </c>
      <c r="O650" s="101">
        <v>19</v>
      </c>
      <c r="P650" s="101">
        <v>710</v>
      </c>
      <c r="Q650" s="101">
        <v>4707</v>
      </c>
      <c r="R650" s="12" t="s">
        <v>25</v>
      </c>
      <c r="S650" s="12" t="s">
        <v>25</v>
      </c>
      <c r="T650" s="12" t="s">
        <v>25</v>
      </c>
    </row>
    <row r="651" spans="1:20" x14ac:dyDescent="0.3">
      <c r="A651" s="13">
        <v>43915.708333333336</v>
      </c>
      <c r="B651" s="12" t="s">
        <v>22</v>
      </c>
      <c r="C651" s="101">
        <v>2</v>
      </c>
      <c r="D651" s="12" t="s">
        <v>60</v>
      </c>
      <c r="E651" s="101">
        <v>4573750286</v>
      </c>
      <c r="F651" s="101">
        <v>7320149366</v>
      </c>
      <c r="G651" s="101">
        <v>70</v>
      </c>
      <c r="H651" s="101">
        <v>25</v>
      </c>
      <c r="I651" s="101">
        <v>95</v>
      </c>
      <c r="J651" s="101">
        <v>280</v>
      </c>
      <c r="K651" s="101">
        <v>375</v>
      </c>
      <c r="L651" s="101">
        <v>-4</v>
      </c>
      <c r="M651" s="101">
        <v>1</v>
      </c>
      <c r="N651" s="101">
        <v>2</v>
      </c>
      <c r="O651" s="101">
        <v>24</v>
      </c>
      <c r="P651" s="101">
        <v>401</v>
      </c>
      <c r="Q651" s="101">
        <v>1200</v>
      </c>
      <c r="R651" s="12" t="s">
        <v>25</v>
      </c>
      <c r="S651" s="12" t="s">
        <v>25</v>
      </c>
      <c r="T651" s="12" t="s">
        <v>25</v>
      </c>
    </row>
    <row r="652" spans="1:20" x14ac:dyDescent="0.3">
      <c r="A652" s="13">
        <v>43915.708333333336</v>
      </c>
      <c r="B652" s="12" t="s">
        <v>22</v>
      </c>
      <c r="C652" s="101">
        <v>5</v>
      </c>
      <c r="D652" s="12" t="s">
        <v>61</v>
      </c>
      <c r="E652" s="101">
        <v>4543490485</v>
      </c>
      <c r="F652" s="101">
        <v>1233845213</v>
      </c>
      <c r="G652" s="101">
        <v>1407</v>
      </c>
      <c r="H652" s="101">
        <v>316</v>
      </c>
      <c r="I652" s="101">
        <v>1723</v>
      </c>
      <c r="J652" s="101">
        <v>4022</v>
      </c>
      <c r="K652" s="101">
        <v>5745</v>
      </c>
      <c r="L652" s="101">
        <v>394</v>
      </c>
      <c r="M652" s="101">
        <v>494</v>
      </c>
      <c r="N652" s="101">
        <v>439</v>
      </c>
      <c r="O652" s="101">
        <v>258</v>
      </c>
      <c r="P652" s="101">
        <v>6442</v>
      </c>
      <c r="Q652" s="101">
        <v>70877</v>
      </c>
      <c r="R652" s="12" t="s">
        <v>25</v>
      </c>
      <c r="S652" s="12" t="s">
        <v>25</v>
      </c>
      <c r="T652" s="12" t="s">
        <v>25</v>
      </c>
    </row>
    <row r="653" spans="1:20" x14ac:dyDescent="0.3">
      <c r="A653" s="13">
        <v>43916.708333333336</v>
      </c>
      <c r="B653" s="12" t="s">
        <v>22</v>
      </c>
      <c r="C653" s="101">
        <v>13</v>
      </c>
      <c r="D653" s="12" t="s">
        <v>42</v>
      </c>
      <c r="E653" s="101">
        <v>4235122196</v>
      </c>
      <c r="F653" s="101">
        <v>1339843823</v>
      </c>
      <c r="G653" s="101">
        <v>280</v>
      </c>
      <c r="H653" s="101">
        <v>64</v>
      </c>
      <c r="I653" s="101">
        <v>344</v>
      </c>
      <c r="J653" s="101">
        <v>516</v>
      </c>
      <c r="K653" s="101">
        <v>860</v>
      </c>
      <c r="L653" s="101">
        <v>122</v>
      </c>
      <c r="M653" s="101">
        <v>133</v>
      </c>
      <c r="N653" s="101">
        <v>23</v>
      </c>
      <c r="O653" s="101">
        <v>63</v>
      </c>
      <c r="P653" s="101">
        <v>946</v>
      </c>
      <c r="Q653" s="101">
        <v>5488</v>
      </c>
      <c r="R653" s="12" t="s">
        <v>25</v>
      </c>
      <c r="S653" s="12" t="s">
        <v>25</v>
      </c>
      <c r="T653" s="12" t="s">
        <v>25</v>
      </c>
    </row>
    <row r="654" spans="1:20" x14ac:dyDescent="0.3">
      <c r="A654" s="13">
        <v>43916.708333333336</v>
      </c>
      <c r="B654" s="12" t="s">
        <v>22</v>
      </c>
      <c r="C654" s="101">
        <v>17</v>
      </c>
      <c r="D654" s="12" t="s">
        <v>43</v>
      </c>
      <c r="E654" s="101">
        <v>4063947052</v>
      </c>
      <c r="F654" s="101">
        <v>1580514834</v>
      </c>
      <c r="G654" s="101">
        <v>22</v>
      </c>
      <c r="H654" s="101">
        <v>16</v>
      </c>
      <c r="I654" s="101">
        <v>38</v>
      </c>
      <c r="J654" s="101">
        <v>95</v>
      </c>
      <c r="K654" s="101">
        <v>133</v>
      </c>
      <c r="L654" s="101">
        <v>21</v>
      </c>
      <c r="M654" s="101">
        <v>21</v>
      </c>
      <c r="N654" s="101">
        <v>0</v>
      </c>
      <c r="O654" s="101">
        <v>1</v>
      </c>
      <c r="P654" s="101">
        <v>134</v>
      </c>
      <c r="Q654" s="101">
        <v>1046</v>
      </c>
      <c r="R654" s="12" t="s">
        <v>25</v>
      </c>
      <c r="S654" s="12" t="s">
        <v>25</v>
      </c>
      <c r="T654" s="12" t="s">
        <v>25</v>
      </c>
    </row>
    <row r="655" spans="1:20" x14ac:dyDescent="0.3">
      <c r="A655" s="13">
        <v>43916.708333333336</v>
      </c>
      <c r="B655" s="12" t="s">
        <v>22</v>
      </c>
      <c r="C655" s="101">
        <v>4</v>
      </c>
      <c r="D655" s="12" t="s">
        <v>44</v>
      </c>
      <c r="E655" s="101">
        <v>4649933453</v>
      </c>
      <c r="F655" s="101">
        <v>1135662422</v>
      </c>
      <c r="G655" s="101">
        <v>223</v>
      </c>
      <c r="H655" s="101">
        <v>43</v>
      </c>
      <c r="I655" s="101">
        <v>266</v>
      </c>
      <c r="J655" s="101">
        <v>525</v>
      </c>
      <c r="K655" s="101">
        <v>791</v>
      </c>
      <c r="L655" s="101">
        <v>43</v>
      </c>
      <c r="M655" s="101">
        <v>48</v>
      </c>
      <c r="N655" s="101">
        <v>67</v>
      </c>
      <c r="O655" s="101">
        <v>48</v>
      </c>
      <c r="P655" s="101">
        <v>906</v>
      </c>
      <c r="Q655" s="101">
        <v>7744</v>
      </c>
      <c r="R655" s="12" t="s">
        <v>25</v>
      </c>
      <c r="S655" s="12" t="s">
        <v>25</v>
      </c>
      <c r="T655" s="12" t="s">
        <v>25</v>
      </c>
    </row>
    <row r="656" spans="1:20" x14ac:dyDescent="0.3">
      <c r="A656" s="13">
        <v>43916.708333333336</v>
      </c>
      <c r="B656" s="12" t="s">
        <v>22</v>
      </c>
      <c r="C656" s="101">
        <v>18</v>
      </c>
      <c r="D656" s="12" t="s">
        <v>45</v>
      </c>
      <c r="E656" s="101">
        <v>3890597598</v>
      </c>
      <c r="F656" s="101">
        <v>1659440194</v>
      </c>
      <c r="G656" s="101">
        <v>101</v>
      </c>
      <c r="H656" s="101">
        <v>23</v>
      </c>
      <c r="I656" s="101">
        <v>124</v>
      </c>
      <c r="J656" s="101">
        <v>248</v>
      </c>
      <c r="K656" s="101">
        <v>372</v>
      </c>
      <c r="L656" s="101">
        <v>39</v>
      </c>
      <c r="M656" s="101">
        <v>42</v>
      </c>
      <c r="N656" s="101">
        <v>7</v>
      </c>
      <c r="O656" s="101">
        <v>14</v>
      </c>
      <c r="P656" s="101">
        <v>393</v>
      </c>
      <c r="Q656" s="101">
        <v>5933</v>
      </c>
      <c r="R656" s="12" t="s">
        <v>25</v>
      </c>
      <c r="S656" s="12" t="s">
        <v>25</v>
      </c>
      <c r="T656" s="12" t="s">
        <v>25</v>
      </c>
    </row>
    <row r="657" spans="1:20" x14ac:dyDescent="0.3">
      <c r="A657" s="13">
        <v>43916.708333333336</v>
      </c>
      <c r="B657" s="12" t="s">
        <v>22</v>
      </c>
      <c r="C657" s="101">
        <v>15</v>
      </c>
      <c r="D657" s="12" t="s">
        <v>46</v>
      </c>
      <c r="E657" s="101">
        <v>4083956555</v>
      </c>
      <c r="F657" s="101">
        <v>1425084984</v>
      </c>
      <c r="G657" s="101">
        <v>448</v>
      </c>
      <c r="H657" s="101">
        <v>114</v>
      </c>
      <c r="I657" s="101">
        <v>562</v>
      </c>
      <c r="J657" s="101">
        <v>607</v>
      </c>
      <c r="K657" s="101">
        <v>1169</v>
      </c>
      <c r="L657" s="101">
        <v>97</v>
      </c>
      <c r="M657" s="101">
        <v>111</v>
      </c>
      <c r="N657" s="101">
        <v>58</v>
      </c>
      <c r="O657" s="101">
        <v>83</v>
      </c>
      <c r="P657" s="101">
        <v>1310</v>
      </c>
      <c r="Q657" s="101">
        <v>8346</v>
      </c>
      <c r="R657" s="12" t="s">
        <v>25</v>
      </c>
      <c r="S657" s="12" t="s">
        <v>25</v>
      </c>
      <c r="T657" s="12" t="s">
        <v>25</v>
      </c>
    </row>
    <row r="658" spans="1:20" x14ac:dyDescent="0.3">
      <c r="A658" s="13">
        <v>43916.708333333336</v>
      </c>
      <c r="B658" s="12" t="s">
        <v>22</v>
      </c>
      <c r="C658" s="101">
        <v>8</v>
      </c>
      <c r="D658" s="12" t="s">
        <v>96</v>
      </c>
      <c r="E658" s="101">
        <v>4449436681</v>
      </c>
      <c r="F658" s="101">
        <v>113417208</v>
      </c>
      <c r="G658" s="101">
        <v>3354</v>
      </c>
      <c r="H658" s="101">
        <v>301</v>
      </c>
      <c r="I658" s="101">
        <v>3655</v>
      </c>
      <c r="J658" s="101">
        <v>5195</v>
      </c>
      <c r="K658" s="101">
        <v>8850</v>
      </c>
      <c r="L658" s="101">
        <v>594</v>
      </c>
      <c r="M658" s="101">
        <v>762</v>
      </c>
      <c r="N658" s="101">
        <v>792</v>
      </c>
      <c r="O658" s="101">
        <v>1174</v>
      </c>
      <c r="P658" s="101">
        <v>10816</v>
      </c>
      <c r="Q658" s="101">
        <v>42395</v>
      </c>
      <c r="R658" s="12" t="s">
        <v>25</v>
      </c>
      <c r="S658" s="12" t="s">
        <v>25</v>
      </c>
      <c r="T658" s="12" t="s">
        <v>25</v>
      </c>
    </row>
    <row r="659" spans="1:20" x14ac:dyDescent="0.3">
      <c r="A659" s="13">
        <v>43916.708333333336</v>
      </c>
      <c r="B659" s="12" t="s">
        <v>22</v>
      </c>
      <c r="C659" s="101">
        <v>6</v>
      </c>
      <c r="D659" s="12" t="s">
        <v>47</v>
      </c>
      <c r="E659" s="101">
        <v>456494354</v>
      </c>
      <c r="F659" s="101">
        <v>1376813649</v>
      </c>
      <c r="G659" s="101">
        <v>212</v>
      </c>
      <c r="H659" s="101">
        <v>54</v>
      </c>
      <c r="I659" s="101">
        <v>266</v>
      </c>
      <c r="J659" s="101">
        <v>688</v>
      </c>
      <c r="K659" s="101">
        <v>954</v>
      </c>
      <c r="L659" s="101">
        <v>43</v>
      </c>
      <c r="M659" s="101">
        <v>84</v>
      </c>
      <c r="N659" s="101">
        <v>197</v>
      </c>
      <c r="O659" s="101">
        <v>72</v>
      </c>
      <c r="P659" s="101">
        <v>1223</v>
      </c>
      <c r="Q659" s="101">
        <v>10721</v>
      </c>
      <c r="R659" s="12" t="s">
        <v>25</v>
      </c>
      <c r="S659" s="12" t="s">
        <v>25</v>
      </c>
      <c r="T659" s="12" t="s">
        <v>25</v>
      </c>
    </row>
    <row r="660" spans="1:20" x14ac:dyDescent="0.3">
      <c r="A660" s="13">
        <v>43916.708333333336</v>
      </c>
      <c r="B660" s="12" t="s">
        <v>22</v>
      </c>
      <c r="C660" s="101">
        <v>12</v>
      </c>
      <c r="D660" s="12" t="s">
        <v>48</v>
      </c>
      <c r="E660" s="101">
        <v>4189277044</v>
      </c>
      <c r="F660" s="101">
        <v>1248366722</v>
      </c>
      <c r="G660" s="101">
        <v>878</v>
      </c>
      <c r="H660" s="101">
        <v>113</v>
      </c>
      <c r="I660" s="101">
        <v>991</v>
      </c>
      <c r="J660" s="101">
        <v>844</v>
      </c>
      <c r="K660" s="101">
        <v>1835</v>
      </c>
      <c r="L660" s="101">
        <v>160</v>
      </c>
      <c r="M660" s="101">
        <v>195</v>
      </c>
      <c r="N660" s="101">
        <v>155</v>
      </c>
      <c r="O660" s="101">
        <v>106</v>
      </c>
      <c r="P660" s="101">
        <v>2096</v>
      </c>
      <c r="Q660" s="101">
        <v>22771</v>
      </c>
      <c r="R660" s="12" t="s">
        <v>25</v>
      </c>
      <c r="S660" s="12" t="s">
        <v>25</v>
      </c>
      <c r="T660" s="12" t="s">
        <v>25</v>
      </c>
    </row>
    <row r="661" spans="1:20" x14ac:dyDescent="0.3">
      <c r="A661" s="13">
        <v>43916.708333333336</v>
      </c>
      <c r="B661" s="12" t="s">
        <v>22</v>
      </c>
      <c r="C661" s="101">
        <v>7</v>
      </c>
      <c r="D661" s="12" t="s">
        <v>49</v>
      </c>
      <c r="E661" s="101">
        <v>4441149315</v>
      </c>
      <c r="F661" s="101">
        <v>89326992</v>
      </c>
      <c r="G661" s="101">
        <v>998</v>
      </c>
      <c r="H661" s="101">
        <v>154</v>
      </c>
      <c r="I661" s="101">
        <v>1152</v>
      </c>
      <c r="J661" s="101">
        <v>875</v>
      </c>
      <c r="K661" s="101">
        <v>2027</v>
      </c>
      <c r="L661" s="101">
        <v>201</v>
      </c>
      <c r="M661" s="101">
        <v>262</v>
      </c>
      <c r="N661" s="101">
        <v>260</v>
      </c>
      <c r="O661" s="101">
        <v>280</v>
      </c>
      <c r="P661" s="101">
        <v>2567</v>
      </c>
      <c r="Q661" s="101">
        <v>7304</v>
      </c>
      <c r="R661" s="12" t="s">
        <v>25</v>
      </c>
      <c r="S661" s="12" t="s">
        <v>25</v>
      </c>
      <c r="T661" s="12" t="s">
        <v>25</v>
      </c>
    </row>
    <row r="662" spans="1:20" x14ac:dyDescent="0.3">
      <c r="A662" s="13">
        <v>43916.708333333336</v>
      </c>
      <c r="B662" s="12" t="s">
        <v>22</v>
      </c>
      <c r="C662" s="101">
        <v>3</v>
      </c>
      <c r="D662" s="12" t="s">
        <v>50</v>
      </c>
      <c r="E662" s="101">
        <v>4546679409</v>
      </c>
      <c r="F662" s="101">
        <v>9190347404</v>
      </c>
      <c r="G662" s="101">
        <v>10681</v>
      </c>
      <c r="H662" s="101">
        <v>1263</v>
      </c>
      <c r="I662" s="101">
        <v>11944</v>
      </c>
      <c r="J662" s="101">
        <v>10245</v>
      </c>
      <c r="K662" s="101">
        <v>22189</v>
      </c>
      <c r="L662" s="101">
        <v>1598</v>
      </c>
      <c r="M662" s="101">
        <v>2543</v>
      </c>
      <c r="N662" s="101">
        <v>7839</v>
      </c>
      <c r="O662" s="101">
        <v>4861</v>
      </c>
      <c r="P662" s="101">
        <v>34889</v>
      </c>
      <c r="Q662" s="101">
        <v>87713</v>
      </c>
      <c r="R662" s="12" t="s">
        <v>25</v>
      </c>
      <c r="S662" s="12" t="s">
        <v>25</v>
      </c>
      <c r="T662" s="12" t="s">
        <v>25</v>
      </c>
    </row>
    <row r="663" spans="1:20" x14ac:dyDescent="0.3">
      <c r="A663" s="13">
        <v>43916.708333333336</v>
      </c>
      <c r="B663" s="12" t="s">
        <v>22</v>
      </c>
      <c r="C663" s="101">
        <v>11</v>
      </c>
      <c r="D663" s="12" t="s">
        <v>51</v>
      </c>
      <c r="E663" s="101">
        <v>4361675973</v>
      </c>
      <c r="F663" s="101">
        <v>135188753</v>
      </c>
      <c r="G663" s="101">
        <v>977</v>
      </c>
      <c r="H663" s="101">
        <v>166</v>
      </c>
      <c r="I663" s="101">
        <v>1143</v>
      </c>
      <c r="J663" s="101">
        <v>1652</v>
      </c>
      <c r="K663" s="101">
        <v>2795</v>
      </c>
      <c r="L663" s="101">
        <v>156</v>
      </c>
      <c r="M663" s="101">
        <v>180</v>
      </c>
      <c r="N663" s="101">
        <v>9</v>
      </c>
      <c r="O663" s="101">
        <v>310</v>
      </c>
      <c r="P663" s="101">
        <v>3114</v>
      </c>
      <c r="Q663" s="101">
        <v>8623</v>
      </c>
      <c r="R663" s="12" t="s">
        <v>25</v>
      </c>
      <c r="S663" s="12" t="s">
        <v>25</v>
      </c>
      <c r="T663" s="12" t="s">
        <v>25</v>
      </c>
    </row>
    <row r="664" spans="1:20" x14ac:dyDescent="0.3">
      <c r="A664" s="13">
        <v>43916.708333333336</v>
      </c>
      <c r="B664" s="12" t="s">
        <v>22</v>
      </c>
      <c r="C664" s="101">
        <v>14</v>
      </c>
      <c r="D664" s="12" t="s">
        <v>52</v>
      </c>
      <c r="E664" s="101">
        <v>4155774754</v>
      </c>
      <c r="F664" s="101">
        <v>1465916051</v>
      </c>
      <c r="G664" s="101">
        <v>27</v>
      </c>
      <c r="H664" s="101">
        <v>8</v>
      </c>
      <c r="I664" s="101">
        <v>35</v>
      </c>
      <c r="J664" s="101">
        <v>46</v>
      </c>
      <c r="K664" s="101">
        <v>81</v>
      </c>
      <c r="L664" s="101">
        <v>28</v>
      </c>
      <c r="M664" s="101">
        <v>30</v>
      </c>
      <c r="N664" s="101">
        <v>14</v>
      </c>
      <c r="O664" s="101">
        <v>8</v>
      </c>
      <c r="P664" s="101">
        <v>103</v>
      </c>
      <c r="Q664" s="101">
        <v>670</v>
      </c>
      <c r="R664" s="12" t="s">
        <v>25</v>
      </c>
      <c r="S664" s="12" t="s">
        <v>25</v>
      </c>
      <c r="T664" s="12" t="s">
        <v>25</v>
      </c>
    </row>
    <row r="665" spans="1:20" x14ac:dyDescent="0.3">
      <c r="A665" s="13">
        <v>43916.708333333336</v>
      </c>
      <c r="B665" s="12" t="s">
        <v>22</v>
      </c>
      <c r="C665" s="101">
        <v>1</v>
      </c>
      <c r="D665" s="12" t="s">
        <v>53</v>
      </c>
      <c r="E665" s="101">
        <v>450732745</v>
      </c>
      <c r="F665" s="101">
        <v>7680687483</v>
      </c>
      <c r="G665" s="101">
        <v>2633</v>
      </c>
      <c r="H665" s="101">
        <v>408</v>
      </c>
      <c r="I665" s="101">
        <v>3041</v>
      </c>
      <c r="J665" s="101">
        <v>2909</v>
      </c>
      <c r="K665" s="101">
        <v>5950</v>
      </c>
      <c r="L665" s="101">
        <v>394</v>
      </c>
      <c r="M665" s="101">
        <v>510</v>
      </c>
      <c r="N665" s="101">
        <v>135</v>
      </c>
      <c r="O665" s="101">
        <v>449</v>
      </c>
      <c r="P665" s="101">
        <v>6534</v>
      </c>
      <c r="Q665" s="101">
        <v>18054</v>
      </c>
      <c r="R665" s="12" t="s">
        <v>25</v>
      </c>
      <c r="S665" s="12" t="s">
        <v>89</v>
      </c>
      <c r="T665" s="12" t="s">
        <v>90</v>
      </c>
    </row>
    <row r="666" spans="1:20" x14ac:dyDescent="0.3">
      <c r="A666" s="13">
        <v>43916.708333333336</v>
      </c>
      <c r="B666" s="12" t="s">
        <v>22</v>
      </c>
      <c r="C666" s="101">
        <v>16</v>
      </c>
      <c r="D666" s="12" t="s">
        <v>54</v>
      </c>
      <c r="E666" s="101">
        <v>4112559576</v>
      </c>
      <c r="F666" s="101">
        <v>1686736689</v>
      </c>
      <c r="G666" s="101">
        <v>480</v>
      </c>
      <c r="H666" s="101">
        <v>76</v>
      </c>
      <c r="I666" s="101">
        <v>556</v>
      </c>
      <c r="J666" s="101">
        <v>539</v>
      </c>
      <c r="K666" s="101">
        <v>1095</v>
      </c>
      <c r="L666" s="101">
        <v>72</v>
      </c>
      <c r="M666" s="101">
        <v>89</v>
      </c>
      <c r="N666" s="101">
        <v>22</v>
      </c>
      <c r="O666" s="101">
        <v>65</v>
      </c>
      <c r="P666" s="101">
        <v>1182</v>
      </c>
      <c r="Q666" s="101">
        <v>9191</v>
      </c>
      <c r="R666" s="12" t="s">
        <v>25</v>
      </c>
      <c r="S666" s="12" t="s">
        <v>25</v>
      </c>
      <c r="T666" s="12" t="s">
        <v>25</v>
      </c>
    </row>
    <row r="667" spans="1:20" x14ac:dyDescent="0.3">
      <c r="A667" s="13">
        <v>43916.708333333336</v>
      </c>
      <c r="B667" s="12" t="s">
        <v>22</v>
      </c>
      <c r="C667" s="101">
        <v>20</v>
      </c>
      <c r="D667" s="12" t="s">
        <v>55</v>
      </c>
      <c r="E667" s="101">
        <v>3921531192</v>
      </c>
      <c r="F667" s="101">
        <v>9110616306</v>
      </c>
      <c r="G667" s="101">
        <v>92</v>
      </c>
      <c r="H667" s="101">
        <v>20</v>
      </c>
      <c r="I667" s="101">
        <v>112</v>
      </c>
      <c r="J667" s="101">
        <v>350</v>
      </c>
      <c r="K667" s="101">
        <v>462</v>
      </c>
      <c r="L667" s="101">
        <v>50</v>
      </c>
      <c r="M667" s="101">
        <v>52</v>
      </c>
      <c r="N667" s="101">
        <v>13</v>
      </c>
      <c r="O667" s="101">
        <v>19</v>
      </c>
      <c r="P667" s="101">
        <v>494</v>
      </c>
      <c r="Q667" s="101">
        <v>3461</v>
      </c>
      <c r="R667" s="12" t="s">
        <v>25</v>
      </c>
      <c r="S667" s="12" t="s">
        <v>25</v>
      </c>
      <c r="T667" s="12" t="s">
        <v>25</v>
      </c>
    </row>
    <row r="668" spans="1:20" x14ac:dyDescent="0.3">
      <c r="A668" s="13">
        <v>43916.708333333336</v>
      </c>
      <c r="B668" s="12" t="s">
        <v>22</v>
      </c>
      <c r="C668" s="101">
        <v>19</v>
      </c>
      <c r="D668" s="12" t="s">
        <v>56</v>
      </c>
      <c r="E668" s="101">
        <v>3811569725</v>
      </c>
      <c r="F668" s="101">
        <v>133623567</v>
      </c>
      <c r="G668" s="101">
        <v>346</v>
      </c>
      <c r="H668" s="101">
        <v>68</v>
      </c>
      <c r="I668" s="101">
        <v>414</v>
      </c>
      <c r="J668" s="101">
        <v>681</v>
      </c>
      <c r="K668" s="101">
        <v>1095</v>
      </c>
      <c r="L668" s="101">
        <v>159</v>
      </c>
      <c r="M668" s="101">
        <v>170</v>
      </c>
      <c r="N668" s="101">
        <v>36</v>
      </c>
      <c r="O668" s="101">
        <v>33</v>
      </c>
      <c r="P668" s="101">
        <v>1164</v>
      </c>
      <c r="Q668" s="101">
        <v>9658</v>
      </c>
      <c r="R668" s="12" t="s">
        <v>25</v>
      </c>
      <c r="S668" s="12" t="s">
        <v>25</v>
      </c>
      <c r="T668" s="12" t="s">
        <v>25</v>
      </c>
    </row>
    <row r="669" spans="1:20" x14ac:dyDescent="0.3">
      <c r="A669" s="13">
        <v>43916.708333333336</v>
      </c>
      <c r="B669" s="12" t="s">
        <v>22</v>
      </c>
      <c r="C669" s="101">
        <v>9</v>
      </c>
      <c r="D669" s="12" t="s">
        <v>57</v>
      </c>
      <c r="E669" s="101">
        <v>4376923077</v>
      </c>
      <c r="F669" s="101">
        <v>1125588885</v>
      </c>
      <c r="G669" s="101">
        <v>1037</v>
      </c>
      <c r="H669" s="101">
        <v>259</v>
      </c>
      <c r="I669" s="101">
        <v>1296</v>
      </c>
      <c r="J669" s="101">
        <v>1677</v>
      </c>
      <c r="K669" s="101">
        <v>2973</v>
      </c>
      <c r="L669" s="101">
        <v>197</v>
      </c>
      <c r="M669" s="101">
        <v>254</v>
      </c>
      <c r="N669" s="101">
        <v>95</v>
      </c>
      <c r="O669" s="101">
        <v>158</v>
      </c>
      <c r="P669" s="101">
        <v>3226</v>
      </c>
      <c r="Q669" s="101">
        <v>20952</v>
      </c>
      <c r="R669" s="12" t="s">
        <v>25</v>
      </c>
      <c r="S669" s="12" t="s">
        <v>25</v>
      </c>
      <c r="T669" s="12" t="s">
        <v>25</v>
      </c>
    </row>
    <row r="670" spans="1:20" x14ac:dyDescent="0.3">
      <c r="A670" s="13">
        <v>43916.708333333336</v>
      </c>
      <c r="B670" s="12" t="s">
        <v>22</v>
      </c>
      <c r="C670" s="101">
        <v>4</v>
      </c>
      <c r="D670" s="12" t="s">
        <v>58</v>
      </c>
      <c r="E670" s="101">
        <v>4606893511</v>
      </c>
      <c r="F670" s="101">
        <v>1112123097</v>
      </c>
      <c r="G670" s="101">
        <v>300</v>
      </c>
      <c r="H670" s="101">
        <v>66</v>
      </c>
      <c r="I670" s="101">
        <v>366</v>
      </c>
      <c r="J670" s="101">
        <v>728</v>
      </c>
      <c r="K670" s="101">
        <v>1094</v>
      </c>
      <c r="L670" s="101">
        <v>36</v>
      </c>
      <c r="M670" s="101">
        <v>75</v>
      </c>
      <c r="N670" s="101">
        <v>117</v>
      </c>
      <c r="O670" s="101">
        <v>86</v>
      </c>
      <c r="P670" s="101">
        <v>1297</v>
      </c>
      <c r="Q670" s="101">
        <v>4600</v>
      </c>
      <c r="R670" s="12" t="s">
        <v>25</v>
      </c>
      <c r="S670" s="12" t="s">
        <v>25</v>
      </c>
      <c r="T670" s="12" t="s">
        <v>25</v>
      </c>
    </row>
    <row r="671" spans="1:20" x14ac:dyDescent="0.3">
      <c r="A671" s="13">
        <v>43916.708333333336</v>
      </c>
      <c r="B671" s="12" t="s">
        <v>22</v>
      </c>
      <c r="C671" s="101">
        <v>10</v>
      </c>
      <c r="D671" s="12" t="s">
        <v>59</v>
      </c>
      <c r="E671" s="101">
        <v>4310675841</v>
      </c>
      <c r="F671" s="101">
        <v>1238824698</v>
      </c>
      <c r="G671" s="101">
        <v>144</v>
      </c>
      <c r="H671" s="101">
        <v>46</v>
      </c>
      <c r="I671" s="101">
        <v>190</v>
      </c>
      <c r="J671" s="101">
        <v>580</v>
      </c>
      <c r="K671" s="101">
        <v>770</v>
      </c>
      <c r="L671" s="101">
        <v>84</v>
      </c>
      <c r="M671" s="101">
        <v>92</v>
      </c>
      <c r="N671" s="101">
        <v>12</v>
      </c>
      <c r="O671" s="101">
        <v>20</v>
      </c>
      <c r="P671" s="101">
        <v>802</v>
      </c>
      <c r="Q671" s="101">
        <v>5428</v>
      </c>
      <c r="R671" s="12" t="s">
        <v>25</v>
      </c>
      <c r="S671" s="12" t="s">
        <v>25</v>
      </c>
      <c r="T671" s="12" t="s">
        <v>25</v>
      </c>
    </row>
    <row r="672" spans="1:20" x14ac:dyDescent="0.3">
      <c r="A672" s="13">
        <v>43916.708333333336</v>
      </c>
      <c r="B672" s="12" t="s">
        <v>22</v>
      </c>
      <c r="C672" s="101">
        <v>2</v>
      </c>
      <c r="D672" s="12" t="s">
        <v>60</v>
      </c>
      <c r="E672" s="101">
        <v>4573750286</v>
      </c>
      <c r="F672" s="101">
        <v>7320149366</v>
      </c>
      <c r="G672" s="101">
        <v>73</v>
      </c>
      <c r="H672" s="101">
        <v>24</v>
      </c>
      <c r="I672" s="101">
        <v>97</v>
      </c>
      <c r="J672" s="101">
        <v>281</v>
      </c>
      <c r="K672" s="101">
        <v>378</v>
      </c>
      <c r="L672" s="101">
        <v>3</v>
      </c>
      <c r="M672" s="101">
        <v>7</v>
      </c>
      <c r="N672" s="101">
        <v>2</v>
      </c>
      <c r="O672" s="101">
        <v>28</v>
      </c>
      <c r="P672" s="101">
        <v>408</v>
      </c>
      <c r="Q672" s="101">
        <v>1203</v>
      </c>
      <c r="R672" s="12" t="s">
        <v>25</v>
      </c>
      <c r="S672" s="12" t="s">
        <v>25</v>
      </c>
      <c r="T672" s="12" t="s">
        <v>25</v>
      </c>
    </row>
    <row r="673" spans="1:20" x14ac:dyDescent="0.3">
      <c r="A673" s="13">
        <v>43916.708333333336</v>
      </c>
      <c r="B673" s="12" t="s">
        <v>22</v>
      </c>
      <c r="C673" s="101">
        <v>5</v>
      </c>
      <c r="D673" s="12" t="s">
        <v>61</v>
      </c>
      <c r="E673" s="101">
        <v>4543490485</v>
      </c>
      <c r="F673" s="101">
        <v>1233845213</v>
      </c>
      <c r="G673" s="101">
        <v>1447</v>
      </c>
      <c r="H673" s="101">
        <v>326</v>
      </c>
      <c r="I673" s="101">
        <v>1773</v>
      </c>
      <c r="J673" s="101">
        <v>4367</v>
      </c>
      <c r="K673" s="101">
        <v>6140</v>
      </c>
      <c r="L673" s="101">
        <v>395</v>
      </c>
      <c r="M673" s="101">
        <v>493</v>
      </c>
      <c r="N673" s="101">
        <v>508</v>
      </c>
      <c r="O673" s="101">
        <v>287</v>
      </c>
      <c r="P673" s="101">
        <v>6935</v>
      </c>
      <c r="Q673" s="101">
        <v>79759</v>
      </c>
      <c r="R673" s="12" t="s">
        <v>25</v>
      </c>
      <c r="S673" s="12" t="s">
        <v>25</v>
      </c>
      <c r="T673" s="12" t="s">
        <v>25</v>
      </c>
    </row>
    <row r="674" spans="1:20" x14ac:dyDescent="0.3">
      <c r="A674" s="13">
        <v>43917.708333333336</v>
      </c>
      <c r="B674" s="12" t="s">
        <v>22</v>
      </c>
      <c r="C674" s="101">
        <v>13</v>
      </c>
      <c r="D674" s="12" t="s">
        <v>42</v>
      </c>
      <c r="E674" s="101">
        <v>4235122196</v>
      </c>
      <c r="F674" s="101">
        <v>1339843823</v>
      </c>
      <c r="G674" s="101">
        <v>289</v>
      </c>
      <c r="H674" s="101">
        <v>71</v>
      </c>
      <c r="I674" s="101">
        <v>360</v>
      </c>
      <c r="J674" s="101">
        <v>565</v>
      </c>
      <c r="K674" s="101">
        <v>925</v>
      </c>
      <c r="L674" s="101">
        <v>65</v>
      </c>
      <c r="M674" s="101">
        <v>71</v>
      </c>
      <c r="N674" s="101">
        <v>24</v>
      </c>
      <c r="O674" s="101">
        <v>68</v>
      </c>
      <c r="P674" s="101">
        <v>1017</v>
      </c>
      <c r="Q674" s="101">
        <v>6109</v>
      </c>
      <c r="R674" s="12" t="s">
        <v>25</v>
      </c>
      <c r="S674" s="12" t="s">
        <v>25</v>
      </c>
      <c r="T674" s="12" t="s">
        <v>25</v>
      </c>
    </row>
    <row r="675" spans="1:20" x14ac:dyDescent="0.3">
      <c r="A675" s="13">
        <v>43917.708333333336</v>
      </c>
      <c r="B675" s="12" t="s">
        <v>22</v>
      </c>
      <c r="C675" s="101">
        <v>17</v>
      </c>
      <c r="D675" s="12" t="s">
        <v>43</v>
      </c>
      <c r="E675" s="101">
        <v>4063947052</v>
      </c>
      <c r="F675" s="101">
        <v>1580514834</v>
      </c>
      <c r="G675" s="101">
        <v>22</v>
      </c>
      <c r="H675" s="101">
        <v>15</v>
      </c>
      <c r="I675" s="101">
        <v>37</v>
      </c>
      <c r="J675" s="101">
        <v>110</v>
      </c>
      <c r="K675" s="101">
        <v>147</v>
      </c>
      <c r="L675" s="101">
        <v>14</v>
      </c>
      <c r="M675" s="101">
        <v>17</v>
      </c>
      <c r="N675" s="101">
        <v>1</v>
      </c>
      <c r="O675" s="101">
        <v>3</v>
      </c>
      <c r="P675" s="101">
        <v>151</v>
      </c>
      <c r="Q675" s="101">
        <v>1254</v>
      </c>
      <c r="R675" s="12" t="s">
        <v>25</v>
      </c>
      <c r="S675" s="12" t="s">
        <v>25</v>
      </c>
      <c r="T675" s="12" t="s">
        <v>25</v>
      </c>
    </row>
    <row r="676" spans="1:20" x14ac:dyDescent="0.3">
      <c r="A676" s="13">
        <v>43917.708333333336</v>
      </c>
      <c r="B676" s="12" t="s">
        <v>22</v>
      </c>
      <c r="C676" s="101">
        <v>4</v>
      </c>
      <c r="D676" s="12" t="s">
        <v>44</v>
      </c>
      <c r="E676" s="101">
        <v>4649933453</v>
      </c>
      <c r="F676" s="101">
        <v>1135662422</v>
      </c>
      <c r="G676" s="101">
        <v>249</v>
      </c>
      <c r="H676" s="101">
        <v>45</v>
      </c>
      <c r="I676" s="101">
        <v>294</v>
      </c>
      <c r="J676" s="101">
        <v>539</v>
      </c>
      <c r="K676" s="101">
        <v>833</v>
      </c>
      <c r="L676" s="101">
        <v>42</v>
      </c>
      <c r="M676" s="101">
        <v>97</v>
      </c>
      <c r="N676" s="101">
        <v>110</v>
      </c>
      <c r="O676" s="101">
        <v>60</v>
      </c>
      <c r="P676" s="101">
        <v>1003</v>
      </c>
      <c r="Q676" s="101">
        <v>8520</v>
      </c>
      <c r="R676" s="12" t="s">
        <v>25</v>
      </c>
      <c r="S676" s="12" t="s">
        <v>25</v>
      </c>
      <c r="T676" s="12" t="s">
        <v>25</v>
      </c>
    </row>
    <row r="677" spans="1:20" x14ac:dyDescent="0.3">
      <c r="A677" s="13">
        <v>43917.708333333336</v>
      </c>
      <c r="B677" s="12" t="s">
        <v>22</v>
      </c>
      <c r="C677" s="101">
        <v>18</v>
      </c>
      <c r="D677" s="12" t="s">
        <v>45</v>
      </c>
      <c r="E677" s="101">
        <v>3890597598</v>
      </c>
      <c r="F677" s="101">
        <v>1659440194</v>
      </c>
      <c r="G677" s="101">
        <v>103</v>
      </c>
      <c r="H677" s="101">
        <v>22</v>
      </c>
      <c r="I677" s="101">
        <v>125</v>
      </c>
      <c r="J677" s="101">
        <v>344</v>
      </c>
      <c r="K677" s="101">
        <v>469</v>
      </c>
      <c r="L677" s="101">
        <v>97</v>
      </c>
      <c r="M677" s="101">
        <v>101</v>
      </c>
      <c r="N677" s="101">
        <v>7</v>
      </c>
      <c r="O677" s="101">
        <v>18</v>
      </c>
      <c r="P677" s="101">
        <v>494</v>
      </c>
      <c r="Q677" s="101">
        <v>6901</v>
      </c>
      <c r="R677" s="12" t="s">
        <v>25</v>
      </c>
      <c r="S677" s="12" t="s">
        <v>25</v>
      </c>
      <c r="T677" s="12" t="s">
        <v>25</v>
      </c>
    </row>
    <row r="678" spans="1:20" x14ac:dyDescent="0.3">
      <c r="A678" s="13">
        <v>43917.708333333336</v>
      </c>
      <c r="B678" s="12" t="s">
        <v>22</v>
      </c>
      <c r="C678" s="101">
        <v>15</v>
      </c>
      <c r="D678" s="12" t="s">
        <v>46</v>
      </c>
      <c r="E678" s="101">
        <v>4083956555</v>
      </c>
      <c r="F678" s="101">
        <v>1425084984</v>
      </c>
      <c r="G678" s="101">
        <v>456</v>
      </c>
      <c r="H678" s="101">
        <v>113</v>
      </c>
      <c r="I678" s="101">
        <v>569</v>
      </c>
      <c r="J678" s="101">
        <v>723</v>
      </c>
      <c r="K678" s="101">
        <v>1292</v>
      </c>
      <c r="L678" s="101">
        <v>123</v>
      </c>
      <c r="M678" s="101">
        <v>144</v>
      </c>
      <c r="N678" s="101">
        <v>64</v>
      </c>
      <c r="O678" s="101">
        <v>98</v>
      </c>
      <c r="P678" s="101">
        <v>1454</v>
      </c>
      <c r="Q678" s="101">
        <v>9613</v>
      </c>
      <c r="R678" s="12" t="s">
        <v>25</v>
      </c>
      <c r="S678" s="12" t="s">
        <v>25</v>
      </c>
      <c r="T678" s="12" t="s">
        <v>25</v>
      </c>
    </row>
    <row r="679" spans="1:20" x14ac:dyDescent="0.3">
      <c r="A679" s="13">
        <v>43917.708333333336</v>
      </c>
      <c r="B679" s="12" t="s">
        <v>22</v>
      </c>
      <c r="C679" s="101">
        <v>8</v>
      </c>
      <c r="D679" s="12" t="s">
        <v>96</v>
      </c>
      <c r="E679" s="101">
        <v>4449436681</v>
      </c>
      <c r="F679" s="101">
        <v>113417208</v>
      </c>
      <c r="G679" s="101">
        <v>3461</v>
      </c>
      <c r="H679" s="101">
        <v>308</v>
      </c>
      <c r="I679" s="101">
        <v>3769</v>
      </c>
      <c r="J679" s="101">
        <v>5592</v>
      </c>
      <c r="K679" s="101">
        <v>9361</v>
      </c>
      <c r="L679" s="101">
        <v>511</v>
      </c>
      <c r="M679" s="101">
        <v>772</v>
      </c>
      <c r="N679" s="101">
        <v>960</v>
      </c>
      <c r="O679" s="101">
        <v>1267</v>
      </c>
      <c r="P679" s="101">
        <v>11588</v>
      </c>
      <c r="Q679" s="101">
        <v>47798</v>
      </c>
      <c r="R679" s="12" t="s">
        <v>25</v>
      </c>
      <c r="S679" s="12" t="s">
        <v>25</v>
      </c>
      <c r="T679" s="12" t="s">
        <v>25</v>
      </c>
    </row>
    <row r="680" spans="1:20" x14ac:dyDescent="0.3">
      <c r="A680" s="13">
        <v>43917.708333333336</v>
      </c>
      <c r="B680" s="12" t="s">
        <v>22</v>
      </c>
      <c r="C680" s="101">
        <v>6</v>
      </c>
      <c r="D680" s="12" t="s">
        <v>47</v>
      </c>
      <c r="E680" s="101">
        <v>456494354</v>
      </c>
      <c r="F680" s="101">
        <v>1376813649</v>
      </c>
      <c r="G680" s="101">
        <v>222</v>
      </c>
      <c r="H680" s="101">
        <v>57</v>
      </c>
      <c r="I680" s="101">
        <v>279</v>
      </c>
      <c r="J680" s="101">
        <v>748</v>
      </c>
      <c r="K680" s="101">
        <v>1027</v>
      </c>
      <c r="L680" s="101">
        <v>73</v>
      </c>
      <c r="M680" s="101">
        <v>94</v>
      </c>
      <c r="N680" s="101">
        <v>214</v>
      </c>
      <c r="O680" s="101">
        <v>76</v>
      </c>
      <c r="P680" s="101">
        <v>1317</v>
      </c>
      <c r="Q680" s="101">
        <v>11841</v>
      </c>
      <c r="R680" s="12" t="s">
        <v>25</v>
      </c>
      <c r="S680" s="12" t="s">
        <v>25</v>
      </c>
      <c r="T680" s="12" t="s">
        <v>25</v>
      </c>
    </row>
    <row r="681" spans="1:20" x14ac:dyDescent="0.3">
      <c r="A681" s="13">
        <v>43917.708333333336</v>
      </c>
      <c r="B681" s="12" t="s">
        <v>22</v>
      </c>
      <c r="C681" s="101">
        <v>12</v>
      </c>
      <c r="D681" s="12" t="s">
        <v>48</v>
      </c>
      <c r="E681" s="101">
        <v>4189277044</v>
      </c>
      <c r="F681" s="101">
        <v>1248366722</v>
      </c>
      <c r="G681" s="101">
        <v>992</v>
      </c>
      <c r="H681" s="101">
        <v>126</v>
      </c>
      <c r="I681" s="101">
        <v>1118</v>
      </c>
      <c r="J681" s="101">
        <v>895</v>
      </c>
      <c r="K681" s="101">
        <v>2013</v>
      </c>
      <c r="L681" s="101">
        <v>178</v>
      </c>
      <c r="M681" s="101">
        <v>199</v>
      </c>
      <c r="N681" s="101">
        <v>164</v>
      </c>
      <c r="O681" s="101">
        <v>118</v>
      </c>
      <c r="P681" s="101">
        <v>2295</v>
      </c>
      <c r="Q681" s="101">
        <v>24106</v>
      </c>
      <c r="R681" s="12" t="s">
        <v>25</v>
      </c>
      <c r="S681" s="12" t="s">
        <v>25</v>
      </c>
      <c r="T681" s="12" t="s">
        <v>25</v>
      </c>
    </row>
    <row r="682" spans="1:20" x14ac:dyDescent="0.3">
      <c r="A682" s="13">
        <v>43917.708333333336</v>
      </c>
      <c r="B682" s="12" t="s">
        <v>22</v>
      </c>
      <c r="C682" s="101">
        <v>7</v>
      </c>
      <c r="D682" s="12" t="s">
        <v>49</v>
      </c>
      <c r="E682" s="101">
        <v>4441149315</v>
      </c>
      <c r="F682" s="101">
        <v>89326992</v>
      </c>
      <c r="G682" s="101">
        <v>1023</v>
      </c>
      <c r="H682" s="101">
        <v>157</v>
      </c>
      <c r="I682" s="101">
        <v>1180</v>
      </c>
      <c r="J682" s="101">
        <v>880</v>
      </c>
      <c r="K682" s="101">
        <v>2060</v>
      </c>
      <c r="L682" s="101">
        <v>33</v>
      </c>
      <c r="M682" s="101">
        <v>129</v>
      </c>
      <c r="N682" s="101">
        <v>305</v>
      </c>
      <c r="O682" s="101">
        <v>331</v>
      </c>
      <c r="P682" s="101">
        <v>2696</v>
      </c>
      <c r="Q682" s="101">
        <v>7804</v>
      </c>
      <c r="R682" s="12" t="s">
        <v>25</v>
      </c>
      <c r="S682" s="12" t="s">
        <v>25</v>
      </c>
      <c r="T682" s="12" t="s">
        <v>25</v>
      </c>
    </row>
    <row r="683" spans="1:20" x14ac:dyDescent="0.3">
      <c r="A683" s="13">
        <v>43917.708333333336</v>
      </c>
      <c r="B683" s="12" t="s">
        <v>22</v>
      </c>
      <c r="C683" s="101">
        <v>3</v>
      </c>
      <c r="D683" s="12" t="s">
        <v>50</v>
      </c>
      <c r="E683" s="101">
        <v>4546679409</v>
      </c>
      <c r="F683" s="101">
        <v>9190347404</v>
      </c>
      <c r="G683" s="101">
        <v>11137</v>
      </c>
      <c r="H683" s="101">
        <v>1292</v>
      </c>
      <c r="I683" s="101">
        <v>12429</v>
      </c>
      <c r="J683" s="101">
        <v>11466</v>
      </c>
      <c r="K683" s="101">
        <v>23895</v>
      </c>
      <c r="L683" s="101">
        <v>1706</v>
      </c>
      <c r="M683" s="101">
        <v>2409</v>
      </c>
      <c r="N683" s="101">
        <v>8001</v>
      </c>
      <c r="O683" s="101">
        <v>5402</v>
      </c>
      <c r="P683" s="101">
        <v>37298</v>
      </c>
      <c r="Q683" s="101">
        <v>95860</v>
      </c>
      <c r="R683" s="12" t="s">
        <v>25</v>
      </c>
      <c r="S683" s="12" t="s">
        <v>25</v>
      </c>
      <c r="T683" s="12" t="s">
        <v>25</v>
      </c>
    </row>
    <row r="684" spans="1:20" x14ac:dyDescent="0.3">
      <c r="A684" s="13">
        <v>43917.708333333336</v>
      </c>
      <c r="B684" s="12" t="s">
        <v>22</v>
      </c>
      <c r="C684" s="101">
        <v>11</v>
      </c>
      <c r="D684" s="12" t="s">
        <v>51</v>
      </c>
      <c r="E684" s="101">
        <v>4361675973</v>
      </c>
      <c r="F684" s="101">
        <v>135188753</v>
      </c>
      <c r="G684" s="101">
        <v>979</v>
      </c>
      <c r="H684" s="101">
        <v>162</v>
      </c>
      <c r="I684" s="101">
        <v>1141</v>
      </c>
      <c r="J684" s="101">
        <v>1709</v>
      </c>
      <c r="K684" s="101">
        <v>2850</v>
      </c>
      <c r="L684" s="101">
        <v>55</v>
      </c>
      <c r="M684" s="101">
        <v>82</v>
      </c>
      <c r="N684" s="101">
        <v>10</v>
      </c>
      <c r="O684" s="101">
        <v>336</v>
      </c>
      <c r="P684" s="101">
        <v>3196</v>
      </c>
      <c r="Q684" s="101">
        <v>9060</v>
      </c>
      <c r="R684" s="12" t="s">
        <v>25</v>
      </c>
      <c r="S684" s="12" t="s">
        <v>25</v>
      </c>
      <c r="T684" s="12" t="s">
        <v>25</v>
      </c>
    </row>
    <row r="685" spans="1:20" x14ac:dyDescent="0.3">
      <c r="A685" s="13">
        <v>43917.708333333336</v>
      </c>
      <c r="B685" s="12" t="s">
        <v>22</v>
      </c>
      <c r="C685" s="101">
        <v>14</v>
      </c>
      <c r="D685" s="12" t="s">
        <v>52</v>
      </c>
      <c r="E685" s="101">
        <v>4155774754</v>
      </c>
      <c r="F685" s="101">
        <v>1465916051</v>
      </c>
      <c r="G685" s="101">
        <v>26</v>
      </c>
      <c r="H685" s="101">
        <v>9</v>
      </c>
      <c r="I685" s="101">
        <v>35</v>
      </c>
      <c r="J685" s="101">
        <v>51</v>
      </c>
      <c r="K685" s="101">
        <v>86</v>
      </c>
      <c r="L685" s="101">
        <v>5</v>
      </c>
      <c r="M685" s="101">
        <v>6</v>
      </c>
      <c r="N685" s="101">
        <v>14</v>
      </c>
      <c r="O685" s="101">
        <v>9</v>
      </c>
      <c r="P685" s="101">
        <v>109</v>
      </c>
      <c r="Q685" s="101">
        <v>710</v>
      </c>
      <c r="R685" s="12" t="s">
        <v>25</v>
      </c>
      <c r="S685" s="12" t="s">
        <v>25</v>
      </c>
      <c r="T685" s="12" t="s">
        <v>25</v>
      </c>
    </row>
    <row r="686" spans="1:20" x14ac:dyDescent="0.3">
      <c r="A686" s="13">
        <v>43917.708333333336</v>
      </c>
      <c r="B686" s="12" t="s">
        <v>22</v>
      </c>
      <c r="C686" s="101">
        <v>1</v>
      </c>
      <c r="D686" s="12" t="s">
        <v>53</v>
      </c>
      <c r="E686" s="101">
        <v>450732745</v>
      </c>
      <c r="F686" s="101">
        <v>7680687483</v>
      </c>
      <c r="G686" s="101">
        <v>2852</v>
      </c>
      <c r="H686" s="101">
        <v>431</v>
      </c>
      <c r="I686" s="101">
        <v>3283</v>
      </c>
      <c r="J686" s="101">
        <v>3064</v>
      </c>
      <c r="K686" s="101">
        <v>6347</v>
      </c>
      <c r="L686" s="101">
        <v>397</v>
      </c>
      <c r="M686" s="101">
        <v>558</v>
      </c>
      <c r="N686" s="101">
        <v>176</v>
      </c>
      <c r="O686" s="101">
        <v>569</v>
      </c>
      <c r="P686" s="101">
        <v>7092</v>
      </c>
      <c r="Q686" s="101">
        <v>19705</v>
      </c>
      <c r="R686" s="12" t="s">
        <v>25</v>
      </c>
      <c r="S686" s="12" t="s">
        <v>25</v>
      </c>
      <c r="T686" s="12" t="s">
        <v>25</v>
      </c>
    </row>
    <row r="687" spans="1:20" x14ac:dyDescent="0.3">
      <c r="A687" s="13">
        <v>43917.708333333336</v>
      </c>
      <c r="B687" s="12" t="s">
        <v>22</v>
      </c>
      <c r="C687" s="101">
        <v>16</v>
      </c>
      <c r="D687" s="12" t="s">
        <v>54</v>
      </c>
      <c r="E687" s="101">
        <v>4112559576</v>
      </c>
      <c r="F687" s="101">
        <v>1686736689</v>
      </c>
      <c r="G687" s="101">
        <v>530</v>
      </c>
      <c r="H687" s="101">
        <v>82</v>
      </c>
      <c r="I687" s="101">
        <v>612</v>
      </c>
      <c r="J687" s="101">
        <v>624</v>
      </c>
      <c r="K687" s="101">
        <v>1236</v>
      </c>
      <c r="L687" s="101">
        <v>141</v>
      </c>
      <c r="M687" s="101">
        <v>152</v>
      </c>
      <c r="N687" s="101">
        <v>29</v>
      </c>
      <c r="O687" s="101">
        <v>69</v>
      </c>
      <c r="P687" s="101">
        <v>1334</v>
      </c>
      <c r="Q687" s="101">
        <v>10233</v>
      </c>
      <c r="R687" s="12" t="s">
        <v>25</v>
      </c>
      <c r="S687" s="12" t="s">
        <v>25</v>
      </c>
      <c r="T687" s="12" t="s">
        <v>25</v>
      </c>
    </row>
    <row r="688" spans="1:20" x14ac:dyDescent="0.3">
      <c r="A688" s="13">
        <v>43917.708333333336</v>
      </c>
      <c r="B688" s="12" t="s">
        <v>22</v>
      </c>
      <c r="C688" s="101">
        <v>20</v>
      </c>
      <c r="D688" s="12" t="s">
        <v>55</v>
      </c>
      <c r="E688" s="101">
        <v>3921531192</v>
      </c>
      <c r="F688" s="101">
        <v>9110616306</v>
      </c>
      <c r="G688" s="101">
        <v>93</v>
      </c>
      <c r="H688" s="101">
        <v>19</v>
      </c>
      <c r="I688" s="101">
        <v>112</v>
      </c>
      <c r="J688" s="101">
        <v>384</v>
      </c>
      <c r="K688" s="101">
        <v>496</v>
      </c>
      <c r="L688" s="101">
        <v>34</v>
      </c>
      <c r="M688" s="101">
        <v>36</v>
      </c>
      <c r="N688" s="101">
        <v>13</v>
      </c>
      <c r="O688" s="101">
        <v>21</v>
      </c>
      <c r="P688" s="101">
        <v>530</v>
      </c>
      <c r="Q688" s="101">
        <v>3801</v>
      </c>
      <c r="R688" s="12" t="s">
        <v>25</v>
      </c>
      <c r="S688" s="12" t="s">
        <v>25</v>
      </c>
      <c r="T688" s="12" t="s">
        <v>25</v>
      </c>
    </row>
    <row r="689" spans="1:20" x14ac:dyDescent="0.3">
      <c r="A689" s="13">
        <v>43917.708333333336</v>
      </c>
      <c r="B689" s="12" t="s">
        <v>22</v>
      </c>
      <c r="C689" s="101">
        <v>19</v>
      </c>
      <c r="D689" s="12" t="s">
        <v>56</v>
      </c>
      <c r="E689" s="101">
        <v>3811569725</v>
      </c>
      <c r="F689" s="101">
        <v>133623567</v>
      </c>
      <c r="G689" s="101">
        <v>425</v>
      </c>
      <c r="H689" s="101">
        <v>75</v>
      </c>
      <c r="I689" s="101">
        <v>500</v>
      </c>
      <c r="J689" s="101">
        <v>658</v>
      </c>
      <c r="K689" s="101">
        <v>1158</v>
      </c>
      <c r="L689" s="101">
        <v>63</v>
      </c>
      <c r="M689" s="101">
        <v>86</v>
      </c>
      <c r="N689" s="101">
        <v>53</v>
      </c>
      <c r="O689" s="101">
        <v>39</v>
      </c>
      <c r="P689" s="101">
        <v>1250</v>
      </c>
      <c r="Q689" s="101">
        <v>11079</v>
      </c>
      <c r="R689" s="12" t="s">
        <v>25</v>
      </c>
      <c r="S689" s="12" t="s">
        <v>25</v>
      </c>
      <c r="T689" s="12" t="s">
        <v>25</v>
      </c>
    </row>
    <row r="690" spans="1:20" x14ac:dyDescent="0.3">
      <c r="A690" s="13">
        <v>43917.708333333336</v>
      </c>
      <c r="B690" s="12" t="s">
        <v>22</v>
      </c>
      <c r="C690" s="101">
        <v>9</v>
      </c>
      <c r="D690" s="12" t="s">
        <v>57</v>
      </c>
      <c r="E690" s="101">
        <v>4376923077</v>
      </c>
      <c r="F690" s="101">
        <v>1125588885</v>
      </c>
      <c r="G690" s="101">
        <v>1053</v>
      </c>
      <c r="H690" s="101">
        <v>274</v>
      </c>
      <c r="I690" s="101">
        <v>1327</v>
      </c>
      <c r="J690" s="101">
        <v>1843</v>
      </c>
      <c r="K690" s="101">
        <v>3170</v>
      </c>
      <c r="L690" s="101">
        <v>197</v>
      </c>
      <c r="M690" s="101">
        <v>224</v>
      </c>
      <c r="N690" s="101">
        <v>103</v>
      </c>
      <c r="O690" s="101">
        <v>177</v>
      </c>
      <c r="P690" s="101">
        <v>3450</v>
      </c>
      <c r="Q690" s="101">
        <v>23746</v>
      </c>
      <c r="R690" s="12" t="s">
        <v>25</v>
      </c>
      <c r="S690" s="12" t="s">
        <v>25</v>
      </c>
      <c r="T690" s="12" t="s">
        <v>25</v>
      </c>
    </row>
    <row r="691" spans="1:20" x14ac:dyDescent="0.3">
      <c r="A691" s="13">
        <v>43917.708333333336</v>
      </c>
      <c r="B691" s="12" t="s">
        <v>22</v>
      </c>
      <c r="C691" s="101">
        <v>4</v>
      </c>
      <c r="D691" s="12" t="s">
        <v>58</v>
      </c>
      <c r="E691" s="101">
        <v>4606893511</v>
      </c>
      <c r="F691" s="101">
        <v>1112123097</v>
      </c>
      <c r="G691" s="101">
        <v>341</v>
      </c>
      <c r="H691" s="101">
        <v>66</v>
      </c>
      <c r="I691" s="101">
        <v>407</v>
      </c>
      <c r="J691" s="101">
        <v>757</v>
      </c>
      <c r="K691" s="101">
        <v>1164</v>
      </c>
      <c r="L691" s="101">
        <v>70</v>
      </c>
      <c r="M691" s="101">
        <v>94</v>
      </c>
      <c r="N691" s="101">
        <v>125</v>
      </c>
      <c r="O691" s="101">
        <v>102</v>
      </c>
      <c r="P691" s="101">
        <v>1391</v>
      </c>
      <c r="Q691" s="101">
        <v>4923</v>
      </c>
      <c r="R691" s="12" t="s">
        <v>25</v>
      </c>
      <c r="S691" s="12" t="s">
        <v>25</v>
      </c>
      <c r="T691" s="12" t="s">
        <v>25</v>
      </c>
    </row>
    <row r="692" spans="1:20" x14ac:dyDescent="0.3">
      <c r="A692" s="13">
        <v>43917.708333333336</v>
      </c>
      <c r="B692" s="12" t="s">
        <v>22</v>
      </c>
      <c r="C692" s="101">
        <v>10</v>
      </c>
      <c r="D692" s="12" t="s">
        <v>59</v>
      </c>
      <c r="E692" s="101">
        <v>4310675841</v>
      </c>
      <c r="F692" s="101">
        <v>1238824698</v>
      </c>
      <c r="G692" s="101">
        <v>149</v>
      </c>
      <c r="H692" s="101">
        <v>46</v>
      </c>
      <c r="I692" s="101">
        <v>195</v>
      </c>
      <c r="J692" s="101">
        <v>629</v>
      </c>
      <c r="K692" s="101">
        <v>824</v>
      </c>
      <c r="L692" s="101">
        <v>54</v>
      </c>
      <c r="M692" s="101">
        <v>82</v>
      </c>
      <c r="N692" s="101">
        <v>39</v>
      </c>
      <c r="O692" s="101">
        <v>21</v>
      </c>
      <c r="P692" s="101">
        <v>884</v>
      </c>
      <c r="Q692" s="101">
        <v>6137</v>
      </c>
      <c r="R692" s="12" t="s">
        <v>25</v>
      </c>
      <c r="S692" s="12" t="s">
        <v>25</v>
      </c>
      <c r="T692" s="12" t="s">
        <v>25</v>
      </c>
    </row>
    <row r="693" spans="1:20" x14ac:dyDescent="0.3">
      <c r="A693" s="13">
        <v>43917.708333333336</v>
      </c>
      <c r="B693" s="12" t="s">
        <v>22</v>
      </c>
      <c r="C693" s="101">
        <v>2</v>
      </c>
      <c r="D693" s="12" t="s">
        <v>60</v>
      </c>
      <c r="E693" s="101">
        <v>4573750286</v>
      </c>
      <c r="F693" s="101">
        <v>7320149366</v>
      </c>
      <c r="G693" s="101">
        <v>91</v>
      </c>
      <c r="H693" s="101">
        <v>24</v>
      </c>
      <c r="I693" s="101">
        <v>115</v>
      </c>
      <c r="J693" s="101">
        <v>298</v>
      </c>
      <c r="K693" s="101">
        <v>413</v>
      </c>
      <c r="L693" s="101">
        <v>35</v>
      </c>
      <c r="M693" s="101">
        <v>44</v>
      </c>
      <c r="N693" s="101">
        <v>2</v>
      </c>
      <c r="O693" s="101">
        <v>37</v>
      </c>
      <c r="P693" s="101">
        <v>452</v>
      </c>
      <c r="Q693" s="101">
        <v>1252</v>
      </c>
      <c r="R693" s="12" t="s">
        <v>25</v>
      </c>
      <c r="S693" s="12" t="s">
        <v>25</v>
      </c>
      <c r="T693" s="12" t="s">
        <v>25</v>
      </c>
    </row>
    <row r="694" spans="1:20" x14ac:dyDescent="0.3">
      <c r="A694" s="13">
        <v>43917.708333333336</v>
      </c>
      <c r="B694" s="12" t="s">
        <v>22</v>
      </c>
      <c r="C694" s="101">
        <v>5</v>
      </c>
      <c r="D694" s="12" t="s">
        <v>61</v>
      </c>
      <c r="E694" s="101">
        <v>4543490485</v>
      </c>
      <c r="F694" s="101">
        <v>1233845213</v>
      </c>
      <c r="G694" s="101">
        <v>1536</v>
      </c>
      <c r="H694" s="101">
        <v>338</v>
      </c>
      <c r="I694" s="101">
        <v>1874</v>
      </c>
      <c r="J694" s="101">
        <v>4774</v>
      </c>
      <c r="K694" s="101">
        <v>6648</v>
      </c>
      <c r="L694" s="101">
        <v>508</v>
      </c>
      <c r="M694" s="101">
        <v>562</v>
      </c>
      <c r="N694" s="101">
        <v>536</v>
      </c>
      <c r="O694" s="101">
        <v>313</v>
      </c>
      <c r="P694" s="101">
        <v>7497</v>
      </c>
      <c r="Q694" s="101">
        <v>83627</v>
      </c>
      <c r="R694" s="12" t="s">
        <v>25</v>
      </c>
      <c r="S694" s="12" t="s">
        <v>25</v>
      </c>
      <c r="T694" s="12" t="s">
        <v>25</v>
      </c>
    </row>
    <row r="695" spans="1:20" x14ac:dyDescent="0.3">
      <c r="A695" s="13">
        <v>43918.708333333336</v>
      </c>
      <c r="B695" s="12" t="s">
        <v>22</v>
      </c>
      <c r="C695" s="101">
        <v>13</v>
      </c>
      <c r="D695" s="12" t="s">
        <v>42</v>
      </c>
      <c r="E695" s="101">
        <v>4235122196</v>
      </c>
      <c r="F695" s="101">
        <v>1339843823</v>
      </c>
      <c r="G695" s="101">
        <v>311</v>
      </c>
      <c r="H695" s="101">
        <v>70</v>
      </c>
      <c r="I695" s="101">
        <v>381</v>
      </c>
      <c r="J695" s="101">
        <v>646</v>
      </c>
      <c r="K695" s="101">
        <v>1027</v>
      </c>
      <c r="L695" s="101">
        <v>102</v>
      </c>
      <c r="M695" s="101">
        <v>116</v>
      </c>
      <c r="N695" s="101">
        <v>30</v>
      </c>
      <c r="O695" s="101">
        <v>76</v>
      </c>
      <c r="P695" s="101">
        <v>1133</v>
      </c>
      <c r="Q695" s="101">
        <v>7003</v>
      </c>
      <c r="R695" s="12" t="s">
        <v>25</v>
      </c>
      <c r="S695" s="12" t="s">
        <v>25</v>
      </c>
      <c r="T695" s="12" t="s">
        <v>25</v>
      </c>
    </row>
    <row r="696" spans="1:20" x14ac:dyDescent="0.3">
      <c r="A696" s="13">
        <v>43918.708333333336</v>
      </c>
      <c r="B696" s="12" t="s">
        <v>22</v>
      </c>
      <c r="C696" s="101">
        <v>17</v>
      </c>
      <c r="D696" s="12" t="s">
        <v>43</v>
      </c>
      <c r="E696" s="101">
        <v>4063947052</v>
      </c>
      <c r="F696" s="101">
        <v>1580514834</v>
      </c>
      <c r="G696" s="101">
        <v>26</v>
      </c>
      <c r="H696" s="101">
        <v>19</v>
      </c>
      <c r="I696" s="101">
        <v>45</v>
      </c>
      <c r="J696" s="101">
        <v>133</v>
      </c>
      <c r="K696" s="101">
        <v>178</v>
      </c>
      <c r="L696" s="101">
        <v>31</v>
      </c>
      <c r="M696" s="101">
        <v>31</v>
      </c>
      <c r="N696" s="101">
        <v>1</v>
      </c>
      <c r="O696" s="101">
        <v>3</v>
      </c>
      <c r="P696" s="101">
        <v>182</v>
      </c>
      <c r="Q696" s="101">
        <v>1421</v>
      </c>
      <c r="R696" s="12" t="s">
        <v>25</v>
      </c>
      <c r="S696" s="12" t="s">
        <v>25</v>
      </c>
      <c r="T696" s="12" t="s">
        <v>25</v>
      </c>
    </row>
    <row r="697" spans="1:20" x14ac:dyDescent="0.3">
      <c r="A697" s="13">
        <v>43918.708333333336</v>
      </c>
      <c r="B697" s="12" t="s">
        <v>22</v>
      </c>
      <c r="C697" s="101">
        <v>4</v>
      </c>
      <c r="D697" s="12" t="s">
        <v>44</v>
      </c>
      <c r="E697" s="101">
        <v>4649933453</v>
      </c>
      <c r="F697" s="101">
        <v>1135662422</v>
      </c>
      <c r="G697" s="101">
        <v>225</v>
      </c>
      <c r="H697" s="101">
        <v>51</v>
      </c>
      <c r="I697" s="101">
        <v>276</v>
      </c>
      <c r="J697" s="101">
        <v>653</v>
      </c>
      <c r="K697" s="101">
        <v>929</v>
      </c>
      <c r="L697" s="101">
        <v>96</v>
      </c>
      <c r="M697" s="101">
        <v>106</v>
      </c>
      <c r="N697" s="101">
        <v>116</v>
      </c>
      <c r="O697" s="101">
        <v>64</v>
      </c>
      <c r="P697" s="101">
        <v>1109</v>
      </c>
      <c r="Q697" s="101">
        <v>9168</v>
      </c>
      <c r="R697" s="12" t="s">
        <v>25</v>
      </c>
      <c r="S697" s="12" t="s">
        <v>25</v>
      </c>
      <c r="T697" s="12" t="s">
        <v>25</v>
      </c>
    </row>
    <row r="698" spans="1:20" x14ac:dyDescent="0.3">
      <c r="A698" s="13">
        <v>43918.708333333336</v>
      </c>
      <c r="B698" s="12" t="s">
        <v>22</v>
      </c>
      <c r="C698" s="101">
        <v>18</v>
      </c>
      <c r="D698" s="12" t="s">
        <v>45</v>
      </c>
      <c r="E698" s="101">
        <v>3890597598</v>
      </c>
      <c r="F698" s="101">
        <v>1659440194</v>
      </c>
      <c r="G698" s="101">
        <v>107</v>
      </c>
      <c r="H698" s="101">
        <v>22</v>
      </c>
      <c r="I698" s="101">
        <v>129</v>
      </c>
      <c r="J698" s="101">
        <v>394</v>
      </c>
      <c r="K698" s="101">
        <v>523</v>
      </c>
      <c r="L698" s="101">
        <v>54</v>
      </c>
      <c r="M698" s="101">
        <v>61</v>
      </c>
      <c r="N698" s="101">
        <v>11</v>
      </c>
      <c r="O698" s="101">
        <v>21</v>
      </c>
      <c r="P698" s="101">
        <v>555</v>
      </c>
      <c r="Q698" s="101">
        <v>7760</v>
      </c>
      <c r="R698" s="12" t="s">
        <v>25</v>
      </c>
      <c r="S698" s="12" t="s">
        <v>25</v>
      </c>
      <c r="T698" s="12" t="s">
        <v>25</v>
      </c>
    </row>
    <row r="699" spans="1:20" x14ac:dyDescent="0.3">
      <c r="A699" s="13">
        <v>43918.708333333336</v>
      </c>
      <c r="B699" s="12" t="s">
        <v>22</v>
      </c>
      <c r="C699" s="101">
        <v>15</v>
      </c>
      <c r="D699" s="12" t="s">
        <v>46</v>
      </c>
      <c r="E699" s="101">
        <v>4083956555</v>
      </c>
      <c r="F699" s="101">
        <v>1425084984</v>
      </c>
      <c r="G699" s="101">
        <v>463</v>
      </c>
      <c r="H699" s="101">
        <v>132</v>
      </c>
      <c r="I699" s="101">
        <v>595</v>
      </c>
      <c r="J699" s="101">
        <v>812</v>
      </c>
      <c r="K699" s="101">
        <v>1407</v>
      </c>
      <c r="L699" s="101">
        <v>115</v>
      </c>
      <c r="M699" s="101">
        <v>138</v>
      </c>
      <c r="N699" s="101">
        <v>76</v>
      </c>
      <c r="O699" s="101">
        <v>109</v>
      </c>
      <c r="P699" s="101">
        <v>1592</v>
      </c>
      <c r="Q699" s="101">
        <v>10616</v>
      </c>
      <c r="R699" s="12" t="s">
        <v>25</v>
      </c>
      <c r="S699" s="12" t="s">
        <v>25</v>
      </c>
      <c r="T699" s="12" t="s">
        <v>25</v>
      </c>
    </row>
    <row r="700" spans="1:20" x14ac:dyDescent="0.3">
      <c r="A700" s="13">
        <v>43918.708333333336</v>
      </c>
      <c r="B700" s="12" t="s">
        <v>22</v>
      </c>
      <c r="C700" s="101">
        <v>8</v>
      </c>
      <c r="D700" s="12" t="s">
        <v>96</v>
      </c>
      <c r="E700" s="101">
        <v>4449436681</v>
      </c>
      <c r="F700" s="101">
        <v>113417208</v>
      </c>
      <c r="G700" s="101">
        <v>3695</v>
      </c>
      <c r="H700" s="101">
        <v>316</v>
      </c>
      <c r="I700" s="101">
        <v>4011</v>
      </c>
      <c r="J700" s="101">
        <v>5953</v>
      </c>
      <c r="K700" s="101">
        <v>9964</v>
      </c>
      <c r="L700" s="101">
        <v>603</v>
      </c>
      <c r="M700" s="101">
        <v>795</v>
      </c>
      <c r="N700" s="101">
        <v>1075</v>
      </c>
      <c r="O700" s="101">
        <v>1344</v>
      </c>
      <c r="P700" s="101">
        <v>12383</v>
      </c>
      <c r="Q700" s="101">
        <v>52991</v>
      </c>
      <c r="R700" s="12" t="s">
        <v>25</v>
      </c>
      <c r="S700" s="12" t="s">
        <v>25</v>
      </c>
      <c r="T700" s="12" t="s">
        <v>25</v>
      </c>
    </row>
    <row r="701" spans="1:20" x14ac:dyDescent="0.3">
      <c r="A701" s="13">
        <v>43918.708333333336</v>
      </c>
      <c r="B701" s="12" t="s">
        <v>22</v>
      </c>
      <c r="C701" s="101">
        <v>6</v>
      </c>
      <c r="D701" s="12" t="s">
        <v>47</v>
      </c>
      <c r="E701" s="101">
        <v>456494354</v>
      </c>
      <c r="F701" s="101">
        <v>1376813649</v>
      </c>
      <c r="G701" s="101">
        <v>223</v>
      </c>
      <c r="H701" s="101">
        <v>59</v>
      </c>
      <c r="I701" s="101">
        <v>282</v>
      </c>
      <c r="J701" s="101">
        <v>838</v>
      </c>
      <c r="K701" s="101">
        <v>1120</v>
      </c>
      <c r="L701" s="101">
        <v>93</v>
      </c>
      <c r="M701" s="101">
        <v>119</v>
      </c>
      <c r="N701" s="101">
        <v>229</v>
      </c>
      <c r="O701" s="101">
        <v>87</v>
      </c>
      <c r="P701" s="101">
        <v>1436</v>
      </c>
      <c r="Q701" s="101">
        <v>12723</v>
      </c>
      <c r="R701" s="12" t="s">
        <v>25</v>
      </c>
      <c r="S701" s="12" t="s">
        <v>25</v>
      </c>
      <c r="T701" s="12" t="s">
        <v>25</v>
      </c>
    </row>
    <row r="702" spans="1:20" x14ac:dyDescent="0.3">
      <c r="A702" s="13">
        <v>43918.708333333336</v>
      </c>
      <c r="B702" s="12" t="s">
        <v>22</v>
      </c>
      <c r="C702" s="101">
        <v>12</v>
      </c>
      <c r="D702" s="12" t="s">
        <v>48</v>
      </c>
      <c r="E702" s="101">
        <v>4189277044</v>
      </c>
      <c r="F702" s="101">
        <v>1248366722</v>
      </c>
      <c r="G702" s="101">
        <v>985</v>
      </c>
      <c r="H702" s="101">
        <v>133</v>
      </c>
      <c r="I702" s="101">
        <v>1118</v>
      </c>
      <c r="J702" s="101">
        <v>1063</v>
      </c>
      <c r="K702" s="101">
        <v>2181</v>
      </c>
      <c r="L702" s="101">
        <v>168</v>
      </c>
      <c r="M702" s="101">
        <v>210</v>
      </c>
      <c r="N702" s="101">
        <v>200</v>
      </c>
      <c r="O702" s="101">
        <v>124</v>
      </c>
      <c r="P702" s="101">
        <v>2505</v>
      </c>
      <c r="Q702" s="101">
        <v>27179</v>
      </c>
      <c r="R702" s="12" t="s">
        <v>25</v>
      </c>
      <c r="S702" s="12" t="s">
        <v>25</v>
      </c>
      <c r="T702" s="12" t="s">
        <v>25</v>
      </c>
    </row>
    <row r="703" spans="1:20" x14ac:dyDescent="0.3">
      <c r="A703" s="13">
        <v>43918.708333333336</v>
      </c>
      <c r="B703" s="12" t="s">
        <v>22</v>
      </c>
      <c r="C703" s="101">
        <v>7</v>
      </c>
      <c r="D703" s="12" t="s">
        <v>49</v>
      </c>
      <c r="E703" s="101">
        <v>4441149315</v>
      </c>
      <c r="F703" s="101">
        <v>89326992</v>
      </c>
      <c r="G703" s="101">
        <v>1031</v>
      </c>
      <c r="H703" s="101">
        <v>167</v>
      </c>
      <c r="I703" s="101">
        <v>1198</v>
      </c>
      <c r="J703" s="101">
        <v>888</v>
      </c>
      <c r="K703" s="101">
        <v>2086</v>
      </c>
      <c r="L703" s="101">
        <v>26</v>
      </c>
      <c r="M703" s="101">
        <v>126</v>
      </c>
      <c r="N703" s="101">
        <v>378</v>
      </c>
      <c r="O703" s="101">
        <v>358</v>
      </c>
      <c r="P703" s="101">
        <v>2822</v>
      </c>
      <c r="Q703" s="101">
        <v>8177</v>
      </c>
      <c r="R703" s="12" t="s">
        <v>25</v>
      </c>
      <c r="S703" s="12" t="s">
        <v>25</v>
      </c>
      <c r="T703" s="12" t="s">
        <v>25</v>
      </c>
    </row>
    <row r="704" spans="1:20" x14ac:dyDescent="0.3">
      <c r="A704" s="13">
        <v>43918.708333333336</v>
      </c>
      <c r="B704" s="12" t="s">
        <v>22</v>
      </c>
      <c r="C704" s="101">
        <v>3</v>
      </c>
      <c r="D704" s="12" t="s">
        <v>50</v>
      </c>
      <c r="E704" s="101">
        <v>4546679409</v>
      </c>
      <c r="F704" s="101">
        <v>9190347404</v>
      </c>
      <c r="G704" s="101">
        <v>11152</v>
      </c>
      <c r="H704" s="101">
        <v>1319</v>
      </c>
      <c r="I704" s="101">
        <v>12471</v>
      </c>
      <c r="J704" s="101">
        <v>12038</v>
      </c>
      <c r="K704" s="101">
        <v>24509</v>
      </c>
      <c r="L704" s="101">
        <v>614</v>
      </c>
      <c r="M704" s="101">
        <v>2117</v>
      </c>
      <c r="N704" s="101">
        <v>8962</v>
      </c>
      <c r="O704" s="101">
        <v>5944</v>
      </c>
      <c r="P704" s="101">
        <v>39415</v>
      </c>
      <c r="Q704" s="101">
        <v>102503</v>
      </c>
      <c r="R704" s="12" t="s">
        <v>25</v>
      </c>
      <c r="S704" s="12" t="s">
        <v>25</v>
      </c>
      <c r="T704" s="12" t="s">
        <v>25</v>
      </c>
    </row>
    <row r="705" spans="1:20" x14ac:dyDescent="0.3">
      <c r="A705" s="13">
        <v>43918.708333333336</v>
      </c>
      <c r="B705" s="12" t="s">
        <v>22</v>
      </c>
      <c r="C705" s="101">
        <v>11</v>
      </c>
      <c r="D705" s="12" t="s">
        <v>51</v>
      </c>
      <c r="E705" s="101">
        <v>4361675973</v>
      </c>
      <c r="F705" s="101">
        <v>135188753</v>
      </c>
      <c r="G705" s="101">
        <v>987</v>
      </c>
      <c r="H705" s="101">
        <v>166</v>
      </c>
      <c r="I705" s="101">
        <v>1153</v>
      </c>
      <c r="J705" s="101">
        <v>1846</v>
      </c>
      <c r="K705" s="101">
        <v>2999</v>
      </c>
      <c r="L705" s="101">
        <v>149</v>
      </c>
      <c r="M705" s="101">
        <v>177</v>
      </c>
      <c r="N705" s="101">
        <v>10</v>
      </c>
      <c r="O705" s="101">
        <v>364</v>
      </c>
      <c r="P705" s="101">
        <v>3373</v>
      </c>
      <c r="Q705" s="101">
        <v>9884</v>
      </c>
      <c r="R705" s="12" t="s">
        <v>25</v>
      </c>
      <c r="S705" s="12" t="s">
        <v>25</v>
      </c>
      <c r="T705" s="12" t="s">
        <v>25</v>
      </c>
    </row>
    <row r="706" spans="1:20" x14ac:dyDescent="0.3">
      <c r="A706" s="13">
        <v>43918.708333333336</v>
      </c>
      <c r="B706" s="12" t="s">
        <v>22</v>
      </c>
      <c r="C706" s="101">
        <v>14</v>
      </c>
      <c r="D706" s="12" t="s">
        <v>52</v>
      </c>
      <c r="E706" s="101">
        <v>4155774754</v>
      </c>
      <c r="F706" s="101">
        <v>1465916051</v>
      </c>
      <c r="G706" s="101">
        <v>26</v>
      </c>
      <c r="H706" s="101">
        <v>9</v>
      </c>
      <c r="I706" s="101">
        <v>35</v>
      </c>
      <c r="J706" s="101">
        <v>63</v>
      </c>
      <c r="K706" s="101">
        <v>98</v>
      </c>
      <c r="L706" s="101">
        <v>12</v>
      </c>
      <c r="M706" s="101">
        <v>14</v>
      </c>
      <c r="N706" s="101">
        <v>16</v>
      </c>
      <c r="O706" s="101">
        <v>9</v>
      </c>
      <c r="P706" s="101">
        <v>123</v>
      </c>
      <c r="Q706" s="101">
        <v>807</v>
      </c>
      <c r="R706" s="12" t="s">
        <v>25</v>
      </c>
      <c r="S706" s="12" t="s">
        <v>25</v>
      </c>
      <c r="T706" s="12" t="s">
        <v>25</v>
      </c>
    </row>
    <row r="707" spans="1:20" x14ac:dyDescent="0.3">
      <c r="A707" s="13">
        <v>43918.708333333336</v>
      </c>
      <c r="B707" s="12" t="s">
        <v>22</v>
      </c>
      <c r="C707" s="101">
        <v>1</v>
      </c>
      <c r="D707" s="12" t="s">
        <v>53</v>
      </c>
      <c r="E707" s="101">
        <v>450732745</v>
      </c>
      <c r="F707" s="101">
        <v>7680687483</v>
      </c>
      <c r="G707" s="101">
        <v>3094</v>
      </c>
      <c r="H707" s="101">
        <v>439</v>
      </c>
      <c r="I707" s="101">
        <v>3533</v>
      </c>
      <c r="J707" s="101">
        <v>3318</v>
      </c>
      <c r="K707" s="101">
        <v>6851</v>
      </c>
      <c r="L707" s="101">
        <v>504</v>
      </c>
      <c r="M707" s="101">
        <v>579</v>
      </c>
      <c r="N707" s="101">
        <v>203</v>
      </c>
      <c r="O707" s="101">
        <v>617</v>
      </c>
      <c r="P707" s="101">
        <v>7671</v>
      </c>
      <c r="Q707" s="101">
        <v>21511</v>
      </c>
      <c r="R707" s="12" t="s">
        <v>25</v>
      </c>
      <c r="S707" s="12" t="s">
        <v>25</v>
      </c>
      <c r="T707" s="12" t="s">
        <v>25</v>
      </c>
    </row>
    <row r="708" spans="1:20" x14ac:dyDescent="0.3">
      <c r="A708" s="13">
        <v>43918.708333333336</v>
      </c>
      <c r="B708" s="12" t="s">
        <v>22</v>
      </c>
      <c r="C708" s="101">
        <v>16</v>
      </c>
      <c r="D708" s="12" t="s">
        <v>54</v>
      </c>
      <c r="E708" s="101">
        <v>4112559576</v>
      </c>
      <c r="F708" s="101">
        <v>1686736689</v>
      </c>
      <c r="G708" s="101">
        <v>563</v>
      </c>
      <c r="H708" s="101">
        <v>98</v>
      </c>
      <c r="I708" s="101">
        <v>661</v>
      </c>
      <c r="J708" s="101">
        <v>697</v>
      </c>
      <c r="K708" s="101">
        <v>1358</v>
      </c>
      <c r="L708" s="101">
        <v>122</v>
      </c>
      <c r="M708" s="101">
        <v>124</v>
      </c>
      <c r="N708" s="101">
        <v>29</v>
      </c>
      <c r="O708" s="101">
        <v>71</v>
      </c>
      <c r="P708" s="101">
        <v>1458</v>
      </c>
      <c r="Q708" s="101">
        <v>11500</v>
      </c>
      <c r="R708" s="12" t="s">
        <v>25</v>
      </c>
      <c r="S708" s="12" t="s">
        <v>25</v>
      </c>
      <c r="T708" s="12" t="s">
        <v>25</v>
      </c>
    </row>
    <row r="709" spans="1:20" x14ac:dyDescent="0.3">
      <c r="A709" s="13">
        <v>43918.708333333336</v>
      </c>
      <c r="B709" s="12" t="s">
        <v>22</v>
      </c>
      <c r="C709" s="101">
        <v>20</v>
      </c>
      <c r="D709" s="12" t="s">
        <v>55</v>
      </c>
      <c r="E709" s="101">
        <v>3921531192</v>
      </c>
      <c r="F709" s="101">
        <v>9110616306</v>
      </c>
      <c r="G709" s="101">
        <v>95</v>
      </c>
      <c r="H709" s="101">
        <v>22</v>
      </c>
      <c r="I709" s="101">
        <v>117</v>
      </c>
      <c r="J709" s="101">
        <v>452</v>
      </c>
      <c r="K709" s="101">
        <v>569</v>
      </c>
      <c r="L709" s="101">
        <v>73</v>
      </c>
      <c r="M709" s="101">
        <v>94</v>
      </c>
      <c r="N709" s="101">
        <v>29</v>
      </c>
      <c r="O709" s="101">
        <v>26</v>
      </c>
      <c r="P709" s="101">
        <v>624</v>
      </c>
      <c r="Q709" s="101">
        <v>4225</v>
      </c>
      <c r="R709" s="12" t="s">
        <v>25</v>
      </c>
      <c r="S709" s="12" t="s">
        <v>25</v>
      </c>
      <c r="T709" s="12" t="s">
        <v>25</v>
      </c>
    </row>
    <row r="710" spans="1:20" x14ac:dyDescent="0.3">
      <c r="A710" s="13">
        <v>43918.708333333336</v>
      </c>
      <c r="B710" s="12" t="s">
        <v>22</v>
      </c>
      <c r="C710" s="101">
        <v>19</v>
      </c>
      <c r="D710" s="12" t="s">
        <v>56</v>
      </c>
      <c r="E710" s="101">
        <v>3811569725</v>
      </c>
      <c r="F710" s="101">
        <v>133623567</v>
      </c>
      <c r="G710" s="101">
        <v>441</v>
      </c>
      <c r="H710" s="101">
        <v>71</v>
      </c>
      <c r="I710" s="101">
        <v>512</v>
      </c>
      <c r="J710" s="101">
        <v>730</v>
      </c>
      <c r="K710" s="101">
        <v>1242</v>
      </c>
      <c r="L710" s="101">
        <v>84</v>
      </c>
      <c r="M710" s="101">
        <v>109</v>
      </c>
      <c r="N710" s="101">
        <v>60</v>
      </c>
      <c r="O710" s="101">
        <v>57</v>
      </c>
      <c r="P710" s="101">
        <v>1359</v>
      </c>
      <c r="Q710" s="101">
        <v>13096</v>
      </c>
      <c r="R710" s="12" t="s">
        <v>25</v>
      </c>
      <c r="S710" s="12" t="s">
        <v>25</v>
      </c>
      <c r="T710" s="12" t="s">
        <v>25</v>
      </c>
    </row>
    <row r="711" spans="1:20" x14ac:dyDescent="0.3">
      <c r="A711" s="13">
        <v>43918.708333333336</v>
      </c>
      <c r="B711" s="12" t="s">
        <v>22</v>
      </c>
      <c r="C711" s="101">
        <v>9</v>
      </c>
      <c r="D711" s="12" t="s">
        <v>57</v>
      </c>
      <c r="E711" s="101">
        <v>4376923077</v>
      </c>
      <c r="F711" s="101">
        <v>1125588885</v>
      </c>
      <c r="G711" s="101">
        <v>1093</v>
      </c>
      <c r="H711" s="101">
        <v>277</v>
      </c>
      <c r="I711" s="101">
        <v>1370</v>
      </c>
      <c r="J711" s="101">
        <v>2141</v>
      </c>
      <c r="K711" s="101">
        <v>3511</v>
      </c>
      <c r="L711" s="101">
        <v>341</v>
      </c>
      <c r="M711" s="101">
        <v>367</v>
      </c>
      <c r="N711" s="101">
        <v>108</v>
      </c>
      <c r="O711" s="101">
        <v>198</v>
      </c>
      <c r="P711" s="101">
        <v>3817</v>
      </c>
      <c r="Q711" s="101">
        <v>25613</v>
      </c>
      <c r="R711" s="12" t="s">
        <v>25</v>
      </c>
      <c r="S711" s="12" t="s">
        <v>25</v>
      </c>
      <c r="T711" s="12" t="s">
        <v>25</v>
      </c>
    </row>
    <row r="712" spans="1:20" x14ac:dyDescent="0.3">
      <c r="A712" s="13">
        <v>43918.708333333336</v>
      </c>
      <c r="B712" s="12" t="s">
        <v>22</v>
      </c>
      <c r="C712" s="101">
        <v>4</v>
      </c>
      <c r="D712" s="12" t="s">
        <v>58</v>
      </c>
      <c r="E712" s="101">
        <v>4606893511</v>
      </c>
      <c r="F712" s="101">
        <v>1112123097</v>
      </c>
      <c r="G712" s="101">
        <v>351</v>
      </c>
      <c r="H712" s="101">
        <v>72</v>
      </c>
      <c r="I712" s="101">
        <v>423</v>
      </c>
      <c r="J712" s="101">
        <v>811</v>
      </c>
      <c r="K712" s="101">
        <v>1234</v>
      </c>
      <c r="L712" s="101">
        <v>70</v>
      </c>
      <c r="M712" s="101">
        <v>114</v>
      </c>
      <c r="N712" s="101">
        <v>151</v>
      </c>
      <c r="O712" s="101">
        <v>120</v>
      </c>
      <c r="P712" s="101">
        <v>1505</v>
      </c>
      <c r="Q712" s="101">
        <v>5561</v>
      </c>
      <c r="R712" s="12" t="s">
        <v>25</v>
      </c>
      <c r="S712" s="12" t="s">
        <v>25</v>
      </c>
      <c r="T712" s="12" t="s">
        <v>25</v>
      </c>
    </row>
    <row r="713" spans="1:20" x14ac:dyDescent="0.3">
      <c r="A713" s="13">
        <v>43918.708333333336</v>
      </c>
      <c r="B713" s="12" t="s">
        <v>22</v>
      </c>
      <c r="C713" s="101">
        <v>10</v>
      </c>
      <c r="D713" s="12" t="s">
        <v>59</v>
      </c>
      <c r="E713" s="101">
        <v>4310675841</v>
      </c>
      <c r="F713" s="101">
        <v>1238824698</v>
      </c>
      <c r="G713" s="101">
        <v>159</v>
      </c>
      <c r="H713" s="101">
        <v>44</v>
      </c>
      <c r="I713" s="101">
        <v>203</v>
      </c>
      <c r="J713" s="101">
        <v>695</v>
      </c>
      <c r="K713" s="101">
        <v>898</v>
      </c>
      <c r="L713" s="101">
        <v>74</v>
      </c>
      <c r="M713" s="101">
        <v>85</v>
      </c>
      <c r="N713" s="101">
        <v>43</v>
      </c>
      <c r="O713" s="101">
        <v>28</v>
      </c>
      <c r="P713" s="101">
        <v>969</v>
      </c>
      <c r="Q713" s="101">
        <v>7028</v>
      </c>
      <c r="R713" s="12" t="s">
        <v>25</v>
      </c>
      <c r="S713" s="12" t="s">
        <v>25</v>
      </c>
      <c r="T713" s="12" t="s">
        <v>25</v>
      </c>
    </row>
    <row r="714" spans="1:20" x14ac:dyDescent="0.3">
      <c r="A714" s="13">
        <v>43918.708333333336</v>
      </c>
      <c r="B714" s="12" t="s">
        <v>22</v>
      </c>
      <c r="C714" s="101">
        <v>2</v>
      </c>
      <c r="D714" s="12" t="s">
        <v>60</v>
      </c>
      <c r="E714" s="101">
        <v>4573750286</v>
      </c>
      <c r="F714" s="101">
        <v>7320149366</v>
      </c>
      <c r="G714" s="101">
        <v>90</v>
      </c>
      <c r="H714" s="101">
        <v>26</v>
      </c>
      <c r="I714" s="101">
        <v>116</v>
      </c>
      <c r="J714" s="101">
        <v>352</v>
      </c>
      <c r="K714" s="101">
        <v>468</v>
      </c>
      <c r="L714" s="101">
        <v>55</v>
      </c>
      <c r="M714" s="101">
        <v>59</v>
      </c>
      <c r="N714" s="101">
        <v>2</v>
      </c>
      <c r="O714" s="101">
        <v>41</v>
      </c>
      <c r="P714" s="101">
        <v>511</v>
      </c>
      <c r="Q714" s="101">
        <v>1380</v>
      </c>
      <c r="R714" s="12" t="s">
        <v>25</v>
      </c>
      <c r="S714" s="12" t="s">
        <v>25</v>
      </c>
      <c r="T714" s="12" t="s">
        <v>25</v>
      </c>
    </row>
    <row r="715" spans="1:20" x14ac:dyDescent="0.3">
      <c r="A715" s="13">
        <v>43918.708333333336</v>
      </c>
      <c r="B715" s="12" t="s">
        <v>22</v>
      </c>
      <c r="C715" s="101">
        <v>5</v>
      </c>
      <c r="D715" s="12" t="s">
        <v>61</v>
      </c>
      <c r="E715" s="101">
        <v>4543490485</v>
      </c>
      <c r="F715" s="101">
        <v>1233845213</v>
      </c>
      <c r="G715" s="101">
        <v>1559</v>
      </c>
      <c r="H715" s="101">
        <v>344</v>
      </c>
      <c r="I715" s="101">
        <v>1903</v>
      </c>
      <c r="J715" s="101">
        <v>5010</v>
      </c>
      <c r="K715" s="101">
        <v>6913</v>
      </c>
      <c r="L715" s="101">
        <v>265</v>
      </c>
      <c r="M715" s="101">
        <v>433</v>
      </c>
      <c r="N715" s="101">
        <v>655</v>
      </c>
      <c r="O715" s="101">
        <v>362</v>
      </c>
      <c r="P715" s="101">
        <v>7930</v>
      </c>
      <c r="Q715" s="101">
        <v>89380</v>
      </c>
      <c r="R715" s="12" t="s">
        <v>25</v>
      </c>
      <c r="S715" s="12" t="s">
        <v>25</v>
      </c>
      <c r="T715" s="12" t="s">
        <v>25</v>
      </c>
    </row>
    <row r="716" spans="1:20" x14ac:dyDescent="0.3">
      <c r="A716" s="13">
        <v>43919.708333333336</v>
      </c>
      <c r="B716" s="12" t="s">
        <v>22</v>
      </c>
      <c r="C716" s="101">
        <v>13</v>
      </c>
      <c r="D716" s="12" t="s">
        <v>42</v>
      </c>
      <c r="E716" s="101">
        <v>4235122196</v>
      </c>
      <c r="F716" s="101">
        <v>1339843823</v>
      </c>
      <c r="G716" s="101">
        <v>329</v>
      </c>
      <c r="H716" s="101">
        <v>68</v>
      </c>
      <c r="I716" s="101">
        <v>397</v>
      </c>
      <c r="J716" s="101">
        <v>772</v>
      </c>
      <c r="K716" s="101">
        <v>1169</v>
      </c>
      <c r="L716" s="101">
        <v>142</v>
      </c>
      <c r="M716" s="101">
        <v>160</v>
      </c>
      <c r="N716" s="101">
        <v>36</v>
      </c>
      <c r="O716" s="101">
        <v>88</v>
      </c>
      <c r="P716" s="101">
        <v>1293</v>
      </c>
      <c r="Q716" s="101">
        <v>7730</v>
      </c>
      <c r="R716" s="12" t="s">
        <v>25</v>
      </c>
      <c r="S716" s="12" t="s">
        <v>25</v>
      </c>
      <c r="T716" s="12" t="s">
        <v>25</v>
      </c>
    </row>
    <row r="717" spans="1:20" x14ac:dyDescent="0.3">
      <c r="A717" s="13">
        <v>43919.708333333336</v>
      </c>
      <c r="B717" s="12" t="s">
        <v>22</v>
      </c>
      <c r="C717" s="101">
        <v>17</v>
      </c>
      <c r="D717" s="12" t="s">
        <v>43</v>
      </c>
      <c r="E717" s="101">
        <v>4063947052</v>
      </c>
      <c r="F717" s="101">
        <v>1580514834</v>
      </c>
      <c r="G717" s="101">
        <v>32</v>
      </c>
      <c r="H717" s="101">
        <v>18</v>
      </c>
      <c r="I717" s="101">
        <v>50</v>
      </c>
      <c r="J717" s="101">
        <v>147</v>
      </c>
      <c r="K717" s="101">
        <v>197</v>
      </c>
      <c r="L717" s="101">
        <v>19</v>
      </c>
      <c r="M717" s="101">
        <v>20</v>
      </c>
      <c r="N717" s="101">
        <v>1</v>
      </c>
      <c r="O717" s="101">
        <v>4</v>
      </c>
      <c r="P717" s="101">
        <v>202</v>
      </c>
      <c r="Q717" s="101">
        <v>1585</v>
      </c>
      <c r="R717" s="12" t="s">
        <v>25</v>
      </c>
      <c r="S717" s="12" t="s">
        <v>25</v>
      </c>
      <c r="T717" s="12" t="s">
        <v>25</v>
      </c>
    </row>
    <row r="718" spans="1:20" x14ac:dyDescent="0.3">
      <c r="A718" s="13">
        <v>43919.708333333336</v>
      </c>
      <c r="B718" s="12" t="s">
        <v>22</v>
      </c>
      <c r="C718" s="101">
        <v>4</v>
      </c>
      <c r="D718" s="12" t="s">
        <v>44</v>
      </c>
      <c r="E718" s="101">
        <v>4649933453</v>
      </c>
      <c r="F718" s="101">
        <v>1135662422</v>
      </c>
      <c r="G718" s="101">
        <v>234</v>
      </c>
      <c r="H718" s="101">
        <v>56</v>
      </c>
      <c r="I718" s="101">
        <v>290</v>
      </c>
      <c r="J718" s="101">
        <v>744</v>
      </c>
      <c r="K718" s="101">
        <v>1034</v>
      </c>
      <c r="L718" s="101">
        <v>105</v>
      </c>
      <c r="M718" s="101">
        <v>105</v>
      </c>
      <c r="N718" s="101">
        <v>116</v>
      </c>
      <c r="O718" s="101">
        <v>64</v>
      </c>
      <c r="P718" s="101">
        <v>1214</v>
      </c>
      <c r="Q718" s="101">
        <v>10137</v>
      </c>
      <c r="R718" s="12" t="s">
        <v>25</v>
      </c>
      <c r="S718" s="12" t="s">
        <v>25</v>
      </c>
      <c r="T718" s="12" t="s">
        <v>25</v>
      </c>
    </row>
    <row r="719" spans="1:20" x14ac:dyDescent="0.3">
      <c r="A719" s="13">
        <v>43919.708333333336</v>
      </c>
      <c r="B719" s="12" t="s">
        <v>22</v>
      </c>
      <c r="C719" s="101">
        <v>18</v>
      </c>
      <c r="D719" s="12" t="s">
        <v>45</v>
      </c>
      <c r="E719" s="101">
        <v>3890597598</v>
      </c>
      <c r="F719" s="101">
        <v>1659440194</v>
      </c>
      <c r="G719" s="101">
        <v>124</v>
      </c>
      <c r="H719" s="101">
        <v>19</v>
      </c>
      <c r="I719" s="101">
        <v>143</v>
      </c>
      <c r="J719" s="101">
        <v>434</v>
      </c>
      <c r="K719" s="101">
        <v>577</v>
      </c>
      <c r="L719" s="101">
        <v>54</v>
      </c>
      <c r="M719" s="101">
        <v>59</v>
      </c>
      <c r="N719" s="101">
        <v>12</v>
      </c>
      <c r="O719" s="101">
        <v>25</v>
      </c>
      <c r="P719" s="101">
        <v>614</v>
      </c>
      <c r="Q719" s="101">
        <v>8485</v>
      </c>
      <c r="R719" s="12" t="s">
        <v>25</v>
      </c>
      <c r="S719" s="12" t="s">
        <v>25</v>
      </c>
      <c r="T719" s="12" t="s">
        <v>25</v>
      </c>
    </row>
    <row r="720" spans="1:20" x14ac:dyDescent="0.3">
      <c r="A720" s="13">
        <v>43919.708333333336</v>
      </c>
      <c r="B720" s="12" t="s">
        <v>22</v>
      </c>
      <c r="C720" s="101">
        <v>15</v>
      </c>
      <c r="D720" s="12" t="s">
        <v>46</v>
      </c>
      <c r="E720" s="101">
        <v>4083956555</v>
      </c>
      <c r="F720" s="101">
        <v>1425084984</v>
      </c>
      <c r="G720" s="101">
        <v>476</v>
      </c>
      <c r="H720" s="101">
        <v>135</v>
      </c>
      <c r="I720" s="101">
        <v>611</v>
      </c>
      <c r="J720" s="101">
        <v>945</v>
      </c>
      <c r="K720" s="101">
        <v>1556</v>
      </c>
      <c r="L720" s="101">
        <v>149</v>
      </c>
      <c r="M720" s="101">
        <v>167</v>
      </c>
      <c r="N720" s="101">
        <v>86</v>
      </c>
      <c r="O720" s="101">
        <v>117</v>
      </c>
      <c r="P720" s="101">
        <v>1759</v>
      </c>
      <c r="Q720" s="101">
        <v>11805</v>
      </c>
      <c r="R720" s="12" t="s">
        <v>25</v>
      </c>
      <c r="S720" s="12" t="s">
        <v>25</v>
      </c>
      <c r="T720" s="12" t="s">
        <v>25</v>
      </c>
    </row>
    <row r="721" spans="1:20" x14ac:dyDescent="0.3">
      <c r="A721" s="13">
        <v>43919.708333333336</v>
      </c>
      <c r="B721" s="12" t="s">
        <v>22</v>
      </c>
      <c r="C721" s="101">
        <v>8</v>
      </c>
      <c r="D721" s="12" t="s">
        <v>96</v>
      </c>
      <c r="E721" s="101">
        <v>4449436681</v>
      </c>
      <c r="F721" s="101">
        <v>113417208</v>
      </c>
      <c r="G721" s="101">
        <v>3769</v>
      </c>
      <c r="H721" s="101">
        <v>333</v>
      </c>
      <c r="I721" s="101">
        <v>4102</v>
      </c>
      <c r="J721" s="101">
        <v>6433</v>
      </c>
      <c r="K721" s="101">
        <v>10535</v>
      </c>
      <c r="L721" s="101">
        <v>571</v>
      </c>
      <c r="M721" s="101">
        <v>736</v>
      </c>
      <c r="N721" s="101">
        <v>1141</v>
      </c>
      <c r="O721" s="101">
        <v>1443</v>
      </c>
      <c r="P721" s="101">
        <v>13119</v>
      </c>
      <c r="Q721" s="101">
        <v>52991</v>
      </c>
      <c r="R721" s="12" t="s">
        <v>25</v>
      </c>
      <c r="S721" s="12" t="s">
        <v>97</v>
      </c>
      <c r="T721" s="12" t="s">
        <v>98</v>
      </c>
    </row>
    <row r="722" spans="1:20" x14ac:dyDescent="0.3">
      <c r="A722" s="13">
        <v>43919.708333333336</v>
      </c>
      <c r="B722" s="12" t="s">
        <v>22</v>
      </c>
      <c r="C722" s="101">
        <v>6</v>
      </c>
      <c r="D722" s="12" t="s">
        <v>47</v>
      </c>
      <c r="E722" s="101">
        <v>456494354</v>
      </c>
      <c r="F722" s="101">
        <v>1376813649</v>
      </c>
      <c r="G722" s="101">
        <v>236</v>
      </c>
      <c r="H722" s="101">
        <v>60</v>
      </c>
      <c r="I722" s="101">
        <v>296</v>
      </c>
      <c r="J722" s="101">
        <v>845</v>
      </c>
      <c r="K722" s="101">
        <v>1141</v>
      </c>
      <c r="L722" s="101">
        <v>21</v>
      </c>
      <c r="M722" s="101">
        <v>44</v>
      </c>
      <c r="N722" s="101">
        <v>241</v>
      </c>
      <c r="O722" s="101">
        <v>98</v>
      </c>
      <c r="P722" s="101">
        <v>1480</v>
      </c>
      <c r="Q722" s="101">
        <v>13397</v>
      </c>
      <c r="R722" s="12" t="s">
        <v>25</v>
      </c>
      <c r="S722" s="12" t="s">
        <v>25</v>
      </c>
      <c r="T722" s="12" t="s">
        <v>25</v>
      </c>
    </row>
    <row r="723" spans="1:20" x14ac:dyDescent="0.3">
      <c r="A723" s="13">
        <v>43919.708333333336</v>
      </c>
      <c r="B723" s="12" t="s">
        <v>22</v>
      </c>
      <c r="C723" s="101">
        <v>12</v>
      </c>
      <c r="D723" s="12" t="s">
        <v>48</v>
      </c>
      <c r="E723" s="101">
        <v>4189277044</v>
      </c>
      <c r="F723" s="101">
        <v>1248366722</v>
      </c>
      <c r="G723" s="101">
        <v>1062</v>
      </c>
      <c r="H723" s="101">
        <v>133</v>
      </c>
      <c r="I723" s="101">
        <v>1195</v>
      </c>
      <c r="J723" s="101">
        <v>1167</v>
      </c>
      <c r="K723" s="101">
        <v>2362</v>
      </c>
      <c r="L723" s="101">
        <v>181</v>
      </c>
      <c r="M723" s="101">
        <v>201</v>
      </c>
      <c r="N723" s="101">
        <v>208</v>
      </c>
      <c r="O723" s="101">
        <v>136</v>
      </c>
      <c r="P723" s="101">
        <v>2706</v>
      </c>
      <c r="Q723" s="101">
        <v>27744</v>
      </c>
      <c r="R723" s="12" t="s">
        <v>25</v>
      </c>
      <c r="S723" s="12" t="s">
        <v>25</v>
      </c>
      <c r="T723" s="12" t="s">
        <v>25</v>
      </c>
    </row>
    <row r="724" spans="1:20" x14ac:dyDescent="0.3">
      <c r="A724" s="13">
        <v>43919.708333333336</v>
      </c>
      <c r="B724" s="12" t="s">
        <v>22</v>
      </c>
      <c r="C724" s="101">
        <v>7</v>
      </c>
      <c r="D724" s="12" t="s">
        <v>49</v>
      </c>
      <c r="E724" s="101">
        <v>4441149315</v>
      </c>
      <c r="F724" s="101">
        <v>89326992</v>
      </c>
      <c r="G724" s="101">
        <v>1077</v>
      </c>
      <c r="H724" s="101">
        <v>166</v>
      </c>
      <c r="I724" s="101">
        <v>1243</v>
      </c>
      <c r="J724" s="101">
        <v>1036</v>
      </c>
      <c r="K724" s="101">
        <v>2279</v>
      </c>
      <c r="L724" s="101">
        <v>193</v>
      </c>
      <c r="M724" s="101">
        <v>254</v>
      </c>
      <c r="N724" s="101">
        <v>420</v>
      </c>
      <c r="O724" s="101">
        <v>377</v>
      </c>
      <c r="P724" s="101">
        <v>3076</v>
      </c>
      <c r="Q724" s="101">
        <v>9100</v>
      </c>
      <c r="R724" s="12" t="s">
        <v>25</v>
      </c>
      <c r="S724" s="12" t="s">
        <v>25</v>
      </c>
      <c r="T724" s="12" t="s">
        <v>25</v>
      </c>
    </row>
    <row r="725" spans="1:20" x14ac:dyDescent="0.3">
      <c r="A725" s="13">
        <v>43919.708333333336</v>
      </c>
      <c r="B725" s="12" t="s">
        <v>22</v>
      </c>
      <c r="C725" s="101">
        <v>3</v>
      </c>
      <c r="D725" s="12" t="s">
        <v>50</v>
      </c>
      <c r="E725" s="101">
        <v>4546679409</v>
      </c>
      <c r="F725" s="101">
        <v>9190347404</v>
      </c>
      <c r="G725" s="101">
        <v>11613</v>
      </c>
      <c r="H725" s="101">
        <v>1328</v>
      </c>
      <c r="I725" s="101">
        <v>12941</v>
      </c>
      <c r="J725" s="101">
        <v>12451</v>
      </c>
      <c r="K725" s="101">
        <v>25392</v>
      </c>
      <c r="L725" s="101">
        <v>883</v>
      </c>
      <c r="M725" s="101">
        <v>1592</v>
      </c>
      <c r="N725" s="101">
        <v>9255</v>
      </c>
      <c r="O725" s="101">
        <v>6360</v>
      </c>
      <c r="P725" s="101">
        <v>41007</v>
      </c>
      <c r="Q725" s="101">
        <v>107398</v>
      </c>
      <c r="R725" s="12" t="s">
        <v>25</v>
      </c>
      <c r="S725" s="12" t="s">
        <v>25</v>
      </c>
      <c r="T725" s="12" t="s">
        <v>25</v>
      </c>
    </row>
    <row r="726" spans="1:20" x14ac:dyDescent="0.3">
      <c r="A726" s="13">
        <v>43919.708333333336</v>
      </c>
      <c r="B726" s="12" t="s">
        <v>22</v>
      </c>
      <c r="C726" s="101">
        <v>11</v>
      </c>
      <c r="D726" s="12" t="s">
        <v>51</v>
      </c>
      <c r="E726" s="101">
        <v>4361675973</v>
      </c>
      <c r="F726" s="101">
        <v>135188753</v>
      </c>
      <c r="G726" s="101">
        <v>1000</v>
      </c>
      <c r="H726" s="101">
        <v>168</v>
      </c>
      <c r="I726" s="101">
        <v>1168</v>
      </c>
      <c r="J726" s="101">
        <v>1992</v>
      </c>
      <c r="K726" s="101">
        <v>3160</v>
      </c>
      <c r="L726" s="101">
        <v>161</v>
      </c>
      <c r="M726" s="101">
        <v>185</v>
      </c>
      <c r="N726" s="101">
        <v>12</v>
      </c>
      <c r="O726" s="101">
        <v>386</v>
      </c>
      <c r="P726" s="101">
        <v>3558</v>
      </c>
      <c r="Q726" s="101">
        <v>10431</v>
      </c>
      <c r="R726" s="12" t="s">
        <v>25</v>
      </c>
      <c r="S726" s="12" t="s">
        <v>25</v>
      </c>
      <c r="T726" s="12" t="s">
        <v>25</v>
      </c>
    </row>
    <row r="727" spans="1:20" x14ac:dyDescent="0.3">
      <c r="A727" s="13">
        <v>43919.708333333336</v>
      </c>
      <c r="B727" s="12" t="s">
        <v>22</v>
      </c>
      <c r="C727" s="101">
        <v>14</v>
      </c>
      <c r="D727" s="12" t="s">
        <v>52</v>
      </c>
      <c r="E727" s="101">
        <v>4155774754</v>
      </c>
      <c r="F727" s="101">
        <v>1465916051</v>
      </c>
      <c r="G727" s="101">
        <v>25</v>
      </c>
      <c r="H727" s="101">
        <v>9</v>
      </c>
      <c r="I727" s="101">
        <v>34</v>
      </c>
      <c r="J727" s="101">
        <v>66</v>
      </c>
      <c r="K727" s="101">
        <v>100</v>
      </c>
      <c r="L727" s="101">
        <v>2</v>
      </c>
      <c r="M727" s="101">
        <v>4</v>
      </c>
      <c r="N727" s="101">
        <v>18</v>
      </c>
      <c r="O727" s="101">
        <v>9</v>
      </c>
      <c r="P727" s="101">
        <v>127</v>
      </c>
      <c r="Q727" s="101">
        <v>918</v>
      </c>
      <c r="R727" s="12" t="s">
        <v>25</v>
      </c>
      <c r="S727" s="12" t="s">
        <v>25</v>
      </c>
      <c r="T727" s="12" t="s">
        <v>25</v>
      </c>
    </row>
    <row r="728" spans="1:20" x14ac:dyDescent="0.3">
      <c r="A728" s="13">
        <v>43919.708333333336</v>
      </c>
      <c r="B728" s="12" t="s">
        <v>22</v>
      </c>
      <c r="C728" s="101">
        <v>1</v>
      </c>
      <c r="D728" s="12" t="s">
        <v>53</v>
      </c>
      <c r="E728" s="101">
        <v>450732745</v>
      </c>
      <c r="F728" s="101">
        <v>7680687483</v>
      </c>
      <c r="G728" s="101">
        <v>2985</v>
      </c>
      <c r="H728" s="101">
        <v>443</v>
      </c>
      <c r="I728" s="101">
        <v>3428</v>
      </c>
      <c r="J728" s="101">
        <v>3840</v>
      </c>
      <c r="K728" s="101">
        <v>7268</v>
      </c>
      <c r="L728" s="101">
        <v>417</v>
      </c>
      <c r="M728" s="101">
        <v>535</v>
      </c>
      <c r="N728" s="101">
        <v>254</v>
      </c>
      <c r="O728" s="101">
        <v>684</v>
      </c>
      <c r="P728" s="101">
        <v>8206</v>
      </c>
      <c r="Q728" s="101">
        <v>24058</v>
      </c>
      <c r="R728" s="12" t="s">
        <v>25</v>
      </c>
      <c r="S728" s="12" t="s">
        <v>25</v>
      </c>
      <c r="T728" s="12" t="s">
        <v>25</v>
      </c>
    </row>
    <row r="729" spans="1:20" x14ac:dyDescent="0.3">
      <c r="A729" s="13">
        <v>43919.708333333336</v>
      </c>
      <c r="B729" s="12" t="s">
        <v>22</v>
      </c>
      <c r="C729" s="101">
        <v>16</v>
      </c>
      <c r="D729" s="12" t="s">
        <v>54</v>
      </c>
      <c r="E729" s="101">
        <v>4112559576</v>
      </c>
      <c r="F729" s="101">
        <v>1686736689</v>
      </c>
      <c r="G729" s="101">
        <v>559</v>
      </c>
      <c r="H729" s="101">
        <v>99</v>
      </c>
      <c r="I729" s="101">
        <v>658</v>
      </c>
      <c r="J729" s="101">
        <v>774</v>
      </c>
      <c r="K729" s="101">
        <v>1432</v>
      </c>
      <c r="L729" s="101">
        <v>74</v>
      </c>
      <c r="M729" s="101">
        <v>91</v>
      </c>
      <c r="N729" s="101">
        <v>31</v>
      </c>
      <c r="O729" s="101">
        <v>86</v>
      </c>
      <c r="P729" s="101">
        <v>1549</v>
      </c>
      <c r="Q729" s="101">
        <v>12361</v>
      </c>
      <c r="R729" s="12" t="s">
        <v>25</v>
      </c>
      <c r="S729" s="12" t="s">
        <v>25</v>
      </c>
      <c r="T729" s="12" t="s">
        <v>25</v>
      </c>
    </row>
    <row r="730" spans="1:20" x14ac:dyDescent="0.3">
      <c r="A730" s="13">
        <v>43919.708333333336</v>
      </c>
      <c r="B730" s="12" t="s">
        <v>22</v>
      </c>
      <c r="C730" s="101">
        <v>20</v>
      </c>
      <c r="D730" s="12" t="s">
        <v>55</v>
      </c>
      <c r="E730" s="101">
        <v>3921531192</v>
      </c>
      <c r="F730" s="101">
        <v>9110616306</v>
      </c>
      <c r="G730" s="101">
        <v>105</v>
      </c>
      <c r="H730" s="101">
        <v>23</v>
      </c>
      <c r="I730" s="101">
        <v>128</v>
      </c>
      <c r="J730" s="101">
        <v>454</v>
      </c>
      <c r="K730" s="101">
        <v>582</v>
      </c>
      <c r="L730" s="101">
        <v>13</v>
      </c>
      <c r="M730" s="101">
        <v>14</v>
      </c>
      <c r="N730" s="101">
        <v>29</v>
      </c>
      <c r="O730" s="101">
        <v>27</v>
      </c>
      <c r="P730" s="101">
        <v>638</v>
      </c>
      <c r="Q730" s="101">
        <v>4598</v>
      </c>
      <c r="R730" s="12" t="s">
        <v>25</v>
      </c>
      <c r="S730" s="12" t="s">
        <v>25</v>
      </c>
      <c r="T730" s="12" t="s">
        <v>25</v>
      </c>
    </row>
    <row r="731" spans="1:20" x14ac:dyDescent="0.3">
      <c r="A731" s="13">
        <v>43919.708333333336</v>
      </c>
      <c r="B731" s="12" t="s">
        <v>22</v>
      </c>
      <c r="C731" s="101">
        <v>19</v>
      </c>
      <c r="D731" s="12" t="s">
        <v>56</v>
      </c>
      <c r="E731" s="101">
        <v>3811569725</v>
      </c>
      <c r="F731" s="101">
        <v>133623567</v>
      </c>
      <c r="G731" s="101">
        <v>451</v>
      </c>
      <c r="H731" s="101">
        <v>71</v>
      </c>
      <c r="I731" s="101">
        <v>522</v>
      </c>
      <c r="J731" s="101">
        <v>808</v>
      </c>
      <c r="K731" s="101">
        <v>1330</v>
      </c>
      <c r="L731" s="101">
        <v>88</v>
      </c>
      <c r="M731" s="101">
        <v>101</v>
      </c>
      <c r="N731" s="101">
        <v>65</v>
      </c>
      <c r="O731" s="101">
        <v>65</v>
      </c>
      <c r="P731" s="101">
        <v>1460</v>
      </c>
      <c r="Q731" s="101">
        <v>13814</v>
      </c>
      <c r="R731" s="12" t="s">
        <v>25</v>
      </c>
      <c r="S731" s="12" t="s">
        <v>25</v>
      </c>
      <c r="T731" s="12" t="s">
        <v>25</v>
      </c>
    </row>
    <row r="732" spans="1:20" x14ac:dyDescent="0.3">
      <c r="A732" s="13">
        <v>43919.708333333336</v>
      </c>
      <c r="B732" s="12" t="s">
        <v>22</v>
      </c>
      <c r="C732" s="101">
        <v>9</v>
      </c>
      <c r="D732" s="12" t="s">
        <v>57</v>
      </c>
      <c r="E732" s="101">
        <v>4376923077</v>
      </c>
      <c r="F732" s="101">
        <v>1125588885</v>
      </c>
      <c r="G732" s="101">
        <v>1111</v>
      </c>
      <c r="H732" s="101">
        <v>275</v>
      </c>
      <c r="I732" s="101">
        <v>1386</v>
      </c>
      <c r="J732" s="101">
        <v>2400</v>
      </c>
      <c r="K732" s="101">
        <v>3786</v>
      </c>
      <c r="L732" s="101">
        <v>275</v>
      </c>
      <c r="M732" s="101">
        <v>305</v>
      </c>
      <c r="N732" s="101">
        <v>121</v>
      </c>
      <c r="O732" s="101">
        <v>215</v>
      </c>
      <c r="P732" s="101">
        <v>4122</v>
      </c>
      <c r="Q732" s="101">
        <v>27579</v>
      </c>
      <c r="R732" s="12" t="s">
        <v>25</v>
      </c>
      <c r="S732" s="12" t="s">
        <v>25</v>
      </c>
      <c r="T732" s="12" t="s">
        <v>25</v>
      </c>
    </row>
    <row r="733" spans="1:20" x14ac:dyDescent="0.3">
      <c r="A733" s="13">
        <v>43919.708333333336</v>
      </c>
      <c r="B733" s="12" t="s">
        <v>22</v>
      </c>
      <c r="C733" s="101">
        <v>4</v>
      </c>
      <c r="D733" s="12" t="s">
        <v>58</v>
      </c>
      <c r="E733" s="101">
        <v>4606893511</v>
      </c>
      <c r="F733" s="101">
        <v>1112123097</v>
      </c>
      <c r="G733" s="101">
        <v>356</v>
      </c>
      <c r="H733" s="101">
        <v>75</v>
      </c>
      <c r="I733" s="101">
        <v>431</v>
      </c>
      <c r="J733" s="101">
        <v>862</v>
      </c>
      <c r="K733" s="101">
        <v>1293</v>
      </c>
      <c r="L733" s="101">
        <v>59</v>
      </c>
      <c r="M733" s="101">
        <v>89</v>
      </c>
      <c r="N733" s="101">
        <v>172</v>
      </c>
      <c r="O733" s="101">
        <v>129</v>
      </c>
      <c r="P733" s="101">
        <v>1594</v>
      </c>
      <c r="Q733" s="101">
        <v>5950</v>
      </c>
      <c r="R733" s="12" t="s">
        <v>25</v>
      </c>
      <c r="S733" s="12" t="s">
        <v>25</v>
      </c>
      <c r="T733" s="12" t="s">
        <v>25</v>
      </c>
    </row>
    <row r="734" spans="1:20" x14ac:dyDescent="0.3">
      <c r="A734" s="13">
        <v>43919.708333333336</v>
      </c>
      <c r="B734" s="12" t="s">
        <v>22</v>
      </c>
      <c r="C734" s="101">
        <v>10</v>
      </c>
      <c r="D734" s="12" t="s">
        <v>59</v>
      </c>
      <c r="E734" s="101">
        <v>4310675841</v>
      </c>
      <c r="F734" s="101">
        <v>1238824698</v>
      </c>
      <c r="G734" s="101">
        <v>166</v>
      </c>
      <c r="H734" s="101">
        <v>46</v>
      </c>
      <c r="I734" s="101">
        <v>212</v>
      </c>
      <c r="J734" s="101">
        <v>685</v>
      </c>
      <c r="K734" s="101">
        <v>897</v>
      </c>
      <c r="L734" s="101">
        <v>-1</v>
      </c>
      <c r="M734" s="101">
        <v>54</v>
      </c>
      <c r="N734" s="101">
        <v>95</v>
      </c>
      <c r="O734" s="101">
        <v>31</v>
      </c>
      <c r="P734" s="101">
        <v>1023</v>
      </c>
      <c r="Q734" s="101">
        <v>7685</v>
      </c>
      <c r="R734" s="12" t="s">
        <v>25</v>
      </c>
      <c r="S734" s="12" t="s">
        <v>25</v>
      </c>
      <c r="T734" s="12" t="s">
        <v>25</v>
      </c>
    </row>
    <row r="735" spans="1:20" x14ac:dyDescent="0.3">
      <c r="A735" s="13">
        <v>43919.708333333336</v>
      </c>
      <c r="B735" s="12" t="s">
        <v>22</v>
      </c>
      <c r="C735" s="101">
        <v>2</v>
      </c>
      <c r="D735" s="12" t="s">
        <v>60</v>
      </c>
      <c r="E735" s="101">
        <v>4573750286</v>
      </c>
      <c r="F735" s="101">
        <v>7320149366</v>
      </c>
      <c r="G735" s="101">
        <v>90</v>
      </c>
      <c r="H735" s="101">
        <v>26</v>
      </c>
      <c r="I735" s="101">
        <v>116</v>
      </c>
      <c r="J735" s="101">
        <v>423</v>
      </c>
      <c r="K735" s="101">
        <v>539</v>
      </c>
      <c r="L735" s="101">
        <v>71</v>
      </c>
      <c r="M735" s="101">
        <v>73</v>
      </c>
      <c r="N735" s="101">
        <v>2</v>
      </c>
      <c r="O735" s="101">
        <v>43</v>
      </c>
      <c r="P735" s="101">
        <v>584</v>
      </c>
      <c r="Q735" s="101">
        <v>1480</v>
      </c>
      <c r="R735" s="12" t="s">
        <v>25</v>
      </c>
      <c r="S735" s="12" t="s">
        <v>25</v>
      </c>
      <c r="T735" s="12" t="s">
        <v>25</v>
      </c>
    </row>
    <row r="736" spans="1:20" x14ac:dyDescent="0.3">
      <c r="A736" s="13">
        <v>43919.708333333336</v>
      </c>
      <c r="B736" s="12" t="s">
        <v>22</v>
      </c>
      <c r="C736" s="101">
        <v>5</v>
      </c>
      <c r="D736" s="12" t="s">
        <v>61</v>
      </c>
      <c r="E736" s="101">
        <v>4543490485</v>
      </c>
      <c r="F736" s="101">
        <v>1233845213</v>
      </c>
      <c r="G736" s="101">
        <v>1586</v>
      </c>
      <c r="H736" s="101">
        <v>355</v>
      </c>
      <c r="I736" s="101">
        <v>1941</v>
      </c>
      <c r="J736" s="101">
        <v>5310</v>
      </c>
      <c r="K736" s="101">
        <v>7251</v>
      </c>
      <c r="L736" s="101">
        <v>338</v>
      </c>
      <c r="M736" s="101">
        <v>428</v>
      </c>
      <c r="N736" s="101">
        <v>715</v>
      </c>
      <c r="O736" s="101">
        <v>392</v>
      </c>
      <c r="P736" s="101">
        <v>8358</v>
      </c>
      <c r="Q736" s="101">
        <v>94784</v>
      </c>
      <c r="R736" s="12" t="s">
        <v>25</v>
      </c>
      <c r="S736" s="12" t="s">
        <v>25</v>
      </c>
      <c r="T736" s="12" t="s">
        <v>25</v>
      </c>
    </row>
    <row r="737" spans="1:20" x14ac:dyDescent="0.3">
      <c r="A737" s="13">
        <v>43920.708333333336</v>
      </c>
      <c r="B737" s="12" t="s">
        <v>22</v>
      </c>
      <c r="C737" s="101">
        <v>13</v>
      </c>
      <c r="D737" s="12" t="s">
        <v>42</v>
      </c>
      <c r="E737" s="101">
        <v>4235122196</v>
      </c>
      <c r="F737" s="101">
        <v>1339843823</v>
      </c>
      <c r="G737" s="101">
        <v>322</v>
      </c>
      <c r="H737" s="101">
        <v>69</v>
      </c>
      <c r="I737" s="101">
        <v>391</v>
      </c>
      <c r="J737" s="101">
        <v>778</v>
      </c>
      <c r="K737" s="101">
        <v>1169</v>
      </c>
      <c r="L737" s="101">
        <v>0</v>
      </c>
      <c r="M737" s="101">
        <v>52</v>
      </c>
      <c r="N737" s="101">
        <v>74</v>
      </c>
      <c r="O737" s="101">
        <v>102</v>
      </c>
      <c r="P737" s="101">
        <v>1345</v>
      </c>
      <c r="Q737" s="101">
        <v>7948</v>
      </c>
      <c r="R737" s="12" t="s">
        <v>25</v>
      </c>
      <c r="S737" s="12" t="s">
        <v>25</v>
      </c>
      <c r="T737" s="12" t="s">
        <v>25</v>
      </c>
    </row>
    <row r="738" spans="1:20" x14ac:dyDescent="0.3">
      <c r="A738" s="13">
        <v>43920.708333333336</v>
      </c>
      <c r="B738" s="12" t="s">
        <v>22</v>
      </c>
      <c r="C738" s="101">
        <v>17</v>
      </c>
      <c r="D738" s="12" t="s">
        <v>43</v>
      </c>
      <c r="E738" s="101">
        <v>4063947052</v>
      </c>
      <c r="F738" s="101">
        <v>1580514834</v>
      </c>
      <c r="G738" s="101">
        <v>36</v>
      </c>
      <c r="H738" s="101">
        <v>18</v>
      </c>
      <c r="I738" s="101">
        <v>54</v>
      </c>
      <c r="J738" s="101">
        <v>154</v>
      </c>
      <c r="K738" s="101">
        <v>208</v>
      </c>
      <c r="L738" s="101">
        <v>11</v>
      </c>
      <c r="M738" s="101">
        <v>12</v>
      </c>
      <c r="N738" s="101">
        <v>1</v>
      </c>
      <c r="O738" s="101">
        <v>5</v>
      </c>
      <c r="P738" s="101">
        <v>214</v>
      </c>
      <c r="Q738" s="101">
        <v>1833</v>
      </c>
      <c r="R738" s="12" t="s">
        <v>25</v>
      </c>
      <c r="S738" s="12" t="s">
        <v>25</v>
      </c>
      <c r="T738" s="12" t="s">
        <v>25</v>
      </c>
    </row>
    <row r="739" spans="1:20" x14ac:dyDescent="0.3">
      <c r="A739" s="13">
        <v>43920.708333333336</v>
      </c>
      <c r="B739" s="12" t="s">
        <v>22</v>
      </c>
      <c r="C739" s="101">
        <v>4</v>
      </c>
      <c r="D739" s="12" t="s">
        <v>44</v>
      </c>
      <c r="E739" s="101">
        <v>4649933453</v>
      </c>
      <c r="F739" s="101">
        <v>1135662422</v>
      </c>
      <c r="G739" s="101">
        <v>231</v>
      </c>
      <c r="H739" s="101">
        <v>62</v>
      </c>
      <c r="I739" s="101">
        <v>293</v>
      </c>
      <c r="J739" s="101">
        <v>805</v>
      </c>
      <c r="K739" s="101">
        <v>1098</v>
      </c>
      <c r="L739" s="101">
        <v>64</v>
      </c>
      <c r="M739" s="101">
        <v>111</v>
      </c>
      <c r="N739" s="101">
        <v>153</v>
      </c>
      <c r="O739" s="101">
        <v>74</v>
      </c>
      <c r="P739" s="101">
        <v>1325</v>
      </c>
      <c r="Q739" s="101">
        <v>10640</v>
      </c>
      <c r="R739" s="12" t="s">
        <v>25</v>
      </c>
      <c r="S739" s="12" t="s">
        <v>25</v>
      </c>
      <c r="T739" s="12" t="s">
        <v>25</v>
      </c>
    </row>
    <row r="740" spans="1:20" x14ac:dyDescent="0.3">
      <c r="A740" s="13">
        <v>43920.708333333336</v>
      </c>
      <c r="B740" s="12" t="s">
        <v>22</v>
      </c>
      <c r="C740" s="101">
        <v>18</v>
      </c>
      <c r="D740" s="12" t="s">
        <v>45</v>
      </c>
      <c r="E740" s="101">
        <v>3890597598</v>
      </c>
      <c r="F740" s="101">
        <v>1659440194</v>
      </c>
      <c r="G740" s="101">
        <v>130</v>
      </c>
      <c r="H740" s="101">
        <v>18</v>
      </c>
      <c r="I740" s="101">
        <v>148</v>
      </c>
      <c r="J740" s="101">
        <v>454</v>
      </c>
      <c r="K740" s="101">
        <v>602</v>
      </c>
      <c r="L740" s="101">
        <v>25</v>
      </c>
      <c r="M740" s="101">
        <v>33</v>
      </c>
      <c r="N740" s="101">
        <v>14</v>
      </c>
      <c r="O740" s="101">
        <v>31</v>
      </c>
      <c r="P740" s="101">
        <v>647</v>
      </c>
      <c r="Q740" s="101">
        <v>9013</v>
      </c>
      <c r="R740" s="12" t="s">
        <v>25</v>
      </c>
      <c r="S740" s="12" t="s">
        <v>25</v>
      </c>
      <c r="T740" s="12" t="s">
        <v>25</v>
      </c>
    </row>
    <row r="741" spans="1:20" x14ac:dyDescent="0.3">
      <c r="A741" s="13">
        <v>43920.708333333336</v>
      </c>
      <c r="B741" s="12" t="s">
        <v>22</v>
      </c>
      <c r="C741" s="101">
        <v>15</v>
      </c>
      <c r="D741" s="12" t="s">
        <v>46</v>
      </c>
      <c r="E741" s="101">
        <v>4083956555</v>
      </c>
      <c r="F741" s="101">
        <v>1425084984</v>
      </c>
      <c r="G741" s="101">
        <v>468</v>
      </c>
      <c r="H741" s="101">
        <v>126</v>
      </c>
      <c r="I741" s="101">
        <v>594</v>
      </c>
      <c r="J741" s="101">
        <v>1145</v>
      </c>
      <c r="K741" s="101">
        <v>1739</v>
      </c>
      <c r="L741" s="101">
        <v>183</v>
      </c>
      <c r="M741" s="101">
        <v>193</v>
      </c>
      <c r="N741" s="101">
        <v>88</v>
      </c>
      <c r="O741" s="101">
        <v>125</v>
      </c>
      <c r="P741" s="101">
        <v>1952</v>
      </c>
      <c r="Q741" s="101">
        <v>12969</v>
      </c>
      <c r="R741" s="12" t="s">
        <v>25</v>
      </c>
      <c r="S741" s="12" t="s">
        <v>25</v>
      </c>
      <c r="T741" s="12" t="s">
        <v>25</v>
      </c>
    </row>
    <row r="742" spans="1:20" x14ac:dyDescent="0.3">
      <c r="A742" s="13">
        <v>43920.708333333336</v>
      </c>
      <c r="B742" s="12" t="s">
        <v>22</v>
      </c>
      <c r="C742" s="101">
        <v>8</v>
      </c>
      <c r="D742" s="12" t="s">
        <v>96</v>
      </c>
      <c r="E742" s="101">
        <v>4449436681</v>
      </c>
      <c r="F742" s="101">
        <v>113417208</v>
      </c>
      <c r="G742" s="101">
        <v>3779</v>
      </c>
      <c r="H742" s="101">
        <v>351</v>
      </c>
      <c r="I742" s="101">
        <v>4130</v>
      </c>
      <c r="J742" s="101">
        <v>6636</v>
      </c>
      <c r="K742" s="101">
        <v>10766</v>
      </c>
      <c r="L742" s="101">
        <v>231</v>
      </c>
      <c r="M742" s="101">
        <v>412</v>
      </c>
      <c r="N742" s="101">
        <v>1227</v>
      </c>
      <c r="O742" s="101">
        <v>1538</v>
      </c>
      <c r="P742" s="101">
        <v>13531</v>
      </c>
      <c r="Q742" s="101">
        <v>50990</v>
      </c>
      <c r="R742" s="12" t="s">
        <v>25</v>
      </c>
      <c r="S742" s="12" t="s">
        <v>25</v>
      </c>
      <c r="T742" s="12" t="s">
        <v>25</v>
      </c>
    </row>
    <row r="743" spans="1:20" x14ac:dyDescent="0.3">
      <c r="A743" s="13">
        <v>43920.708333333336</v>
      </c>
      <c r="B743" s="12" t="s">
        <v>22</v>
      </c>
      <c r="C743" s="101">
        <v>6</v>
      </c>
      <c r="D743" s="12" t="s">
        <v>47</v>
      </c>
      <c r="E743" s="101">
        <v>456494354</v>
      </c>
      <c r="F743" s="101">
        <v>1376813649</v>
      </c>
      <c r="G743" s="101">
        <v>229</v>
      </c>
      <c r="H743" s="101">
        <v>60</v>
      </c>
      <c r="I743" s="101">
        <v>289</v>
      </c>
      <c r="J743" s="101">
        <v>820</v>
      </c>
      <c r="K743" s="101">
        <v>1109</v>
      </c>
      <c r="L743" s="101">
        <v>-32</v>
      </c>
      <c r="M743" s="101">
        <v>21</v>
      </c>
      <c r="N743" s="101">
        <v>285</v>
      </c>
      <c r="O743" s="101">
        <v>107</v>
      </c>
      <c r="P743" s="101">
        <v>1501</v>
      </c>
      <c r="Q743" s="101">
        <v>14003</v>
      </c>
      <c r="R743" s="12" t="s">
        <v>25</v>
      </c>
      <c r="S743" s="12" t="s">
        <v>25</v>
      </c>
      <c r="T743" s="12" t="s">
        <v>25</v>
      </c>
    </row>
    <row r="744" spans="1:20" x14ac:dyDescent="0.3">
      <c r="A744" s="13">
        <v>43920.708333333336</v>
      </c>
      <c r="B744" s="12" t="s">
        <v>22</v>
      </c>
      <c r="C744" s="101">
        <v>12</v>
      </c>
      <c r="D744" s="12" t="s">
        <v>48</v>
      </c>
      <c r="E744" s="101">
        <v>4189277044</v>
      </c>
      <c r="F744" s="101">
        <v>1248366722</v>
      </c>
      <c r="G744" s="101">
        <v>1079</v>
      </c>
      <c r="H744" s="101">
        <v>154</v>
      </c>
      <c r="I744" s="101">
        <v>1233</v>
      </c>
      <c r="J744" s="101">
        <v>1264</v>
      </c>
      <c r="K744" s="101">
        <v>2497</v>
      </c>
      <c r="L744" s="101">
        <v>135</v>
      </c>
      <c r="M744" s="101">
        <v>208</v>
      </c>
      <c r="N744" s="101">
        <v>267</v>
      </c>
      <c r="O744" s="101">
        <v>150</v>
      </c>
      <c r="P744" s="101">
        <v>2914</v>
      </c>
      <c r="Q744" s="101">
        <v>32846</v>
      </c>
      <c r="R744" s="12" t="s">
        <v>25</v>
      </c>
      <c r="S744" s="12" t="s">
        <v>25</v>
      </c>
      <c r="T744" s="12" t="s">
        <v>25</v>
      </c>
    </row>
    <row r="745" spans="1:20" x14ac:dyDescent="0.3">
      <c r="A745" s="13">
        <v>43920.708333333336</v>
      </c>
      <c r="B745" s="12" t="s">
        <v>22</v>
      </c>
      <c r="C745" s="101">
        <v>7</v>
      </c>
      <c r="D745" s="12" t="s">
        <v>49</v>
      </c>
      <c r="E745" s="101">
        <v>4441149315</v>
      </c>
      <c r="F745" s="101">
        <v>89326992</v>
      </c>
      <c r="G745" s="101">
        <v>1142</v>
      </c>
      <c r="H745" s="101">
        <v>175</v>
      </c>
      <c r="I745" s="101">
        <v>1317</v>
      </c>
      <c r="J745" s="101">
        <v>1066</v>
      </c>
      <c r="K745" s="101">
        <v>2383</v>
      </c>
      <c r="L745" s="101">
        <v>104</v>
      </c>
      <c r="M745" s="101">
        <v>141</v>
      </c>
      <c r="N745" s="101">
        <v>437</v>
      </c>
      <c r="O745" s="101">
        <v>397</v>
      </c>
      <c r="P745" s="101">
        <v>3217</v>
      </c>
      <c r="Q745" s="101">
        <v>9677</v>
      </c>
      <c r="R745" s="12" t="s">
        <v>25</v>
      </c>
      <c r="S745" s="12" t="s">
        <v>25</v>
      </c>
      <c r="T745" s="12" t="s">
        <v>25</v>
      </c>
    </row>
    <row r="746" spans="1:20" x14ac:dyDescent="0.3">
      <c r="A746" s="13">
        <v>43920.708333333336</v>
      </c>
      <c r="B746" s="12" t="s">
        <v>22</v>
      </c>
      <c r="C746" s="101">
        <v>3</v>
      </c>
      <c r="D746" s="12" t="s">
        <v>50</v>
      </c>
      <c r="E746" s="101">
        <v>4546679409</v>
      </c>
      <c r="F746" s="101">
        <v>9190347404</v>
      </c>
      <c r="G746" s="101">
        <v>11815</v>
      </c>
      <c r="H746" s="101">
        <v>1330</v>
      </c>
      <c r="I746" s="101">
        <v>13145</v>
      </c>
      <c r="J746" s="101">
        <v>11861</v>
      </c>
      <c r="K746" s="101">
        <v>25006</v>
      </c>
      <c r="L746" s="101">
        <v>-386</v>
      </c>
      <c r="M746" s="101">
        <v>1154</v>
      </c>
      <c r="N746" s="101">
        <v>10337</v>
      </c>
      <c r="O746" s="101">
        <v>6818</v>
      </c>
      <c r="P746" s="101">
        <v>42161</v>
      </c>
      <c r="Q746" s="101">
        <v>111057</v>
      </c>
      <c r="R746" s="12" t="s">
        <v>25</v>
      </c>
      <c r="S746" s="12" t="s">
        <v>25</v>
      </c>
      <c r="T746" s="12" t="s">
        <v>25</v>
      </c>
    </row>
    <row r="747" spans="1:20" x14ac:dyDescent="0.3">
      <c r="A747" s="13">
        <v>43920.708333333336</v>
      </c>
      <c r="B747" s="12" t="s">
        <v>22</v>
      </c>
      <c r="C747" s="101">
        <v>11</v>
      </c>
      <c r="D747" s="12" t="s">
        <v>51</v>
      </c>
      <c r="E747" s="101">
        <v>4361675973</v>
      </c>
      <c r="F747" s="101">
        <v>135188753</v>
      </c>
      <c r="G747" s="101">
        <v>998</v>
      </c>
      <c r="H747" s="101">
        <v>167</v>
      </c>
      <c r="I747" s="101">
        <v>1165</v>
      </c>
      <c r="J747" s="101">
        <v>2086</v>
      </c>
      <c r="K747" s="101">
        <v>3251</v>
      </c>
      <c r="L747" s="101">
        <v>91</v>
      </c>
      <c r="M747" s="101">
        <v>126</v>
      </c>
      <c r="N747" s="101">
        <v>16</v>
      </c>
      <c r="O747" s="101">
        <v>417</v>
      </c>
      <c r="P747" s="101">
        <v>3684</v>
      </c>
      <c r="Q747" s="101">
        <v>10979</v>
      </c>
      <c r="R747" s="12" t="s">
        <v>25</v>
      </c>
      <c r="S747" s="12" t="s">
        <v>25</v>
      </c>
      <c r="T747" s="12" t="s">
        <v>25</v>
      </c>
    </row>
    <row r="748" spans="1:20" x14ac:dyDescent="0.3">
      <c r="A748" s="13">
        <v>43920.708333333336</v>
      </c>
      <c r="B748" s="12" t="s">
        <v>22</v>
      </c>
      <c r="C748" s="101">
        <v>14</v>
      </c>
      <c r="D748" s="12" t="s">
        <v>52</v>
      </c>
      <c r="E748" s="101">
        <v>4155774754</v>
      </c>
      <c r="F748" s="101">
        <v>1465916051</v>
      </c>
      <c r="G748" s="101">
        <v>27</v>
      </c>
      <c r="H748" s="101">
        <v>8</v>
      </c>
      <c r="I748" s="101">
        <v>35</v>
      </c>
      <c r="J748" s="101">
        <v>72</v>
      </c>
      <c r="K748" s="101">
        <v>107</v>
      </c>
      <c r="L748" s="101">
        <v>7</v>
      </c>
      <c r="M748" s="101">
        <v>7</v>
      </c>
      <c r="N748" s="101">
        <v>18</v>
      </c>
      <c r="O748" s="101">
        <v>9</v>
      </c>
      <c r="P748" s="101">
        <v>134</v>
      </c>
      <c r="Q748" s="101">
        <v>955</v>
      </c>
      <c r="R748" s="12" t="s">
        <v>25</v>
      </c>
      <c r="S748" s="12" t="s">
        <v>25</v>
      </c>
      <c r="T748" s="12" t="s">
        <v>25</v>
      </c>
    </row>
    <row r="749" spans="1:20" x14ac:dyDescent="0.3">
      <c r="A749" s="13">
        <v>43920.708333333336</v>
      </c>
      <c r="B749" s="12" t="s">
        <v>22</v>
      </c>
      <c r="C749" s="101">
        <v>1</v>
      </c>
      <c r="D749" s="12" t="s">
        <v>53</v>
      </c>
      <c r="E749" s="101">
        <v>450732745</v>
      </c>
      <c r="F749" s="101">
        <v>7680687483</v>
      </c>
      <c r="G749" s="101">
        <v>2985</v>
      </c>
      <c r="H749" s="101">
        <v>452</v>
      </c>
      <c r="I749" s="101">
        <v>3437</v>
      </c>
      <c r="J749" s="101">
        <v>4218</v>
      </c>
      <c r="K749" s="101">
        <v>7655</v>
      </c>
      <c r="L749" s="101">
        <v>387</v>
      </c>
      <c r="M749" s="101">
        <v>506</v>
      </c>
      <c r="N749" s="101">
        <v>308</v>
      </c>
      <c r="O749" s="101">
        <v>749</v>
      </c>
      <c r="P749" s="101">
        <v>8712</v>
      </c>
      <c r="Q749" s="101">
        <v>25478</v>
      </c>
      <c r="R749" s="12" t="s">
        <v>25</v>
      </c>
      <c r="S749" s="12" t="s">
        <v>25</v>
      </c>
      <c r="T749" s="12" t="s">
        <v>25</v>
      </c>
    </row>
    <row r="750" spans="1:20" x14ac:dyDescent="0.3">
      <c r="A750" s="13">
        <v>43920.708333333336</v>
      </c>
      <c r="B750" s="12" t="s">
        <v>22</v>
      </c>
      <c r="C750" s="101">
        <v>16</v>
      </c>
      <c r="D750" s="12" t="s">
        <v>54</v>
      </c>
      <c r="E750" s="101">
        <v>4112559576</v>
      </c>
      <c r="F750" s="101">
        <v>1686736689</v>
      </c>
      <c r="G750" s="101">
        <v>590</v>
      </c>
      <c r="H750" s="101">
        <v>106</v>
      </c>
      <c r="I750" s="101">
        <v>696</v>
      </c>
      <c r="J750" s="101">
        <v>889</v>
      </c>
      <c r="K750" s="101">
        <v>1585</v>
      </c>
      <c r="L750" s="101">
        <v>153</v>
      </c>
      <c r="M750" s="101">
        <v>163</v>
      </c>
      <c r="N750" s="101">
        <v>36</v>
      </c>
      <c r="O750" s="101">
        <v>91</v>
      </c>
      <c r="P750" s="101">
        <v>1712</v>
      </c>
      <c r="Q750" s="101">
        <v>13117</v>
      </c>
      <c r="R750" s="12" t="s">
        <v>25</v>
      </c>
      <c r="S750" s="12" t="s">
        <v>25</v>
      </c>
      <c r="T750" s="12" t="s">
        <v>25</v>
      </c>
    </row>
    <row r="751" spans="1:20" x14ac:dyDescent="0.3">
      <c r="A751" s="13">
        <v>43920.708333333336</v>
      </c>
      <c r="B751" s="12" t="s">
        <v>22</v>
      </c>
      <c r="C751" s="101">
        <v>20</v>
      </c>
      <c r="D751" s="12" t="s">
        <v>55</v>
      </c>
      <c r="E751" s="101">
        <v>3921531192</v>
      </c>
      <c r="F751" s="101">
        <v>9110616306</v>
      </c>
      <c r="G751" s="101">
        <v>113</v>
      </c>
      <c r="H751" s="101">
        <v>24</v>
      </c>
      <c r="I751" s="101">
        <v>137</v>
      </c>
      <c r="J751" s="101">
        <v>485</v>
      </c>
      <c r="K751" s="101">
        <v>622</v>
      </c>
      <c r="L751" s="101">
        <v>40</v>
      </c>
      <c r="M751" s="101">
        <v>44</v>
      </c>
      <c r="N751" s="101">
        <v>32</v>
      </c>
      <c r="O751" s="101">
        <v>28</v>
      </c>
      <c r="P751" s="101">
        <v>682</v>
      </c>
      <c r="Q751" s="101">
        <v>4993</v>
      </c>
      <c r="R751" s="12" t="s">
        <v>25</v>
      </c>
      <c r="S751" s="12" t="s">
        <v>25</v>
      </c>
      <c r="T751" s="12" t="s">
        <v>25</v>
      </c>
    </row>
    <row r="752" spans="1:20" x14ac:dyDescent="0.3">
      <c r="A752" s="13">
        <v>43920.708333333336</v>
      </c>
      <c r="B752" s="12" t="s">
        <v>22</v>
      </c>
      <c r="C752" s="101">
        <v>19</v>
      </c>
      <c r="D752" s="12" t="s">
        <v>56</v>
      </c>
      <c r="E752" s="101">
        <v>3811569725</v>
      </c>
      <c r="F752" s="101">
        <v>133623567</v>
      </c>
      <c r="G752" s="101">
        <v>484</v>
      </c>
      <c r="H752" s="101">
        <v>75</v>
      </c>
      <c r="I752" s="101">
        <v>559</v>
      </c>
      <c r="J752" s="101">
        <v>849</v>
      </c>
      <c r="K752" s="101">
        <v>1408</v>
      </c>
      <c r="L752" s="101">
        <v>78</v>
      </c>
      <c r="M752" s="101">
        <v>95</v>
      </c>
      <c r="N752" s="101">
        <v>71</v>
      </c>
      <c r="O752" s="101">
        <v>76</v>
      </c>
      <c r="P752" s="101">
        <v>1555</v>
      </c>
      <c r="Q752" s="101">
        <v>14758</v>
      </c>
      <c r="R752" s="12" t="s">
        <v>25</v>
      </c>
      <c r="S752" s="12" t="s">
        <v>25</v>
      </c>
      <c r="T752" s="12" t="s">
        <v>25</v>
      </c>
    </row>
    <row r="753" spans="1:20" x14ac:dyDescent="0.3">
      <c r="A753" s="13">
        <v>43920.708333333336</v>
      </c>
      <c r="B753" s="12" t="s">
        <v>22</v>
      </c>
      <c r="C753" s="101">
        <v>9</v>
      </c>
      <c r="D753" s="12" t="s">
        <v>57</v>
      </c>
      <c r="E753" s="101">
        <v>4376923077</v>
      </c>
      <c r="F753" s="101">
        <v>1125588885</v>
      </c>
      <c r="G753" s="101">
        <v>1116</v>
      </c>
      <c r="H753" s="101">
        <v>279</v>
      </c>
      <c r="I753" s="101">
        <v>1395</v>
      </c>
      <c r="J753" s="101">
        <v>2655</v>
      </c>
      <c r="K753" s="101">
        <v>4050</v>
      </c>
      <c r="L753" s="101">
        <v>264</v>
      </c>
      <c r="M753" s="101">
        <v>290</v>
      </c>
      <c r="N753" s="101">
        <v>131</v>
      </c>
      <c r="O753" s="101">
        <v>231</v>
      </c>
      <c r="P753" s="101">
        <v>4412</v>
      </c>
      <c r="Q753" s="101">
        <v>30099</v>
      </c>
      <c r="R753" s="12" t="s">
        <v>25</v>
      </c>
      <c r="S753" s="12" t="s">
        <v>25</v>
      </c>
      <c r="T753" s="12" t="s">
        <v>25</v>
      </c>
    </row>
    <row r="754" spans="1:20" x14ac:dyDescent="0.3">
      <c r="A754" s="13">
        <v>43920.708333333336</v>
      </c>
      <c r="B754" s="12" t="s">
        <v>22</v>
      </c>
      <c r="C754" s="101">
        <v>4</v>
      </c>
      <c r="D754" s="12" t="s">
        <v>58</v>
      </c>
      <c r="E754" s="101">
        <v>4606893511</v>
      </c>
      <c r="F754" s="101">
        <v>1112123097</v>
      </c>
      <c r="G754" s="101">
        <v>353</v>
      </c>
      <c r="H754" s="101">
        <v>78</v>
      </c>
      <c r="I754" s="101">
        <v>431</v>
      </c>
      <c r="J754" s="101">
        <v>926</v>
      </c>
      <c r="K754" s="101">
        <v>1357</v>
      </c>
      <c r="L754" s="101">
        <v>64</v>
      </c>
      <c r="M754" s="101">
        <v>88</v>
      </c>
      <c r="N754" s="101">
        <v>178</v>
      </c>
      <c r="O754" s="101">
        <v>147</v>
      </c>
      <c r="P754" s="101">
        <v>1682</v>
      </c>
      <c r="Q754" s="101">
        <v>6377</v>
      </c>
      <c r="R754" s="12" t="s">
        <v>25</v>
      </c>
      <c r="S754" s="12" t="s">
        <v>25</v>
      </c>
      <c r="T754" s="12" t="s">
        <v>25</v>
      </c>
    </row>
    <row r="755" spans="1:20" x14ac:dyDescent="0.3">
      <c r="A755" s="13">
        <v>43920.708333333336</v>
      </c>
      <c r="B755" s="12" t="s">
        <v>22</v>
      </c>
      <c r="C755" s="101">
        <v>10</v>
      </c>
      <c r="D755" s="12" t="s">
        <v>59</v>
      </c>
      <c r="E755" s="101">
        <v>4310675841</v>
      </c>
      <c r="F755" s="101">
        <v>1238824698</v>
      </c>
      <c r="G755" s="101">
        <v>173</v>
      </c>
      <c r="H755" s="101">
        <v>47</v>
      </c>
      <c r="I755" s="101">
        <v>220</v>
      </c>
      <c r="J755" s="101">
        <v>614</v>
      </c>
      <c r="K755" s="101">
        <v>834</v>
      </c>
      <c r="L755" s="101">
        <v>-63</v>
      </c>
      <c r="M755" s="101">
        <v>28</v>
      </c>
      <c r="N755" s="101">
        <v>184</v>
      </c>
      <c r="O755" s="101">
        <v>33</v>
      </c>
      <c r="P755" s="101">
        <v>1051</v>
      </c>
      <c r="Q755" s="101">
        <v>8150</v>
      </c>
      <c r="R755" s="12" t="s">
        <v>25</v>
      </c>
      <c r="S755" s="12" t="s">
        <v>25</v>
      </c>
      <c r="T755" s="12" t="s">
        <v>25</v>
      </c>
    </row>
    <row r="756" spans="1:20" x14ac:dyDescent="0.3">
      <c r="A756" s="13">
        <v>43920.708333333336</v>
      </c>
      <c r="B756" s="12" t="s">
        <v>22</v>
      </c>
      <c r="C756" s="101">
        <v>2</v>
      </c>
      <c r="D756" s="12" t="s">
        <v>60</v>
      </c>
      <c r="E756" s="101">
        <v>4573750286</v>
      </c>
      <c r="F756" s="101">
        <v>7320149366</v>
      </c>
      <c r="G756" s="101">
        <v>92</v>
      </c>
      <c r="H756" s="101">
        <v>26</v>
      </c>
      <c r="I756" s="101">
        <v>118</v>
      </c>
      <c r="J756" s="101">
        <v>400</v>
      </c>
      <c r="K756" s="101">
        <v>518</v>
      </c>
      <c r="L756" s="101">
        <v>-21</v>
      </c>
      <c r="M756" s="101">
        <v>0</v>
      </c>
      <c r="N756" s="101">
        <v>16</v>
      </c>
      <c r="O756" s="101">
        <v>50</v>
      </c>
      <c r="P756" s="101">
        <v>584</v>
      </c>
      <c r="Q756" s="101">
        <v>1536</v>
      </c>
      <c r="R756" s="12" t="s">
        <v>25</v>
      </c>
      <c r="S756" s="12" t="s">
        <v>25</v>
      </c>
      <c r="T756" s="12" t="s">
        <v>25</v>
      </c>
    </row>
    <row r="757" spans="1:20" x14ac:dyDescent="0.3">
      <c r="A757" s="13">
        <v>43920.708333333336</v>
      </c>
      <c r="B757" s="12" t="s">
        <v>22</v>
      </c>
      <c r="C757" s="101">
        <v>5</v>
      </c>
      <c r="D757" s="12" t="s">
        <v>61</v>
      </c>
      <c r="E757" s="101">
        <v>4543490485</v>
      </c>
      <c r="F757" s="101">
        <v>1233845213</v>
      </c>
      <c r="G757" s="101">
        <v>1633</v>
      </c>
      <c r="H757" s="101">
        <v>356</v>
      </c>
      <c r="I757" s="101">
        <v>1989</v>
      </c>
      <c r="J757" s="101">
        <v>5575</v>
      </c>
      <c r="K757" s="101">
        <v>7564</v>
      </c>
      <c r="L757" s="101">
        <v>313</v>
      </c>
      <c r="M757" s="101">
        <v>366</v>
      </c>
      <c r="N757" s="101">
        <v>747</v>
      </c>
      <c r="O757" s="101">
        <v>413</v>
      </c>
      <c r="P757" s="101">
        <v>8724</v>
      </c>
      <c r="Q757" s="101">
        <v>99941</v>
      </c>
      <c r="R757" s="12" t="s">
        <v>25</v>
      </c>
      <c r="S757" s="12" t="s">
        <v>25</v>
      </c>
      <c r="T757" s="12" t="s">
        <v>25</v>
      </c>
    </row>
    <row r="758" spans="1:20" x14ac:dyDescent="0.3">
      <c r="A758" s="13">
        <v>43921.708333333336</v>
      </c>
      <c r="B758" s="12" t="s">
        <v>22</v>
      </c>
      <c r="C758" s="101">
        <v>13</v>
      </c>
      <c r="D758" s="12" t="s">
        <v>42</v>
      </c>
      <c r="E758" s="101">
        <v>4235122196</v>
      </c>
      <c r="F758" s="101">
        <v>1339843823</v>
      </c>
      <c r="G758" s="101">
        <v>335</v>
      </c>
      <c r="H758" s="101">
        <v>73</v>
      </c>
      <c r="I758" s="101">
        <v>408</v>
      </c>
      <c r="J758" s="101">
        <v>783</v>
      </c>
      <c r="K758" s="101">
        <v>1191</v>
      </c>
      <c r="L758" s="101">
        <v>22</v>
      </c>
      <c r="M758" s="101">
        <v>56</v>
      </c>
      <c r="N758" s="101">
        <v>95</v>
      </c>
      <c r="O758" s="101">
        <v>115</v>
      </c>
      <c r="P758" s="101">
        <v>1401</v>
      </c>
      <c r="Q758" s="101">
        <v>8758</v>
      </c>
      <c r="R758" s="12" t="s">
        <v>25</v>
      </c>
      <c r="S758" s="12" t="s">
        <v>25</v>
      </c>
      <c r="T758" s="12" t="s">
        <v>25</v>
      </c>
    </row>
    <row r="759" spans="1:20" x14ac:dyDescent="0.3">
      <c r="A759" s="13">
        <v>43921.708333333336</v>
      </c>
      <c r="B759" s="12" t="s">
        <v>22</v>
      </c>
      <c r="C759" s="101">
        <v>17</v>
      </c>
      <c r="D759" s="12" t="s">
        <v>43</v>
      </c>
      <c r="E759" s="101">
        <v>4063947052</v>
      </c>
      <c r="F759" s="101">
        <v>1580514834</v>
      </c>
      <c r="G759" s="101">
        <v>37</v>
      </c>
      <c r="H759" s="101">
        <v>17</v>
      </c>
      <c r="I759" s="101">
        <v>54</v>
      </c>
      <c r="J759" s="101">
        <v>162</v>
      </c>
      <c r="K759" s="101">
        <v>216</v>
      </c>
      <c r="L759" s="101">
        <v>8</v>
      </c>
      <c r="M759" s="101">
        <v>12</v>
      </c>
      <c r="N759" s="101">
        <v>3</v>
      </c>
      <c r="O759" s="101">
        <v>7</v>
      </c>
      <c r="P759" s="101">
        <v>226</v>
      </c>
      <c r="Q759" s="101">
        <v>2043</v>
      </c>
      <c r="R759" s="12" t="s">
        <v>25</v>
      </c>
      <c r="S759" s="12" t="s">
        <v>25</v>
      </c>
      <c r="T759" s="12" t="s">
        <v>25</v>
      </c>
    </row>
    <row r="760" spans="1:20" x14ac:dyDescent="0.3">
      <c r="A760" s="13">
        <v>43921.708333333336</v>
      </c>
      <c r="B760" s="12" t="s">
        <v>22</v>
      </c>
      <c r="C760" s="101">
        <v>4</v>
      </c>
      <c r="D760" s="12" t="s">
        <v>44</v>
      </c>
      <c r="E760" s="101">
        <v>4649933453</v>
      </c>
      <c r="F760" s="101">
        <v>1135662422</v>
      </c>
      <c r="G760" s="101">
        <v>249</v>
      </c>
      <c r="H760" s="101">
        <v>62</v>
      </c>
      <c r="I760" s="101">
        <v>311</v>
      </c>
      <c r="J760" s="101">
        <v>831</v>
      </c>
      <c r="K760" s="101">
        <v>1142</v>
      </c>
      <c r="L760" s="101">
        <v>44</v>
      </c>
      <c r="M760" s="101">
        <v>46</v>
      </c>
      <c r="N760" s="101">
        <v>153</v>
      </c>
      <c r="O760" s="101">
        <v>76</v>
      </c>
      <c r="P760" s="101">
        <v>1371</v>
      </c>
      <c r="Q760" s="101">
        <v>11275</v>
      </c>
      <c r="R760" s="12" t="s">
        <v>25</v>
      </c>
      <c r="S760" s="12" t="s">
        <v>25</v>
      </c>
      <c r="T760" s="12" t="s">
        <v>25</v>
      </c>
    </row>
    <row r="761" spans="1:20" x14ac:dyDescent="0.3">
      <c r="A761" s="13">
        <v>43921.708333333336</v>
      </c>
      <c r="B761" s="12" t="s">
        <v>22</v>
      </c>
      <c r="C761" s="101">
        <v>18</v>
      </c>
      <c r="D761" s="12" t="s">
        <v>45</v>
      </c>
      <c r="E761" s="101">
        <v>3890597598</v>
      </c>
      <c r="F761" s="101">
        <v>1659440194</v>
      </c>
      <c r="G761" s="101">
        <v>132</v>
      </c>
      <c r="H761" s="101">
        <v>17</v>
      </c>
      <c r="I761" s="101">
        <v>149</v>
      </c>
      <c r="J761" s="101">
        <v>457</v>
      </c>
      <c r="K761" s="101">
        <v>606</v>
      </c>
      <c r="L761" s="101">
        <v>4</v>
      </c>
      <c r="M761" s="101">
        <v>12</v>
      </c>
      <c r="N761" s="101">
        <v>17</v>
      </c>
      <c r="O761" s="101">
        <v>36</v>
      </c>
      <c r="P761" s="101">
        <v>659</v>
      </c>
      <c r="Q761" s="101">
        <v>9327</v>
      </c>
      <c r="R761" s="12" t="s">
        <v>25</v>
      </c>
      <c r="S761" s="12" t="s">
        <v>25</v>
      </c>
      <c r="T761" s="12" t="s">
        <v>25</v>
      </c>
    </row>
    <row r="762" spans="1:20" x14ac:dyDescent="0.3">
      <c r="A762" s="13">
        <v>43921.708333333336</v>
      </c>
      <c r="B762" s="12" t="s">
        <v>22</v>
      </c>
      <c r="C762" s="101">
        <v>15</v>
      </c>
      <c r="D762" s="12" t="s">
        <v>46</v>
      </c>
      <c r="E762" s="101">
        <v>4083956555</v>
      </c>
      <c r="F762" s="101">
        <v>1425084984</v>
      </c>
      <c r="G762" s="101">
        <v>501</v>
      </c>
      <c r="H762" s="101">
        <v>133</v>
      </c>
      <c r="I762" s="101">
        <v>634</v>
      </c>
      <c r="J762" s="101">
        <v>1237</v>
      </c>
      <c r="K762" s="101">
        <v>1871</v>
      </c>
      <c r="L762" s="101">
        <v>132</v>
      </c>
      <c r="M762" s="101">
        <v>140</v>
      </c>
      <c r="N762" s="101">
        <v>88</v>
      </c>
      <c r="O762" s="101">
        <v>133</v>
      </c>
      <c r="P762" s="101">
        <v>2092</v>
      </c>
      <c r="Q762" s="101">
        <v>14403</v>
      </c>
      <c r="R762" s="12" t="s">
        <v>25</v>
      </c>
      <c r="S762" s="12" t="s">
        <v>25</v>
      </c>
      <c r="T762" s="12" t="s">
        <v>25</v>
      </c>
    </row>
    <row r="763" spans="1:20" x14ac:dyDescent="0.3">
      <c r="A763" s="13">
        <v>43921.708333333336</v>
      </c>
      <c r="B763" s="12" t="s">
        <v>22</v>
      </c>
      <c r="C763" s="101">
        <v>8</v>
      </c>
      <c r="D763" s="12" t="s">
        <v>96</v>
      </c>
      <c r="E763" s="101">
        <v>4449436681</v>
      </c>
      <c r="F763" s="101">
        <v>113417208</v>
      </c>
      <c r="G763" s="101">
        <v>3765</v>
      </c>
      <c r="H763" s="101">
        <v>353</v>
      </c>
      <c r="I763" s="101">
        <v>4118</v>
      </c>
      <c r="J763" s="101">
        <v>6835</v>
      </c>
      <c r="K763" s="101">
        <v>10953</v>
      </c>
      <c r="L763" s="101">
        <v>187</v>
      </c>
      <c r="M763" s="101">
        <v>543</v>
      </c>
      <c r="N763" s="101">
        <v>1477</v>
      </c>
      <c r="O763" s="101">
        <v>1644</v>
      </c>
      <c r="P763" s="101">
        <v>14074</v>
      </c>
      <c r="Q763" s="101">
        <v>54532</v>
      </c>
      <c r="R763" s="12" t="s">
        <v>25</v>
      </c>
      <c r="S763" s="12" t="s">
        <v>25</v>
      </c>
      <c r="T763" s="12" t="s">
        <v>25</v>
      </c>
    </row>
    <row r="764" spans="1:20" x14ac:dyDescent="0.3">
      <c r="A764" s="13">
        <v>43921.708333333336</v>
      </c>
      <c r="B764" s="12" t="s">
        <v>22</v>
      </c>
      <c r="C764" s="101">
        <v>6</v>
      </c>
      <c r="D764" s="12" t="s">
        <v>47</v>
      </c>
      <c r="E764" s="101">
        <v>456494354</v>
      </c>
      <c r="F764" s="101">
        <v>1376813649</v>
      </c>
      <c r="G764" s="101">
        <v>215</v>
      </c>
      <c r="H764" s="101">
        <v>60</v>
      </c>
      <c r="I764" s="101">
        <v>275</v>
      </c>
      <c r="J764" s="101">
        <v>885</v>
      </c>
      <c r="K764" s="101">
        <v>1160</v>
      </c>
      <c r="L764" s="101">
        <v>51</v>
      </c>
      <c r="M764" s="101">
        <v>92</v>
      </c>
      <c r="N764" s="101">
        <v>320</v>
      </c>
      <c r="O764" s="101">
        <v>113</v>
      </c>
      <c r="P764" s="101">
        <v>1593</v>
      </c>
      <c r="Q764" s="101">
        <v>14899</v>
      </c>
      <c r="R764" s="12" t="s">
        <v>25</v>
      </c>
      <c r="S764" s="12" t="s">
        <v>25</v>
      </c>
      <c r="T764" s="12" t="s">
        <v>25</v>
      </c>
    </row>
    <row r="765" spans="1:20" x14ac:dyDescent="0.3">
      <c r="A765" s="13">
        <v>43921.708333333336</v>
      </c>
      <c r="B765" s="12" t="s">
        <v>22</v>
      </c>
      <c r="C765" s="101">
        <v>12</v>
      </c>
      <c r="D765" s="12" t="s">
        <v>48</v>
      </c>
      <c r="E765" s="101">
        <v>4189277044</v>
      </c>
      <c r="F765" s="101">
        <v>1248366722</v>
      </c>
      <c r="G765" s="101">
        <v>1127</v>
      </c>
      <c r="H765" s="101">
        <v>173</v>
      </c>
      <c r="I765" s="101">
        <v>1300</v>
      </c>
      <c r="J765" s="101">
        <v>1342</v>
      </c>
      <c r="K765" s="101">
        <v>2642</v>
      </c>
      <c r="L765" s="101">
        <v>145</v>
      </c>
      <c r="M765" s="101">
        <v>181</v>
      </c>
      <c r="N765" s="101">
        <v>291</v>
      </c>
      <c r="O765" s="101">
        <v>162</v>
      </c>
      <c r="P765" s="101">
        <v>3095</v>
      </c>
      <c r="Q765" s="101">
        <v>34677</v>
      </c>
      <c r="R765" s="12" t="s">
        <v>25</v>
      </c>
      <c r="S765" s="12" t="s">
        <v>25</v>
      </c>
      <c r="T765" s="12" t="s">
        <v>25</v>
      </c>
    </row>
    <row r="766" spans="1:20" x14ac:dyDescent="0.3">
      <c r="A766" s="13">
        <v>43921.708333333336</v>
      </c>
      <c r="B766" s="12" t="s">
        <v>22</v>
      </c>
      <c r="C766" s="101">
        <v>7</v>
      </c>
      <c r="D766" s="12" t="s">
        <v>49</v>
      </c>
      <c r="E766" s="101">
        <v>4441149315</v>
      </c>
      <c r="F766" s="101">
        <v>89326992</v>
      </c>
      <c r="G766" s="101">
        <v>1153</v>
      </c>
      <c r="H766" s="101">
        <v>179</v>
      </c>
      <c r="I766" s="101">
        <v>1332</v>
      </c>
      <c r="J766" s="101">
        <v>1176</v>
      </c>
      <c r="K766" s="101">
        <v>2508</v>
      </c>
      <c r="L766" s="101">
        <v>125</v>
      </c>
      <c r="M766" s="101">
        <v>199</v>
      </c>
      <c r="N766" s="101">
        <v>480</v>
      </c>
      <c r="O766" s="101">
        <v>428</v>
      </c>
      <c r="P766" s="101">
        <v>3416</v>
      </c>
      <c r="Q766" s="101">
        <v>10376</v>
      </c>
      <c r="R766" s="12" t="s">
        <v>25</v>
      </c>
      <c r="S766" s="12" t="s">
        <v>25</v>
      </c>
      <c r="T766" s="12" t="s">
        <v>25</v>
      </c>
    </row>
    <row r="767" spans="1:20" x14ac:dyDescent="0.3">
      <c r="A767" s="13">
        <v>43921.708333333336</v>
      </c>
      <c r="B767" s="12" t="s">
        <v>22</v>
      </c>
      <c r="C767" s="101">
        <v>3</v>
      </c>
      <c r="D767" s="12" t="s">
        <v>50</v>
      </c>
      <c r="E767" s="101">
        <v>4546679409</v>
      </c>
      <c r="F767" s="101">
        <v>9190347404</v>
      </c>
      <c r="G767" s="101">
        <v>11883</v>
      </c>
      <c r="H767" s="101">
        <v>1324</v>
      </c>
      <c r="I767" s="101">
        <v>13207</v>
      </c>
      <c r="J767" s="101">
        <v>11917</v>
      </c>
      <c r="K767" s="101">
        <v>25124</v>
      </c>
      <c r="L767" s="101">
        <v>118</v>
      </c>
      <c r="M767" s="101">
        <v>1047</v>
      </c>
      <c r="N767" s="101">
        <v>10885</v>
      </c>
      <c r="O767" s="101">
        <v>7199</v>
      </c>
      <c r="P767" s="101">
        <v>43208</v>
      </c>
      <c r="Q767" s="101">
        <v>114640</v>
      </c>
      <c r="R767" s="12" t="s">
        <v>25</v>
      </c>
      <c r="S767" s="12" t="s">
        <v>25</v>
      </c>
      <c r="T767" s="12" t="s">
        <v>25</v>
      </c>
    </row>
    <row r="768" spans="1:20" x14ac:dyDescent="0.3">
      <c r="A768" s="13">
        <v>43921.708333333336</v>
      </c>
      <c r="B768" s="12" t="s">
        <v>22</v>
      </c>
      <c r="C768" s="101">
        <v>11</v>
      </c>
      <c r="D768" s="12" t="s">
        <v>51</v>
      </c>
      <c r="E768" s="101">
        <v>4361675973</v>
      </c>
      <c r="F768" s="101">
        <v>135188753</v>
      </c>
      <c r="G768" s="101">
        <v>946</v>
      </c>
      <c r="H768" s="101">
        <v>169</v>
      </c>
      <c r="I768" s="101">
        <v>1115</v>
      </c>
      <c r="J768" s="101">
        <v>2237</v>
      </c>
      <c r="K768" s="101">
        <v>3352</v>
      </c>
      <c r="L768" s="101">
        <v>101</v>
      </c>
      <c r="M768" s="101">
        <v>141</v>
      </c>
      <c r="N768" s="101">
        <v>21</v>
      </c>
      <c r="O768" s="101">
        <v>452</v>
      </c>
      <c r="P768" s="101">
        <v>3825</v>
      </c>
      <c r="Q768" s="101">
        <v>11724</v>
      </c>
      <c r="R768" s="12" t="s">
        <v>25</v>
      </c>
      <c r="S768" s="12" t="s">
        <v>25</v>
      </c>
      <c r="T768" s="12" t="s">
        <v>25</v>
      </c>
    </row>
    <row r="769" spans="1:20" x14ac:dyDescent="0.3">
      <c r="A769" s="13">
        <v>43921.708333333336</v>
      </c>
      <c r="B769" s="12" t="s">
        <v>22</v>
      </c>
      <c r="C769" s="101">
        <v>14</v>
      </c>
      <c r="D769" s="12" t="s">
        <v>52</v>
      </c>
      <c r="E769" s="101">
        <v>4155774754</v>
      </c>
      <c r="F769" s="101">
        <v>1465916051</v>
      </c>
      <c r="G769" s="101">
        <v>29</v>
      </c>
      <c r="H769" s="101">
        <v>8</v>
      </c>
      <c r="I769" s="101">
        <v>37</v>
      </c>
      <c r="J769" s="101">
        <v>80</v>
      </c>
      <c r="K769" s="101">
        <v>117</v>
      </c>
      <c r="L769" s="101">
        <v>10</v>
      </c>
      <c r="M769" s="101">
        <v>10</v>
      </c>
      <c r="N769" s="101">
        <v>18</v>
      </c>
      <c r="O769" s="101">
        <v>9</v>
      </c>
      <c r="P769" s="101">
        <v>144</v>
      </c>
      <c r="Q769" s="101">
        <v>1049</v>
      </c>
      <c r="R769" s="12" t="s">
        <v>25</v>
      </c>
      <c r="S769" s="12" t="s">
        <v>25</v>
      </c>
      <c r="T769" s="12" t="s">
        <v>25</v>
      </c>
    </row>
    <row r="770" spans="1:20" x14ac:dyDescent="0.3">
      <c r="A770" s="13">
        <v>43921.708333333336</v>
      </c>
      <c r="B770" s="12" t="s">
        <v>22</v>
      </c>
      <c r="C770" s="101">
        <v>1</v>
      </c>
      <c r="D770" s="12" t="s">
        <v>53</v>
      </c>
      <c r="E770" s="101">
        <v>450732745</v>
      </c>
      <c r="F770" s="101">
        <v>7680687483</v>
      </c>
      <c r="G770" s="101">
        <v>3174</v>
      </c>
      <c r="H770" s="101">
        <v>452</v>
      </c>
      <c r="I770" s="101">
        <v>3626</v>
      </c>
      <c r="J770" s="101">
        <v>4456</v>
      </c>
      <c r="K770" s="101">
        <v>8082</v>
      </c>
      <c r="L770" s="101">
        <v>427</v>
      </c>
      <c r="M770" s="101">
        <v>589</v>
      </c>
      <c r="N770" s="101">
        <v>365</v>
      </c>
      <c r="O770" s="101">
        <v>854</v>
      </c>
      <c r="P770" s="101">
        <v>9301</v>
      </c>
      <c r="Q770" s="101">
        <v>27658</v>
      </c>
      <c r="R770" s="12" t="s">
        <v>25</v>
      </c>
      <c r="S770" s="12" t="s">
        <v>25</v>
      </c>
      <c r="T770" s="12" t="s">
        <v>25</v>
      </c>
    </row>
    <row r="771" spans="1:20" x14ac:dyDescent="0.3">
      <c r="A771" s="13">
        <v>43921.708333333336</v>
      </c>
      <c r="B771" s="12" t="s">
        <v>22</v>
      </c>
      <c r="C771" s="101">
        <v>16</v>
      </c>
      <c r="D771" s="12" t="s">
        <v>54</v>
      </c>
      <c r="E771" s="101">
        <v>4112559576</v>
      </c>
      <c r="F771" s="101">
        <v>1686736689</v>
      </c>
      <c r="G771" s="101">
        <v>609</v>
      </c>
      <c r="H771" s="101">
        <v>105</v>
      </c>
      <c r="I771" s="101">
        <v>714</v>
      </c>
      <c r="J771" s="101">
        <v>940</v>
      </c>
      <c r="K771" s="101">
        <v>1654</v>
      </c>
      <c r="L771" s="101">
        <v>69</v>
      </c>
      <c r="M771" s="101">
        <v>91</v>
      </c>
      <c r="N771" s="101">
        <v>39</v>
      </c>
      <c r="O771" s="101">
        <v>110</v>
      </c>
      <c r="P771" s="101">
        <v>1803</v>
      </c>
      <c r="Q771" s="101">
        <v>14073</v>
      </c>
      <c r="R771" s="12" t="s">
        <v>25</v>
      </c>
      <c r="S771" s="12" t="s">
        <v>25</v>
      </c>
      <c r="T771" s="12" t="s">
        <v>25</v>
      </c>
    </row>
    <row r="772" spans="1:20" x14ac:dyDescent="0.3">
      <c r="A772" s="13">
        <v>43921.708333333336</v>
      </c>
      <c r="B772" s="12" t="s">
        <v>22</v>
      </c>
      <c r="C772" s="101">
        <v>20</v>
      </c>
      <c r="D772" s="12" t="s">
        <v>55</v>
      </c>
      <c r="E772" s="101">
        <v>3921531192</v>
      </c>
      <c r="F772" s="101">
        <v>9110616306</v>
      </c>
      <c r="G772" s="101">
        <v>113</v>
      </c>
      <c r="H772" s="101">
        <v>28</v>
      </c>
      <c r="I772" s="101">
        <v>141</v>
      </c>
      <c r="J772" s="101">
        <v>516</v>
      </c>
      <c r="K772" s="101">
        <v>657</v>
      </c>
      <c r="L772" s="101">
        <v>35</v>
      </c>
      <c r="M772" s="101">
        <v>40</v>
      </c>
      <c r="N772" s="101">
        <v>34</v>
      </c>
      <c r="O772" s="101">
        <v>31</v>
      </c>
      <c r="P772" s="101">
        <v>722</v>
      </c>
      <c r="Q772" s="101">
        <v>5257</v>
      </c>
      <c r="R772" s="12" t="s">
        <v>25</v>
      </c>
      <c r="S772" s="12" t="s">
        <v>25</v>
      </c>
      <c r="T772" s="12" t="s">
        <v>25</v>
      </c>
    </row>
    <row r="773" spans="1:20" x14ac:dyDescent="0.3">
      <c r="A773" s="13">
        <v>43921.708333333336</v>
      </c>
      <c r="B773" s="12" t="s">
        <v>22</v>
      </c>
      <c r="C773" s="101">
        <v>19</v>
      </c>
      <c r="D773" s="12" t="s">
        <v>56</v>
      </c>
      <c r="E773" s="101">
        <v>3811569725</v>
      </c>
      <c r="F773" s="101">
        <v>133623567</v>
      </c>
      <c r="G773" s="101">
        <v>503</v>
      </c>
      <c r="H773" s="101">
        <v>72</v>
      </c>
      <c r="I773" s="101">
        <v>575</v>
      </c>
      <c r="J773" s="101">
        <v>917</v>
      </c>
      <c r="K773" s="101">
        <v>1492</v>
      </c>
      <c r="L773" s="101">
        <v>84</v>
      </c>
      <c r="M773" s="101">
        <v>92</v>
      </c>
      <c r="N773" s="101">
        <v>74</v>
      </c>
      <c r="O773" s="101">
        <v>81</v>
      </c>
      <c r="P773" s="101">
        <v>1647</v>
      </c>
      <c r="Q773" s="101">
        <v>15634</v>
      </c>
      <c r="R773" s="12" t="s">
        <v>25</v>
      </c>
      <c r="S773" s="12" t="s">
        <v>25</v>
      </c>
      <c r="T773" s="12" t="s">
        <v>25</v>
      </c>
    </row>
    <row r="774" spans="1:20" x14ac:dyDescent="0.3">
      <c r="A774" s="13">
        <v>43921.708333333336</v>
      </c>
      <c r="B774" s="12" t="s">
        <v>22</v>
      </c>
      <c r="C774" s="101">
        <v>9</v>
      </c>
      <c r="D774" s="12" t="s">
        <v>57</v>
      </c>
      <c r="E774" s="101">
        <v>4376923077</v>
      </c>
      <c r="F774" s="101">
        <v>1125588885</v>
      </c>
      <c r="G774" s="101">
        <v>1120</v>
      </c>
      <c r="H774" s="101">
        <v>293</v>
      </c>
      <c r="I774" s="101">
        <v>1413</v>
      </c>
      <c r="J774" s="101">
        <v>2813</v>
      </c>
      <c r="K774" s="101">
        <v>4226</v>
      </c>
      <c r="L774" s="101">
        <v>176</v>
      </c>
      <c r="M774" s="101">
        <v>196</v>
      </c>
      <c r="N774" s="101">
        <v>138</v>
      </c>
      <c r="O774" s="101">
        <v>244</v>
      </c>
      <c r="P774" s="101">
        <v>4608</v>
      </c>
      <c r="Q774" s="101">
        <v>33165</v>
      </c>
      <c r="R774" s="12" t="s">
        <v>25</v>
      </c>
      <c r="S774" s="12" t="s">
        <v>25</v>
      </c>
      <c r="T774" s="12" t="s">
        <v>25</v>
      </c>
    </row>
    <row r="775" spans="1:20" x14ac:dyDescent="0.3">
      <c r="A775" s="13">
        <v>43921.708333333336</v>
      </c>
      <c r="B775" s="12" t="s">
        <v>22</v>
      </c>
      <c r="C775" s="101">
        <v>4</v>
      </c>
      <c r="D775" s="12" t="s">
        <v>58</v>
      </c>
      <c r="E775" s="101">
        <v>4606893511</v>
      </c>
      <c r="F775" s="101">
        <v>1112123097</v>
      </c>
      <c r="G775" s="101">
        <v>354</v>
      </c>
      <c r="H775" s="101">
        <v>80</v>
      </c>
      <c r="I775" s="101">
        <v>434</v>
      </c>
      <c r="J775" s="101">
        <v>955</v>
      </c>
      <c r="K775" s="101">
        <v>1389</v>
      </c>
      <c r="L775" s="101">
        <v>32</v>
      </c>
      <c r="M775" s="101">
        <v>64</v>
      </c>
      <c r="N775" s="101">
        <v>193</v>
      </c>
      <c r="O775" s="101">
        <v>164</v>
      </c>
      <c r="P775" s="101">
        <v>1746</v>
      </c>
      <c r="Q775" s="101">
        <v>6973</v>
      </c>
      <c r="R775" s="12" t="s">
        <v>25</v>
      </c>
      <c r="S775" s="12" t="s">
        <v>25</v>
      </c>
      <c r="T775" s="12" t="s">
        <v>25</v>
      </c>
    </row>
    <row r="776" spans="1:20" x14ac:dyDescent="0.3">
      <c r="A776" s="13">
        <v>43921.708333333336</v>
      </c>
      <c r="B776" s="12" t="s">
        <v>22</v>
      </c>
      <c r="C776" s="101">
        <v>10</v>
      </c>
      <c r="D776" s="12" t="s">
        <v>59</v>
      </c>
      <c r="E776" s="101">
        <v>4310675841</v>
      </c>
      <c r="F776" s="101">
        <v>1238824698</v>
      </c>
      <c r="G776" s="101">
        <v>176</v>
      </c>
      <c r="H776" s="101">
        <v>43</v>
      </c>
      <c r="I776" s="101">
        <v>219</v>
      </c>
      <c r="J776" s="101">
        <v>632</v>
      </c>
      <c r="K776" s="101">
        <v>851</v>
      </c>
      <c r="L776" s="101">
        <v>17</v>
      </c>
      <c r="M776" s="101">
        <v>27</v>
      </c>
      <c r="N776" s="101">
        <v>190</v>
      </c>
      <c r="O776" s="101">
        <v>37</v>
      </c>
      <c r="P776" s="101">
        <v>1078</v>
      </c>
      <c r="Q776" s="101">
        <v>8685</v>
      </c>
      <c r="R776" s="12" t="s">
        <v>25</v>
      </c>
      <c r="S776" s="12" t="s">
        <v>25</v>
      </c>
      <c r="T776" s="12" t="s">
        <v>25</v>
      </c>
    </row>
    <row r="777" spans="1:20" x14ac:dyDescent="0.3">
      <c r="A777" s="13">
        <v>43921.708333333336</v>
      </c>
      <c r="B777" s="12" t="s">
        <v>22</v>
      </c>
      <c r="C777" s="101">
        <v>2</v>
      </c>
      <c r="D777" s="12" t="s">
        <v>60</v>
      </c>
      <c r="E777" s="101">
        <v>4573750286</v>
      </c>
      <c r="F777" s="101">
        <v>7320149366</v>
      </c>
      <c r="G777" s="101">
        <v>91</v>
      </c>
      <c r="H777" s="101">
        <v>26</v>
      </c>
      <c r="I777" s="101">
        <v>117</v>
      </c>
      <c r="J777" s="101">
        <v>435</v>
      </c>
      <c r="K777" s="101">
        <v>552</v>
      </c>
      <c r="L777" s="101">
        <v>34</v>
      </c>
      <c r="M777" s="101">
        <v>44</v>
      </c>
      <c r="N777" s="101">
        <v>20</v>
      </c>
      <c r="O777" s="101">
        <v>56</v>
      </c>
      <c r="P777" s="101">
        <v>628</v>
      </c>
      <c r="Q777" s="101">
        <v>1582</v>
      </c>
      <c r="R777" s="12" t="s">
        <v>25</v>
      </c>
      <c r="S777" s="12" t="s">
        <v>25</v>
      </c>
      <c r="T777" s="12" t="s">
        <v>25</v>
      </c>
    </row>
    <row r="778" spans="1:20" x14ac:dyDescent="0.3">
      <c r="A778" s="13">
        <v>43921.708333333336</v>
      </c>
      <c r="B778" s="12" t="s">
        <v>22</v>
      </c>
      <c r="C778" s="101">
        <v>5</v>
      </c>
      <c r="D778" s="12" t="s">
        <v>61</v>
      </c>
      <c r="E778" s="101">
        <v>4543490485</v>
      </c>
      <c r="F778" s="101">
        <v>1233845213</v>
      </c>
      <c r="G778" s="101">
        <v>1680</v>
      </c>
      <c r="H778" s="101">
        <v>356</v>
      </c>
      <c r="I778" s="101">
        <v>2036</v>
      </c>
      <c r="J778" s="101">
        <v>5814</v>
      </c>
      <c r="K778" s="101">
        <v>7850</v>
      </c>
      <c r="L778" s="101">
        <v>286</v>
      </c>
      <c r="M778" s="101">
        <v>431</v>
      </c>
      <c r="N778" s="101">
        <v>828</v>
      </c>
      <c r="O778" s="101">
        <v>477</v>
      </c>
      <c r="P778" s="101">
        <v>9155</v>
      </c>
      <c r="Q778" s="101">
        <v>106238</v>
      </c>
      <c r="R778" s="12" t="s">
        <v>25</v>
      </c>
      <c r="S778" s="12" t="s">
        <v>25</v>
      </c>
      <c r="T778" s="12" t="s">
        <v>25</v>
      </c>
    </row>
    <row r="779" spans="1:20" x14ac:dyDescent="0.3">
      <c r="A779" s="13">
        <v>43922.708333333336</v>
      </c>
      <c r="B779" s="12" t="s">
        <v>22</v>
      </c>
      <c r="C779" s="101">
        <v>13</v>
      </c>
      <c r="D779" s="12" t="s">
        <v>42</v>
      </c>
      <c r="E779" s="101">
        <v>4235122196</v>
      </c>
      <c r="F779" s="101">
        <v>1339843823</v>
      </c>
      <c r="G779" s="101">
        <v>342</v>
      </c>
      <c r="H779" s="101">
        <v>71</v>
      </c>
      <c r="I779" s="101">
        <v>413</v>
      </c>
      <c r="J779" s="101">
        <v>798</v>
      </c>
      <c r="K779" s="101">
        <v>1211</v>
      </c>
      <c r="L779" s="101">
        <v>20</v>
      </c>
      <c r="M779" s="101">
        <v>35</v>
      </c>
      <c r="N779" s="101">
        <v>102</v>
      </c>
      <c r="O779" s="101">
        <v>123</v>
      </c>
      <c r="P779" s="101">
        <v>1436</v>
      </c>
      <c r="Q779" s="101">
        <v>9610</v>
      </c>
      <c r="R779" s="12" t="s">
        <v>25</v>
      </c>
      <c r="S779" s="12" t="s">
        <v>25</v>
      </c>
      <c r="T779" s="12" t="s">
        <v>25</v>
      </c>
    </row>
    <row r="780" spans="1:20" x14ac:dyDescent="0.3">
      <c r="A780" s="13">
        <v>43922.708333333336</v>
      </c>
      <c r="B780" s="12" t="s">
        <v>22</v>
      </c>
      <c r="C780" s="101">
        <v>17</v>
      </c>
      <c r="D780" s="12" t="s">
        <v>43</v>
      </c>
      <c r="E780" s="101">
        <v>4063947052</v>
      </c>
      <c r="F780" s="101">
        <v>1580514834</v>
      </c>
      <c r="G780" s="101">
        <v>39</v>
      </c>
      <c r="H780" s="101">
        <v>15</v>
      </c>
      <c r="I780" s="101">
        <v>54</v>
      </c>
      <c r="J780" s="101">
        <v>171</v>
      </c>
      <c r="K780" s="101">
        <v>225</v>
      </c>
      <c r="L780" s="101">
        <v>9</v>
      </c>
      <c r="M780" s="101">
        <v>11</v>
      </c>
      <c r="N780" s="101">
        <v>3</v>
      </c>
      <c r="O780" s="101">
        <v>9</v>
      </c>
      <c r="P780" s="101">
        <v>237</v>
      </c>
      <c r="Q780" s="101">
        <v>2262</v>
      </c>
      <c r="R780" s="12" t="s">
        <v>25</v>
      </c>
      <c r="S780" s="12" t="s">
        <v>25</v>
      </c>
      <c r="T780" s="12" t="s">
        <v>25</v>
      </c>
    </row>
    <row r="781" spans="1:20" x14ac:dyDescent="0.3">
      <c r="A781" s="13">
        <v>43922.708333333336</v>
      </c>
      <c r="B781" s="12" t="s">
        <v>22</v>
      </c>
      <c r="C781" s="101">
        <v>4</v>
      </c>
      <c r="D781" s="12" t="s">
        <v>44</v>
      </c>
      <c r="E781" s="101">
        <v>4649933453</v>
      </c>
      <c r="F781" s="101">
        <v>1135662422</v>
      </c>
      <c r="G781" s="101">
        <v>269</v>
      </c>
      <c r="H781" s="101">
        <v>57</v>
      </c>
      <c r="I781" s="101">
        <v>326</v>
      </c>
      <c r="J781" s="101">
        <v>786</v>
      </c>
      <c r="K781" s="101">
        <v>1112</v>
      </c>
      <c r="L781" s="101">
        <v>-30</v>
      </c>
      <c r="M781" s="101">
        <v>47</v>
      </c>
      <c r="N781" s="101">
        <v>190</v>
      </c>
      <c r="O781" s="101">
        <v>116</v>
      </c>
      <c r="P781" s="101">
        <v>1418</v>
      </c>
      <c r="Q781" s="101">
        <v>11951</v>
      </c>
      <c r="R781" s="12" t="s">
        <v>25</v>
      </c>
      <c r="S781" s="12" t="s">
        <v>25</v>
      </c>
      <c r="T781" s="12" t="s">
        <v>25</v>
      </c>
    </row>
    <row r="782" spans="1:20" x14ac:dyDescent="0.3">
      <c r="A782" s="13">
        <v>43922.708333333336</v>
      </c>
      <c r="B782" s="12" t="s">
        <v>22</v>
      </c>
      <c r="C782" s="101">
        <v>18</v>
      </c>
      <c r="D782" s="12" t="s">
        <v>45</v>
      </c>
      <c r="E782" s="101">
        <v>3890597598</v>
      </c>
      <c r="F782" s="101">
        <v>1659440194</v>
      </c>
      <c r="G782" s="101">
        <v>144</v>
      </c>
      <c r="H782" s="101">
        <v>16</v>
      </c>
      <c r="I782" s="101">
        <v>160</v>
      </c>
      <c r="J782" s="101">
        <v>450</v>
      </c>
      <c r="K782" s="101">
        <v>610</v>
      </c>
      <c r="L782" s="101">
        <v>4</v>
      </c>
      <c r="M782" s="101">
        <v>10</v>
      </c>
      <c r="N782" s="101">
        <v>21</v>
      </c>
      <c r="O782" s="101">
        <v>38</v>
      </c>
      <c r="P782" s="101">
        <v>669</v>
      </c>
      <c r="Q782" s="101">
        <v>9983</v>
      </c>
      <c r="R782" s="12" t="s">
        <v>25</v>
      </c>
      <c r="S782" s="12" t="s">
        <v>25</v>
      </c>
      <c r="T782" s="12" t="s">
        <v>25</v>
      </c>
    </row>
    <row r="783" spans="1:20" x14ac:dyDescent="0.3">
      <c r="A783" s="13">
        <v>43922.708333333336</v>
      </c>
      <c r="B783" s="12" t="s">
        <v>22</v>
      </c>
      <c r="C783" s="101">
        <v>15</v>
      </c>
      <c r="D783" s="12" t="s">
        <v>46</v>
      </c>
      <c r="E783" s="101">
        <v>4083956555</v>
      </c>
      <c r="F783" s="101">
        <v>1425084984</v>
      </c>
      <c r="G783" s="101">
        <v>478</v>
      </c>
      <c r="H783" s="101">
        <v>129</v>
      </c>
      <c r="I783" s="101">
        <v>607</v>
      </c>
      <c r="J783" s="101">
        <v>1369</v>
      </c>
      <c r="K783" s="101">
        <v>1976</v>
      </c>
      <c r="L783" s="101">
        <v>105</v>
      </c>
      <c r="M783" s="101">
        <v>139</v>
      </c>
      <c r="N783" s="101">
        <v>107</v>
      </c>
      <c r="O783" s="101">
        <v>148</v>
      </c>
      <c r="P783" s="101">
        <v>2231</v>
      </c>
      <c r="Q783" s="101">
        <v>15728</v>
      </c>
      <c r="R783" s="12" t="s">
        <v>25</v>
      </c>
      <c r="S783" s="12" t="s">
        <v>25</v>
      </c>
      <c r="T783" s="12" t="s">
        <v>25</v>
      </c>
    </row>
    <row r="784" spans="1:20" x14ac:dyDescent="0.3">
      <c r="A784" s="13">
        <v>43922.708333333336</v>
      </c>
      <c r="B784" s="12" t="s">
        <v>22</v>
      </c>
      <c r="C784" s="101">
        <v>8</v>
      </c>
      <c r="D784" s="12" t="s">
        <v>96</v>
      </c>
      <c r="E784" s="101">
        <v>4449436681</v>
      </c>
      <c r="F784" s="101">
        <v>113417208</v>
      </c>
      <c r="G784" s="101">
        <v>3898</v>
      </c>
      <c r="H784" s="101">
        <v>359</v>
      </c>
      <c r="I784" s="101">
        <v>4257</v>
      </c>
      <c r="J784" s="101">
        <v>7232</v>
      </c>
      <c r="K784" s="101">
        <v>11489</v>
      </c>
      <c r="L784" s="101">
        <v>536</v>
      </c>
      <c r="M784" s="101">
        <v>713</v>
      </c>
      <c r="N784" s="101">
        <v>1566</v>
      </c>
      <c r="O784" s="101">
        <v>1732</v>
      </c>
      <c r="P784" s="101">
        <v>14787</v>
      </c>
      <c r="Q784" s="101">
        <v>58457</v>
      </c>
      <c r="R784" s="12" t="s">
        <v>25</v>
      </c>
      <c r="S784" s="12" t="s">
        <v>25</v>
      </c>
      <c r="T784" s="12" t="s">
        <v>25</v>
      </c>
    </row>
    <row r="785" spans="1:20" x14ac:dyDescent="0.3">
      <c r="A785" s="13">
        <v>43922.708333333336</v>
      </c>
      <c r="B785" s="12" t="s">
        <v>22</v>
      </c>
      <c r="C785" s="101">
        <v>6</v>
      </c>
      <c r="D785" s="12" t="s">
        <v>47</v>
      </c>
      <c r="E785" s="101">
        <v>456494354</v>
      </c>
      <c r="F785" s="101">
        <v>1376813649</v>
      </c>
      <c r="G785" s="101">
        <v>206</v>
      </c>
      <c r="H785" s="101">
        <v>60</v>
      </c>
      <c r="I785" s="101">
        <v>266</v>
      </c>
      <c r="J785" s="101">
        <v>940</v>
      </c>
      <c r="K785" s="101">
        <v>1206</v>
      </c>
      <c r="L785" s="101">
        <v>46</v>
      </c>
      <c r="M785" s="101">
        <v>92</v>
      </c>
      <c r="N785" s="101">
        <v>357</v>
      </c>
      <c r="O785" s="101">
        <v>122</v>
      </c>
      <c r="P785" s="101">
        <v>1685</v>
      </c>
      <c r="Q785" s="101">
        <v>15987</v>
      </c>
      <c r="R785" s="12" t="s">
        <v>25</v>
      </c>
      <c r="S785" s="12" t="s">
        <v>25</v>
      </c>
      <c r="T785" s="12" t="s">
        <v>25</v>
      </c>
    </row>
    <row r="786" spans="1:20" x14ac:dyDescent="0.3">
      <c r="A786" s="13">
        <v>43922.708333333336</v>
      </c>
      <c r="B786" s="12" t="s">
        <v>22</v>
      </c>
      <c r="C786" s="101">
        <v>12</v>
      </c>
      <c r="D786" s="12" t="s">
        <v>48</v>
      </c>
      <c r="E786" s="101">
        <v>4189277044</v>
      </c>
      <c r="F786" s="101">
        <v>1248366722</v>
      </c>
      <c r="G786" s="101">
        <v>1131</v>
      </c>
      <c r="H786" s="101">
        <v>177</v>
      </c>
      <c r="I786" s="101">
        <v>1308</v>
      </c>
      <c r="J786" s="101">
        <v>1450</v>
      </c>
      <c r="K786" s="101">
        <v>2758</v>
      </c>
      <c r="L786" s="101">
        <v>116</v>
      </c>
      <c r="M786" s="101">
        <v>169</v>
      </c>
      <c r="N786" s="101">
        <v>337</v>
      </c>
      <c r="O786" s="101">
        <v>169</v>
      </c>
      <c r="P786" s="101">
        <v>3264</v>
      </c>
      <c r="Q786" s="101">
        <v>35810</v>
      </c>
      <c r="R786" s="12" t="s">
        <v>25</v>
      </c>
      <c r="S786" s="12" t="s">
        <v>25</v>
      </c>
      <c r="T786" s="12" t="s">
        <v>25</v>
      </c>
    </row>
    <row r="787" spans="1:20" x14ac:dyDescent="0.3">
      <c r="A787" s="13">
        <v>43922.708333333336</v>
      </c>
      <c r="B787" s="12" t="s">
        <v>22</v>
      </c>
      <c r="C787" s="101">
        <v>7</v>
      </c>
      <c r="D787" s="12" t="s">
        <v>49</v>
      </c>
      <c r="E787" s="101">
        <v>4441149315</v>
      </c>
      <c r="F787" s="101">
        <v>89326992</v>
      </c>
      <c r="G787" s="101">
        <v>1114</v>
      </c>
      <c r="H787" s="101">
        <v>179</v>
      </c>
      <c r="I787" s="101">
        <v>1293</v>
      </c>
      <c r="J787" s="101">
        <v>1352</v>
      </c>
      <c r="K787" s="101">
        <v>2645</v>
      </c>
      <c r="L787" s="101">
        <v>137</v>
      </c>
      <c r="M787" s="101">
        <v>244</v>
      </c>
      <c r="N787" s="101">
        <v>555</v>
      </c>
      <c r="O787" s="101">
        <v>460</v>
      </c>
      <c r="P787" s="101">
        <v>3660</v>
      </c>
      <c r="Q787" s="101">
        <v>11334</v>
      </c>
      <c r="R787" s="12" t="s">
        <v>25</v>
      </c>
      <c r="S787" s="12" t="s">
        <v>25</v>
      </c>
      <c r="T787" s="12" t="s">
        <v>25</v>
      </c>
    </row>
    <row r="788" spans="1:20" x14ac:dyDescent="0.3">
      <c r="A788" s="13">
        <v>43922.708333333336</v>
      </c>
      <c r="B788" s="12" t="s">
        <v>22</v>
      </c>
      <c r="C788" s="101">
        <v>3</v>
      </c>
      <c r="D788" s="12" t="s">
        <v>50</v>
      </c>
      <c r="E788" s="101">
        <v>4546679409</v>
      </c>
      <c r="F788" s="101">
        <v>9190347404</v>
      </c>
      <c r="G788" s="101">
        <v>11927</v>
      </c>
      <c r="H788" s="101">
        <v>1342</v>
      </c>
      <c r="I788" s="101">
        <v>13269</v>
      </c>
      <c r="J788" s="101">
        <v>12496</v>
      </c>
      <c r="K788" s="101">
        <v>25765</v>
      </c>
      <c r="L788" s="101">
        <v>641</v>
      </c>
      <c r="M788" s="101">
        <v>1565</v>
      </c>
      <c r="N788" s="101">
        <v>11415</v>
      </c>
      <c r="O788" s="101">
        <v>7593</v>
      </c>
      <c r="P788" s="101">
        <v>44773</v>
      </c>
      <c r="Q788" s="101">
        <v>121449</v>
      </c>
      <c r="R788" s="12" t="s">
        <v>25</v>
      </c>
      <c r="S788" s="12" t="s">
        <v>25</v>
      </c>
      <c r="T788" s="12" t="s">
        <v>25</v>
      </c>
    </row>
    <row r="789" spans="1:20" x14ac:dyDescent="0.3">
      <c r="A789" s="13">
        <v>43922.708333333336</v>
      </c>
      <c r="B789" s="12" t="s">
        <v>22</v>
      </c>
      <c r="C789" s="101">
        <v>11</v>
      </c>
      <c r="D789" s="12" t="s">
        <v>51</v>
      </c>
      <c r="E789" s="101">
        <v>4361675973</v>
      </c>
      <c r="F789" s="101">
        <v>135188753</v>
      </c>
      <c r="G789" s="101">
        <v>984</v>
      </c>
      <c r="H789" s="101">
        <v>168</v>
      </c>
      <c r="I789" s="101">
        <v>1152</v>
      </c>
      <c r="J789" s="101">
        <v>2304</v>
      </c>
      <c r="K789" s="101">
        <v>3456</v>
      </c>
      <c r="L789" s="101">
        <v>104</v>
      </c>
      <c r="M789" s="101">
        <v>137</v>
      </c>
      <c r="N789" s="101">
        <v>29</v>
      </c>
      <c r="O789" s="101">
        <v>477</v>
      </c>
      <c r="P789" s="101">
        <v>3962</v>
      </c>
      <c r="Q789" s="101">
        <v>12296</v>
      </c>
      <c r="R789" s="12" t="s">
        <v>25</v>
      </c>
      <c r="S789" s="12" t="s">
        <v>25</v>
      </c>
      <c r="T789" s="12" t="s">
        <v>25</v>
      </c>
    </row>
    <row r="790" spans="1:20" x14ac:dyDescent="0.3">
      <c r="A790" s="13">
        <v>43922.708333333336</v>
      </c>
      <c r="B790" s="12" t="s">
        <v>22</v>
      </c>
      <c r="C790" s="101">
        <v>14</v>
      </c>
      <c r="D790" s="12" t="s">
        <v>52</v>
      </c>
      <c r="E790" s="101">
        <v>4155774754</v>
      </c>
      <c r="F790" s="101">
        <v>1465916051</v>
      </c>
      <c r="G790" s="101">
        <v>32</v>
      </c>
      <c r="H790" s="101">
        <v>8</v>
      </c>
      <c r="I790" s="101">
        <v>40</v>
      </c>
      <c r="J790" s="101">
        <v>91</v>
      </c>
      <c r="K790" s="101">
        <v>131</v>
      </c>
      <c r="L790" s="101">
        <v>14</v>
      </c>
      <c r="M790" s="101">
        <v>16</v>
      </c>
      <c r="N790" s="101">
        <v>19</v>
      </c>
      <c r="O790" s="101">
        <v>10</v>
      </c>
      <c r="P790" s="101">
        <v>160</v>
      </c>
      <c r="Q790" s="101">
        <v>1157</v>
      </c>
      <c r="R790" s="12" t="s">
        <v>25</v>
      </c>
      <c r="S790" s="12" t="s">
        <v>25</v>
      </c>
      <c r="T790" s="12" t="s">
        <v>25</v>
      </c>
    </row>
    <row r="791" spans="1:20" x14ac:dyDescent="0.3">
      <c r="A791" s="13">
        <v>43922.708333333336</v>
      </c>
      <c r="B791" s="12" t="s">
        <v>22</v>
      </c>
      <c r="C791" s="101">
        <v>1</v>
      </c>
      <c r="D791" s="12" t="s">
        <v>53</v>
      </c>
      <c r="E791" s="101">
        <v>450732745</v>
      </c>
      <c r="F791" s="101">
        <v>7680687483</v>
      </c>
      <c r="G791" s="101">
        <v>3146</v>
      </c>
      <c r="H791" s="101">
        <v>453</v>
      </c>
      <c r="I791" s="101">
        <v>3599</v>
      </c>
      <c r="J791" s="101">
        <v>4871</v>
      </c>
      <c r="K791" s="101">
        <v>8470</v>
      </c>
      <c r="L791" s="101">
        <v>388</v>
      </c>
      <c r="M791" s="101">
        <v>494</v>
      </c>
      <c r="N791" s="101">
        <v>439</v>
      </c>
      <c r="O791" s="101">
        <v>886</v>
      </c>
      <c r="P791" s="101">
        <v>9795</v>
      </c>
      <c r="Q791" s="101">
        <v>30060</v>
      </c>
      <c r="R791" s="12" t="s">
        <v>25</v>
      </c>
      <c r="S791" s="12" t="s">
        <v>25</v>
      </c>
      <c r="T791" s="12" t="s">
        <v>25</v>
      </c>
    </row>
    <row r="792" spans="1:20" x14ac:dyDescent="0.3">
      <c r="A792" s="13">
        <v>43922.708333333336</v>
      </c>
      <c r="B792" s="12" t="s">
        <v>22</v>
      </c>
      <c r="C792" s="101">
        <v>16</v>
      </c>
      <c r="D792" s="12" t="s">
        <v>54</v>
      </c>
      <c r="E792" s="101">
        <v>4112559576</v>
      </c>
      <c r="F792" s="101">
        <v>1686736689</v>
      </c>
      <c r="G792" s="101">
        <v>637</v>
      </c>
      <c r="H792" s="101">
        <v>107</v>
      </c>
      <c r="I792" s="101">
        <v>744</v>
      </c>
      <c r="J792" s="101">
        <v>1012</v>
      </c>
      <c r="K792" s="101">
        <v>1756</v>
      </c>
      <c r="L792" s="101">
        <v>102</v>
      </c>
      <c r="M792" s="101">
        <v>143</v>
      </c>
      <c r="N792" s="101">
        <v>61</v>
      </c>
      <c r="O792" s="101">
        <v>129</v>
      </c>
      <c r="P792" s="101">
        <v>1946</v>
      </c>
      <c r="Q792" s="101">
        <v>15209</v>
      </c>
      <c r="R792" s="12" t="s">
        <v>25</v>
      </c>
      <c r="S792" s="12" t="s">
        <v>25</v>
      </c>
      <c r="T792" s="12" t="s">
        <v>25</v>
      </c>
    </row>
    <row r="793" spans="1:20" x14ac:dyDescent="0.3">
      <c r="A793" s="13">
        <v>43922.708333333336</v>
      </c>
      <c r="B793" s="12" t="s">
        <v>22</v>
      </c>
      <c r="C793" s="101">
        <v>20</v>
      </c>
      <c r="D793" s="12" t="s">
        <v>55</v>
      </c>
      <c r="E793" s="101">
        <v>3921531192</v>
      </c>
      <c r="F793" s="101">
        <v>9110616306</v>
      </c>
      <c r="G793" s="101">
        <v>119</v>
      </c>
      <c r="H793" s="101">
        <v>27</v>
      </c>
      <c r="I793" s="101">
        <v>146</v>
      </c>
      <c r="J793" s="101">
        <v>529</v>
      </c>
      <c r="K793" s="101">
        <v>675</v>
      </c>
      <c r="L793" s="101">
        <v>18</v>
      </c>
      <c r="M793" s="101">
        <v>23</v>
      </c>
      <c r="N793" s="101">
        <v>36</v>
      </c>
      <c r="O793" s="101">
        <v>34</v>
      </c>
      <c r="P793" s="101">
        <v>745</v>
      </c>
      <c r="Q793" s="101">
        <v>5501</v>
      </c>
      <c r="R793" s="12" t="s">
        <v>25</v>
      </c>
      <c r="S793" s="12" t="s">
        <v>25</v>
      </c>
      <c r="T793" s="12" t="s">
        <v>25</v>
      </c>
    </row>
    <row r="794" spans="1:20" x14ac:dyDescent="0.3">
      <c r="A794" s="13">
        <v>43922.708333333336</v>
      </c>
      <c r="B794" s="12" t="s">
        <v>22</v>
      </c>
      <c r="C794" s="101">
        <v>19</v>
      </c>
      <c r="D794" s="12" t="s">
        <v>56</v>
      </c>
      <c r="E794" s="101">
        <v>3811569725</v>
      </c>
      <c r="F794" s="101">
        <v>133623567</v>
      </c>
      <c r="G794" s="101">
        <v>496</v>
      </c>
      <c r="H794" s="101">
        <v>72</v>
      </c>
      <c r="I794" s="101">
        <v>568</v>
      </c>
      <c r="J794" s="101">
        <v>976</v>
      </c>
      <c r="K794" s="101">
        <v>1544</v>
      </c>
      <c r="L794" s="101">
        <v>52</v>
      </c>
      <c r="M794" s="101">
        <v>71</v>
      </c>
      <c r="N794" s="101">
        <v>86</v>
      </c>
      <c r="O794" s="101">
        <v>88</v>
      </c>
      <c r="P794" s="101">
        <v>1718</v>
      </c>
      <c r="Q794" s="101">
        <v>16836</v>
      </c>
      <c r="R794" s="12" t="s">
        <v>25</v>
      </c>
      <c r="S794" s="12" t="s">
        <v>25</v>
      </c>
      <c r="T794" s="12" t="s">
        <v>25</v>
      </c>
    </row>
    <row r="795" spans="1:20" x14ac:dyDescent="0.3">
      <c r="A795" s="13">
        <v>43922.708333333336</v>
      </c>
      <c r="B795" s="12" t="s">
        <v>22</v>
      </c>
      <c r="C795" s="101">
        <v>9</v>
      </c>
      <c r="D795" s="12" t="s">
        <v>57</v>
      </c>
      <c r="E795" s="101">
        <v>4376923077</v>
      </c>
      <c r="F795" s="101">
        <v>1125588885</v>
      </c>
      <c r="G795" s="101">
        <v>1120</v>
      </c>
      <c r="H795" s="101">
        <v>297</v>
      </c>
      <c r="I795" s="101">
        <v>1417</v>
      </c>
      <c r="J795" s="101">
        <v>3015</v>
      </c>
      <c r="K795" s="101">
        <v>4432</v>
      </c>
      <c r="L795" s="101">
        <v>206</v>
      </c>
      <c r="M795" s="101">
        <v>259</v>
      </c>
      <c r="N795" s="101">
        <v>182</v>
      </c>
      <c r="O795" s="101">
        <v>253</v>
      </c>
      <c r="P795" s="101">
        <v>4867</v>
      </c>
      <c r="Q795" s="101">
        <v>36575</v>
      </c>
      <c r="R795" s="12" t="s">
        <v>25</v>
      </c>
      <c r="S795" s="12" t="s">
        <v>25</v>
      </c>
      <c r="T795" s="12" t="s">
        <v>25</v>
      </c>
    </row>
    <row r="796" spans="1:20" x14ac:dyDescent="0.3">
      <c r="A796" s="13">
        <v>43922.708333333336</v>
      </c>
      <c r="B796" s="12" t="s">
        <v>22</v>
      </c>
      <c r="C796" s="101">
        <v>4</v>
      </c>
      <c r="D796" s="12" t="s">
        <v>58</v>
      </c>
      <c r="E796" s="101">
        <v>4606893511</v>
      </c>
      <c r="F796" s="101">
        <v>1112123097</v>
      </c>
      <c r="G796" s="101">
        <v>345</v>
      </c>
      <c r="H796" s="101">
        <v>76</v>
      </c>
      <c r="I796" s="101">
        <v>421</v>
      </c>
      <c r="J796" s="101">
        <v>1062</v>
      </c>
      <c r="K796" s="101">
        <v>1483</v>
      </c>
      <c r="L796" s="101">
        <v>94</v>
      </c>
      <c r="M796" s="101">
        <v>124</v>
      </c>
      <c r="N796" s="101">
        <v>214</v>
      </c>
      <c r="O796" s="101">
        <v>173</v>
      </c>
      <c r="P796" s="101">
        <v>1870</v>
      </c>
      <c r="Q796" s="101">
        <v>7675</v>
      </c>
      <c r="R796" s="12" t="s">
        <v>25</v>
      </c>
      <c r="S796" s="12" t="s">
        <v>25</v>
      </c>
      <c r="T796" s="12" t="s">
        <v>25</v>
      </c>
    </row>
    <row r="797" spans="1:20" x14ac:dyDescent="0.3">
      <c r="A797" s="13">
        <v>43922.708333333336</v>
      </c>
      <c r="B797" s="12" t="s">
        <v>22</v>
      </c>
      <c r="C797" s="101">
        <v>10</v>
      </c>
      <c r="D797" s="12" t="s">
        <v>59</v>
      </c>
      <c r="E797" s="101">
        <v>4310675841</v>
      </c>
      <c r="F797" s="101">
        <v>1238824698</v>
      </c>
      <c r="G797" s="101">
        <v>173</v>
      </c>
      <c r="H797" s="101">
        <v>45</v>
      </c>
      <c r="I797" s="101">
        <v>218</v>
      </c>
      <c r="J797" s="101">
        <v>646</v>
      </c>
      <c r="K797" s="101">
        <v>864</v>
      </c>
      <c r="L797" s="101">
        <v>13</v>
      </c>
      <c r="M797" s="101">
        <v>17</v>
      </c>
      <c r="N797" s="101">
        <v>194</v>
      </c>
      <c r="O797" s="101">
        <v>37</v>
      </c>
      <c r="P797" s="101">
        <v>1095</v>
      </c>
      <c r="Q797" s="101">
        <v>9080</v>
      </c>
      <c r="R797" s="12" t="s">
        <v>25</v>
      </c>
      <c r="S797" s="12" t="s">
        <v>25</v>
      </c>
      <c r="T797" s="12" t="s">
        <v>25</v>
      </c>
    </row>
    <row r="798" spans="1:20" x14ac:dyDescent="0.3">
      <c r="A798" s="13">
        <v>43922.708333333336</v>
      </c>
      <c r="B798" s="12" t="s">
        <v>22</v>
      </c>
      <c r="C798" s="101">
        <v>2</v>
      </c>
      <c r="D798" s="12" t="s">
        <v>60</v>
      </c>
      <c r="E798" s="101">
        <v>4573750286</v>
      </c>
      <c r="F798" s="101">
        <v>7320149366</v>
      </c>
      <c r="G798" s="101">
        <v>85</v>
      </c>
      <c r="H798" s="101">
        <v>27</v>
      </c>
      <c r="I798" s="101">
        <v>112</v>
      </c>
      <c r="J798" s="101">
        <v>428</v>
      </c>
      <c r="K798" s="101">
        <v>540</v>
      </c>
      <c r="L798" s="101">
        <v>-12</v>
      </c>
      <c r="M798" s="101">
        <v>3</v>
      </c>
      <c r="N798" s="101">
        <v>32</v>
      </c>
      <c r="O798" s="101">
        <v>59</v>
      </c>
      <c r="P798" s="101">
        <v>631</v>
      </c>
      <c r="Q798" s="101">
        <v>1717</v>
      </c>
      <c r="R798" s="12" t="s">
        <v>25</v>
      </c>
      <c r="S798" s="12" t="s">
        <v>25</v>
      </c>
      <c r="T798" s="12" t="s">
        <v>25</v>
      </c>
    </row>
    <row r="799" spans="1:20" x14ac:dyDescent="0.3">
      <c r="A799" s="13">
        <v>43922.708333333336</v>
      </c>
      <c r="B799" s="12" t="s">
        <v>22</v>
      </c>
      <c r="C799" s="101">
        <v>5</v>
      </c>
      <c r="D799" s="12" t="s">
        <v>61</v>
      </c>
      <c r="E799" s="101">
        <v>4543490485</v>
      </c>
      <c r="F799" s="101">
        <v>1233845213</v>
      </c>
      <c r="G799" s="101">
        <v>1718</v>
      </c>
      <c r="H799" s="101">
        <v>350</v>
      </c>
      <c r="I799" s="101">
        <v>2068</v>
      </c>
      <c r="J799" s="101">
        <v>6156</v>
      </c>
      <c r="K799" s="101">
        <v>8224</v>
      </c>
      <c r="L799" s="101">
        <v>374</v>
      </c>
      <c r="M799" s="101">
        <v>470</v>
      </c>
      <c r="N799" s="101">
        <v>902</v>
      </c>
      <c r="O799" s="101">
        <v>499</v>
      </c>
      <c r="P799" s="101">
        <v>9625</v>
      </c>
      <c r="Q799" s="101">
        <v>112746</v>
      </c>
      <c r="R799" s="12" t="s">
        <v>25</v>
      </c>
      <c r="S799" s="12" t="s">
        <v>25</v>
      </c>
      <c r="T799" s="12" t="s">
        <v>25</v>
      </c>
    </row>
    <row r="800" spans="1:20" x14ac:dyDescent="0.3">
      <c r="A800" s="13">
        <v>43923.708333333336</v>
      </c>
      <c r="B800" s="12" t="s">
        <v>22</v>
      </c>
      <c r="C800" s="101">
        <v>13</v>
      </c>
      <c r="D800" s="12" t="s">
        <v>42</v>
      </c>
      <c r="E800" s="101">
        <v>4235122196</v>
      </c>
      <c r="F800" s="101">
        <v>1339843823</v>
      </c>
      <c r="G800" s="101">
        <v>341</v>
      </c>
      <c r="H800" s="101">
        <v>75</v>
      </c>
      <c r="I800" s="101">
        <v>416</v>
      </c>
      <c r="J800" s="101">
        <v>835</v>
      </c>
      <c r="K800" s="101">
        <v>1251</v>
      </c>
      <c r="L800" s="101">
        <v>40</v>
      </c>
      <c r="M800" s="101">
        <v>61</v>
      </c>
      <c r="N800" s="101">
        <v>113</v>
      </c>
      <c r="O800" s="101">
        <v>133</v>
      </c>
      <c r="P800" s="101">
        <v>1497</v>
      </c>
      <c r="Q800" s="101">
        <v>10647</v>
      </c>
      <c r="R800" s="12" t="s">
        <v>25</v>
      </c>
      <c r="S800" s="12" t="s">
        <v>25</v>
      </c>
      <c r="T800" s="12" t="s">
        <v>25</v>
      </c>
    </row>
    <row r="801" spans="1:20" x14ac:dyDescent="0.3">
      <c r="A801" s="13">
        <v>43923.708333333336</v>
      </c>
      <c r="B801" s="12" t="s">
        <v>22</v>
      </c>
      <c r="C801" s="101">
        <v>17</v>
      </c>
      <c r="D801" s="12" t="s">
        <v>43</v>
      </c>
      <c r="E801" s="101">
        <v>4063947052</v>
      </c>
      <c r="F801" s="101">
        <v>1580514834</v>
      </c>
      <c r="G801" s="101">
        <v>38</v>
      </c>
      <c r="H801" s="101">
        <v>19</v>
      </c>
      <c r="I801" s="101">
        <v>57</v>
      </c>
      <c r="J801" s="101">
        <v>176</v>
      </c>
      <c r="K801" s="101">
        <v>233</v>
      </c>
      <c r="L801" s="101">
        <v>8</v>
      </c>
      <c r="M801" s="101">
        <v>9</v>
      </c>
      <c r="N801" s="101">
        <v>3</v>
      </c>
      <c r="O801" s="101">
        <v>10</v>
      </c>
      <c r="P801" s="101">
        <v>246</v>
      </c>
      <c r="Q801" s="101">
        <v>2427</v>
      </c>
      <c r="R801" s="12" t="s">
        <v>25</v>
      </c>
      <c r="S801" s="12" t="s">
        <v>25</v>
      </c>
      <c r="T801" s="12" t="s">
        <v>25</v>
      </c>
    </row>
    <row r="802" spans="1:20" x14ac:dyDescent="0.3">
      <c r="A802" s="13">
        <v>43923.708333333336</v>
      </c>
      <c r="B802" s="12" t="s">
        <v>22</v>
      </c>
      <c r="C802" s="101">
        <v>4</v>
      </c>
      <c r="D802" s="12" t="s">
        <v>44</v>
      </c>
      <c r="E802" s="101">
        <v>4649933453</v>
      </c>
      <c r="F802" s="101">
        <v>1135662422</v>
      </c>
      <c r="G802" s="101">
        <v>279</v>
      </c>
      <c r="H802" s="101">
        <v>60</v>
      </c>
      <c r="I802" s="101">
        <v>339</v>
      </c>
      <c r="J802" s="101">
        <v>821</v>
      </c>
      <c r="K802" s="101">
        <v>1160</v>
      </c>
      <c r="L802" s="101">
        <v>48</v>
      </c>
      <c r="M802" s="101">
        <v>61</v>
      </c>
      <c r="N802" s="101">
        <v>190</v>
      </c>
      <c r="O802" s="101">
        <v>129</v>
      </c>
      <c r="P802" s="101">
        <v>1479</v>
      </c>
      <c r="Q802" s="101">
        <v>12677</v>
      </c>
      <c r="R802" s="12" t="s">
        <v>25</v>
      </c>
      <c r="S802" s="12" t="s">
        <v>25</v>
      </c>
      <c r="T802" s="12" t="s">
        <v>25</v>
      </c>
    </row>
    <row r="803" spans="1:20" x14ac:dyDescent="0.3">
      <c r="A803" s="13">
        <v>43923.708333333336</v>
      </c>
      <c r="B803" s="12" t="s">
        <v>22</v>
      </c>
      <c r="C803" s="101">
        <v>18</v>
      </c>
      <c r="D803" s="12" t="s">
        <v>45</v>
      </c>
      <c r="E803" s="101">
        <v>3890597598</v>
      </c>
      <c r="F803" s="101">
        <v>1659440194</v>
      </c>
      <c r="G803" s="101">
        <v>163</v>
      </c>
      <c r="H803" s="101">
        <v>19</v>
      </c>
      <c r="I803" s="101">
        <v>182</v>
      </c>
      <c r="J803" s="101">
        <v>445</v>
      </c>
      <c r="K803" s="101">
        <v>627</v>
      </c>
      <c r="L803" s="101">
        <v>17</v>
      </c>
      <c r="M803" s="101">
        <v>22</v>
      </c>
      <c r="N803" s="101">
        <v>23</v>
      </c>
      <c r="O803" s="101">
        <v>41</v>
      </c>
      <c r="P803" s="101">
        <v>691</v>
      </c>
      <c r="Q803" s="101">
        <v>10679</v>
      </c>
      <c r="R803" s="12" t="s">
        <v>25</v>
      </c>
      <c r="S803" s="12" t="s">
        <v>25</v>
      </c>
      <c r="T803" s="12" t="s">
        <v>25</v>
      </c>
    </row>
    <row r="804" spans="1:20" x14ac:dyDescent="0.3">
      <c r="A804" s="13">
        <v>43923.708333333336</v>
      </c>
      <c r="B804" s="12" t="s">
        <v>22</v>
      </c>
      <c r="C804" s="101">
        <v>15</v>
      </c>
      <c r="D804" s="12" t="s">
        <v>46</v>
      </c>
      <c r="E804" s="101">
        <v>4083956555</v>
      </c>
      <c r="F804" s="101">
        <v>1425084984</v>
      </c>
      <c r="G804" s="101">
        <v>503</v>
      </c>
      <c r="H804" s="101">
        <v>120</v>
      </c>
      <c r="I804" s="101">
        <v>623</v>
      </c>
      <c r="J804" s="101">
        <v>1517</v>
      </c>
      <c r="K804" s="101">
        <v>2140</v>
      </c>
      <c r="L804" s="101">
        <v>164</v>
      </c>
      <c r="M804" s="101">
        <v>225</v>
      </c>
      <c r="N804" s="101">
        <v>149</v>
      </c>
      <c r="O804" s="101">
        <v>167</v>
      </c>
      <c r="P804" s="101">
        <v>2456</v>
      </c>
      <c r="Q804" s="101">
        <v>17404</v>
      </c>
      <c r="R804" s="12" t="s">
        <v>25</v>
      </c>
      <c r="S804" s="12" t="s">
        <v>25</v>
      </c>
      <c r="T804" s="12" t="s">
        <v>25</v>
      </c>
    </row>
    <row r="805" spans="1:20" x14ac:dyDescent="0.3">
      <c r="A805" s="13">
        <v>43923.708333333336</v>
      </c>
      <c r="B805" s="12" t="s">
        <v>22</v>
      </c>
      <c r="C805" s="101">
        <v>8</v>
      </c>
      <c r="D805" s="12" t="s">
        <v>96</v>
      </c>
      <c r="E805" s="101">
        <v>4449436681</v>
      </c>
      <c r="F805" s="101">
        <v>113417208</v>
      </c>
      <c r="G805" s="101">
        <v>3944</v>
      </c>
      <c r="H805" s="101">
        <v>366</v>
      </c>
      <c r="I805" s="101">
        <v>4310</v>
      </c>
      <c r="J805" s="101">
        <v>7549</v>
      </c>
      <c r="K805" s="101">
        <v>11859</v>
      </c>
      <c r="L805" s="101">
        <v>370</v>
      </c>
      <c r="M805" s="101">
        <v>546</v>
      </c>
      <c r="N805" s="101">
        <v>1663</v>
      </c>
      <c r="O805" s="101">
        <v>1811</v>
      </c>
      <c r="P805" s="101">
        <v>15333</v>
      </c>
      <c r="Q805" s="101">
        <v>60507</v>
      </c>
      <c r="R805" s="12" t="s">
        <v>25</v>
      </c>
      <c r="S805" s="12" t="s">
        <v>25</v>
      </c>
      <c r="T805" s="12" t="s">
        <v>25</v>
      </c>
    </row>
    <row r="806" spans="1:20" x14ac:dyDescent="0.3">
      <c r="A806" s="13">
        <v>43923.708333333336</v>
      </c>
      <c r="B806" s="12" t="s">
        <v>22</v>
      </c>
      <c r="C806" s="101">
        <v>6</v>
      </c>
      <c r="D806" s="12" t="s">
        <v>47</v>
      </c>
      <c r="E806" s="101">
        <v>456494354</v>
      </c>
      <c r="F806" s="101">
        <v>1376813649</v>
      </c>
      <c r="G806" s="101">
        <v>199</v>
      </c>
      <c r="H806" s="101">
        <v>60</v>
      </c>
      <c r="I806" s="101">
        <v>259</v>
      </c>
      <c r="J806" s="101">
        <v>1035</v>
      </c>
      <c r="K806" s="101">
        <v>1294</v>
      </c>
      <c r="L806" s="101">
        <v>88</v>
      </c>
      <c r="M806" s="101">
        <v>114</v>
      </c>
      <c r="N806" s="101">
        <v>376</v>
      </c>
      <c r="O806" s="101">
        <v>129</v>
      </c>
      <c r="P806" s="101">
        <v>1799</v>
      </c>
      <c r="Q806" s="101">
        <v>17121</v>
      </c>
      <c r="R806" s="12" t="s">
        <v>25</v>
      </c>
      <c r="S806" s="12" t="s">
        <v>25</v>
      </c>
      <c r="T806" s="12" t="s">
        <v>25</v>
      </c>
    </row>
    <row r="807" spans="1:20" x14ac:dyDescent="0.3">
      <c r="A807" s="13">
        <v>43923.708333333336</v>
      </c>
      <c r="B807" s="12" t="s">
        <v>22</v>
      </c>
      <c r="C807" s="101">
        <v>12</v>
      </c>
      <c r="D807" s="12" t="s">
        <v>48</v>
      </c>
      <c r="E807" s="101">
        <v>4189277044</v>
      </c>
      <c r="F807" s="101">
        <v>1248366722</v>
      </c>
      <c r="G807" s="101">
        <v>1169</v>
      </c>
      <c r="H807" s="101">
        <v>181</v>
      </c>
      <c r="I807" s="101">
        <v>1350</v>
      </c>
      <c r="J807" s="101">
        <v>1529</v>
      </c>
      <c r="K807" s="101">
        <v>2879</v>
      </c>
      <c r="L807" s="101">
        <v>121</v>
      </c>
      <c r="M807" s="101">
        <v>169</v>
      </c>
      <c r="N807" s="101">
        <v>369</v>
      </c>
      <c r="O807" s="101">
        <v>185</v>
      </c>
      <c r="P807" s="101">
        <v>3433</v>
      </c>
      <c r="Q807" s="101">
        <v>41575</v>
      </c>
      <c r="R807" s="12" t="s">
        <v>25</v>
      </c>
      <c r="S807" s="12" t="s">
        <v>25</v>
      </c>
      <c r="T807" s="12" t="s">
        <v>25</v>
      </c>
    </row>
    <row r="808" spans="1:20" x14ac:dyDescent="0.3">
      <c r="A808" s="13">
        <v>43923.708333333336</v>
      </c>
      <c r="B808" s="12" t="s">
        <v>22</v>
      </c>
      <c r="C808" s="101">
        <v>7</v>
      </c>
      <c r="D808" s="12" t="s">
        <v>49</v>
      </c>
      <c r="E808" s="101">
        <v>4441149315</v>
      </c>
      <c r="F808" s="101">
        <v>89326992</v>
      </c>
      <c r="G808" s="101">
        <v>1120</v>
      </c>
      <c r="H808" s="101">
        <v>172</v>
      </c>
      <c r="I808" s="101">
        <v>1292</v>
      </c>
      <c r="J808" s="101">
        <v>1368</v>
      </c>
      <c r="K808" s="101">
        <v>2660</v>
      </c>
      <c r="L808" s="101">
        <v>15</v>
      </c>
      <c r="M808" s="101">
        <v>122</v>
      </c>
      <c r="N808" s="101">
        <v>634</v>
      </c>
      <c r="O808" s="101">
        <v>488</v>
      </c>
      <c r="P808" s="101">
        <v>3782</v>
      </c>
      <c r="Q808" s="101">
        <v>12069</v>
      </c>
      <c r="R808" s="12" t="s">
        <v>25</v>
      </c>
      <c r="S808" s="12" t="s">
        <v>25</v>
      </c>
      <c r="T808" s="12" t="s">
        <v>25</v>
      </c>
    </row>
    <row r="809" spans="1:20" x14ac:dyDescent="0.3">
      <c r="A809" s="13">
        <v>43923.708333333336</v>
      </c>
      <c r="B809" s="12" t="s">
        <v>22</v>
      </c>
      <c r="C809" s="101">
        <v>3</v>
      </c>
      <c r="D809" s="12" t="s">
        <v>50</v>
      </c>
      <c r="E809" s="101">
        <v>4546679409</v>
      </c>
      <c r="F809" s="101">
        <v>9190347404</v>
      </c>
      <c r="G809" s="101">
        <v>11762</v>
      </c>
      <c r="H809" s="101">
        <v>1351</v>
      </c>
      <c r="I809" s="101">
        <v>13113</v>
      </c>
      <c r="J809" s="101">
        <v>12763</v>
      </c>
      <c r="K809" s="101">
        <v>25876</v>
      </c>
      <c r="L809" s="101">
        <v>111</v>
      </c>
      <c r="M809" s="101">
        <v>1292</v>
      </c>
      <c r="N809" s="101">
        <v>12229</v>
      </c>
      <c r="O809" s="101">
        <v>7960</v>
      </c>
      <c r="P809" s="101">
        <v>46065</v>
      </c>
      <c r="Q809" s="101">
        <v>128286</v>
      </c>
      <c r="R809" s="12" t="s">
        <v>25</v>
      </c>
      <c r="S809" s="12" t="s">
        <v>25</v>
      </c>
      <c r="T809" s="12" t="s">
        <v>25</v>
      </c>
    </row>
    <row r="810" spans="1:20" x14ac:dyDescent="0.3">
      <c r="A810" s="13">
        <v>43923.708333333336</v>
      </c>
      <c r="B810" s="12" t="s">
        <v>22</v>
      </c>
      <c r="C810" s="101">
        <v>11</v>
      </c>
      <c r="D810" s="12" t="s">
        <v>51</v>
      </c>
      <c r="E810" s="101">
        <v>4361675973</v>
      </c>
      <c r="F810" s="101">
        <v>135188753</v>
      </c>
      <c r="G810" s="101">
        <v>986</v>
      </c>
      <c r="H810" s="101">
        <v>164</v>
      </c>
      <c r="I810" s="101">
        <v>1150</v>
      </c>
      <c r="J810" s="101">
        <v>2405</v>
      </c>
      <c r="K810" s="101">
        <v>3555</v>
      </c>
      <c r="L810" s="101">
        <v>99</v>
      </c>
      <c r="M810" s="101">
        <v>136</v>
      </c>
      <c r="N810" s="101">
        <v>40</v>
      </c>
      <c r="O810" s="101">
        <v>503</v>
      </c>
      <c r="P810" s="101">
        <v>4098</v>
      </c>
      <c r="Q810" s="101">
        <v>12943</v>
      </c>
      <c r="R810" s="12" t="s">
        <v>25</v>
      </c>
      <c r="S810" s="12" t="s">
        <v>25</v>
      </c>
      <c r="T810" s="12" t="s">
        <v>25</v>
      </c>
    </row>
    <row r="811" spans="1:20" x14ac:dyDescent="0.3">
      <c r="A811" s="13">
        <v>43923.708333333336</v>
      </c>
      <c r="B811" s="12" t="s">
        <v>22</v>
      </c>
      <c r="C811" s="101">
        <v>14</v>
      </c>
      <c r="D811" s="12" t="s">
        <v>52</v>
      </c>
      <c r="E811" s="101">
        <v>4155774754</v>
      </c>
      <c r="F811" s="101">
        <v>1465916051</v>
      </c>
      <c r="G811" s="101">
        <v>30</v>
      </c>
      <c r="H811" s="101">
        <v>8</v>
      </c>
      <c r="I811" s="101">
        <v>38</v>
      </c>
      <c r="J811" s="101">
        <v>95</v>
      </c>
      <c r="K811" s="101">
        <v>133</v>
      </c>
      <c r="L811" s="101">
        <v>2</v>
      </c>
      <c r="M811" s="101">
        <v>5</v>
      </c>
      <c r="N811" s="101">
        <v>21</v>
      </c>
      <c r="O811" s="101">
        <v>11</v>
      </c>
      <c r="P811" s="101">
        <v>165</v>
      </c>
      <c r="Q811" s="101">
        <v>1229</v>
      </c>
      <c r="R811" s="12" t="s">
        <v>25</v>
      </c>
      <c r="S811" s="12" t="s">
        <v>25</v>
      </c>
      <c r="T811" s="12" t="s">
        <v>25</v>
      </c>
    </row>
    <row r="812" spans="1:20" x14ac:dyDescent="0.3">
      <c r="A812" s="13">
        <v>43923.708333333336</v>
      </c>
      <c r="B812" s="12" t="s">
        <v>22</v>
      </c>
      <c r="C812" s="101">
        <v>1</v>
      </c>
      <c r="D812" s="12" t="s">
        <v>53</v>
      </c>
      <c r="E812" s="101">
        <v>450732745</v>
      </c>
      <c r="F812" s="101">
        <v>7680687483</v>
      </c>
      <c r="G812" s="101">
        <v>3341</v>
      </c>
      <c r="H812" s="101">
        <v>453</v>
      </c>
      <c r="I812" s="101">
        <v>3794</v>
      </c>
      <c r="J812" s="101">
        <v>5005</v>
      </c>
      <c r="K812" s="101">
        <v>8799</v>
      </c>
      <c r="L812" s="101">
        <v>329</v>
      </c>
      <c r="M812" s="101">
        <v>558</v>
      </c>
      <c r="N812" s="101">
        <v>571</v>
      </c>
      <c r="O812" s="101">
        <v>983</v>
      </c>
      <c r="P812" s="101">
        <v>10353</v>
      </c>
      <c r="Q812" s="101">
        <v>32100</v>
      </c>
      <c r="R812" s="12" t="s">
        <v>25</v>
      </c>
      <c r="S812" s="12" t="s">
        <v>25</v>
      </c>
      <c r="T812" s="12" t="s">
        <v>25</v>
      </c>
    </row>
    <row r="813" spans="1:20" x14ac:dyDescent="0.3">
      <c r="A813" s="13">
        <v>43923.708333333336</v>
      </c>
      <c r="B813" s="12" t="s">
        <v>22</v>
      </c>
      <c r="C813" s="101">
        <v>16</v>
      </c>
      <c r="D813" s="12" t="s">
        <v>54</v>
      </c>
      <c r="E813" s="101">
        <v>4112559576</v>
      </c>
      <c r="F813" s="101">
        <v>1686736689</v>
      </c>
      <c r="G813" s="101">
        <v>645</v>
      </c>
      <c r="H813" s="101">
        <v>118</v>
      </c>
      <c r="I813" s="101">
        <v>763</v>
      </c>
      <c r="J813" s="101">
        <v>1101</v>
      </c>
      <c r="K813" s="101">
        <v>1864</v>
      </c>
      <c r="L813" s="101">
        <v>108</v>
      </c>
      <c r="M813" s="101">
        <v>131</v>
      </c>
      <c r="N813" s="101">
        <v>69</v>
      </c>
      <c r="O813" s="101">
        <v>144</v>
      </c>
      <c r="P813" s="101">
        <v>2077</v>
      </c>
      <c r="Q813" s="101">
        <v>16554</v>
      </c>
      <c r="R813" s="12" t="s">
        <v>25</v>
      </c>
      <c r="S813" s="12" t="s">
        <v>25</v>
      </c>
      <c r="T813" s="12" t="s">
        <v>25</v>
      </c>
    </row>
    <row r="814" spans="1:20" x14ac:dyDescent="0.3">
      <c r="A814" s="13">
        <v>43923.708333333336</v>
      </c>
      <c r="B814" s="12" t="s">
        <v>22</v>
      </c>
      <c r="C814" s="101">
        <v>20</v>
      </c>
      <c r="D814" s="12" t="s">
        <v>55</v>
      </c>
      <c r="E814" s="101">
        <v>3921531192</v>
      </c>
      <c r="F814" s="101">
        <v>9110616306</v>
      </c>
      <c r="G814" s="101">
        <v>117</v>
      </c>
      <c r="H814" s="101">
        <v>24</v>
      </c>
      <c r="I814" s="101">
        <v>141</v>
      </c>
      <c r="J814" s="101">
        <v>577</v>
      </c>
      <c r="K814" s="101">
        <v>718</v>
      </c>
      <c r="L814" s="101">
        <v>43</v>
      </c>
      <c r="M814" s="101">
        <v>49</v>
      </c>
      <c r="N814" s="101">
        <v>36</v>
      </c>
      <c r="O814" s="101">
        <v>40</v>
      </c>
      <c r="P814" s="101">
        <v>794</v>
      </c>
      <c r="Q814" s="101">
        <v>5970</v>
      </c>
      <c r="R814" s="12" t="s">
        <v>25</v>
      </c>
      <c r="S814" s="12" t="s">
        <v>25</v>
      </c>
      <c r="T814" s="12" t="s">
        <v>25</v>
      </c>
    </row>
    <row r="815" spans="1:20" x14ac:dyDescent="0.3">
      <c r="A815" s="13">
        <v>43923.708333333336</v>
      </c>
      <c r="B815" s="12" t="s">
        <v>22</v>
      </c>
      <c r="C815" s="101">
        <v>19</v>
      </c>
      <c r="D815" s="12" t="s">
        <v>56</v>
      </c>
      <c r="E815" s="101">
        <v>3811569725</v>
      </c>
      <c r="F815" s="101">
        <v>133623567</v>
      </c>
      <c r="G815" s="101">
        <v>503</v>
      </c>
      <c r="H815" s="101">
        <v>73</v>
      </c>
      <c r="I815" s="101">
        <v>576</v>
      </c>
      <c r="J815" s="101">
        <v>1030</v>
      </c>
      <c r="K815" s="101">
        <v>1606</v>
      </c>
      <c r="L815" s="101">
        <v>62</v>
      </c>
      <c r="M815" s="101">
        <v>73</v>
      </c>
      <c r="N815" s="101">
        <v>92</v>
      </c>
      <c r="O815" s="101">
        <v>93</v>
      </c>
      <c r="P815" s="101">
        <v>1791</v>
      </c>
      <c r="Q815" s="101">
        <v>17833</v>
      </c>
      <c r="R815" s="12" t="s">
        <v>25</v>
      </c>
      <c r="S815" s="12" t="s">
        <v>25</v>
      </c>
      <c r="T815" s="12" t="s">
        <v>25</v>
      </c>
    </row>
    <row r="816" spans="1:20" x14ac:dyDescent="0.3">
      <c r="A816" s="13">
        <v>43923.708333333336</v>
      </c>
      <c r="B816" s="12" t="s">
        <v>22</v>
      </c>
      <c r="C816" s="101">
        <v>9</v>
      </c>
      <c r="D816" s="12" t="s">
        <v>57</v>
      </c>
      <c r="E816" s="101">
        <v>4376923077</v>
      </c>
      <c r="F816" s="101">
        <v>1125588885</v>
      </c>
      <c r="G816" s="101">
        <v>1135</v>
      </c>
      <c r="H816" s="101">
        <v>295</v>
      </c>
      <c r="I816" s="101">
        <v>1430</v>
      </c>
      <c r="J816" s="101">
        <v>3359</v>
      </c>
      <c r="K816" s="101">
        <v>4789</v>
      </c>
      <c r="L816" s="101">
        <v>357</v>
      </c>
      <c r="M816" s="101">
        <v>406</v>
      </c>
      <c r="N816" s="101">
        <v>216</v>
      </c>
      <c r="O816" s="101">
        <v>268</v>
      </c>
      <c r="P816" s="101">
        <v>5273</v>
      </c>
      <c r="Q816" s="101">
        <v>40724</v>
      </c>
      <c r="R816" s="12" t="s">
        <v>25</v>
      </c>
      <c r="S816" s="12" t="s">
        <v>25</v>
      </c>
      <c r="T816" s="12" t="s">
        <v>25</v>
      </c>
    </row>
    <row r="817" spans="1:20" x14ac:dyDescent="0.3">
      <c r="A817" s="13">
        <v>43923.708333333336</v>
      </c>
      <c r="B817" s="12" t="s">
        <v>22</v>
      </c>
      <c r="C817" s="101">
        <v>4</v>
      </c>
      <c r="D817" s="12" t="s">
        <v>58</v>
      </c>
      <c r="E817" s="101">
        <v>4606893511</v>
      </c>
      <c r="F817" s="101">
        <v>1112123097</v>
      </c>
      <c r="G817" s="101">
        <v>339</v>
      </c>
      <c r="H817" s="101">
        <v>78</v>
      </c>
      <c r="I817" s="101">
        <v>417</v>
      </c>
      <c r="J817" s="101">
        <v>1170</v>
      </c>
      <c r="K817" s="101">
        <v>1587</v>
      </c>
      <c r="L817" s="101">
        <v>104</v>
      </c>
      <c r="M817" s="101">
        <v>133</v>
      </c>
      <c r="N817" s="101">
        <v>229</v>
      </c>
      <c r="O817" s="101">
        <v>187</v>
      </c>
      <c r="P817" s="101">
        <v>2003</v>
      </c>
      <c r="Q817" s="101">
        <v>8496</v>
      </c>
      <c r="R817" s="12" t="s">
        <v>25</v>
      </c>
      <c r="S817" s="12" t="s">
        <v>25</v>
      </c>
      <c r="T817" s="12" t="s">
        <v>25</v>
      </c>
    </row>
    <row r="818" spans="1:20" x14ac:dyDescent="0.3">
      <c r="A818" s="13">
        <v>43923.708333333336</v>
      </c>
      <c r="B818" s="12" t="s">
        <v>22</v>
      </c>
      <c r="C818" s="101">
        <v>10</v>
      </c>
      <c r="D818" s="12" t="s">
        <v>59</v>
      </c>
      <c r="E818" s="101">
        <v>4310675841</v>
      </c>
      <c r="F818" s="101">
        <v>1238824698</v>
      </c>
      <c r="G818" s="101">
        <v>171</v>
      </c>
      <c r="H818" s="101">
        <v>47</v>
      </c>
      <c r="I818" s="101">
        <v>218</v>
      </c>
      <c r="J818" s="101">
        <v>667</v>
      </c>
      <c r="K818" s="101">
        <v>885</v>
      </c>
      <c r="L818" s="101">
        <v>21</v>
      </c>
      <c r="M818" s="101">
        <v>33</v>
      </c>
      <c r="N818" s="101">
        <v>205</v>
      </c>
      <c r="O818" s="101">
        <v>38</v>
      </c>
      <c r="P818" s="101">
        <v>1128</v>
      </c>
      <c r="Q818" s="101">
        <v>9737</v>
      </c>
      <c r="R818" s="12" t="s">
        <v>25</v>
      </c>
      <c r="S818" s="12" t="s">
        <v>25</v>
      </c>
      <c r="T818" s="12" t="s">
        <v>25</v>
      </c>
    </row>
    <row r="819" spans="1:20" x14ac:dyDescent="0.3">
      <c r="A819" s="13">
        <v>43923.708333333336</v>
      </c>
      <c r="B819" s="12" t="s">
        <v>22</v>
      </c>
      <c r="C819" s="101">
        <v>2</v>
      </c>
      <c r="D819" s="12" t="s">
        <v>60</v>
      </c>
      <c r="E819" s="101">
        <v>4573750286</v>
      </c>
      <c r="F819" s="101">
        <v>7320149366</v>
      </c>
      <c r="G819" s="101">
        <v>85</v>
      </c>
      <c r="H819" s="101">
        <v>25</v>
      </c>
      <c r="I819" s="101">
        <v>110</v>
      </c>
      <c r="J819" s="101">
        <v>446</v>
      </c>
      <c r="K819" s="101">
        <v>556</v>
      </c>
      <c r="L819" s="101">
        <v>16</v>
      </c>
      <c r="M819" s="101">
        <v>37</v>
      </c>
      <c r="N819" s="101">
        <v>49</v>
      </c>
      <c r="O819" s="101">
        <v>63</v>
      </c>
      <c r="P819" s="101">
        <v>668</v>
      </c>
      <c r="Q819" s="101">
        <v>1934</v>
      </c>
      <c r="R819" s="12" t="s">
        <v>25</v>
      </c>
      <c r="S819" s="12" t="s">
        <v>25</v>
      </c>
      <c r="T819" s="12" t="s">
        <v>25</v>
      </c>
    </row>
    <row r="820" spans="1:20" x14ac:dyDescent="0.3">
      <c r="A820" s="13">
        <v>43923.708333333336</v>
      </c>
      <c r="B820" s="12" t="s">
        <v>22</v>
      </c>
      <c r="C820" s="101">
        <v>5</v>
      </c>
      <c r="D820" s="12" t="s">
        <v>61</v>
      </c>
      <c r="E820" s="101">
        <v>4543490485</v>
      </c>
      <c r="F820" s="101">
        <v>1233845213</v>
      </c>
      <c r="G820" s="101">
        <v>1670</v>
      </c>
      <c r="H820" s="101">
        <v>345</v>
      </c>
      <c r="I820" s="101">
        <v>2015</v>
      </c>
      <c r="J820" s="101">
        <v>6563</v>
      </c>
      <c r="K820" s="101">
        <v>8578</v>
      </c>
      <c r="L820" s="101">
        <v>354</v>
      </c>
      <c r="M820" s="101">
        <v>486</v>
      </c>
      <c r="N820" s="101">
        <v>1001</v>
      </c>
      <c r="O820" s="101">
        <v>532</v>
      </c>
      <c r="P820" s="101">
        <v>10111</v>
      </c>
      <c r="Q820" s="101">
        <v>120320</v>
      </c>
      <c r="R820" s="12" t="s">
        <v>25</v>
      </c>
      <c r="S820" s="12" t="s">
        <v>25</v>
      </c>
      <c r="T820" s="12" t="s">
        <v>25</v>
      </c>
    </row>
    <row r="821" spans="1:20" x14ac:dyDescent="0.3">
      <c r="A821" s="13">
        <v>43924.708333333336</v>
      </c>
      <c r="B821" s="12" t="s">
        <v>22</v>
      </c>
      <c r="C821" s="101">
        <v>13</v>
      </c>
      <c r="D821" s="12" t="s">
        <v>42</v>
      </c>
      <c r="E821" s="101">
        <v>4235122196</v>
      </c>
      <c r="F821" s="101">
        <v>1339843823</v>
      </c>
      <c r="G821" s="101">
        <v>361</v>
      </c>
      <c r="H821" s="101">
        <v>76</v>
      </c>
      <c r="I821" s="101">
        <v>437</v>
      </c>
      <c r="J821" s="101">
        <v>864</v>
      </c>
      <c r="K821" s="101">
        <v>1301</v>
      </c>
      <c r="L821" s="101">
        <v>50</v>
      </c>
      <c r="M821" s="101">
        <v>66</v>
      </c>
      <c r="N821" s="101">
        <v>116</v>
      </c>
      <c r="O821" s="101">
        <v>146</v>
      </c>
      <c r="P821" s="101">
        <v>1563</v>
      </c>
      <c r="Q821" s="101">
        <v>11890</v>
      </c>
      <c r="R821" s="12" t="s">
        <v>25</v>
      </c>
      <c r="S821" s="12" t="s">
        <v>25</v>
      </c>
      <c r="T821" s="12" t="s">
        <v>25</v>
      </c>
    </row>
    <row r="822" spans="1:20" x14ac:dyDescent="0.3">
      <c r="A822" s="13">
        <v>43924.708333333336</v>
      </c>
      <c r="B822" s="12" t="s">
        <v>22</v>
      </c>
      <c r="C822" s="101">
        <v>17</v>
      </c>
      <c r="D822" s="12" t="s">
        <v>43</v>
      </c>
      <c r="E822" s="101">
        <v>4063947052</v>
      </c>
      <c r="F822" s="101">
        <v>1580514834</v>
      </c>
      <c r="G822" s="101">
        <v>41</v>
      </c>
      <c r="H822" s="101">
        <v>19</v>
      </c>
      <c r="I822" s="101">
        <v>60</v>
      </c>
      <c r="J822" s="101">
        <v>187</v>
      </c>
      <c r="K822" s="101">
        <v>247</v>
      </c>
      <c r="L822" s="101">
        <v>14</v>
      </c>
      <c r="M822" s="101">
        <v>15</v>
      </c>
      <c r="N822" s="101">
        <v>3</v>
      </c>
      <c r="O822" s="101">
        <v>11</v>
      </c>
      <c r="P822" s="101">
        <v>261</v>
      </c>
      <c r="Q822" s="101">
        <v>2622</v>
      </c>
      <c r="R822" s="12" t="s">
        <v>25</v>
      </c>
      <c r="S822" s="12" t="s">
        <v>25</v>
      </c>
      <c r="T822" s="12" t="s">
        <v>25</v>
      </c>
    </row>
    <row r="823" spans="1:20" x14ac:dyDescent="0.3">
      <c r="A823" s="13">
        <v>43924.708333333336</v>
      </c>
      <c r="B823" s="12" t="s">
        <v>22</v>
      </c>
      <c r="C823" s="101">
        <v>4</v>
      </c>
      <c r="D823" s="12" t="s">
        <v>44</v>
      </c>
      <c r="E823" s="101">
        <v>4649933453</v>
      </c>
      <c r="F823" s="101">
        <v>1135662422</v>
      </c>
      <c r="G823" s="101">
        <v>291</v>
      </c>
      <c r="H823" s="101">
        <v>60</v>
      </c>
      <c r="I823" s="101">
        <v>351</v>
      </c>
      <c r="J823" s="101">
        <v>858</v>
      </c>
      <c r="K823" s="101">
        <v>1209</v>
      </c>
      <c r="L823" s="101">
        <v>49</v>
      </c>
      <c r="M823" s="101">
        <v>80</v>
      </c>
      <c r="N823" s="101">
        <v>211</v>
      </c>
      <c r="O823" s="101">
        <v>139</v>
      </c>
      <c r="P823" s="101">
        <v>1559</v>
      </c>
      <c r="Q823" s="101">
        <v>13976</v>
      </c>
      <c r="R823" s="12" t="s">
        <v>25</v>
      </c>
      <c r="S823" s="12" t="s">
        <v>25</v>
      </c>
      <c r="T823" s="12" t="s">
        <v>25</v>
      </c>
    </row>
    <row r="824" spans="1:20" x14ac:dyDescent="0.3">
      <c r="A824" s="13">
        <v>43924.708333333336</v>
      </c>
      <c r="B824" s="12" t="s">
        <v>22</v>
      </c>
      <c r="C824" s="101">
        <v>18</v>
      </c>
      <c r="D824" s="12" t="s">
        <v>45</v>
      </c>
      <c r="E824" s="101">
        <v>3890597598</v>
      </c>
      <c r="F824" s="101">
        <v>1659440194</v>
      </c>
      <c r="G824" s="101">
        <v>183</v>
      </c>
      <c r="H824" s="101">
        <v>17</v>
      </c>
      <c r="I824" s="101">
        <v>200</v>
      </c>
      <c r="J824" s="101">
        <v>462</v>
      </c>
      <c r="K824" s="101">
        <v>662</v>
      </c>
      <c r="L824" s="101">
        <v>35</v>
      </c>
      <c r="M824" s="101">
        <v>42</v>
      </c>
      <c r="N824" s="101">
        <v>26</v>
      </c>
      <c r="O824" s="101">
        <v>45</v>
      </c>
      <c r="P824" s="101">
        <v>733</v>
      </c>
      <c r="Q824" s="101">
        <v>11608</v>
      </c>
      <c r="R824" s="12" t="s">
        <v>25</v>
      </c>
      <c r="S824" s="12" t="s">
        <v>25</v>
      </c>
      <c r="T824" s="12" t="s">
        <v>25</v>
      </c>
    </row>
    <row r="825" spans="1:20" x14ac:dyDescent="0.3">
      <c r="A825" s="13">
        <v>43924.708333333336</v>
      </c>
      <c r="B825" s="12" t="s">
        <v>22</v>
      </c>
      <c r="C825" s="101">
        <v>15</v>
      </c>
      <c r="D825" s="12" t="s">
        <v>46</v>
      </c>
      <c r="E825" s="101">
        <v>4083956555</v>
      </c>
      <c r="F825" s="101">
        <v>1425084984</v>
      </c>
      <c r="G825" s="101">
        <v>532</v>
      </c>
      <c r="H825" s="101">
        <v>115</v>
      </c>
      <c r="I825" s="101">
        <v>647</v>
      </c>
      <c r="J825" s="101">
        <v>1705</v>
      </c>
      <c r="K825" s="101">
        <v>2352</v>
      </c>
      <c r="L825" s="101">
        <v>212</v>
      </c>
      <c r="M825" s="101">
        <v>221</v>
      </c>
      <c r="N825" s="101">
        <v>144</v>
      </c>
      <c r="O825" s="101">
        <v>181</v>
      </c>
      <c r="P825" s="101">
        <v>2677</v>
      </c>
      <c r="Q825" s="101">
        <v>19237</v>
      </c>
      <c r="R825" s="12" t="s">
        <v>25</v>
      </c>
      <c r="S825" s="12" t="s">
        <v>25</v>
      </c>
      <c r="T825" s="12" t="s">
        <v>25</v>
      </c>
    </row>
    <row r="826" spans="1:20" x14ac:dyDescent="0.3">
      <c r="A826" s="13">
        <v>43924.708333333336</v>
      </c>
      <c r="B826" s="12" t="s">
        <v>22</v>
      </c>
      <c r="C826" s="101">
        <v>8</v>
      </c>
      <c r="D826" s="12" t="s">
        <v>96</v>
      </c>
      <c r="E826" s="101">
        <v>4449436681</v>
      </c>
      <c r="F826" s="101">
        <v>113417208</v>
      </c>
      <c r="G826" s="101">
        <v>3915</v>
      </c>
      <c r="H826" s="101">
        <v>364</v>
      </c>
      <c r="I826" s="101">
        <v>4279</v>
      </c>
      <c r="J826" s="101">
        <v>7899</v>
      </c>
      <c r="K826" s="101">
        <v>12178</v>
      </c>
      <c r="L826" s="101">
        <v>319</v>
      </c>
      <c r="M826" s="101">
        <v>599</v>
      </c>
      <c r="N826" s="101">
        <v>1852</v>
      </c>
      <c r="O826" s="101">
        <v>1902</v>
      </c>
      <c r="P826" s="101">
        <v>15932</v>
      </c>
      <c r="Q826" s="101">
        <v>63682</v>
      </c>
      <c r="R826" s="12" t="s">
        <v>25</v>
      </c>
      <c r="S826" s="12" t="s">
        <v>25</v>
      </c>
      <c r="T826" s="12" t="s">
        <v>25</v>
      </c>
    </row>
    <row r="827" spans="1:20" x14ac:dyDescent="0.3">
      <c r="A827" s="13">
        <v>43924.708333333336</v>
      </c>
      <c r="B827" s="12" t="s">
        <v>22</v>
      </c>
      <c r="C827" s="101">
        <v>6</v>
      </c>
      <c r="D827" s="12" t="s">
        <v>47</v>
      </c>
      <c r="E827" s="101">
        <v>456494354</v>
      </c>
      <c r="F827" s="101">
        <v>1376813649</v>
      </c>
      <c r="G827" s="101">
        <v>201</v>
      </c>
      <c r="H827" s="101">
        <v>61</v>
      </c>
      <c r="I827" s="101">
        <v>262</v>
      </c>
      <c r="J827" s="101">
        <v>1062</v>
      </c>
      <c r="K827" s="101">
        <v>1324</v>
      </c>
      <c r="L827" s="101">
        <v>30</v>
      </c>
      <c r="M827" s="101">
        <v>80</v>
      </c>
      <c r="N827" s="101">
        <v>419</v>
      </c>
      <c r="O827" s="101">
        <v>136</v>
      </c>
      <c r="P827" s="101">
        <v>1879</v>
      </c>
      <c r="Q827" s="101">
        <v>19985</v>
      </c>
      <c r="R827" s="12" t="s">
        <v>25</v>
      </c>
      <c r="S827" s="12" t="s">
        <v>25</v>
      </c>
      <c r="T827" s="12" t="s">
        <v>25</v>
      </c>
    </row>
    <row r="828" spans="1:20" x14ac:dyDescent="0.3">
      <c r="A828" s="13">
        <v>43924.708333333336</v>
      </c>
      <c r="B828" s="12" t="s">
        <v>22</v>
      </c>
      <c r="C828" s="101">
        <v>12</v>
      </c>
      <c r="D828" s="12" t="s">
        <v>48</v>
      </c>
      <c r="E828" s="101">
        <v>4189277044</v>
      </c>
      <c r="F828" s="101">
        <v>1248366722</v>
      </c>
      <c r="G828" s="101">
        <v>1194</v>
      </c>
      <c r="H828" s="101">
        <v>188</v>
      </c>
      <c r="I828" s="101">
        <v>1382</v>
      </c>
      <c r="J828" s="101">
        <v>1627</v>
      </c>
      <c r="K828" s="101">
        <v>3009</v>
      </c>
      <c r="L828" s="101">
        <v>130</v>
      </c>
      <c r="M828" s="101">
        <v>167</v>
      </c>
      <c r="N828" s="101">
        <v>392</v>
      </c>
      <c r="O828" s="101">
        <v>199</v>
      </c>
      <c r="P828" s="101">
        <v>3600</v>
      </c>
      <c r="Q828" s="101">
        <v>43776</v>
      </c>
      <c r="R828" s="12" t="s">
        <v>25</v>
      </c>
      <c r="S828" s="12" t="s">
        <v>25</v>
      </c>
      <c r="T828" s="12" t="s">
        <v>25</v>
      </c>
    </row>
    <row r="829" spans="1:20" x14ac:dyDescent="0.3">
      <c r="A829" s="13">
        <v>43924.708333333336</v>
      </c>
      <c r="B829" s="12" t="s">
        <v>22</v>
      </c>
      <c r="C829" s="101">
        <v>7</v>
      </c>
      <c r="D829" s="12" t="s">
        <v>49</v>
      </c>
      <c r="E829" s="101">
        <v>4441149315</v>
      </c>
      <c r="F829" s="101">
        <v>89326992</v>
      </c>
      <c r="G829" s="101">
        <v>1147</v>
      </c>
      <c r="H829" s="101">
        <v>173</v>
      </c>
      <c r="I829" s="101">
        <v>1320</v>
      </c>
      <c r="J829" s="101">
        <v>1426</v>
      </c>
      <c r="K829" s="101">
        <v>2746</v>
      </c>
      <c r="L829" s="101">
        <v>86</v>
      </c>
      <c r="M829" s="101">
        <v>183</v>
      </c>
      <c r="N829" s="101">
        <v>700</v>
      </c>
      <c r="O829" s="101">
        <v>519</v>
      </c>
      <c r="P829" s="101">
        <v>3965</v>
      </c>
      <c r="Q829" s="101">
        <v>12934</v>
      </c>
      <c r="R829" s="12" t="s">
        <v>25</v>
      </c>
      <c r="S829" s="12" t="s">
        <v>25</v>
      </c>
      <c r="T829" s="12" t="s">
        <v>25</v>
      </c>
    </row>
    <row r="830" spans="1:20" x14ac:dyDescent="0.3">
      <c r="A830" s="13">
        <v>43924.708333333336</v>
      </c>
      <c r="B830" s="12" t="s">
        <v>22</v>
      </c>
      <c r="C830" s="101">
        <v>3</v>
      </c>
      <c r="D830" s="12" t="s">
        <v>50</v>
      </c>
      <c r="E830" s="101">
        <v>4546679409</v>
      </c>
      <c r="F830" s="101">
        <v>9190347404</v>
      </c>
      <c r="G830" s="101">
        <v>11802</v>
      </c>
      <c r="H830" s="101">
        <v>1381</v>
      </c>
      <c r="I830" s="101">
        <v>13183</v>
      </c>
      <c r="J830" s="101">
        <v>13006</v>
      </c>
      <c r="K830" s="101">
        <v>26189</v>
      </c>
      <c r="L830" s="101">
        <v>313</v>
      </c>
      <c r="M830" s="101">
        <v>1455</v>
      </c>
      <c r="N830" s="101">
        <v>13020</v>
      </c>
      <c r="O830" s="101">
        <v>8311</v>
      </c>
      <c r="P830" s="101">
        <v>47520</v>
      </c>
      <c r="Q830" s="101">
        <v>135051</v>
      </c>
      <c r="R830" s="12" t="s">
        <v>25</v>
      </c>
      <c r="S830" s="12" t="s">
        <v>25</v>
      </c>
      <c r="T830" s="12" t="s">
        <v>25</v>
      </c>
    </row>
    <row r="831" spans="1:20" x14ac:dyDescent="0.3">
      <c r="A831" s="13">
        <v>43924.708333333336</v>
      </c>
      <c r="B831" s="12" t="s">
        <v>22</v>
      </c>
      <c r="C831" s="101">
        <v>11</v>
      </c>
      <c r="D831" s="12" t="s">
        <v>51</v>
      </c>
      <c r="E831" s="101">
        <v>4361675973</v>
      </c>
      <c r="F831" s="101">
        <v>135188753</v>
      </c>
      <c r="G831" s="101">
        <v>982</v>
      </c>
      <c r="H831" s="101">
        <v>158</v>
      </c>
      <c r="I831" s="101">
        <v>1140</v>
      </c>
      <c r="J831" s="101">
        <v>2491</v>
      </c>
      <c r="K831" s="101">
        <v>3631</v>
      </c>
      <c r="L831" s="101">
        <v>76</v>
      </c>
      <c r="M831" s="101">
        <v>132</v>
      </c>
      <c r="N831" s="101">
        <v>42</v>
      </c>
      <c r="O831" s="101">
        <v>557</v>
      </c>
      <c r="P831" s="101">
        <v>4230</v>
      </c>
      <c r="Q831" s="101">
        <v>13678</v>
      </c>
      <c r="R831" s="12" t="s">
        <v>25</v>
      </c>
      <c r="S831" s="12" t="s">
        <v>25</v>
      </c>
      <c r="T831" s="12" t="s">
        <v>25</v>
      </c>
    </row>
    <row r="832" spans="1:20" x14ac:dyDescent="0.3">
      <c r="A832" s="13">
        <v>43924.708333333336</v>
      </c>
      <c r="B832" s="12" t="s">
        <v>22</v>
      </c>
      <c r="C832" s="101">
        <v>14</v>
      </c>
      <c r="D832" s="12" t="s">
        <v>52</v>
      </c>
      <c r="E832" s="101">
        <v>4155774754</v>
      </c>
      <c r="F832" s="101">
        <v>1465916051</v>
      </c>
      <c r="G832" s="101">
        <v>31</v>
      </c>
      <c r="H832" s="101">
        <v>8</v>
      </c>
      <c r="I832" s="101">
        <v>39</v>
      </c>
      <c r="J832" s="101">
        <v>105</v>
      </c>
      <c r="K832" s="101">
        <v>144</v>
      </c>
      <c r="L832" s="101">
        <v>11</v>
      </c>
      <c r="M832" s="101">
        <v>11</v>
      </c>
      <c r="N832" s="101">
        <v>21</v>
      </c>
      <c r="O832" s="101">
        <v>11</v>
      </c>
      <c r="P832" s="101">
        <v>176</v>
      </c>
      <c r="Q832" s="101">
        <v>1378</v>
      </c>
      <c r="R832" s="12" t="s">
        <v>25</v>
      </c>
      <c r="S832" s="12" t="s">
        <v>25</v>
      </c>
      <c r="T832" s="12" t="s">
        <v>25</v>
      </c>
    </row>
    <row r="833" spans="1:20" x14ac:dyDescent="0.3">
      <c r="A833" s="13">
        <v>43924.708333333336</v>
      </c>
      <c r="B833" s="12" t="s">
        <v>22</v>
      </c>
      <c r="C833" s="101">
        <v>1</v>
      </c>
      <c r="D833" s="12" t="s">
        <v>53</v>
      </c>
      <c r="E833" s="101">
        <v>450732745</v>
      </c>
      <c r="F833" s="101">
        <v>7680687483</v>
      </c>
      <c r="G833" s="101">
        <v>3300</v>
      </c>
      <c r="H833" s="101">
        <v>452</v>
      </c>
      <c r="I833" s="101">
        <v>3752</v>
      </c>
      <c r="J833" s="101">
        <v>5378</v>
      </c>
      <c r="K833" s="101">
        <v>9130</v>
      </c>
      <c r="L833" s="101">
        <v>331</v>
      </c>
      <c r="M833" s="101">
        <v>543</v>
      </c>
      <c r="N833" s="101">
        <v>723</v>
      </c>
      <c r="O833" s="101">
        <v>1043</v>
      </c>
      <c r="P833" s="101">
        <v>10896</v>
      </c>
      <c r="Q833" s="101">
        <v>34281</v>
      </c>
      <c r="R833" s="12" t="s">
        <v>25</v>
      </c>
      <c r="S833" s="12" t="s">
        <v>25</v>
      </c>
      <c r="T833" s="12" t="s">
        <v>25</v>
      </c>
    </row>
    <row r="834" spans="1:20" x14ac:dyDescent="0.3">
      <c r="A834" s="13">
        <v>43924.708333333336</v>
      </c>
      <c r="B834" s="12" t="s">
        <v>22</v>
      </c>
      <c r="C834" s="101">
        <v>16</v>
      </c>
      <c r="D834" s="12" t="s">
        <v>54</v>
      </c>
      <c r="E834" s="101">
        <v>4112559576</v>
      </c>
      <c r="F834" s="101">
        <v>1686736689</v>
      </c>
      <c r="G834" s="101">
        <v>648</v>
      </c>
      <c r="H834" s="101">
        <v>123</v>
      </c>
      <c r="I834" s="101">
        <v>771</v>
      </c>
      <c r="J834" s="101">
        <v>1178</v>
      </c>
      <c r="K834" s="101">
        <v>1949</v>
      </c>
      <c r="L834" s="101">
        <v>85</v>
      </c>
      <c r="M834" s="101">
        <v>105</v>
      </c>
      <c r="N834" s="101">
        <v>69</v>
      </c>
      <c r="O834" s="101">
        <v>164</v>
      </c>
      <c r="P834" s="101">
        <v>2182</v>
      </c>
      <c r="Q834" s="101">
        <v>17924</v>
      </c>
      <c r="R834" s="12" t="s">
        <v>25</v>
      </c>
      <c r="S834" s="12" t="s">
        <v>25</v>
      </c>
      <c r="T834" s="12" t="s">
        <v>25</v>
      </c>
    </row>
    <row r="835" spans="1:20" x14ac:dyDescent="0.3">
      <c r="A835" s="13">
        <v>43924.708333333336</v>
      </c>
      <c r="B835" s="12" t="s">
        <v>22</v>
      </c>
      <c r="C835" s="101">
        <v>20</v>
      </c>
      <c r="D835" s="12" t="s">
        <v>55</v>
      </c>
      <c r="E835" s="101">
        <v>3921531192</v>
      </c>
      <c r="F835" s="101">
        <v>9110616306</v>
      </c>
      <c r="G835" s="101">
        <v>122</v>
      </c>
      <c r="H835" s="101">
        <v>24</v>
      </c>
      <c r="I835" s="101">
        <v>146</v>
      </c>
      <c r="J835" s="101">
        <v>598</v>
      </c>
      <c r="K835" s="101">
        <v>744</v>
      </c>
      <c r="L835" s="101">
        <v>26</v>
      </c>
      <c r="M835" s="101">
        <v>31</v>
      </c>
      <c r="N835" s="101">
        <v>40</v>
      </c>
      <c r="O835" s="101">
        <v>41</v>
      </c>
      <c r="P835" s="101">
        <v>825</v>
      </c>
      <c r="Q835" s="101">
        <v>6478</v>
      </c>
      <c r="R835" s="12" t="s">
        <v>25</v>
      </c>
      <c r="S835" s="12" t="s">
        <v>25</v>
      </c>
      <c r="T835" s="12" t="s">
        <v>25</v>
      </c>
    </row>
    <row r="836" spans="1:20" x14ac:dyDescent="0.3">
      <c r="A836" s="13">
        <v>43924.708333333336</v>
      </c>
      <c r="B836" s="12" t="s">
        <v>22</v>
      </c>
      <c r="C836" s="101">
        <v>19</v>
      </c>
      <c r="D836" s="12" t="s">
        <v>56</v>
      </c>
      <c r="E836" s="101">
        <v>3811569725</v>
      </c>
      <c r="F836" s="101">
        <v>133623567</v>
      </c>
      <c r="G836" s="101">
        <v>535</v>
      </c>
      <c r="H836" s="101">
        <v>73</v>
      </c>
      <c r="I836" s="101">
        <v>608</v>
      </c>
      <c r="J836" s="101">
        <v>1056</v>
      </c>
      <c r="K836" s="101">
        <v>1664</v>
      </c>
      <c r="L836" s="101">
        <v>58</v>
      </c>
      <c r="M836" s="101">
        <v>68</v>
      </c>
      <c r="N836" s="101">
        <v>94</v>
      </c>
      <c r="O836" s="101">
        <v>101</v>
      </c>
      <c r="P836" s="101">
        <v>1859</v>
      </c>
      <c r="Q836" s="101">
        <v>18686</v>
      </c>
      <c r="R836" s="12" t="s">
        <v>25</v>
      </c>
      <c r="S836" s="12" t="s">
        <v>25</v>
      </c>
      <c r="T836" s="12" t="s">
        <v>25</v>
      </c>
    </row>
    <row r="837" spans="1:20" x14ac:dyDescent="0.3">
      <c r="A837" s="13">
        <v>43924.708333333336</v>
      </c>
      <c r="B837" s="12" t="s">
        <v>22</v>
      </c>
      <c r="C837" s="101">
        <v>9</v>
      </c>
      <c r="D837" s="12" t="s">
        <v>57</v>
      </c>
      <c r="E837" s="101">
        <v>4376923077</v>
      </c>
      <c r="F837" s="101">
        <v>1125588885</v>
      </c>
      <c r="G837" s="101">
        <v>1149</v>
      </c>
      <c r="H837" s="101">
        <v>288</v>
      </c>
      <c r="I837" s="101">
        <v>1437</v>
      </c>
      <c r="J837" s="101">
        <v>3472</v>
      </c>
      <c r="K837" s="101">
        <v>4909</v>
      </c>
      <c r="L837" s="101">
        <v>120</v>
      </c>
      <c r="M837" s="101">
        <v>226</v>
      </c>
      <c r="N837" s="101">
        <v>300</v>
      </c>
      <c r="O837" s="101">
        <v>290</v>
      </c>
      <c r="P837" s="101">
        <v>5499</v>
      </c>
      <c r="Q837" s="101">
        <v>44460</v>
      </c>
      <c r="R837" s="12" t="s">
        <v>25</v>
      </c>
      <c r="S837" s="12" t="s">
        <v>25</v>
      </c>
      <c r="T837" s="12" t="s">
        <v>25</v>
      </c>
    </row>
    <row r="838" spans="1:20" x14ac:dyDescent="0.3">
      <c r="A838" s="13">
        <v>43924.708333333336</v>
      </c>
      <c r="B838" s="12" t="s">
        <v>22</v>
      </c>
      <c r="C838" s="101">
        <v>4</v>
      </c>
      <c r="D838" s="12" t="s">
        <v>58</v>
      </c>
      <c r="E838" s="101">
        <v>4606893511</v>
      </c>
      <c r="F838" s="101">
        <v>1112123097</v>
      </c>
      <c r="G838" s="101">
        <v>343</v>
      </c>
      <c r="H838" s="101">
        <v>80</v>
      </c>
      <c r="I838" s="101">
        <v>423</v>
      </c>
      <c r="J838" s="101">
        <v>1236</v>
      </c>
      <c r="K838" s="101">
        <v>1659</v>
      </c>
      <c r="L838" s="101">
        <v>72</v>
      </c>
      <c r="M838" s="101">
        <v>106</v>
      </c>
      <c r="N838" s="101">
        <v>246</v>
      </c>
      <c r="O838" s="101">
        <v>204</v>
      </c>
      <c r="P838" s="101">
        <v>2109</v>
      </c>
      <c r="Q838" s="101">
        <v>8993</v>
      </c>
      <c r="R838" s="12" t="s">
        <v>25</v>
      </c>
      <c r="S838" s="12" t="s">
        <v>25</v>
      </c>
      <c r="T838" s="12" t="s">
        <v>25</v>
      </c>
    </row>
    <row r="839" spans="1:20" x14ac:dyDescent="0.3">
      <c r="A839" s="13">
        <v>43924.708333333336</v>
      </c>
      <c r="B839" s="12" t="s">
        <v>22</v>
      </c>
      <c r="C839" s="101">
        <v>10</v>
      </c>
      <c r="D839" s="12" t="s">
        <v>59</v>
      </c>
      <c r="E839" s="101">
        <v>4310675841</v>
      </c>
      <c r="F839" s="101">
        <v>1238824698</v>
      </c>
      <c r="G839" s="101">
        <v>165</v>
      </c>
      <c r="H839" s="101">
        <v>48</v>
      </c>
      <c r="I839" s="101">
        <v>213</v>
      </c>
      <c r="J839" s="101">
        <v>707</v>
      </c>
      <c r="K839" s="101">
        <v>920</v>
      </c>
      <c r="L839" s="101">
        <v>35</v>
      </c>
      <c r="M839" s="101">
        <v>51</v>
      </c>
      <c r="N839" s="101">
        <v>220</v>
      </c>
      <c r="O839" s="101">
        <v>39</v>
      </c>
      <c r="P839" s="101">
        <v>1179</v>
      </c>
      <c r="Q839" s="101">
        <v>10614</v>
      </c>
      <c r="R839" s="12" t="s">
        <v>25</v>
      </c>
      <c r="S839" s="12" t="s">
        <v>25</v>
      </c>
      <c r="T839" s="12" t="s">
        <v>25</v>
      </c>
    </row>
    <row r="840" spans="1:20" x14ac:dyDescent="0.3">
      <c r="A840" s="13">
        <v>43924.708333333336</v>
      </c>
      <c r="B840" s="12" t="s">
        <v>22</v>
      </c>
      <c r="C840" s="101">
        <v>2</v>
      </c>
      <c r="D840" s="12" t="s">
        <v>60</v>
      </c>
      <c r="E840" s="101">
        <v>4573750286</v>
      </c>
      <c r="F840" s="101">
        <v>7320149366</v>
      </c>
      <c r="G840" s="101">
        <v>85</v>
      </c>
      <c r="H840" s="101">
        <v>25</v>
      </c>
      <c r="I840" s="101">
        <v>110</v>
      </c>
      <c r="J840" s="101">
        <v>450</v>
      </c>
      <c r="K840" s="101">
        <v>560</v>
      </c>
      <c r="L840" s="101">
        <v>4</v>
      </c>
      <c r="M840" s="101">
        <v>51</v>
      </c>
      <c r="N840" s="101">
        <v>89</v>
      </c>
      <c r="O840" s="101">
        <v>70</v>
      </c>
      <c r="P840" s="101">
        <v>719</v>
      </c>
      <c r="Q840" s="101">
        <v>2106</v>
      </c>
      <c r="R840" s="12" t="s">
        <v>25</v>
      </c>
      <c r="S840" s="12" t="s">
        <v>25</v>
      </c>
      <c r="T840" s="12" t="s">
        <v>25</v>
      </c>
    </row>
    <row r="841" spans="1:20" x14ac:dyDescent="0.3">
      <c r="A841" s="13">
        <v>43924.708333333336</v>
      </c>
      <c r="B841" s="12" t="s">
        <v>22</v>
      </c>
      <c r="C841" s="101">
        <v>5</v>
      </c>
      <c r="D841" s="12" t="s">
        <v>61</v>
      </c>
      <c r="E841" s="101">
        <v>4543490485</v>
      </c>
      <c r="F841" s="101">
        <v>1233845213</v>
      </c>
      <c r="G841" s="101">
        <v>1714</v>
      </c>
      <c r="H841" s="101">
        <v>335</v>
      </c>
      <c r="I841" s="101">
        <v>2049</v>
      </c>
      <c r="J841" s="101">
        <v>6812</v>
      </c>
      <c r="K841" s="101">
        <v>8861</v>
      </c>
      <c r="L841" s="101">
        <v>283</v>
      </c>
      <c r="M841" s="101">
        <v>353</v>
      </c>
      <c r="N841" s="101">
        <v>1031</v>
      </c>
      <c r="O841" s="101">
        <v>572</v>
      </c>
      <c r="P841" s="101">
        <v>10464</v>
      </c>
      <c r="Q841" s="101">
        <v>126490</v>
      </c>
      <c r="R841" s="12" t="s">
        <v>25</v>
      </c>
      <c r="S841" s="12" t="s">
        <v>25</v>
      </c>
      <c r="T841" s="12" t="s">
        <v>25</v>
      </c>
    </row>
    <row r="842" spans="1:20" x14ac:dyDescent="0.3">
      <c r="A842" s="13">
        <v>43925.708333333336</v>
      </c>
      <c r="B842" s="12" t="s">
        <v>22</v>
      </c>
      <c r="C842" s="101">
        <v>13</v>
      </c>
      <c r="D842" s="12" t="s">
        <v>42</v>
      </c>
      <c r="E842" s="101">
        <v>4235122196</v>
      </c>
      <c r="F842" s="101">
        <v>1339843823</v>
      </c>
      <c r="G842" s="101">
        <v>354</v>
      </c>
      <c r="H842" s="101">
        <v>71</v>
      </c>
      <c r="I842" s="101">
        <v>425</v>
      </c>
      <c r="J842" s="101">
        <v>931</v>
      </c>
      <c r="K842" s="101">
        <v>1356</v>
      </c>
      <c r="L842" s="101">
        <v>55</v>
      </c>
      <c r="M842" s="101">
        <v>65</v>
      </c>
      <c r="N842" s="101">
        <v>119</v>
      </c>
      <c r="O842" s="101">
        <v>153</v>
      </c>
      <c r="P842" s="101">
        <v>1628</v>
      </c>
      <c r="Q842" s="101">
        <v>12837</v>
      </c>
      <c r="R842" s="12" t="s">
        <v>25</v>
      </c>
      <c r="S842" s="12" t="s">
        <v>25</v>
      </c>
      <c r="T842" s="12" t="s">
        <v>25</v>
      </c>
    </row>
    <row r="843" spans="1:20" x14ac:dyDescent="0.3">
      <c r="A843" s="13">
        <v>43925.708333333336</v>
      </c>
      <c r="B843" s="12" t="s">
        <v>22</v>
      </c>
      <c r="C843" s="101">
        <v>17</v>
      </c>
      <c r="D843" s="12" t="s">
        <v>43</v>
      </c>
      <c r="E843" s="101">
        <v>4063947052</v>
      </c>
      <c r="F843" s="101">
        <v>1580514834</v>
      </c>
      <c r="G843" s="101">
        <v>44</v>
      </c>
      <c r="H843" s="101">
        <v>19</v>
      </c>
      <c r="I843" s="101">
        <v>63</v>
      </c>
      <c r="J843" s="101">
        <v>181</v>
      </c>
      <c r="K843" s="101">
        <v>244</v>
      </c>
      <c r="L843" s="101">
        <v>-3</v>
      </c>
      <c r="M843" s="101">
        <v>3</v>
      </c>
      <c r="N843" s="101">
        <v>9</v>
      </c>
      <c r="O843" s="101">
        <v>11</v>
      </c>
      <c r="P843" s="101">
        <v>264</v>
      </c>
      <c r="Q843" s="101">
        <v>2765</v>
      </c>
      <c r="R843" s="12" t="s">
        <v>25</v>
      </c>
      <c r="S843" s="12" t="s">
        <v>25</v>
      </c>
      <c r="T843" s="12" t="s">
        <v>25</v>
      </c>
    </row>
    <row r="844" spans="1:20" x14ac:dyDescent="0.3">
      <c r="A844" s="13">
        <v>43925.708333333336</v>
      </c>
      <c r="B844" s="12" t="s">
        <v>22</v>
      </c>
      <c r="C844" s="101">
        <v>4</v>
      </c>
      <c r="D844" s="12" t="s">
        <v>44</v>
      </c>
      <c r="E844" s="101">
        <v>4649933453</v>
      </c>
      <c r="F844" s="101">
        <v>1135662422</v>
      </c>
      <c r="G844" s="101">
        <v>291</v>
      </c>
      <c r="H844" s="101">
        <v>61</v>
      </c>
      <c r="I844" s="101">
        <v>352</v>
      </c>
      <c r="J844" s="101">
        <v>849</v>
      </c>
      <c r="K844" s="101">
        <v>1201</v>
      </c>
      <c r="L844" s="101">
        <v>-8</v>
      </c>
      <c r="M844" s="101">
        <v>33</v>
      </c>
      <c r="N844" s="101">
        <v>245</v>
      </c>
      <c r="O844" s="101">
        <v>146</v>
      </c>
      <c r="P844" s="101">
        <v>1592</v>
      </c>
      <c r="Q844" s="101">
        <v>15045</v>
      </c>
      <c r="R844" s="12" t="s">
        <v>25</v>
      </c>
      <c r="S844" s="12" t="s">
        <v>25</v>
      </c>
      <c r="T844" s="12" t="s">
        <v>25</v>
      </c>
    </row>
    <row r="845" spans="1:20" x14ac:dyDescent="0.3">
      <c r="A845" s="13">
        <v>43925.708333333336</v>
      </c>
      <c r="B845" s="12" t="s">
        <v>22</v>
      </c>
      <c r="C845" s="101">
        <v>18</v>
      </c>
      <c r="D845" s="12" t="s">
        <v>45</v>
      </c>
      <c r="E845" s="101">
        <v>3890597598</v>
      </c>
      <c r="F845" s="101">
        <v>1659440194</v>
      </c>
      <c r="G845" s="101">
        <v>178</v>
      </c>
      <c r="H845" s="101">
        <v>15</v>
      </c>
      <c r="I845" s="101">
        <v>193</v>
      </c>
      <c r="J845" s="101">
        <v>469</v>
      </c>
      <c r="K845" s="101">
        <v>662</v>
      </c>
      <c r="L845" s="101">
        <v>0</v>
      </c>
      <c r="M845" s="101">
        <v>8</v>
      </c>
      <c r="N845" s="101">
        <v>30</v>
      </c>
      <c r="O845" s="101">
        <v>49</v>
      </c>
      <c r="P845" s="101">
        <v>741</v>
      </c>
      <c r="Q845" s="101">
        <v>12314</v>
      </c>
      <c r="R845" s="12" t="s">
        <v>25</v>
      </c>
      <c r="S845" s="12" t="s">
        <v>25</v>
      </c>
      <c r="T845" s="12" t="s">
        <v>25</v>
      </c>
    </row>
    <row r="846" spans="1:20" x14ac:dyDescent="0.3">
      <c r="A846" s="13">
        <v>43925.708333333336</v>
      </c>
      <c r="B846" s="12" t="s">
        <v>22</v>
      </c>
      <c r="C846" s="101">
        <v>15</v>
      </c>
      <c r="D846" s="12" t="s">
        <v>46</v>
      </c>
      <c r="E846" s="101">
        <v>4083956555</v>
      </c>
      <c r="F846" s="101">
        <v>1425084984</v>
      </c>
      <c r="G846" s="101">
        <v>567</v>
      </c>
      <c r="H846" s="101">
        <v>114</v>
      </c>
      <c r="I846" s="101">
        <v>681</v>
      </c>
      <c r="J846" s="101">
        <v>1815</v>
      </c>
      <c r="K846" s="101">
        <v>2496</v>
      </c>
      <c r="L846" s="101">
        <v>144</v>
      </c>
      <c r="M846" s="101">
        <v>151</v>
      </c>
      <c r="N846" s="101">
        <v>146</v>
      </c>
      <c r="O846" s="101">
        <v>186</v>
      </c>
      <c r="P846" s="101">
        <v>2828</v>
      </c>
      <c r="Q846" s="101">
        <v>21534</v>
      </c>
      <c r="R846" s="12" t="s">
        <v>25</v>
      </c>
      <c r="S846" s="12" t="s">
        <v>25</v>
      </c>
      <c r="T846" s="12" t="s">
        <v>25</v>
      </c>
    </row>
    <row r="847" spans="1:20" x14ac:dyDescent="0.3">
      <c r="A847" s="13">
        <v>43925.708333333336</v>
      </c>
      <c r="B847" s="12" t="s">
        <v>22</v>
      </c>
      <c r="C847" s="101">
        <v>8</v>
      </c>
      <c r="D847" s="12" t="s">
        <v>96</v>
      </c>
      <c r="E847" s="101">
        <v>4449436681</v>
      </c>
      <c r="F847" s="101">
        <v>113417208</v>
      </c>
      <c r="G847" s="101">
        <v>3859</v>
      </c>
      <c r="H847" s="101">
        <v>358</v>
      </c>
      <c r="I847" s="101">
        <v>4217</v>
      </c>
      <c r="J847" s="101">
        <v>8306</v>
      </c>
      <c r="K847" s="101">
        <v>12523</v>
      </c>
      <c r="L847" s="101">
        <v>345</v>
      </c>
      <c r="M847" s="101">
        <v>608</v>
      </c>
      <c r="N847" s="101">
        <v>2040</v>
      </c>
      <c r="O847" s="101">
        <v>1977</v>
      </c>
      <c r="P847" s="101">
        <v>16540</v>
      </c>
      <c r="Q847" s="101">
        <v>67075</v>
      </c>
      <c r="R847" s="12" t="s">
        <v>25</v>
      </c>
      <c r="S847" s="12" t="s">
        <v>25</v>
      </c>
      <c r="T847" s="12" t="s">
        <v>25</v>
      </c>
    </row>
    <row r="848" spans="1:20" x14ac:dyDescent="0.3">
      <c r="A848" s="13">
        <v>43925.708333333336</v>
      </c>
      <c r="B848" s="12" t="s">
        <v>22</v>
      </c>
      <c r="C848" s="101">
        <v>6</v>
      </c>
      <c r="D848" s="12" t="s">
        <v>47</v>
      </c>
      <c r="E848" s="101">
        <v>456494354</v>
      </c>
      <c r="F848" s="101">
        <v>1376813649</v>
      </c>
      <c r="G848" s="101">
        <v>183</v>
      </c>
      <c r="H848" s="101">
        <v>50</v>
      </c>
      <c r="I848" s="101">
        <v>233</v>
      </c>
      <c r="J848" s="101">
        <v>1103</v>
      </c>
      <c r="K848" s="101">
        <v>1336</v>
      </c>
      <c r="L848" s="101">
        <v>12</v>
      </c>
      <c r="M848" s="101">
        <v>107</v>
      </c>
      <c r="N848" s="101">
        <v>505</v>
      </c>
      <c r="O848" s="101">
        <v>145</v>
      </c>
      <c r="P848" s="101">
        <v>1986</v>
      </c>
      <c r="Q848" s="101">
        <v>21126</v>
      </c>
      <c r="R848" s="12" t="s">
        <v>25</v>
      </c>
      <c r="S848" s="12" t="s">
        <v>25</v>
      </c>
      <c r="T848" s="12" t="s">
        <v>25</v>
      </c>
    </row>
    <row r="849" spans="1:20" x14ac:dyDescent="0.3">
      <c r="A849" s="13">
        <v>43925.708333333336</v>
      </c>
      <c r="B849" s="12" t="s">
        <v>22</v>
      </c>
      <c r="C849" s="101">
        <v>12</v>
      </c>
      <c r="D849" s="12" t="s">
        <v>48</v>
      </c>
      <c r="E849" s="101">
        <v>4189277044</v>
      </c>
      <c r="F849" s="101">
        <v>1248366722</v>
      </c>
      <c r="G849" s="101">
        <v>1236</v>
      </c>
      <c r="H849" s="101">
        <v>193</v>
      </c>
      <c r="I849" s="101">
        <v>1429</v>
      </c>
      <c r="J849" s="101">
        <v>1677</v>
      </c>
      <c r="K849" s="101">
        <v>3106</v>
      </c>
      <c r="L849" s="101">
        <v>97</v>
      </c>
      <c r="M849" s="101">
        <v>157</v>
      </c>
      <c r="N849" s="101">
        <v>439</v>
      </c>
      <c r="O849" s="101">
        <v>212</v>
      </c>
      <c r="P849" s="101">
        <v>3757</v>
      </c>
      <c r="Q849" s="101">
        <v>44624</v>
      </c>
      <c r="R849" s="12" t="s">
        <v>25</v>
      </c>
      <c r="S849" s="12" t="s">
        <v>25</v>
      </c>
      <c r="T849" s="12" t="s">
        <v>25</v>
      </c>
    </row>
    <row r="850" spans="1:20" x14ac:dyDescent="0.3">
      <c r="A850" s="13">
        <v>43925.708333333336</v>
      </c>
      <c r="B850" s="12" t="s">
        <v>22</v>
      </c>
      <c r="C850" s="101">
        <v>7</v>
      </c>
      <c r="D850" s="12" t="s">
        <v>49</v>
      </c>
      <c r="E850" s="101">
        <v>4441149315</v>
      </c>
      <c r="F850" s="101">
        <v>89326992</v>
      </c>
      <c r="G850" s="101">
        <v>1121</v>
      </c>
      <c r="H850" s="101">
        <v>169</v>
      </c>
      <c r="I850" s="101">
        <v>1290</v>
      </c>
      <c r="J850" s="101">
        <v>1604</v>
      </c>
      <c r="K850" s="101">
        <v>2894</v>
      </c>
      <c r="L850" s="101">
        <v>148</v>
      </c>
      <c r="M850" s="101">
        <v>238</v>
      </c>
      <c r="N850" s="101">
        <v>767</v>
      </c>
      <c r="O850" s="101">
        <v>542</v>
      </c>
      <c r="P850" s="101">
        <v>4203</v>
      </c>
      <c r="Q850" s="101">
        <v>14087</v>
      </c>
      <c r="R850" s="12" t="s">
        <v>25</v>
      </c>
      <c r="S850" s="12" t="s">
        <v>25</v>
      </c>
      <c r="T850" s="12" t="s">
        <v>25</v>
      </c>
    </row>
    <row r="851" spans="1:20" x14ac:dyDescent="0.3">
      <c r="A851" s="13">
        <v>43925.708333333336</v>
      </c>
      <c r="B851" s="12" t="s">
        <v>22</v>
      </c>
      <c r="C851" s="101">
        <v>3</v>
      </c>
      <c r="D851" s="12" t="s">
        <v>50</v>
      </c>
      <c r="E851" s="101">
        <v>4546679409</v>
      </c>
      <c r="F851" s="101">
        <v>9190347404</v>
      </c>
      <c r="G851" s="101">
        <v>12002</v>
      </c>
      <c r="H851" s="101">
        <v>1326</v>
      </c>
      <c r="I851" s="101">
        <v>13328</v>
      </c>
      <c r="J851" s="101">
        <v>13892</v>
      </c>
      <c r="K851" s="101">
        <v>27220</v>
      </c>
      <c r="L851" s="101">
        <v>1031</v>
      </c>
      <c r="M851" s="101">
        <v>1598</v>
      </c>
      <c r="N851" s="101">
        <v>13242</v>
      </c>
      <c r="O851" s="101">
        <v>8656</v>
      </c>
      <c r="P851" s="101">
        <v>49118</v>
      </c>
      <c r="Q851" s="101">
        <v>141877</v>
      </c>
      <c r="R851" s="12" t="s">
        <v>25</v>
      </c>
      <c r="S851" s="12" t="s">
        <v>25</v>
      </c>
      <c r="T851" s="12" t="s">
        <v>25</v>
      </c>
    </row>
    <row r="852" spans="1:20" x14ac:dyDescent="0.3">
      <c r="A852" s="13">
        <v>43925.708333333336</v>
      </c>
      <c r="B852" s="12" t="s">
        <v>22</v>
      </c>
      <c r="C852" s="101">
        <v>11</v>
      </c>
      <c r="D852" s="12" t="s">
        <v>51</v>
      </c>
      <c r="E852" s="101">
        <v>4361675973</v>
      </c>
      <c r="F852" s="101">
        <v>135188753</v>
      </c>
      <c r="G852" s="101">
        <v>997</v>
      </c>
      <c r="H852" s="101">
        <v>153</v>
      </c>
      <c r="I852" s="101">
        <v>1150</v>
      </c>
      <c r="J852" s="101">
        <v>2347</v>
      </c>
      <c r="K852" s="101">
        <v>3497</v>
      </c>
      <c r="L852" s="101">
        <v>-134</v>
      </c>
      <c r="M852" s="101">
        <v>111</v>
      </c>
      <c r="N852" s="101">
        <v>270</v>
      </c>
      <c r="O852" s="101">
        <v>574</v>
      </c>
      <c r="P852" s="101">
        <v>4341</v>
      </c>
      <c r="Q852" s="101">
        <v>14472</v>
      </c>
      <c r="R852" s="12" t="s">
        <v>25</v>
      </c>
      <c r="S852" s="12" t="s">
        <v>25</v>
      </c>
      <c r="T852" s="12" t="s">
        <v>25</v>
      </c>
    </row>
    <row r="853" spans="1:20" x14ac:dyDescent="0.3">
      <c r="A853" s="13">
        <v>43925.708333333336</v>
      </c>
      <c r="B853" s="12" t="s">
        <v>22</v>
      </c>
      <c r="C853" s="101">
        <v>14</v>
      </c>
      <c r="D853" s="12" t="s">
        <v>52</v>
      </c>
      <c r="E853" s="101">
        <v>4155774754</v>
      </c>
      <c r="F853" s="101">
        <v>1465916051</v>
      </c>
      <c r="G853" s="101">
        <v>31</v>
      </c>
      <c r="H853" s="101">
        <v>6</v>
      </c>
      <c r="I853" s="101">
        <v>37</v>
      </c>
      <c r="J853" s="101">
        <v>134</v>
      </c>
      <c r="K853" s="101">
        <v>171</v>
      </c>
      <c r="L853" s="101">
        <v>27</v>
      </c>
      <c r="M853" s="101">
        <v>30</v>
      </c>
      <c r="N853" s="101">
        <v>24</v>
      </c>
      <c r="O853" s="101">
        <v>11</v>
      </c>
      <c r="P853" s="101">
        <v>206</v>
      </c>
      <c r="Q853" s="101">
        <v>1504</v>
      </c>
      <c r="R853" s="12" t="s">
        <v>25</v>
      </c>
      <c r="S853" s="12" t="s">
        <v>25</v>
      </c>
      <c r="T853" s="12" t="s">
        <v>25</v>
      </c>
    </row>
    <row r="854" spans="1:20" x14ac:dyDescent="0.3">
      <c r="A854" s="13">
        <v>43925.708333333336</v>
      </c>
      <c r="B854" s="12" t="s">
        <v>22</v>
      </c>
      <c r="C854" s="101">
        <v>1</v>
      </c>
      <c r="D854" s="12" t="s">
        <v>53</v>
      </c>
      <c r="E854" s="101">
        <v>450732745</v>
      </c>
      <c r="F854" s="101">
        <v>7680687483</v>
      </c>
      <c r="G854" s="101">
        <v>3441</v>
      </c>
      <c r="H854" s="101">
        <v>450</v>
      </c>
      <c r="I854" s="101">
        <v>3891</v>
      </c>
      <c r="J854" s="101">
        <v>5802</v>
      </c>
      <c r="K854" s="101">
        <v>9693</v>
      </c>
      <c r="L854" s="101">
        <v>563</v>
      </c>
      <c r="M854" s="101">
        <v>813</v>
      </c>
      <c r="N854" s="101">
        <v>888</v>
      </c>
      <c r="O854" s="101">
        <v>1128</v>
      </c>
      <c r="P854" s="101">
        <v>11709</v>
      </c>
      <c r="Q854" s="101">
        <v>37181</v>
      </c>
      <c r="R854" s="12" t="s">
        <v>25</v>
      </c>
      <c r="S854" s="12" t="s">
        <v>25</v>
      </c>
      <c r="T854" s="12" t="s">
        <v>25</v>
      </c>
    </row>
    <row r="855" spans="1:20" x14ac:dyDescent="0.3">
      <c r="A855" s="13">
        <v>43925.708333333336</v>
      </c>
      <c r="B855" s="12" t="s">
        <v>22</v>
      </c>
      <c r="C855" s="101">
        <v>16</v>
      </c>
      <c r="D855" s="12" t="s">
        <v>54</v>
      </c>
      <c r="E855" s="101">
        <v>4112559576</v>
      </c>
      <c r="F855" s="101">
        <v>1686736689</v>
      </c>
      <c r="G855" s="101">
        <v>627</v>
      </c>
      <c r="H855" s="101">
        <v>153</v>
      </c>
      <c r="I855" s="101">
        <v>780</v>
      </c>
      <c r="J855" s="101">
        <v>1193</v>
      </c>
      <c r="K855" s="101">
        <v>1973</v>
      </c>
      <c r="L855" s="101">
        <v>24</v>
      </c>
      <c r="M855" s="101">
        <v>58</v>
      </c>
      <c r="N855" s="101">
        <v>94</v>
      </c>
      <c r="O855" s="101">
        <v>173</v>
      </c>
      <c r="P855" s="101">
        <v>2240</v>
      </c>
      <c r="Q855" s="101">
        <v>18977</v>
      </c>
      <c r="R855" s="12" t="s">
        <v>25</v>
      </c>
      <c r="S855" s="12" t="s">
        <v>25</v>
      </c>
      <c r="T855" s="12" t="s">
        <v>25</v>
      </c>
    </row>
    <row r="856" spans="1:20" x14ac:dyDescent="0.3">
      <c r="A856" s="13">
        <v>43925.708333333336</v>
      </c>
      <c r="B856" s="12" t="s">
        <v>22</v>
      </c>
      <c r="C856" s="101">
        <v>20</v>
      </c>
      <c r="D856" s="12" t="s">
        <v>55</v>
      </c>
      <c r="E856" s="101">
        <v>3921531192</v>
      </c>
      <c r="F856" s="101">
        <v>9110616306</v>
      </c>
      <c r="G856" s="101">
        <v>123</v>
      </c>
      <c r="H856" s="101">
        <v>24</v>
      </c>
      <c r="I856" s="101">
        <v>147</v>
      </c>
      <c r="J856" s="101">
        <v>642</v>
      </c>
      <c r="K856" s="101">
        <v>789</v>
      </c>
      <c r="L856" s="101">
        <v>45</v>
      </c>
      <c r="M856" s="101">
        <v>49</v>
      </c>
      <c r="N856" s="101">
        <v>44</v>
      </c>
      <c r="O856" s="101">
        <v>41</v>
      </c>
      <c r="P856" s="101">
        <v>874</v>
      </c>
      <c r="Q856" s="101">
        <v>6789</v>
      </c>
      <c r="R856" s="12" t="s">
        <v>25</v>
      </c>
      <c r="S856" s="12" t="s">
        <v>25</v>
      </c>
      <c r="T856" s="12" t="s">
        <v>25</v>
      </c>
    </row>
    <row r="857" spans="1:20" x14ac:dyDescent="0.3">
      <c r="A857" s="13">
        <v>43925.708333333336</v>
      </c>
      <c r="B857" s="12" t="s">
        <v>22</v>
      </c>
      <c r="C857" s="101">
        <v>19</v>
      </c>
      <c r="D857" s="12" t="s">
        <v>56</v>
      </c>
      <c r="E857" s="101">
        <v>3811569725</v>
      </c>
      <c r="F857" s="101">
        <v>133623567</v>
      </c>
      <c r="G857" s="101">
        <v>553</v>
      </c>
      <c r="H857" s="101">
        <v>74</v>
      </c>
      <c r="I857" s="101">
        <v>627</v>
      </c>
      <c r="J857" s="101">
        <v>1099</v>
      </c>
      <c r="K857" s="101">
        <v>1726</v>
      </c>
      <c r="L857" s="101">
        <v>62</v>
      </c>
      <c r="M857" s="101">
        <v>73</v>
      </c>
      <c r="N857" s="101">
        <v>95</v>
      </c>
      <c r="O857" s="101">
        <v>111</v>
      </c>
      <c r="P857" s="101">
        <v>1932</v>
      </c>
      <c r="Q857" s="101">
        <v>19896</v>
      </c>
      <c r="R857" s="12" t="s">
        <v>25</v>
      </c>
      <c r="S857" s="12" t="s">
        <v>25</v>
      </c>
      <c r="T857" s="12" t="s">
        <v>25</v>
      </c>
    </row>
    <row r="858" spans="1:20" x14ac:dyDescent="0.3">
      <c r="A858" s="13">
        <v>43925.708333333336</v>
      </c>
      <c r="B858" s="12" t="s">
        <v>22</v>
      </c>
      <c r="C858" s="101">
        <v>9</v>
      </c>
      <c r="D858" s="12" t="s">
        <v>57</v>
      </c>
      <c r="E858" s="101">
        <v>4376923077</v>
      </c>
      <c r="F858" s="101">
        <v>1125588885</v>
      </c>
      <c r="G858" s="101">
        <v>1129</v>
      </c>
      <c r="H858" s="101">
        <v>286</v>
      </c>
      <c r="I858" s="101">
        <v>1415</v>
      </c>
      <c r="J858" s="101">
        <v>3639</v>
      </c>
      <c r="K858" s="101">
        <v>5054</v>
      </c>
      <c r="L858" s="101">
        <v>145</v>
      </c>
      <c r="M858" s="101">
        <v>172</v>
      </c>
      <c r="N858" s="101">
        <v>310</v>
      </c>
      <c r="O858" s="101">
        <v>307</v>
      </c>
      <c r="P858" s="101">
        <v>5671</v>
      </c>
      <c r="Q858" s="101">
        <v>47886</v>
      </c>
      <c r="R858" s="12" t="s">
        <v>25</v>
      </c>
      <c r="S858" s="12" t="s">
        <v>25</v>
      </c>
      <c r="T858" s="12" t="s">
        <v>25</v>
      </c>
    </row>
    <row r="859" spans="1:20" x14ac:dyDescent="0.3">
      <c r="A859" s="13">
        <v>43925.708333333336</v>
      </c>
      <c r="B859" s="12" t="s">
        <v>22</v>
      </c>
      <c r="C859" s="101">
        <v>4</v>
      </c>
      <c r="D859" s="12" t="s">
        <v>58</v>
      </c>
      <c r="E859" s="101">
        <v>4606893511</v>
      </c>
      <c r="F859" s="101">
        <v>1112123097</v>
      </c>
      <c r="G859" s="101">
        <v>353</v>
      </c>
      <c r="H859" s="101">
        <v>81</v>
      </c>
      <c r="I859" s="101">
        <v>434</v>
      </c>
      <c r="J859" s="101">
        <v>1319</v>
      </c>
      <c r="K859" s="101">
        <v>1753</v>
      </c>
      <c r="L859" s="101">
        <v>94</v>
      </c>
      <c r="M859" s="101">
        <v>111</v>
      </c>
      <c r="N859" s="101">
        <v>257</v>
      </c>
      <c r="O859" s="101">
        <v>210</v>
      </c>
      <c r="P859" s="101">
        <v>2220</v>
      </c>
      <c r="Q859" s="101">
        <v>9863</v>
      </c>
      <c r="R859" s="12" t="s">
        <v>25</v>
      </c>
      <c r="S859" s="12" t="s">
        <v>25</v>
      </c>
      <c r="T859" s="12" t="s">
        <v>25</v>
      </c>
    </row>
    <row r="860" spans="1:20" x14ac:dyDescent="0.3">
      <c r="A860" s="13">
        <v>43925.708333333336</v>
      </c>
      <c r="B860" s="12" t="s">
        <v>22</v>
      </c>
      <c r="C860" s="101">
        <v>10</v>
      </c>
      <c r="D860" s="12" t="s">
        <v>59</v>
      </c>
      <c r="E860" s="101">
        <v>4310675841</v>
      </c>
      <c r="F860" s="101">
        <v>1238824698</v>
      </c>
      <c r="G860" s="101">
        <v>167</v>
      </c>
      <c r="H860" s="101">
        <v>44</v>
      </c>
      <c r="I860" s="101">
        <v>211</v>
      </c>
      <c r="J860" s="101">
        <v>716</v>
      </c>
      <c r="K860" s="101">
        <v>927</v>
      </c>
      <c r="L860" s="101">
        <v>7</v>
      </c>
      <c r="M860" s="101">
        <v>31</v>
      </c>
      <c r="N860" s="101">
        <v>242</v>
      </c>
      <c r="O860" s="101">
        <v>41</v>
      </c>
      <c r="P860" s="101">
        <v>1210</v>
      </c>
      <c r="Q860" s="101">
        <v>11809</v>
      </c>
      <c r="R860" s="12" t="s">
        <v>25</v>
      </c>
      <c r="S860" s="12" t="s">
        <v>25</v>
      </c>
      <c r="T860" s="12" t="s">
        <v>25</v>
      </c>
    </row>
    <row r="861" spans="1:20" x14ac:dyDescent="0.3">
      <c r="A861" s="13">
        <v>43925.708333333336</v>
      </c>
      <c r="B861" s="12" t="s">
        <v>22</v>
      </c>
      <c r="C861" s="101">
        <v>2</v>
      </c>
      <c r="D861" s="12" t="s">
        <v>60</v>
      </c>
      <c r="E861" s="101">
        <v>4573750286</v>
      </c>
      <c r="F861" s="101">
        <v>7320149366</v>
      </c>
      <c r="G861" s="101">
        <v>63</v>
      </c>
      <c r="H861" s="101">
        <v>23</v>
      </c>
      <c r="I861" s="101">
        <v>86</v>
      </c>
      <c r="J861" s="101">
        <v>474</v>
      </c>
      <c r="K861" s="101">
        <v>560</v>
      </c>
      <c r="L861" s="101">
        <v>0</v>
      </c>
      <c r="M861" s="101">
        <v>29</v>
      </c>
      <c r="N861" s="101">
        <v>106</v>
      </c>
      <c r="O861" s="101">
        <v>82</v>
      </c>
      <c r="P861" s="101">
        <v>748</v>
      </c>
      <c r="Q861" s="101">
        <v>2274</v>
      </c>
      <c r="R861" s="12" t="s">
        <v>25</v>
      </c>
      <c r="S861" s="12" t="s">
        <v>25</v>
      </c>
      <c r="T861" s="12" t="s">
        <v>25</v>
      </c>
    </row>
    <row r="862" spans="1:20" x14ac:dyDescent="0.3">
      <c r="A862" s="13">
        <v>43925.708333333336</v>
      </c>
      <c r="B862" s="12" t="s">
        <v>22</v>
      </c>
      <c r="C862" s="101">
        <v>5</v>
      </c>
      <c r="D862" s="12" t="s">
        <v>61</v>
      </c>
      <c r="E862" s="101">
        <v>4543490485</v>
      </c>
      <c r="F862" s="101">
        <v>1233845213</v>
      </c>
      <c r="G862" s="101">
        <v>1691</v>
      </c>
      <c r="H862" s="101">
        <v>324</v>
      </c>
      <c r="I862" s="101">
        <v>2015</v>
      </c>
      <c r="J862" s="101">
        <v>7078</v>
      </c>
      <c r="K862" s="101">
        <v>9093</v>
      </c>
      <c r="L862" s="101">
        <v>232</v>
      </c>
      <c r="M862" s="101">
        <v>360</v>
      </c>
      <c r="N862" s="101">
        <v>1124</v>
      </c>
      <c r="O862" s="101">
        <v>607</v>
      </c>
      <c r="P862" s="101">
        <v>10824</v>
      </c>
      <c r="Q862" s="101">
        <v>133289</v>
      </c>
      <c r="R862" s="12" t="s">
        <v>25</v>
      </c>
      <c r="S862" s="12" t="s">
        <v>25</v>
      </c>
      <c r="T862" s="12" t="s">
        <v>25</v>
      </c>
    </row>
    <row r="863" spans="1:20" x14ac:dyDescent="0.3">
      <c r="A863" s="13">
        <v>43926.708333333336</v>
      </c>
      <c r="B863" s="12" t="s">
        <v>22</v>
      </c>
      <c r="C863" s="101">
        <v>13</v>
      </c>
      <c r="D863" s="12" t="s">
        <v>42</v>
      </c>
      <c r="E863" s="101">
        <v>4235122196</v>
      </c>
      <c r="F863" s="101">
        <v>1339843823</v>
      </c>
      <c r="G863" s="101">
        <v>347</v>
      </c>
      <c r="H863" s="101">
        <v>67</v>
      </c>
      <c r="I863" s="101">
        <v>414</v>
      </c>
      <c r="J863" s="101">
        <v>1006</v>
      </c>
      <c r="K863" s="101">
        <v>1420</v>
      </c>
      <c r="L863" s="101">
        <v>64</v>
      </c>
      <c r="M863" s="101">
        <v>75</v>
      </c>
      <c r="N863" s="101">
        <v>125</v>
      </c>
      <c r="O863" s="101">
        <v>158</v>
      </c>
      <c r="P863" s="101">
        <v>1703</v>
      </c>
      <c r="Q863" s="101">
        <v>13598</v>
      </c>
      <c r="R863" s="12" t="s">
        <v>25</v>
      </c>
      <c r="S863" s="12" t="s">
        <v>25</v>
      </c>
      <c r="T863" s="12" t="s">
        <v>25</v>
      </c>
    </row>
    <row r="864" spans="1:20" x14ac:dyDescent="0.3">
      <c r="A864" s="13">
        <v>43926.708333333336</v>
      </c>
      <c r="B864" s="12" t="s">
        <v>22</v>
      </c>
      <c r="C864" s="101">
        <v>17</v>
      </c>
      <c r="D864" s="12" t="s">
        <v>43</v>
      </c>
      <c r="E864" s="101">
        <v>4063947052</v>
      </c>
      <c r="F864" s="101">
        <v>1580514834</v>
      </c>
      <c r="G864" s="101">
        <v>46</v>
      </c>
      <c r="H864" s="101">
        <v>18</v>
      </c>
      <c r="I864" s="101">
        <v>64</v>
      </c>
      <c r="J864" s="101">
        <v>190</v>
      </c>
      <c r="K864" s="101">
        <v>254</v>
      </c>
      <c r="L864" s="101">
        <v>10</v>
      </c>
      <c r="M864" s="101">
        <v>14</v>
      </c>
      <c r="N864" s="101">
        <v>11</v>
      </c>
      <c r="O864" s="101">
        <v>13</v>
      </c>
      <c r="P864" s="101">
        <v>278</v>
      </c>
      <c r="Q864" s="101">
        <v>2931</v>
      </c>
      <c r="R864" s="12" t="s">
        <v>25</v>
      </c>
      <c r="S864" s="12" t="s">
        <v>25</v>
      </c>
      <c r="T864" s="12" t="s">
        <v>25</v>
      </c>
    </row>
    <row r="865" spans="1:20" x14ac:dyDescent="0.3">
      <c r="A865" s="13">
        <v>43926.708333333336</v>
      </c>
      <c r="B865" s="12" t="s">
        <v>22</v>
      </c>
      <c r="C865" s="101">
        <v>4</v>
      </c>
      <c r="D865" s="12" t="s">
        <v>44</v>
      </c>
      <c r="E865" s="101">
        <v>4649933453</v>
      </c>
      <c r="F865" s="101">
        <v>1135662422</v>
      </c>
      <c r="G865" s="101">
        <v>239</v>
      </c>
      <c r="H865" s="101">
        <v>53</v>
      </c>
      <c r="I865" s="101">
        <v>292</v>
      </c>
      <c r="J865" s="101">
        <v>934</v>
      </c>
      <c r="K865" s="101">
        <v>1226</v>
      </c>
      <c r="L865" s="101">
        <v>25</v>
      </c>
      <c r="M865" s="101">
        <v>52</v>
      </c>
      <c r="N865" s="101">
        <v>260</v>
      </c>
      <c r="O865" s="101">
        <v>158</v>
      </c>
      <c r="P865" s="101">
        <v>1644</v>
      </c>
      <c r="Q865" s="101">
        <v>15723</v>
      </c>
      <c r="R865" s="12" t="s">
        <v>25</v>
      </c>
      <c r="S865" s="12" t="s">
        <v>25</v>
      </c>
      <c r="T865" s="12" t="s">
        <v>25</v>
      </c>
    </row>
    <row r="866" spans="1:20" x14ac:dyDescent="0.3">
      <c r="A866" s="13">
        <v>43926.708333333336</v>
      </c>
      <c r="B866" s="12" t="s">
        <v>22</v>
      </c>
      <c r="C866" s="101">
        <v>18</v>
      </c>
      <c r="D866" s="12" t="s">
        <v>45</v>
      </c>
      <c r="E866" s="101">
        <v>3890597598</v>
      </c>
      <c r="F866" s="101">
        <v>1659440194</v>
      </c>
      <c r="G866" s="101">
        <v>174</v>
      </c>
      <c r="H866" s="101">
        <v>13</v>
      </c>
      <c r="I866" s="101">
        <v>187</v>
      </c>
      <c r="J866" s="101">
        <v>519</v>
      </c>
      <c r="K866" s="101">
        <v>706</v>
      </c>
      <c r="L866" s="101">
        <v>44</v>
      </c>
      <c r="M866" s="101">
        <v>54</v>
      </c>
      <c r="N866" s="101">
        <v>33</v>
      </c>
      <c r="O866" s="101">
        <v>56</v>
      </c>
      <c r="P866" s="101">
        <v>795</v>
      </c>
      <c r="Q866" s="101">
        <v>13077</v>
      </c>
      <c r="R866" s="12" t="s">
        <v>25</v>
      </c>
      <c r="S866" s="12" t="s">
        <v>25</v>
      </c>
      <c r="T866" s="12" t="s">
        <v>25</v>
      </c>
    </row>
    <row r="867" spans="1:20" x14ac:dyDescent="0.3">
      <c r="A867" s="13">
        <v>43926.708333333336</v>
      </c>
      <c r="B867" s="12" t="s">
        <v>22</v>
      </c>
      <c r="C867" s="101">
        <v>15</v>
      </c>
      <c r="D867" s="12" t="s">
        <v>46</v>
      </c>
      <c r="E867" s="101">
        <v>4083956555</v>
      </c>
      <c r="F867" s="101">
        <v>1425084984</v>
      </c>
      <c r="G867" s="101">
        <v>609</v>
      </c>
      <c r="H867" s="101">
        <v>108</v>
      </c>
      <c r="I867" s="101">
        <v>717</v>
      </c>
      <c r="J867" s="101">
        <v>1904</v>
      </c>
      <c r="K867" s="101">
        <v>2621</v>
      </c>
      <c r="L867" s="101">
        <v>125</v>
      </c>
      <c r="M867" s="101">
        <v>132</v>
      </c>
      <c r="N867" s="101">
        <v>150</v>
      </c>
      <c r="O867" s="101">
        <v>189</v>
      </c>
      <c r="P867" s="101">
        <v>2960</v>
      </c>
      <c r="Q867" s="101">
        <v>23139</v>
      </c>
      <c r="R867" s="12" t="s">
        <v>25</v>
      </c>
      <c r="S867" s="12" t="s">
        <v>25</v>
      </c>
      <c r="T867" s="12" t="s">
        <v>25</v>
      </c>
    </row>
    <row r="868" spans="1:20" x14ac:dyDescent="0.3">
      <c r="A868" s="13">
        <v>43926.708333333336</v>
      </c>
      <c r="B868" s="12" t="s">
        <v>22</v>
      </c>
      <c r="C868" s="101">
        <v>8</v>
      </c>
      <c r="D868" s="12" t="s">
        <v>96</v>
      </c>
      <c r="E868" s="101">
        <v>4449436681</v>
      </c>
      <c r="F868" s="101">
        <v>113417208</v>
      </c>
      <c r="G868" s="101">
        <v>3839</v>
      </c>
      <c r="H868" s="101">
        <v>375</v>
      </c>
      <c r="I868" s="101">
        <v>4214</v>
      </c>
      <c r="J868" s="101">
        <v>8623</v>
      </c>
      <c r="K868" s="101">
        <v>12837</v>
      </c>
      <c r="L868" s="101">
        <v>314</v>
      </c>
      <c r="M868" s="101">
        <v>549</v>
      </c>
      <c r="N868" s="101">
        <v>2201</v>
      </c>
      <c r="O868" s="101">
        <v>2051</v>
      </c>
      <c r="P868" s="101">
        <v>17089</v>
      </c>
      <c r="Q868" s="101">
        <v>69986</v>
      </c>
      <c r="R868" s="12" t="s">
        <v>25</v>
      </c>
      <c r="S868" s="12" t="s">
        <v>25</v>
      </c>
      <c r="T868" s="12" t="s">
        <v>25</v>
      </c>
    </row>
    <row r="869" spans="1:20" x14ac:dyDescent="0.3">
      <c r="A869" s="13">
        <v>43926.708333333336</v>
      </c>
      <c r="B869" s="12" t="s">
        <v>22</v>
      </c>
      <c r="C869" s="101">
        <v>6</v>
      </c>
      <c r="D869" s="12" t="s">
        <v>47</v>
      </c>
      <c r="E869" s="101">
        <v>456494354</v>
      </c>
      <c r="F869" s="101">
        <v>1376813649</v>
      </c>
      <c r="G869" s="101">
        <v>185</v>
      </c>
      <c r="H869" s="101">
        <v>50</v>
      </c>
      <c r="I869" s="101">
        <v>235</v>
      </c>
      <c r="J869" s="101">
        <v>1128</v>
      </c>
      <c r="K869" s="101">
        <v>1363</v>
      </c>
      <c r="L869" s="101">
        <v>27</v>
      </c>
      <c r="M869" s="101">
        <v>62</v>
      </c>
      <c r="N869" s="101">
        <v>531</v>
      </c>
      <c r="O869" s="101">
        <v>154</v>
      </c>
      <c r="P869" s="101">
        <v>2048</v>
      </c>
      <c r="Q869" s="101">
        <v>21652</v>
      </c>
      <c r="R869" s="12" t="s">
        <v>25</v>
      </c>
      <c r="S869" s="12" t="s">
        <v>25</v>
      </c>
      <c r="T869" s="12" t="s">
        <v>25</v>
      </c>
    </row>
    <row r="870" spans="1:20" x14ac:dyDescent="0.3">
      <c r="A870" s="13">
        <v>43926.708333333336</v>
      </c>
      <c r="B870" s="12" t="s">
        <v>22</v>
      </c>
      <c r="C870" s="101">
        <v>12</v>
      </c>
      <c r="D870" s="12" t="s">
        <v>48</v>
      </c>
      <c r="E870" s="101">
        <v>4189277044</v>
      </c>
      <c r="F870" s="101">
        <v>1248366722</v>
      </c>
      <c r="G870" s="101">
        <v>1235</v>
      </c>
      <c r="H870" s="101">
        <v>197</v>
      </c>
      <c r="I870" s="101">
        <v>1432</v>
      </c>
      <c r="J870" s="101">
        <v>1754</v>
      </c>
      <c r="K870" s="101">
        <v>3186</v>
      </c>
      <c r="L870" s="101">
        <v>80</v>
      </c>
      <c r="M870" s="101">
        <v>123</v>
      </c>
      <c r="N870" s="101">
        <v>475</v>
      </c>
      <c r="O870" s="101">
        <v>219</v>
      </c>
      <c r="P870" s="101">
        <v>3880</v>
      </c>
      <c r="Q870" s="101">
        <v>44658</v>
      </c>
      <c r="R870" s="12" t="s">
        <v>25</v>
      </c>
      <c r="S870" s="12" t="s">
        <v>25</v>
      </c>
      <c r="T870" s="12" t="s">
        <v>25</v>
      </c>
    </row>
    <row r="871" spans="1:20" x14ac:dyDescent="0.3">
      <c r="A871" s="13">
        <v>43926.708333333336</v>
      </c>
      <c r="B871" s="12" t="s">
        <v>22</v>
      </c>
      <c r="C871" s="101">
        <v>7</v>
      </c>
      <c r="D871" s="12" t="s">
        <v>49</v>
      </c>
      <c r="E871" s="101">
        <v>4441149315</v>
      </c>
      <c r="F871" s="101">
        <v>89326992</v>
      </c>
      <c r="G871" s="101">
        <v>1126</v>
      </c>
      <c r="H871" s="101">
        <v>165</v>
      </c>
      <c r="I871" s="101">
        <v>1291</v>
      </c>
      <c r="J871" s="101">
        <v>1802</v>
      </c>
      <c r="K871" s="101">
        <v>3093</v>
      </c>
      <c r="L871" s="101">
        <v>199</v>
      </c>
      <c r="M871" s="101">
        <v>246</v>
      </c>
      <c r="N871" s="101">
        <v>800</v>
      </c>
      <c r="O871" s="101">
        <v>556</v>
      </c>
      <c r="P871" s="101">
        <v>4449</v>
      </c>
      <c r="Q871" s="101">
        <v>15047</v>
      </c>
      <c r="R871" s="12" t="s">
        <v>25</v>
      </c>
      <c r="S871" s="12" t="s">
        <v>25</v>
      </c>
      <c r="T871" s="12" t="s">
        <v>25</v>
      </c>
    </row>
    <row r="872" spans="1:20" x14ac:dyDescent="0.3">
      <c r="A872" s="13">
        <v>43926.708333333336</v>
      </c>
      <c r="B872" s="12" t="s">
        <v>22</v>
      </c>
      <c r="C872" s="101">
        <v>3</v>
      </c>
      <c r="D872" s="12" t="s">
        <v>50</v>
      </c>
      <c r="E872" s="101">
        <v>4546679409</v>
      </c>
      <c r="F872" s="101">
        <v>9190347404</v>
      </c>
      <c r="G872" s="101">
        <v>12009</v>
      </c>
      <c r="H872" s="101">
        <v>1317</v>
      </c>
      <c r="I872" s="101">
        <v>13326</v>
      </c>
      <c r="J872" s="101">
        <v>14798</v>
      </c>
      <c r="K872" s="101">
        <v>28124</v>
      </c>
      <c r="L872" s="101">
        <v>904</v>
      </c>
      <c r="M872" s="101">
        <v>1337</v>
      </c>
      <c r="N872" s="101">
        <v>13426</v>
      </c>
      <c r="O872" s="101">
        <v>8905</v>
      </c>
      <c r="P872" s="101">
        <v>50455</v>
      </c>
      <c r="Q872" s="101">
        <v>149984</v>
      </c>
      <c r="R872" s="12" t="s">
        <v>25</v>
      </c>
      <c r="S872" s="12" t="s">
        <v>25</v>
      </c>
      <c r="T872" s="12" t="s">
        <v>25</v>
      </c>
    </row>
    <row r="873" spans="1:20" x14ac:dyDescent="0.3">
      <c r="A873" s="13">
        <v>43926.708333333336</v>
      </c>
      <c r="B873" s="12" t="s">
        <v>22</v>
      </c>
      <c r="C873" s="101">
        <v>11</v>
      </c>
      <c r="D873" s="12" t="s">
        <v>51</v>
      </c>
      <c r="E873" s="101">
        <v>4361675973</v>
      </c>
      <c r="F873" s="101">
        <v>135188753</v>
      </c>
      <c r="G873" s="101">
        <v>987</v>
      </c>
      <c r="H873" s="101">
        <v>151</v>
      </c>
      <c r="I873" s="101">
        <v>1138</v>
      </c>
      <c r="J873" s="101">
        <v>2440</v>
      </c>
      <c r="K873" s="101">
        <v>3578</v>
      </c>
      <c r="L873" s="101">
        <v>81</v>
      </c>
      <c r="M873" s="101">
        <v>123</v>
      </c>
      <c r="N873" s="101">
        <v>287</v>
      </c>
      <c r="O873" s="101">
        <v>599</v>
      </c>
      <c r="P873" s="101">
        <v>4464</v>
      </c>
      <c r="Q873" s="101">
        <v>15252</v>
      </c>
      <c r="R873" s="12" t="s">
        <v>25</v>
      </c>
      <c r="S873" s="12" t="s">
        <v>25</v>
      </c>
      <c r="T873" s="12" t="s">
        <v>25</v>
      </c>
    </row>
    <row r="874" spans="1:20" x14ac:dyDescent="0.3">
      <c r="A874" s="13">
        <v>43926.708333333336</v>
      </c>
      <c r="B874" s="12" t="s">
        <v>22</v>
      </c>
      <c r="C874" s="101">
        <v>14</v>
      </c>
      <c r="D874" s="12" t="s">
        <v>52</v>
      </c>
      <c r="E874" s="101">
        <v>4155774754</v>
      </c>
      <c r="F874" s="101">
        <v>1465916051</v>
      </c>
      <c r="G874" s="101">
        <v>33</v>
      </c>
      <c r="H874" s="101">
        <v>6</v>
      </c>
      <c r="I874" s="101">
        <v>39</v>
      </c>
      <c r="J874" s="101">
        <v>148</v>
      </c>
      <c r="K874" s="101">
        <v>187</v>
      </c>
      <c r="L874" s="101">
        <v>16</v>
      </c>
      <c r="M874" s="101">
        <v>18</v>
      </c>
      <c r="N874" s="101">
        <v>24</v>
      </c>
      <c r="O874" s="101">
        <v>13</v>
      </c>
      <c r="P874" s="101">
        <v>224</v>
      </c>
      <c r="Q874" s="101">
        <v>1504</v>
      </c>
      <c r="R874" s="12" t="s">
        <v>25</v>
      </c>
      <c r="S874" s="12" t="s">
        <v>25</v>
      </c>
      <c r="T874" s="12" t="s">
        <v>25</v>
      </c>
    </row>
    <row r="875" spans="1:20" x14ac:dyDescent="0.3">
      <c r="A875" s="13">
        <v>43926.708333333336</v>
      </c>
      <c r="B875" s="12" t="s">
        <v>22</v>
      </c>
      <c r="C875" s="101">
        <v>1</v>
      </c>
      <c r="D875" s="12" t="s">
        <v>53</v>
      </c>
      <c r="E875" s="101">
        <v>450732745</v>
      </c>
      <c r="F875" s="101">
        <v>7680687483</v>
      </c>
      <c r="G875" s="101">
        <v>3472</v>
      </c>
      <c r="H875" s="101">
        <v>444</v>
      </c>
      <c r="I875" s="101">
        <v>3916</v>
      </c>
      <c r="J875" s="101">
        <v>6261</v>
      </c>
      <c r="K875" s="101">
        <v>10177</v>
      </c>
      <c r="L875" s="101">
        <v>484</v>
      </c>
      <c r="M875" s="101">
        <v>653</v>
      </c>
      <c r="N875" s="101">
        <v>1017</v>
      </c>
      <c r="O875" s="101">
        <v>1168</v>
      </c>
      <c r="P875" s="101">
        <v>12362</v>
      </c>
      <c r="Q875" s="101">
        <v>38539</v>
      </c>
      <c r="R875" s="12" t="s">
        <v>25</v>
      </c>
      <c r="S875" s="12" t="s">
        <v>25</v>
      </c>
      <c r="T875" s="12" t="s">
        <v>25</v>
      </c>
    </row>
    <row r="876" spans="1:20" x14ac:dyDescent="0.3">
      <c r="A876" s="13">
        <v>43926.708333333336</v>
      </c>
      <c r="B876" s="12" t="s">
        <v>22</v>
      </c>
      <c r="C876" s="101">
        <v>16</v>
      </c>
      <c r="D876" s="12" t="s">
        <v>54</v>
      </c>
      <c r="E876" s="101">
        <v>4112559576</v>
      </c>
      <c r="F876" s="101">
        <v>1686736689</v>
      </c>
      <c r="G876" s="101">
        <v>574</v>
      </c>
      <c r="H876" s="101">
        <v>159</v>
      </c>
      <c r="I876" s="101">
        <v>733</v>
      </c>
      <c r="J876" s="101">
        <v>1289</v>
      </c>
      <c r="K876" s="101">
        <v>2022</v>
      </c>
      <c r="L876" s="101">
        <v>49</v>
      </c>
      <c r="M876" s="101">
        <v>77</v>
      </c>
      <c r="N876" s="101">
        <v>113</v>
      </c>
      <c r="O876" s="101">
        <v>182</v>
      </c>
      <c r="P876" s="101">
        <v>2317</v>
      </c>
      <c r="Q876" s="101">
        <v>20080</v>
      </c>
      <c r="R876" s="12" t="s">
        <v>25</v>
      </c>
      <c r="S876" s="12" t="s">
        <v>25</v>
      </c>
      <c r="T876" s="12" t="s">
        <v>25</v>
      </c>
    </row>
    <row r="877" spans="1:20" x14ac:dyDescent="0.3">
      <c r="A877" s="13">
        <v>43926.708333333336</v>
      </c>
      <c r="B877" s="12" t="s">
        <v>22</v>
      </c>
      <c r="C877" s="101">
        <v>20</v>
      </c>
      <c r="D877" s="12" t="s">
        <v>55</v>
      </c>
      <c r="E877" s="101">
        <v>3921531192</v>
      </c>
      <c r="F877" s="101">
        <v>9110616306</v>
      </c>
      <c r="G877" s="101">
        <v>126</v>
      </c>
      <c r="H877" s="101">
        <v>25</v>
      </c>
      <c r="I877" s="101">
        <v>151</v>
      </c>
      <c r="J877" s="101">
        <v>664</v>
      </c>
      <c r="K877" s="101">
        <v>815</v>
      </c>
      <c r="L877" s="101">
        <v>26</v>
      </c>
      <c r="M877" s="101">
        <v>33</v>
      </c>
      <c r="N877" s="101">
        <v>49</v>
      </c>
      <c r="O877" s="101">
        <v>43</v>
      </c>
      <c r="P877" s="101">
        <v>907</v>
      </c>
      <c r="Q877" s="101">
        <v>7157</v>
      </c>
      <c r="R877" s="12" t="s">
        <v>25</v>
      </c>
      <c r="S877" s="12" t="s">
        <v>25</v>
      </c>
      <c r="T877" s="12" t="s">
        <v>25</v>
      </c>
    </row>
    <row r="878" spans="1:20" x14ac:dyDescent="0.3">
      <c r="A878" s="13">
        <v>43926.708333333336</v>
      </c>
      <c r="B878" s="12" t="s">
        <v>22</v>
      </c>
      <c r="C878" s="101">
        <v>19</v>
      </c>
      <c r="D878" s="12" t="s">
        <v>56</v>
      </c>
      <c r="E878" s="101">
        <v>3811569725</v>
      </c>
      <c r="F878" s="101">
        <v>133623567</v>
      </c>
      <c r="G878" s="101">
        <v>556</v>
      </c>
      <c r="H878" s="101">
        <v>76</v>
      </c>
      <c r="I878" s="101">
        <v>632</v>
      </c>
      <c r="J878" s="101">
        <v>1142</v>
      </c>
      <c r="K878" s="101">
        <v>1774</v>
      </c>
      <c r="L878" s="101">
        <v>48</v>
      </c>
      <c r="M878" s="101">
        <v>62</v>
      </c>
      <c r="N878" s="101">
        <v>104</v>
      </c>
      <c r="O878" s="101">
        <v>116</v>
      </c>
      <c r="P878" s="101">
        <v>1994</v>
      </c>
      <c r="Q878" s="101">
        <v>21904</v>
      </c>
      <c r="R878" s="12" t="s">
        <v>25</v>
      </c>
      <c r="S878" s="12" t="s">
        <v>25</v>
      </c>
      <c r="T878" s="12" t="s">
        <v>25</v>
      </c>
    </row>
    <row r="879" spans="1:20" x14ac:dyDescent="0.3">
      <c r="A879" s="13">
        <v>43926.708333333336</v>
      </c>
      <c r="B879" s="12" t="s">
        <v>22</v>
      </c>
      <c r="C879" s="101">
        <v>9</v>
      </c>
      <c r="D879" s="12" t="s">
        <v>57</v>
      </c>
      <c r="E879" s="101">
        <v>4376923077</v>
      </c>
      <c r="F879" s="101">
        <v>1125588885</v>
      </c>
      <c r="G879" s="101">
        <v>1111</v>
      </c>
      <c r="H879" s="101">
        <v>276</v>
      </c>
      <c r="I879" s="101">
        <v>1387</v>
      </c>
      <c r="J879" s="101">
        <v>3798</v>
      </c>
      <c r="K879" s="101">
        <v>5185</v>
      </c>
      <c r="L879" s="101">
        <v>131</v>
      </c>
      <c r="M879" s="101">
        <v>176</v>
      </c>
      <c r="N879" s="101">
        <v>337</v>
      </c>
      <c r="O879" s="101">
        <v>325</v>
      </c>
      <c r="P879" s="101">
        <v>5847</v>
      </c>
      <c r="Q879" s="101">
        <v>51006</v>
      </c>
      <c r="R879" s="12" t="s">
        <v>25</v>
      </c>
      <c r="S879" s="12" t="s">
        <v>25</v>
      </c>
      <c r="T879" s="12" t="s">
        <v>25</v>
      </c>
    </row>
    <row r="880" spans="1:20" x14ac:dyDescent="0.3">
      <c r="A880" s="13">
        <v>43926.708333333336</v>
      </c>
      <c r="B880" s="12" t="s">
        <v>22</v>
      </c>
      <c r="C880" s="101">
        <v>4</v>
      </c>
      <c r="D880" s="12" t="s">
        <v>58</v>
      </c>
      <c r="E880" s="101">
        <v>4606893511</v>
      </c>
      <c r="F880" s="101">
        <v>1112123097</v>
      </c>
      <c r="G880" s="101">
        <v>352</v>
      </c>
      <c r="H880" s="101">
        <v>80</v>
      </c>
      <c r="I880" s="101">
        <v>432</v>
      </c>
      <c r="J880" s="101">
        <v>1363</v>
      </c>
      <c r="K880" s="101">
        <v>1795</v>
      </c>
      <c r="L880" s="101">
        <v>42</v>
      </c>
      <c r="M880" s="101">
        <v>65</v>
      </c>
      <c r="N880" s="101">
        <v>273</v>
      </c>
      <c r="O880" s="101">
        <v>217</v>
      </c>
      <c r="P880" s="101">
        <v>2285</v>
      </c>
      <c r="Q880" s="101">
        <v>10476</v>
      </c>
      <c r="R880" s="12" t="s">
        <v>25</v>
      </c>
      <c r="S880" s="12" t="s">
        <v>25</v>
      </c>
      <c r="T880" s="12" t="s">
        <v>25</v>
      </c>
    </row>
    <row r="881" spans="1:20" x14ac:dyDescent="0.3">
      <c r="A881" s="13">
        <v>43926.708333333336</v>
      </c>
      <c r="B881" s="12" t="s">
        <v>22</v>
      </c>
      <c r="C881" s="101">
        <v>10</v>
      </c>
      <c r="D881" s="12" t="s">
        <v>59</v>
      </c>
      <c r="E881" s="101">
        <v>4310675841</v>
      </c>
      <c r="F881" s="101">
        <v>1238824698</v>
      </c>
      <c r="G881" s="101">
        <v>159</v>
      </c>
      <c r="H881" s="101">
        <v>45</v>
      </c>
      <c r="I881" s="101">
        <v>204</v>
      </c>
      <c r="J881" s="101">
        <v>694</v>
      </c>
      <c r="K881" s="101">
        <v>898</v>
      </c>
      <c r="L881" s="101">
        <v>-29</v>
      </c>
      <c r="M881" s="101">
        <v>29</v>
      </c>
      <c r="N881" s="101">
        <v>298</v>
      </c>
      <c r="O881" s="101">
        <v>43</v>
      </c>
      <c r="P881" s="101">
        <v>1239</v>
      </c>
      <c r="Q881" s="101">
        <v>12448</v>
      </c>
      <c r="R881" s="12" t="s">
        <v>25</v>
      </c>
      <c r="S881" s="12" t="s">
        <v>25</v>
      </c>
      <c r="T881" s="12" t="s">
        <v>25</v>
      </c>
    </row>
    <row r="882" spans="1:20" x14ac:dyDescent="0.3">
      <c r="A882" s="13">
        <v>43926.708333333336</v>
      </c>
      <c r="B882" s="12" t="s">
        <v>22</v>
      </c>
      <c r="C882" s="101">
        <v>2</v>
      </c>
      <c r="D882" s="12" t="s">
        <v>60</v>
      </c>
      <c r="E882" s="101">
        <v>4573750286</v>
      </c>
      <c r="F882" s="101">
        <v>7320149366</v>
      </c>
      <c r="G882" s="101">
        <v>96</v>
      </c>
      <c r="H882" s="101">
        <v>23</v>
      </c>
      <c r="I882" s="101">
        <v>119</v>
      </c>
      <c r="J882" s="101">
        <v>457</v>
      </c>
      <c r="K882" s="101">
        <v>576</v>
      </c>
      <c r="L882" s="101">
        <v>16</v>
      </c>
      <c r="M882" s="101">
        <v>34</v>
      </c>
      <c r="N882" s="101">
        <v>115</v>
      </c>
      <c r="O882" s="101">
        <v>91</v>
      </c>
      <c r="P882" s="101">
        <v>782</v>
      </c>
      <c r="Q882" s="101">
        <v>2390</v>
      </c>
      <c r="R882" s="12" t="s">
        <v>25</v>
      </c>
      <c r="S882" s="12" t="s">
        <v>25</v>
      </c>
      <c r="T882" s="12" t="s">
        <v>25</v>
      </c>
    </row>
    <row r="883" spans="1:20" x14ac:dyDescent="0.3">
      <c r="A883" s="13">
        <v>43926.708333333336</v>
      </c>
      <c r="B883" s="12" t="s">
        <v>22</v>
      </c>
      <c r="C883" s="101">
        <v>5</v>
      </c>
      <c r="D883" s="12" t="s">
        <v>61</v>
      </c>
      <c r="E883" s="101">
        <v>4543490485</v>
      </c>
      <c r="F883" s="101">
        <v>1233845213</v>
      </c>
      <c r="G883" s="101">
        <v>1674</v>
      </c>
      <c r="H883" s="101">
        <v>329</v>
      </c>
      <c r="I883" s="101">
        <v>2003</v>
      </c>
      <c r="J883" s="101">
        <v>7406</v>
      </c>
      <c r="K883" s="101">
        <v>9409</v>
      </c>
      <c r="L883" s="101">
        <v>316</v>
      </c>
      <c r="M883" s="101">
        <v>402</v>
      </c>
      <c r="N883" s="101">
        <v>1186</v>
      </c>
      <c r="O883" s="101">
        <v>631</v>
      </c>
      <c r="P883" s="101">
        <v>11226</v>
      </c>
      <c r="Q883" s="101">
        <v>140910</v>
      </c>
      <c r="R883" s="12" t="s">
        <v>25</v>
      </c>
      <c r="S883" s="12" t="s">
        <v>25</v>
      </c>
      <c r="T883" s="12" t="s">
        <v>25</v>
      </c>
    </row>
    <row r="884" spans="1:20" x14ac:dyDescent="0.3">
      <c r="A884" s="13">
        <v>43927.708333333336</v>
      </c>
      <c r="B884" s="12" t="s">
        <v>22</v>
      </c>
      <c r="C884" s="101">
        <v>13</v>
      </c>
      <c r="D884" s="12" t="s">
        <v>42</v>
      </c>
      <c r="E884" s="101">
        <v>4235122196</v>
      </c>
      <c r="F884" s="101">
        <v>1339843823</v>
      </c>
      <c r="G884" s="101">
        <v>340</v>
      </c>
      <c r="H884" s="101">
        <v>66</v>
      </c>
      <c r="I884" s="101">
        <v>406</v>
      </c>
      <c r="J884" s="101">
        <v>1019</v>
      </c>
      <c r="K884" s="101">
        <v>1425</v>
      </c>
      <c r="L884" s="101">
        <v>5</v>
      </c>
      <c r="M884" s="101">
        <v>18</v>
      </c>
      <c r="N884" s="101">
        <v>127</v>
      </c>
      <c r="O884" s="101">
        <v>169</v>
      </c>
      <c r="P884" s="101">
        <v>1721</v>
      </c>
      <c r="Q884" s="101">
        <v>14198</v>
      </c>
      <c r="R884" s="12" t="s">
        <v>25</v>
      </c>
      <c r="S884" s="12" t="s">
        <v>25</v>
      </c>
      <c r="T884" s="12" t="s">
        <v>25</v>
      </c>
    </row>
    <row r="885" spans="1:20" x14ac:dyDescent="0.3">
      <c r="A885" s="13">
        <v>43927.708333333336</v>
      </c>
      <c r="B885" s="12" t="s">
        <v>22</v>
      </c>
      <c r="C885" s="101">
        <v>17</v>
      </c>
      <c r="D885" s="12" t="s">
        <v>43</v>
      </c>
      <c r="E885" s="101">
        <v>4063947052</v>
      </c>
      <c r="F885" s="101">
        <v>1580514834</v>
      </c>
      <c r="G885" s="101">
        <v>46</v>
      </c>
      <c r="H885" s="101">
        <v>18</v>
      </c>
      <c r="I885" s="101">
        <v>64</v>
      </c>
      <c r="J885" s="101">
        <v>198</v>
      </c>
      <c r="K885" s="101">
        <v>262</v>
      </c>
      <c r="L885" s="101">
        <v>8</v>
      </c>
      <c r="M885" s="101">
        <v>9</v>
      </c>
      <c r="N885" s="101">
        <v>12</v>
      </c>
      <c r="O885" s="101">
        <v>13</v>
      </c>
      <c r="P885" s="101">
        <v>287</v>
      </c>
      <c r="Q885" s="101">
        <v>3061</v>
      </c>
      <c r="R885" s="12" t="s">
        <v>25</v>
      </c>
      <c r="S885" s="12" t="s">
        <v>25</v>
      </c>
      <c r="T885" s="12" t="s">
        <v>25</v>
      </c>
    </row>
    <row r="886" spans="1:20" x14ac:dyDescent="0.3">
      <c r="A886" s="13">
        <v>43927.708333333336</v>
      </c>
      <c r="B886" s="12" t="s">
        <v>22</v>
      </c>
      <c r="C886" s="101">
        <v>4</v>
      </c>
      <c r="D886" s="12" t="s">
        <v>44</v>
      </c>
      <c r="E886" s="101">
        <v>4649933453</v>
      </c>
      <c r="F886" s="101">
        <v>1135662422</v>
      </c>
      <c r="G886" s="101">
        <v>245</v>
      </c>
      <c r="H886" s="101">
        <v>52</v>
      </c>
      <c r="I886" s="101">
        <v>297</v>
      </c>
      <c r="J886" s="101">
        <v>963</v>
      </c>
      <c r="K886" s="101">
        <v>1260</v>
      </c>
      <c r="L886" s="101">
        <v>34</v>
      </c>
      <c r="M886" s="101">
        <v>78</v>
      </c>
      <c r="N886" s="101">
        <v>298</v>
      </c>
      <c r="O886" s="101">
        <v>164</v>
      </c>
      <c r="P886" s="101">
        <v>1722</v>
      </c>
      <c r="Q886" s="101">
        <v>16825</v>
      </c>
      <c r="R886" s="12" t="s">
        <v>25</v>
      </c>
      <c r="S886" s="12" t="s">
        <v>25</v>
      </c>
      <c r="T886" s="12" t="s">
        <v>25</v>
      </c>
    </row>
    <row r="887" spans="1:20" x14ac:dyDescent="0.3">
      <c r="A887" s="13">
        <v>43927.708333333336</v>
      </c>
      <c r="B887" s="12" t="s">
        <v>22</v>
      </c>
      <c r="C887" s="101">
        <v>18</v>
      </c>
      <c r="D887" s="12" t="s">
        <v>45</v>
      </c>
      <c r="E887" s="101">
        <v>3890597598</v>
      </c>
      <c r="F887" s="101">
        <v>1659440194</v>
      </c>
      <c r="G887" s="101">
        <v>170</v>
      </c>
      <c r="H887" s="101">
        <v>14</v>
      </c>
      <c r="I887" s="101">
        <v>184</v>
      </c>
      <c r="J887" s="101">
        <v>538</v>
      </c>
      <c r="K887" s="101">
        <v>722</v>
      </c>
      <c r="L887" s="101">
        <v>16</v>
      </c>
      <c r="M887" s="101">
        <v>22</v>
      </c>
      <c r="N887" s="101">
        <v>37</v>
      </c>
      <c r="O887" s="101">
        <v>58</v>
      </c>
      <c r="P887" s="101">
        <v>817</v>
      </c>
      <c r="Q887" s="101">
        <v>13633</v>
      </c>
      <c r="R887" s="12" t="s">
        <v>25</v>
      </c>
      <c r="S887" s="12" t="s">
        <v>25</v>
      </c>
      <c r="T887" s="12" t="s">
        <v>25</v>
      </c>
    </row>
    <row r="888" spans="1:20" x14ac:dyDescent="0.3">
      <c r="A888" s="13">
        <v>43927.708333333336</v>
      </c>
      <c r="B888" s="12" t="s">
        <v>22</v>
      </c>
      <c r="C888" s="101">
        <v>15</v>
      </c>
      <c r="D888" s="12" t="s">
        <v>46</v>
      </c>
      <c r="E888" s="101">
        <v>4083956555</v>
      </c>
      <c r="F888" s="101">
        <v>1425084984</v>
      </c>
      <c r="G888" s="101">
        <v>610</v>
      </c>
      <c r="H888" s="101">
        <v>101</v>
      </c>
      <c r="I888" s="101">
        <v>711</v>
      </c>
      <c r="J888" s="101">
        <v>1987</v>
      </c>
      <c r="K888" s="101">
        <v>2698</v>
      </c>
      <c r="L888" s="101">
        <v>77</v>
      </c>
      <c r="M888" s="101">
        <v>98</v>
      </c>
      <c r="N888" s="101">
        <v>156</v>
      </c>
      <c r="O888" s="101">
        <v>204</v>
      </c>
      <c r="P888" s="101">
        <v>3058</v>
      </c>
      <c r="Q888" s="101">
        <v>24526</v>
      </c>
      <c r="R888" s="12" t="s">
        <v>25</v>
      </c>
      <c r="S888" s="12" t="s">
        <v>25</v>
      </c>
      <c r="T888" s="12" t="s">
        <v>25</v>
      </c>
    </row>
    <row r="889" spans="1:20" x14ac:dyDescent="0.3">
      <c r="A889" s="13">
        <v>43927.708333333336</v>
      </c>
      <c r="B889" s="12" t="s">
        <v>22</v>
      </c>
      <c r="C889" s="101">
        <v>8</v>
      </c>
      <c r="D889" s="12" t="s">
        <v>96</v>
      </c>
      <c r="E889" s="101">
        <v>4449436681</v>
      </c>
      <c r="F889" s="101">
        <v>113417208</v>
      </c>
      <c r="G889" s="101">
        <v>3804</v>
      </c>
      <c r="H889" s="101">
        <v>372</v>
      </c>
      <c r="I889" s="101">
        <v>4176</v>
      </c>
      <c r="J889" s="101">
        <v>8875</v>
      </c>
      <c r="K889" s="101">
        <v>13051</v>
      </c>
      <c r="L889" s="101">
        <v>214</v>
      </c>
      <c r="M889" s="101">
        <v>467</v>
      </c>
      <c r="N889" s="101">
        <v>2397</v>
      </c>
      <c r="O889" s="101">
        <v>2108</v>
      </c>
      <c r="P889" s="101">
        <v>17556</v>
      </c>
      <c r="Q889" s="101">
        <v>72163</v>
      </c>
      <c r="R889" s="12" t="s">
        <v>25</v>
      </c>
      <c r="S889" s="12" t="s">
        <v>25</v>
      </c>
      <c r="T889" s="12" t="s">
        <v>25</v>
      </c>
    </row>
    <row r="890" spans="1:20" x14ac:dyDescent="0.3">
      <c r="A890" s="13">
        <v>43927.708333333336</v>
      </c>
      <c r="B890" s="12" t="s">
        <v>22</v>
      </c>
      <c r="C890" s="101">
        <v>6</v>
      </c>
      <c r="D890" s="12" t="s">
        <v>47</v>
      </c>
      <c r="E890" s="101">
        <v>456494354</v>
      </c>
      <c r="F890" s="101">
        <v>1376813649</v>
      </c>
      <c r="G890" s="101">
        <v>189</v>
      </c>
      <c r="H890" s="101">
        <v>46</v>
      </c>
      <c r="I890" s="101">
        <v>235</v>
      </c>
      <c r="J890" s="101">
        <v>1161</v>
      </c>
      <c r="K890" s="101">
        <v>1396</v>
      </c>
      <c r="L890" s="101">
        <v>33</v>
      </c>
      <c r="M890" s="101">
        <v>55</v>
      </c>
      <c r="N890" s="101">
        <v>549</v>
      </c>
      <c r="O890" s="101">
        <v>158</v>
      </c>
      <c r="P890" s="101">
        <v>2103</v>
      </c>
      <c r="Q890" s="101">
        <v>22272</v>
      </c>
      <c r="R890" s="12" t="s">
        <v>25</v>
      </c>
      <c r="S890" s="12" t="s">
        <v>25</v>
      </c>
      <c r="T890" s="12" t="s">
        <v>25</v>
      </c>
    </row>
    <row r="891" spans="1:20" x14ac:dyDescent="0.3">
      <c r="A891" s="13">
        <v>43927.708333333336</v>
      </c>
      <c r="B891" s="12" t="s">
        <v>22</v>
      </c>
      <c r="C891" s="101">
        <v>12</v>
      </c>
      <c r="D891" s="12" t="s">
        <v>48</v>
      </c>
      <c r="E891" s="101">
        <v>4189277044</v>
      </c>
      <c r="F891" s="101">
        <v>1248366722</v>
      </c>
      <c r="G891" s="101">
        <v>1235</v>
      </c>
      <c r="H891" s="101">
        <v>197</v>
      </c>
      <c r="I891" s="101">
        <v>1432</v>
      </c>
      <c r="J891" s="101">
        <v>1868</v>
      </c>
      <c r="K891" s="101">
        <v>3300</v>
      </c>
      <c r="L891" s="101">
        <v>114</v>
      </c>
      <c r="M891" s="101">
        <v>151</v>
      </c>
      <c r="N891" s="101">
        <v>502</v>
      </c>
      <c r="O891" s="101">
        <v>229</v>
      </c>
      <c r="P891" s="101">
        <v>4031</v>
      </c>
      <c r="Q891" s="101">
        <v>47470</v>
      </c>
      <c r="R891" s="12" t="s">
        <v>25</v>
      </c>
      <c r="S891" s="12" t="s">
        <v>25</v>
      </c>
      <c r="T891" s="12" t="s">
        <v>25</v>
      </c>
    </row>
    <row r="892" spans="1:20" x14ac:dyDescent="0.3">
      <c r="A892" s="13">
        <v>43927.708333333336</v>
      </c>
      <c r="B892" s="12" t="s">
        <v>22</v>
      </c>
      <c r="C892" s="101">
        <v>7</v>
      </c>
      <c r="D892" s="12" t="s">
        <v>49</v>
      </c>
      <c r="E892" s="101">
        <v>4441149315</v>
      </c>
      <c r="F892" s="101">
        <v>89326992</v>
      </c>
      <c r="G892" s="101">
        <v>1141</v>
      </c>
      <c r="H892" s="101">
        <v>162</v>
      </c>
      <c r="I892" s="101">
        <v>1303</v>
      </c>
      <c r="J892" s="101">
        <v>1814</v>
      </c>
      <c r="K892" s="101">
        <v>3117</v>
      </c>
      <c r="L892" s="101">
        <v>24</v>
      </c>
      <c r="M892" s="101">
        <v>100</v>
      </c>
      <c r="N892" s="101">
        <v>837</v>
      </c>
      <c r="O892" s="101">
        <v>595</v>
      </c>
      <c r="P892" s="101">
        <v>4549</v>
      </c>
      <c r="Q892" s="101">
        <v>15533</v>
      </c>
      <c r="R892" s="12" t="s">
        <v>25</v>
      </c>
      <c r="S892" s="12" t="s">
        <v>25</v>
      </c>
      <c r="T892" s="12" t="s">
        <v>25</v>
      </c>
    </row>
    <row r="893" spans="1:20" x14ac:dyDescent="0.3">
      <c r="A893" s="13">
        <v>43927.708333333336</v>
      </c>
      <c r="B893" s="12" t="s">
        <v>22</v>
      </c>
      <c r="C893" s="101">
        <v>3</v>
      </c>
      <c r="D893" s="12" t="s">
        <v>50</v>
      </c>
      <c r="E893" s="101">
        <v>4546679409</v>
      </c>
      <c r="F893" s="101">
        <v>9190347404</v>
      </c>
      <c r="G893" s="101">
        <v>11914</v>
      </c>
      <c r="H893" s="101">
        <v>1343</v>
      </c>
      <c r="I893" s="101">
        <v>13257</v>
      </c>
      <c r="J893" s="101">
        <v>15212</v>
      </c>
      <c r="K893" s="101">
        <v>28469</v>
      </c>
      <c r="L893" s="101">
        <v>345</v>
      </c>
      <c r="M893" s="101">
        <v>1079</v>
      </c>
      <c r="N893" s="101">
        <v>13863</v>
      </c>
      <c r="O893" s="101">
        <v>9202</v>
      </c>
      <c r="P893" s="101">
        <v>51534</v>
      </c>
      <c r="Q893" s="101">
        <v>154989</v>
      </c>
      <c r="R893" s="12" t="s">
        <v>25</v>
      </c>
      <c r="S893" s="12" t="s">
        <v>25</v>
      </c>
      <c r="T893" s="12" t="s">
        <v>25</v>
      </c>
    </row>
    <row r="894" spans="1:20" x14ac:dyDescent="0.3">
      <c r="A894" s="13">
        <v>43927.708333333336</v>
      </c>
      <c r="B894" s="12" t="s">
        <v>22</v>
      </c>
      <c r="C894" s="101">
        <v>11</v>
      </c>
      <c r="D894" s="12" t="s">
        <v>51</v>
      </c>
      <c r="E894" s="101">
        <v>4361675973</v>
      </c>
      <c r="F894" s="101">
        <v>135188753</v>
      </c>
      <c r="G894" s="101">
        <v>1001</v>
      </c>
      <c r="H894" s="101">
        <v>140</v>
      </c>
      <c r="I894" s="101">
        <v>1141</v>
      </c>
      <c r="J894" s="101">
        <v>2565</v>
      </c>
      <c r="K894" s="101">
        <v>3706</v>
      </c>
      <c r="L894" s="101">
        <v>128</v>
      </c>
      <c r="M894" s="101">
        <v>150</v>
      </c>
      <c r="N894" s="101">
        <v>296</v>
      </c>
      <c r="O894" s="101">
        <v>612</v>
      </c>
      <c r="P894" s="101">
        <v>4614</v>
      </c>
      <c r="Q894" s="101">
        <v>15919</v>
      </c>
      <c r="R894" s="12" t="s">
        <v>25</v>
      </c>
      <c r="S894" s="12" t="s">
        <v>25</v>
      </c>
      <c r="T894" s="12" t="s">
        <v>25</v>
      </c>
    </row>
    <row r="895" spans="1:20" x14ac:dyDescent="0.3">
      <c r="A895" s="13">
        <v>43927.708333333336</v>
      </c>
      <c r="B895" s="12" t="s">
        <v>22</v>
      </c>
      <c r="C895" s="101">
        <v>14</v>
      </c>
      <c r="D895" s="12" t="s">
        <v>52</v>
      </c>
      <c r="E895" s="101">
        <v>4155774754</v>
      </c>
      <c r="F895" s="101">
        <v>1465916051</v>
      </c>
      <c r="G895" s="101">
        <v>34</v>
      </c>
      <c r="H895" s="101">
        <v>5</v>
      </c>
      <c r="I895" s="101">
        <v>39</v>
      </c>
      <c r="J895" s="101">
        <v>148</v>
      </c>
      <c r="K895" s="101">
        <v>187</v>
      </c>
      <c r="L895" s="101">
        <v>0</v>
      </c>
      <c r="M895" s="101">
        <v>0</v>
      </c>
      <c r="N895" s="101">
        <v>24</v>
      </c>
      <c r="O895" s="101">
        <v>13</v>
      </c>
      <c r="P895" s="101">
        <v>224</v>
      </c>
      <c r="Q895" s="101">
        <v>1546</v>
      </c>
      <c r="R895" s="12" t="s">
        <v>25</v>
      </c>
      <c r="S895" s="12" t="s">
        <v>25</v>
      </c>
      <c r="T895" s="12" t="s">
        <v>25</v>
      </c>
    </row>
    <row r="896" spans="1:20" x14ac:dyDescent="0.3">
      <c r="A896" s="13">
        <v>43927.708333333336</v>
      </c>
      <c r="B896" s="12" t="s">
        <v>22</v>
      </c>
      <c r="C896" s="101">
        <v>1</v>
      </c>
      <c r="D896" s="12" t="s">
        <v>53</v>
      </c>
      <c r="E896" s="101">
        <v>450732745</v>
      </c>
      <c r="F896" s="101">
        <v>7680687483</v>
      </c>
      <c r="G896" s="101">
        <v>3484</v>
      </c>
      <c r="H896" s="101">
        <v>438</v>
      </c>
      <c r="I896" s="101">
        <v>3922</v>
      </c>
      <c r="J896" s="101">
        <v>6623</v>
      </c>
      <c r="K896" s="101">
        <v>10545</v>
      </c>
      <c r="L896" s="101">
        <v>368</v>
      </c>
      <c r="M896" s="101">
        <v>562</v>
      </c>
      <c r="N896" s="101">
        <v>1128</v>
      </c>
      <c r="O896" s="101">
        <v>1251</v>
      </c>
      <c r="P896" s="101">
        <v>12924</v>
      </c>
      <c r="Q896" s="101">
        <v>41123</v>
      </c>
      <c r="R896" s="12" t="s">
        <v>25</v>
      </c>
      <c r="S896" s="12" t="s">
        <v>25</v>
      </c>
      <c r="T896" s="12" t="s">
        <v>25</v>
      </c>
    </row>
    <row r="897" spans="1:20" x14ac:dyDescent="0.3">
      <c r="A897" s="13">
        <v>43927.708333333336</v>
      </c>
      <c r="B897" s="12" t="s">
        <v>22</v>
      </c>
      <c r="C897" s="101">
        <v>16</v>
      </c>
      <c r="D897" s="12" t="s">
        <v>54</v>
      </c>
      <c r="E897" s="101">
        <v>4112559576</v>
      </c>
      <c r="F897" s="101">
        <v>1686736689</v>
      </c>
      <c r="G897" s="101">
        <v>625</v>
      </c>
      <c r="H897" s="101">
        <v>97</v>
      </c>
      <c r="I897" s="101">
        <v>722</v>
      </c>
      <c r="J897" s="101">
        <v>1393</v>
      </c>
      <c r="K897" s="101">
        <v>2115</v>
      </c>
      <c r="L897" s="101">
        <v>93</v>
      </c>
      <c r="M897" s="101">
        <v>127</v>
      </c>
      <c r="N897" s="101">
        <v>134</v>
      </c>
      <c r="O897" s="101">
        <v>195</v>
      </c>
      <c r="P897" s="101">
        <v>2444</v>
      </c>
      <c r="Q897" s="101">
        <v>22059</v>
      </c>
      <c r="R897" s="12" t="s">
        <v>25</v>
      </c>
      <c r="S897" s="12" t="s">
        <v>25</v>
      </c>
      <c r="T897" s="12" t="s">
        <v>25</v>
      </c>
    </row>
    <row r="898" spans="1:20" x14ac:dyDescent="0.3">
      <c r="A898" s="13">
        <v>43927.708333333336</v>
      </c>
      <c r="B898" s="12" t="s">
        <v>22</v>
      </c>
      <c r="C898" s="101">
        <v>20</v>
      </c>
      <c r="D898" s="12" t="s">
        <v>55</v>
      </c>
      <c r="E898" s="101">
        <v>3921531192</v>
      </c>
      <c r="F898" s="101">
        <v>9110616306</v>
      </c>
      <c r="G898" s="101">
        <v>123</v>
      </c>
      <c r="H898" s="101">
        <v>26</v>
      </c>
      <c r="I898" s="101">
        <v>149</v>
      </c>
      <c r="J898" s="101">
        <v>670</v>
      </c>
      <c r="K898" s="101">
        <v>819</v>
      </c>
      <c r="L898" s="101">
        <v>4</v>
      </c>
      <c r="M898" s="101">
        <v>15</v>
      </c>
      <c r="N898" s="101">
        <v>56</v>
      </c>
      <c r="O898" s="101">
        <v>47</v>
      </c>
      <c r="P898" s="101">
        <v>922</v>
      </c>
      <c r="Q898" s="101">
        <v>7521</v>
      </c>
      <c r="R898" s="12" t="s">
        <v>25</v>
      </c>
      <c r="S898" s="12" t="s">
        <v>25</v>
      </c>
      <c r="T898" s="12" t="s">
        <v>25</v>
      </c>
    </row>
    <row r="899" spans="1:20" x14ac:dyDescent="0.3">
      <c r="A899" s="13">
        <v>43927.708333333336</v>
      </c>
      <c r="B899" s="12" t="s">
        <v>22</v>
      </c>
      <c r="C899" s="101">
        <v>19</v>
      </c>
      <c r="D899" s="12" t="s">
        <v>56</v>
      </c>
      <c r="E899" s="101">
        <v>3811569725</v>
      </c>
      <c r="F899" s="101">
        <v>133623567</v>
      </c>
      <c r="G899" s="101">
        <v>563</v>
      </c>
      <c r="H899" s="101">
        <v>74</v>
      </c>
      <c r="I899" s="101">
        <v>637</v>
      </c>
      <c r="J899" s="101">
        <v>1178</v>
      </c>
      <c r="K899" s="101">
        <v>1815</v>
      </c>
      <c r="L899" s="101">
        <v>41</v>
      </c>
      <c r="M899" s="101">
        <v>52</v>
      </c>
      <c r="N899" s="101">
        <v>108</v>
      </c>
      <c r="O899" s="101">
        <v>123</v>
      </c>
      <c r="P899" s="101">
        <v>2046</v>
      </c>
      <c r="Q899" s="101">
        <v>23464</v>
      </c>
      <c r="R899" s="12" t="s">
        <v>25</v>
      </c>
      <c r="S899" s="12" t="s">
        <v>25</v>
      </c>
      <c r="T899" s="12" t="s">
        <v>25</v>
      </c>
    </row>
    <row r="900" spans="1:20" x14ac:dyDescent="0.3">
      <c r="A900" s="13">
        <v>43927.708333333336</v>
      </c>
      <c r="B900" s="12" t="s">
        <v>22</v>
      </c>
      <c r="C900" s="101">
        <v>9</v>
      </c>
      <c r="D900" s="12" t="s">
        <v>57</v>
      </c>
      <c r="E900" s="101">
        <v>4376923077</v>
      </c>
      <c r="F900" s="101">
        <v>1125588885</v>
      </c>
      <c r="G900" s="101">
        <v>1116</v>
      </c>
      <c r="H900" s="101">
        <v>279</v>
      </c>
      <c r="I900" s="101">
        <v>1395</v>
      </c>
      <c r="J900" s="101">
        <v>3906</v>
      </c>
      <c r="K900" s="101">
        <v>5301</v>
      </c>
      <c r="L900" s="101">
        <v>116</v>
      </c>
      <c r="M900" s="101">
        <v>154</v>
      </c>
      <c r="N900" s="101">
        <v>350</v>
      </c>
      <c r="O900" s="101">
        <v>350</v>
      </c>
      <c r="P900" s="101">
        <v>6001</v>
      </c>
      <c r="Q900" s="101">
        <v>52849</v>
      </c>
      <c r="R900" s="12" t="s">
        <v>25</v>
      </c>
      <c r="S900" s="12" t="s">
        <v>25</v>
      </c>
      <c r="T900" s="12" t="s">
        <v>25</v>
      </c>
    </row>
    <row r="901" spans="1:20" x14ac:dyDescent="0.3">
      <c r="A901" s="13">
        <v>43927.708333333336</v>
      </c>
      <c r="B901" s="12" t="s">
        <v>22</v>
      </c>
      <c r="C901" s="101">
        <v>4</v>
      </c>
      <c r="D901" s="12" t="s">
        <v>58</v>
      </c>
      <c r="E901" s="101">
        <v>4606893511</v>
      </c>
      <c r="F901" s="101">
        <v>1112123097</v>
      </c>
      <c r="G901" s="101">
        <v>354</v>
      </c>
      <c r="H901" s="101">
        <v>79</v>
      </c>
      <c r="I901" s="101">
        <v>433</v>
      </c>
      <c r="J901" s="101">
        <v>1405</v>
      </c>
      <c r="K901" s="101">
        <v>1838</v>
      </c>
      <c r="L901" s="101">
        <v>43</v>
      </c>
      <c r="M901" s="101">
        <v>63</v>
      </c>
      <c r="N901" s="101">
        <v>280</v>
      </c>
      <c r="O901" s="101">
        <v>230</v>
      </c>
      <c r="P901" s="101">
        <v>2348</v>
      </c>
      <c r="Q901" s="101">
        <v>11130</v>
      </c>
      <c r="R901" s="12" t="s">
        <v>25</v>
      </c>
      <c r="S901" s="12" t="s">
        <v>25</v>
      </c>
      <c r="T901" s="12" t="s">
        <v>25</v>
      </c>
    </row>
    <row r="902" spans="1:20" x14ac:dyDescent="0.3">
      <c r="A902" s="13">
        <v>43927.708333333336</v>
      </c>
      <c r="B902" s="12" t="s">
        <v>22</v>
      </c>
      <c r="C902" s="101">
        <v>10</v>
      </c>
      <c r="D902" s="12" t="s">
        <v>59</v>
      </c>
      <c r="E902" s="101">
        <v>4310675841</v>
      </c>
      <c r="F902" s="101">
        <v>1238824698</v>
      </c>
      <c r="G902" s="101">
        <v>159</v>
      </c>
      <c r="H902" s="101">
        <v>46</v>
      </c>
      <c r="I902" s="101">
        <v>205</v>
      </c>
      <c r="J902" s="101">
        <v>667</v>
      </c>
      <c r="K902" s="101">
        <v>872</v>
      </c>
      <c r="L902" s="101">
        <v>-26</v>
      </c>
      <c r="M902" s="101">
        <v>14</v>
      </c>
      <c r="N902" s="101">
        <v>337</v>
      </c>
      <c r="O902" s="101">
        <v>44</v>
      </c>
      <c r="P902" s="101">
        <v>1253</v>
      </c>
      <c r="Q902" s="101">
        <v>12573</v>
      </c>
      <c r="R902" s="12" t="s">
        <v>25</v>
      </c>
      <c r="S902" s="12" t="s">
        <v>25</v>
      </c>
      <c r="T902" s="12" t="s">
        <v>25</v>
      </c>
    </row>
    <row r="903" spans="1:20" x14ac:dyDescent="0.3">
      <c r="A903" s="13">
        <v>43927.708333333336</v>
      </c>
      <c r="B903" s="12" t="s">
        <v>22</v>
      </c>
      <c r="C903" s="101">
        <v>2</v>
      </c>
      <c r="D903" s="12" t="s">
        <v>60</v>
      </c>
      <c r="E903" s="101">
        <v>4573750286</v>
      </c>
      <c r="F903" s="101">
        <v>7320149366</v>
      </c>
      <c r="G903" s="101">
        <v>109</v>
      </c>
      <c r="H903" s="101">
        <v>21</v>
      </c>
      <c r="I903" s="101">
        <v>130</v>
      </c>
      <c r="J903" s="101">
        <v>437</v>
      </c>
      <c r="K903" s="101">
        <v>567</v>
      </c>
      <c r="L903" s="101">
        <v>-9</v>
      </c>
      <c r="M903" s="101">
        <v>23</v>
      </c>
      <c r="N903" s="101">
        <v>142</v>
      </c>
      <c r="O903" s="101">
        <v>96</v>
      </c>
      <c r="P903" s="101">
        <v>805</v>
      </c>
      <c r="Q903" s="101">
        <v>2590</v>
      </c>
      <c r="R903" s="12" t="s">
        <v>25</v>
      </c>
      <c r="S903" s="12" t="s">
        <v>25</v>
      </c>
      <c r="T903" s="12" t="s">
        <v>25</v>
      </c>
    </row>
    <row r="904" spans="1:20" x14ac:dyDescent="0.3">
      <c r="A904" s="13">
        <v>43927.708333333336</v>
      </c>
      <c r="B904" s="12" t="s">
        <v>22</v>
      </c>
      <c r="C904" s="101">
        <v>5</v>
      </c>
      <c r="D904" s="12" t="s">
        <v>61</v>
      </c>
      <c r="E904" s="101">
        <v>4543490485</v>
      </c>
      <c r="F904" s="101">
        <v>1233845213</v>
      </c>
      <c r="G904" s="101">
        <v>1714</v>
      </c>
      <c r="H904" s="101">
        <v>322</v>
      </c>
      <c r="I904" s="101">
        <v>2036</v>
      </c>
      <c r="J904" s="101">
        <v>7686</v>
      </c>
      <c r="K904" s="101">
        <v>9722</v>
      </c>
      <c r="L904" s="101">
        <v>313</v>
      </c>
      <c r="M904" s="101">
        <v>362</v>
      </c>
      <c r="N904" s="101">
        <v>1204</v>
      </c>
      <c r="O904" s="101">
        <v>662</v>
      </c>
      <c r="P904" s="101">
        <v>11588</v>
      </c>
      <c r="Q904" s="101">
        <v>146288</v>
      </c>
      <c r="R904" s="12" t="s">
        <v>25</v>
      </c>
      <c r="S904" s="12" t="s">
        <v>25</v>
      </c>
      <c r="T904" s="12" t="s">
        <v>25</v>
      </c>
    </row>
    <row r="905" spans="1:20" x14ac:dyDescent="0.3">
      <c r="A905" s="13">
        <v>43928.708333333336</v>
      </c>
      <c r="B905" s="12" t="s">
        <v>22</v>
      </c>
      <c r="C905" s="101">
        <v>13</v>
      </c>
      <c r="D905" s="12" t="s">
        <v>42</v>
      </c>
      <c r="E905" s="101">
        <v>4235122196</v>
      </c>
      <c r="F905" s="101">
        <v>1339843823</v>
      </c>
      <c r="G905" s="101">
        <v>337</v>
      </c>
      <c r="H905" s="101">
        <v>67</v>
      </c>
      <c r="I905" s="101">
        <v>404</v>
      </c>
      <c r="J905" s="101">
        <v>1087</v>
      </c>
      <c r="K905" s="101">
        <v>1491</v>
      </c>
      <c r="L905" s="101">
        <v>66</v>
      </c>
      <c r="M905" s="101">
        <v>78</v>
      </c>
      <c r="N905" s="101">
        <v>136</v>
      </c>
      <c r="O905" s="101">
        <v>172</v>
      </c>
      <c r="P905" s="101">
        <v>1799</v>
      </c>
      <c r="Q905" s="101">
        <v>14904</v>
      </c>
      <c r="R905" s="12" t="s">
        <v>25</v>
      </c>
      <c r="S905" s="12" t="s">
        <v>25</v>
      </c>
      <c r="T905" s="12" t="s">
        <v>25</v>
      </c>
    </row>
    <row r="906" spans="1:20" x14ac:dyDescent="0.3">
      <c r="A906" s="13">
        <v>43928.708333333336</v>
      </c>
      <c r="B906" s="12" t="s">
        <v>22</v>
      </c>
      <c r="C906" s="101">
        <v>17</v>
      </c>
      <c r="D906" s="12" t="s">
        <v>43</v>
      </c>
      <c r="E906" s="101">
        <v>4063947052</v>
      </c>
      <c r="F906" s="101">
        <v>1580514834</v>
      </c>
      <c r="G906" s="101">
        <v>47</v>
      </c>
      <c r="H906" s="101">
        <v>17</v>
      </c>
      <c r="I906" s="101">
        <v>64</v>
      </c>
      <c r="J906" s="101">
        <v>201</v>
      </c>
      <c r="K906" s="101">
        <v>265</v>
      </c>
      <c r="L906" s="101">
        <v>3</v>
      </c>
      <c r="M906" s="101">
        <v>4</v>
      </c>
      <c r="N906" s="101">
        <v>12</v>
      </c>
      <c r="O906" s="101">
        <v>14</v>
      </c>
      <c r="P906" s="101">
        <v>291</v>
      </c>
      <c r="Q906" s="101">
        <v>3160</v>
      </c>
      <c r="R906" s="12" t="s">
        <v>25</v>
      </c>
      <c r="S906" s="12" t="s">
        <v>25</v>
      </c>
      <c r="T906" s="12" t="s">
        <v>25</v>
      </c>
    </row>
    <row r="907" spans="1:20" x14ac:dyDescent="0.3">
      <c r="A907" s="13">
        <v>43928.708333333336</v>
      </c>
      <c r="B907" s="12" t="s">
        <v>22</v>
      </c>
      <c r="C907" s="101">
        <v>4</v>
      </c>
      <c r="D907" s="12" t="s">
        <v>44</v>
      </c>
      <c r="E907" s="101">
        <v>4649933453</v>
      </c>
      <c r="F907" s="101">
        <v>1135662422</v>
      </c>
      <c r="G907" s="101">
        <v>325</v>
      </c>
      <c r="H907" s="101">
        <v>64</v>
      </c>
      <c r="I907" s="101">
        <v>389</v>
      </c>
      <c r="J907" s="101">
        <v>912</v>
      </c>
      <c r="K907" s="101">
        <v>1301</v>
      </c>
      <c r="L907" s="101">
        <v>41</v>
      </c>
      <c r="M907" s="101">
        <v>89</v>
      </c>
      <c r="N907" s="101">
        <v>336</v>
      </c>
      <c r="O907" s="101">
        <v>174</v>
      </c>
      <c r="P907" s="101">
        <v>1811</v>
      </c>
      <c r="Q907" s="101">
        <v>17761</v>
      </c>
      <c r="R907" s="12" t="s">
        <v>25</v>
      </c>
      <c r="S907" s="12" t="s">
        <v>25</v>
      </c>
      <c r="T907" s="12" t="s">
        <v>25</v>
      </c>
    </row>
    <row r="908" spans="1:20" x14ac:dyDescent="0.3">
      <c r="A908" s="13">
        <v>43928.708333333336</v>
      </c>
      <c r="B908" s="12" t="s">
        <v>22</v>
      </c>
      <c r="C908" s="101">
        <v>18</v>
      </c>
      <c r="D908" s="12" t="s">
        <v>45</v>
      </c>
      <c r="E908" s="101">
        <v>3890597598</v>
      </c>
      <c r="F908" s="101">
        <v>1659440194</v>
      </c>
      <c r="G908" s="101">
        <v>169</v>
      </c>
      <c r="H908" s="101">
        <v>14</v>
      </c>
      <c r="I908" s="101">
        <v>183</v>
      </c>
      <c r="J908" s="101">
        <v>550</v>
      </c>
      <c r="K908" s="101">
        <v>733</v>
      </c>
      <c r="L908" s="101">
        <v>11</v>
      </c>
      <c r="M908" s="101">
        <v>16</v>
      </c>
      <c r="N908" s="101">
        <v>40</v>
      </c>
      <c r="O908" s="101">
        <v>60</v>
      </c>
      <c r="P908" s="101">
        <v>833</v>
      </c>
      <c r="Q908" s="101">
        <v>14072</v>
      </c>
      <c r="R908" s="12" t="s">
        <v>25</v>
      </c>
      <c r="S908" s="12" t="s">
        <v>25</v>
      </c>
      <c r="T908" s="12" t="s">
        <v>25</v>
      </c>
    </row>
    <row r="909" spans="1:20" x14ac:dyDescent="0.3">
      <c r="A909" s="13">
        <v>43928.708333333336</v>
      </c>
      <c r="B909" s="12" t="s">
        <v>22</v>
      </c>
      <c r="C909" s="101">
        <v>15</v>
      </c>
      <c r="D909" s="12" t="s">
        <v>46</v>
      </c>
      <c r="E909" s="101">
        <v>4083956555</v>
      </c>
      <c r="F909" s="101">
        <v>1425084984</v>
      </c>
      <c r="G909" s="101">
        <v>603</v>
      </c>
      <c r="H909" s="101">
        <v>103</v>
      </c>
      <c r="I909" s="101">
        <v>706</v>
      </c>
      <c r="J909" s="101">
        <v>2059</v>
      </c>
      <c r="K909" s="101">
        <v>2765</v>
      </c>
      <c r="L909" s="101">
        <v>67</v>
      </c>
      <c r="M909" s="101">
        <v>90</v>
      </c>
      <c r="N909" s="101">
        <v>167</v>
      </c>
      <c r="O909" s="101">
        <v>216</v>
      </c>
      <c r="P909" s="101">
        <v>3148</v>
      </c>
      <c r="Q909" s="101">
        <v>25779</v>
      </c>
      <c r="R909" s="12" t="s">
        <v>25</v>
      </c>
      <c r="S909" s="12" t="s">
        <v>25</v>
      </c>
      <c r="T909" s="12" t="s">
        <v>25</v>
      </c>
    </row>
    <row r="910" spans="1:20" x14ac:dyDescent="0.3">
      <c r="A910" s="13">
        <v>43928.708333333336</v>
      </c>
      <c r="B910" s="12" t="s">
        <v>22</v>
      </c>
      <c r="C910" s="101">
        <v>8</v>
      </c>
      <c r="D910" s="12" t="s">
        <v>96</v>
      </c>
      <c r="E910" s="101">
        <v>4449436681</v>
      </c>
      <c r="F910" s="101">
        <v>113417208</v>
      </c>
      <c r="G910" s="101">
        <v>3750</v>
      </c>
      <c r="H910" s="101">
        <v>366</v>
      </c>
      <c r="I910" s="101">
        <v>4116</v>
      </c>
      <c r="J910" s="101">
        <v>8932</v>
      </c>
      <c r="K910" s="101">
        <v>13048</v>
      </c>
      <c r="L910" s="101">
        <v>-3</v>
      </c>
      <c r="M910" s="101">
        <v>269</v>
      </c>
      <c r="N910" s="101">
        <v>2597</v>
      </c>
      <c r="O910" s="101">
        <v>2180</v>
      </c>
      <c r="P910" s="101">
        <v>17825</v>
      </c>
      <c r="Q910" s="101">
        <v>75191</v>
      </c>
      <c r="R910" s="12" t="s">
        <v>25</v>
      </c>
      <c r="S910" s="12" t="s">
        <v>25</v>
      </c>
      <c r="T910" s="12" t="s">
        <v>25</v>
      </c>
    </row>
    <row r="911" spans="1:20" x14ac:dyDescent="0.3">
      <c r="A911" s="13">
        <v>43928.708333333336</v>
      </c>
      <c r="B911" s="12" t="s">
        <v>22</v>
      </c>
      <c r="C911" s="101">
        <v>6</v>
      </c>
      <c r="D911" s="12" t="s">
        <v>47</v>
      </c>
      <c r="E911" s="101">
        <v>456494354</v>
      </c>
      <c r="F911" s="101">
        <v>1376813649</v>
      </c>
      <c r="G911" s="101">
        <v>185</v>
      </c>
      <c r="H911" s="101">
        <v>44</v>
      </c>
      <c r="I911" s="101">
        <v>229</v>
      </c>
      <c r="J911" s="101">
        <v>1150</v>
      </c>
      <c r="K911" s="101">
        <v>1379</v>
      </c>
      <c r="L911" s="101">
        <v>-17</v>
      </c>
      <c r="M911" s="101">
        <v>50</v>
      </c>
      <c r="N911" s="101">
        <v>610</v>
      </c>
      <c r="O911" s="101">
        <v>164</v>
      </c>
      <c r="P911" s="101">
        <v>2153</v>
      </c>
      <c r="Q911" s="101">
        <v>23536</v>
      </c>
      <c r="R911" s="12" t="s">
        <v>25</v>
      </c>
      <c r="S911" s="12" t="s">
        <v>25</v>
      </c>
      <c r="T911" s="12" t="s">
        <v>25</v>
      </c>
    </row>
    <row r="912" spans="1:20" x14ac:dyDescent="0.3">
      <c r="A912" s="13">
        <v>43928.708333333336</v>
      </c>
      <c r="B912" s="12" t="s">
        <v>22</v>
      </c>
      <c r="C912" s="101">
        <v>12</v>
      </c>
      <c r="D912" s="12" t="s">
        <v>48</v>
      </c>
      <c r="E912" s="101">
        <v>4189277044</v>
      </c>
      <c r="F912" s="101">
        <v>1248366722</v>
      </c>
      <c r="G912" s="101">
        <v>1229</v>
      </c>
      <c r="H912" s="101">
        <v>192</v>
      </c>
      <c r="I912" s="101">
        <v>1421</v>
      </c>
      <c r="J912" s="101">
        <v>1944</v>
      </c>
      <c r="K912" s="101">
        <v>3365</v>
      </c>
      <c r="L912" s="101">
        <v>65</v>
      </c>
      <c r="M912" s="101">
        <v>118</v>
      </c>
      <c r="N912" s="101">
        <v>546</v>
      </c>
      <c r="O912" s="101">
        <v>238</v>
      </c>
      <c r="P912" s="101">
        <v>4149</v>
      </c>
      <c r="Q912" s="101">
        <v>48874</v>
      </c>
      <c r="R912" s="12" t="s">
        <v>25</v>
      </c>
      <c r="S912" s="12" t="s">
        <v>25</v>
      </c>
      <c r="T912" s="12" t="s">
        <v>25</v>
      </c>
    </row>
    <row r="913" spans="1:20" x14ac:dyDescent="0.3">
      <c r="A913" s="13">
        <v>43928.708333333336</v>
      </c>
      <c r="B913" s="12" t="s">
        <v>22</v>
      </c>
      <c r="C913" s="101">
        <v>7</v>
      </c>
      <c r="D913" s="12" t="s">
        <v>49</v>
      </c>
      <c r="E913" s="101">
        <v>4441149315</v>
      </c>
      <c r="F913" s="101">
        <v>89326992</v>
      </c>
      <c r="G913" s="101">
        <v>1090</v>
      </c>
      <c r="H913" s="101">
        <v>156</v>
      </c>
      <c r="I913" s="101">
        <v>1246</v>
      </c>
      <c r="J913" s="101">
        <v>1966</v>
      </c>
      <c r="K913" s="101">
        <v>3212</v>
      </c>
      <c r="L913" s="101">
        <v>95</v>
      </c>
      <c r="M913" s="101">
        <v>208</v>
      </c>
      <c r="N913" s="101">
        <v>925</v>
      </c>
      <c r="O913" s="101">
        <v>620</v>
      </c>
      <c r="P913" s="101">
        <v>4757</v>
      </c>
      <c r="Q913" s="101">
        <v>16579</v>
      </c>
      <c r="R913" s="12" t="s">
        <v>25</v>
      </c>
      <c r="S913" s="12" t="s">
        <v>25</v>
      </c>
      <c r="T913" s="12" t="s">
        <v>25</v>
      </c>
    </row>
    <row r="914" spans="1:20" x14ac:dyDescent="0.3">
      <c r="A914" s="13">
        <v>43928.708333333336</v>
      </c>
      <c r="B914" s="12" t="s">
        <v>22</v>
      </c>
      <c r="C914" s="101">
        <v>3</v>
      </c>
      <c r="D914" s="12" t="s">
        <v>50</v>
      </c>
      <c r="E914" s="101">
        <v>4546679409</v>
      </c>
      <c r="F914" s="101">
        <v>9190347404</v>
      </c>
      <c r="G914" s="101">
        <v>11833</v>
      </c>
      <c r="H914" s="101">
        <v>1305</v>
      </c>
      <c r="I914" s="101">
        <v>13138</v>
      </c>
      <c r="J914" s="101">
        <v>15205</v>
      </c>
      <c r="K914" s="101">
        <v>28343</v>
      </c>
      <c r="L914" s="101">
        <v>-126</v>
      </c>
      <c r="M914" s="101">
        <v>791</v>
      </c>
      <c r="N914" s="101">
        <v>14498</v>
      </c>
      <c r="O914" s="101">
        <v>9484</v>
      </c>
      <c r="P914" s="101">
        <v>52325</v>
      </c>
      <c r="Q914" s="101">
        <v>159331</v>
      </c>
      <c r="R914" s="12" t="s">
        <v>25</v>
      </c>
      <c r="S914" s="12" t="s">
        <v>25</v>
      </c>
      <c r="T914" s="12" t="s">
        <v>25</v>
      </c>
    </row>
    <row r="915" spans="1:20" x14ac:dyDescent="0.3">
      <c r="A915" s="13">
        <v>43928.708333333336</v>
      </c>
      <c r="B915" s="12" t="s">
        <v>22</v>
      </c>
      <c r="C915" s="101">
        <v>11</v>
      </c>
      <c r="D915" s="12" t="s">
        <v>51</v>
      </c>
      <c r="E915" s="101">
        <v>4361675973</v>
      </c>
      <c r="F915" s="101">
        <v>135188753</v>
      </c>
      <c r="G915" s="101">
        <v>962</v>
      </c>
      <c r="H915" s="101">
        <v>139</v>
      </c>
      <c r="I915" s="101">
        <v>1101</v>
      </c>
      <c r="J915" s="101">
        <v>2637</v>
      </c>
      <c r="K915" s="101">
        <v>3738</v>
      </c>
      <c r="L915" s="101">
        <v>32</v>
      </c>
      <c r="M915" s="101">
        <v>96</v>
      </c>
      <c r="N915" s="101">
        <v>342</v>
      </c>
      <c r="O915" s="101">
        <v>630</v>
      </c>
      <c r="P915" s="101">
        <v>4710</v>
      </c>
      <c r="Q915" s="101">
        <v>16619</v>
      </c>
      <c r="R915" s="12" t="s">
        <v>25</v>
      </c>
      <c r="S915" s="12" t="s">
        <v>25</v>
      </c>
      <c r="T915" s="12" t="s">
        <v>25</v>
      </c>
    </row>
    <row r="916" spans="1:20" x14ac:dyDescent="0.3">
      <c r="A916" s="13">
        <v>43928.708333333336</v>
      </c>
      <c r="B916" s="12" t="s">
        <v>22</v>
      </c>
      <c r="C916" s="101">
        <v>14</v>
      </c>
      <c r="D916" s="12" t="s">
        <v>52</v>
      </c>
      <c r="E916" s="101">
        <v>4155774754</v>
      </c>
      <c r="F916" s="101">
        <v>1465916051</v>
      </c>
      <c r="G916" s="101">
        <v>35</v>
      </c>
      <c r="H916" s="101">
        <v>5</v>
      </c>
      <c r="I916" s="101">
        <v>40</v>
      </c>
      <c r="J916" s="101">
        <v>145</v>
      </c>
      <c r="K916" s="101">
        <v>185</v>
      </c>
      <c r="L916" s="101">
        <v>-2</v>
      </c>
      <c r="M916" s="101">
        <v>0</v>
      </c>
      <c r="N916" s="101">
        <v>26</v>
      </c>
      <c r="O916" s="101">
        <v>13</v>
      </c>
      <c r="P916" s="101">
        <v>224</v>
      </c>
      <c r="Q916" s="101">
        <v>1581</v>
      </c>
      <c r="R916" s="12" t="s">
        <v>25</v>
      </c>
      <c r="S916" s="12" t="s">
        <v>25</v>
      </c>
      <c r="T916" s="12" t="s">
        <v>25</v>
      </c>
    </row>
    <row r="917" spans="1:20" x14ac:dyDescent="0.3">
      <c r="A917" s="13">
        <v>43928.708333333336</v>
      </c>
      <c r="B917" s="12" t="s">
        <v>22</v>
      </c>
      <c r="C917" s="101">
        <v>1</v>
      </c>
      <c r="D917" s="12" t="s">
        <v>53</v>
      </c>
      <c r="E917" s="101">
        <v>450732745</v>
      </c>
      <c r="F917" s="101">
        <v>7680687483</v>
      </c>
      <c r="G917" s="101">
        <v>3553</v>
      </c>
      <c r="H917" s="101">
        <v>432</v>
      </c>
      <c r="I917" s="101">
        <v>3985</v>
      </c>
      <c r="J917" s="101">
        <v>6719</v>
      </c>
      <c r="K917" s="101">
        <v>10704</v>
      </c>
      <c r="L917" s="101">
        <v>159</v>
      </c>
      <c r="M917" s="101">
        <v>419</v>
      </c>
      <c r="N917" s="101">
        <v>1320</v>
      </c>
      <c r="O917" s="101">
        <v>1319</v>
      </c>
      <c r="P917" s="101">
        <v>13343</v>
      </c>
      <c r="Q917" s="101">
        <v>44121</v>
      </c>
      <c r="R917" s="12" t="s">
        <v>25</v>
      </c>
      <c r="S917" s="12" t="s">
        <v>25</v>
      </c>
      <c r="T917" s="12" t="s">
        <v>25</v>
      </c>
    </row>
    <row r="918" spans="1:20" x14ac:dyDescent="0.3">
      <c r="A918" s="13">
        <v>43928.708333333336</v>
      </c>
      <c r="B918" s="12" t="s">
        <v>22</v>
      </c>
      <c r="C918" s="101">
        <v>16</v>
      </c>
      <c r="D918" s="12" t="s">
        <v>54</v>
      </c>
      <c r="E918" s="101">
        <v>4112559576</v>
      </c>
      <c r="F918" s="101">
        <v>1686736689</v>
      </c>
      <c r="G918" s="101">
        <v>615</v>
      </c>
      <c r="H918" s="101">
        <v>93</v>
      </c>
      <c r="I918" s="101">
        <v>708</v>
      </c>
      <c r="J918" s="101">
        <v>1429</v>
      </c>
      <c r="K918" s="101">
        <v>2137</v>
      </c>
      <c r="L918" s="101">
        <v>22</v>
      </c>
      <c r="M918" s="101">
        <v>70</v>
      </c>
      <c r="N918" s="101">
        <v>168</v>
      </c>
      <c r="O918" s="101">
        <v>209</v>
      </c>
      <c r="P918" s="101">
        <v>2514</v>
      </c>
      <c r="Q918" s="101">
        <v>23149</v>
      </c>
      <c r="R918" s="12" t="s">
        <v>25</v>
      </c>
      <c r="S918" s="12" t="s">
        <v>25</v>
      </c>
      <c r="T918" s="12" t="s">
        <v>25</v>
      </c>
    </row>
    <row r="919" spans="1:20" x14ac:dyDescent="0.3">
      <c r="A919" s="13">
        <v>43928.708333333336</v>
      </c>
      <c r="B919" s="12" t="s">
        <v>22</v>
      </c>
      <c r="C919" s="101">
        <v>20</v>
      </c>
      <c r="D919" s="12" t="s">
        <v>55</v>
      </c>
      <c r="E919" s="101">
        <v>3921531192</v>
      </c>
      <c r="F919" s="101">
        <v>9110616306</v>
      </c>
      <c r="G919" s="101">
        <v>122</v>
      </c>
      <c r="H919" s="101">
        <v>26</v>
      </c>
      <c r="I919" s="101">
        <v>148</v>
      </c>
      <c r="J919" s="101">
        <v>673</v>
      </c>
      <c r="K919" s="101">
        <v>821</v>
      </c>
      <c r="L919" s="101">
        <v>2</v>
      </c>
      <c r="M919" s="101">
        <v>13</v>
      </c>
      <c r="N919" s="101">
        <v>62</v>
      </c>
      <c r="O919" s="101">
        <v>52</v>
      </c>
      <c r="P919" s="101">
        <v>935</v>
      </c>
      <c r="Q919" s="101">
        <v>7680</v>
      </c>
      <c r="R919" s="12" t="s">
        <v>25</v>
      </c>
      <c r="S919" s="12" t="s">
        <v>25</v>
      </c>
      <c r="T919" s="12" t="s">
        <v>25</v>
      </c>
    </row>
    <row r="920" spans="1:20" x14ac:dyDescent="0.3">
      <c r="A920" s="13">
        <v>43928.708333333336</v>
      </c>
      <c r="B920" s="12" t="s">
        <v>22</v>
      </c>
      <c r="C920" s="101">
        <v>19</v>
      </c>
      <c r="D920" s="12" t="s">
        <v>56</v>
      </c>
      <c r="E920" s="101">
        <v>3811569725</v>
      </c>
      <c r="F920" s="101">
        <v>133623567</v>
      </c>
      <c r="G920" s="101">
        <v>562</v>
      </c>
      <c r="H920" s="101">
        <v>73</v>
      </c>
      <c r="I920" s="101">
        <v>635</v>
      </c>
      <c r="J920" s="101">
        <v>1224</v>
      </c>
      <c r="K920" s="101">
        <v>1859</v>
      </c>
      <c r="L920" s="101">
        <v>44</v>
      </c>
      <c r="M920" s="101">
        <v>51</v>
      </c>
      <c r="N920" s="101">
        <v>113</v>
      </c>
      <c r="O920" s="101">
        <v>125</v>
      </c>
      <c r="P920" s="101">
        <v>2097</v>
      </c>
      <c r="Q920" s="101">
        <v>24857</v>
      </c>
      <c r="R920" s="12" t="s">
        <v>25</v>
      </c>
      <c r="S920" s="12" t="s">
        <v>25</v>
      </c>
      <c r="T920" s="12" t="s">
        <v>25</v>
      </c>
    </row>
    <row r="921" spans="1:20" x14ac:dyDescent="0.3">
      <c r="A921" s="13">
        <v>43928.708333333336</v>
      </c>
      <c r="B921" s="12" t="s">
        <v>22</v>
      </c>
      <c r="C921" s="101">
        <v>9</v>
      </c>
      <c r="D921" s="12" t="s">
        <v>57</v>
      </c>
      <c r="E921" s="101">
        <v>4376923077</v>
      </c>
      <c r="F921" s="101">
        <v>1125588885</v>
      </c>
      <c r="G921" s="101">
        <v>1087</v>
      </c>
      <c r="H921" s="101">
        <v>263</v>
      </c>
      <c r="I921" s="101">
        <v>1350</v>
      </c>
      <c r="J921" s="101">
        <v>4077</v>
      </c>
      <c r="K921" s="101">
        <v>5427</v>
      </c>
      <c r="L921" s="101">
        <v>126</v>
      </c>
      <c r="M921" s="101">
        <v>172</v>
      </c>
      <c r="N921" s="101">
        <v>377</v>
      </c>
      <c r="O921" s="101">
        <v>369</v>
      </c>
      <c r="P921" s="101">
        <v>6173</v>
      </c>
      <c r="Q921" s="101">
        <v>56651</v>
      </c>
      <c r="R921" s="12" t="s">
        <v>25</v>
      </c>
      <c r="S921" s="12" t="s">
        <v>25</v>
      </c>
      <c r="T921" s="12" t="s">
        <v>25</v>
      </c>
    </row>
    <row r="922" spans="1:20" x14ac:dyDescent="0.3">
      <c r="A922" s="13">
        <v>43928.708333333336</v>
      </c>
      <c r="B922" s="12" t="s">
        <v>22</v>
      </c>
      <c r="C922" s="101">
        <v>4</v>
      </c>
      <c r="D922" s="12" t="s">
        <v>58</v>
      </c>
      <c r="E922" s="101">
        <v>4606893511</v>
      </c>
      <c r="F922" s="101">
        <v>1112123097</v>
      </c>
      <c r="G922" s="101">
        <v>360</v>
      </c>
      <c r="H922" s="101">
        <v>78</v>
      </c>
      <c r="I922" s="101">
        <v>438</v>
      </c>
      <c r="J922" s="101">
        <v>1452</v>
      </c>
      <c r="K922" s="101">
        <v>1890</v>
      </c>
      <c r="L922" s="101">
        <v>52</v>
      </c>
      <c r="M922" s="101">
        <v>128</v>
      </c>
      <c r="N922" s="101">
        <v>342</v>
      </c>
      <c r="O922" s="101">
        <v>244</v>
      </c>
      <c r="P922" s="101">
        <v>2476</v>
      </c>
      <c r="Q922" s="101">
        <v>12030</v>
      </c>
      <c r="R922" s="12" t="s">
        <v>25</v>
      </c>
      <c r="S922" s="12" t="s">
        <v>25</v>
      </c>
      <c r="T922" s="12" t="s">
        <v>25</v>
      </c>
    </row>
    <row r="923" spans="1:20" x14ac:dyDescent="0.3">
      <c r="A923" s="13">
        <v>43928.708333333336</v>
      </c>
      <c r="B923" s="12" t="s">
        <v>22</v>
      </c>
      <c r="C923" s="101">
        <v>10</v>
      </c>
      <c r="D923" s="12" t="s">
        <v>59</v>
      </c>
      <c r="E923" s="101">
        <v>4310675841</v>
      </c>
      <c r="F923" s="101">
        <v>1238824698</v>
      </c>
      <c r="G923" s="101">
        <v>157</v>
      </c>
      <c r="H923" s="101">
        <v>41</v>
      </c>
      <c r="I923" s="101">
        <v>198</v>
      </c>
      <c r="J923" s="101">
        <v>648</v>
      </c>
      <c r="K923" s="101">
        <v>846</v>
      </c>
      <c r="L923" s="101">
        <v>-26</v>
      </c>
      <c r="M923" s="101">
        <v>10</v>
      </c>
      <c r="N923" s="101">
        <v>368</v>
      </c>
      <c r="O923" s="101">
        <v>49</v>
      </c>
      <c r="P923" s="101">
        <v>1263</v>
      </c>
      <c r="Q923" s="101">
        <v>13274</v>
      </c>
      <c r="R923" s="12" t="s">
        <v>25</v>
      </c>
      <c r="S923" s="12" t="s">
        <v>25</v>
      </c>
      <c r="T923" s="12" t="s">
        <v>25</v>
      </c>
    </row>
    <row r="924" spans="1:20" x14ac:dyDescent="0.3">
      <c r="A924" s="13">
        <v>43928.708333333336</v>
      </c>
      <c r="B924" s="12" t="s">
        <v>22</v>
      </c>
      <c r="C924" s="101">
        <v>2</v>
      </c>
      <c r="D924" s="12" t="s">
        <v>60</v>
      </c>
      <c r="E924" s="101">
        <v>4573750286</v>
      </c>
      <c r="F924" s="101">
        <v>7320149366</v>
      </c>
      <c r="G924" s="101">
        <v>118</v>
      </c>
      <c r="H924" s="101">
        <v>17</v>
      </c>
      <c r="I924" s="101">
        <v>135</v>
      </c>
      <c r="J924" s="101">
        <v>458</v>
      </c>
      <c r="K924" s="101">
        <v>593</v>
      </c>
      <c r="L924" s="101">
        <v>26</v>
      </c>
      <c r="M924" s="101">
        <v>30</v>
      </c>
      <c r="N924" s="101">
        <v>142</v>
      </c>
      <c r="O924" s="101">
        <v>100</v>
      </c>
      <c r="P924" s="101">
        <v>835</v>
      </c>
      <c r="Q924" s="101">
        <v>2754</v>
      </c>
      <c r="R924" s="12" t="s">
        <v>25</v>
      </c>
      <c r="S924" s="12" t="s">
        <v>25</v>
      </c>
      <c r="T924" s="12" t="s">
        <v>25</v>
      </c>
    </row>
    <row r="925" spans="1:20" x14ac:dyDescent="0.3">
      <c r="A925" s="13">
        <v>43928.708333333336</v>
      </c>
      <c r="B925" s="12" t="s">
        <v>22</v>
      </c>
      <c r="C925" s="101">
        <v>5</v>
      </c>
      <c r="D925" s="12" t="s">
        <v>61</v>
      </c>
      <c r="E925" s="101">
        <v>4543490485</v>
      </c>
      <c r="F925" s="101">
        <v>1233845213</v>
      </c>
      <c r="G925" s="101">
        <v>1579</v>
      </c>
      <c r="H925" s="101">
        <v>297</v>
      </c>
      <c r="I925" s="101">
        <v>1876</v>
      </c>
      <c r="J925" s="101">
        <v>8089</v>
      </c>
      <c r="K925" s="101">
        <v>9965</v>
      </c>
      <c r="L925" s="101">
        <v>243</v>
      </c>
      <c r="M925" s="101">
        <v>337</v>
      </c>
      <c r="N925" s="101">
        <v>1265</v>
      </c>
      <c r="O925" s="101">
        <v>695</v>
      </c>
      <c r="P925" s="101">
        <v>11925</v>
      </c>
      <c r="Q925" s="101">
        <v>153542</v>
      </c>
      <c r="R925" s="12" t="s">
        <v>25</v>
      </c>
      <c r="S925" s="12" t="s">
        <v>25</v>
      </c>
      <c r="T925" s="12" t="s">
        <v>25</v>
      </c>
    </row>
    <row r="926" spans="1:20" x14ac:dyDescent="0.3">
      <c r="A926" s="13">
        <v>43929.708333333336</v>
      </c>
      <c r="B926" s="12" t="s">
        <v>22</v>
      </c>
      <c r="C926" s="101">
        <v>13</v>
      </c>
      <c r="D926" s="12" t="s">
        <v>42</v>
      </c>
      <c r="E926" s="101">
        <v>4235122196</v>
      </c>
      <c r="F926" s="101">
        <v>1339843823</v>
      </c>
      <c r="G926" s="101">
        <v>331</v>
      </c>
      <c r="H926" s="101">
        <v>62</v>
      </c>
      <c r="I926" s="101">
        <v>393</v>
      </c>
      <c r="J926" s="101">
        <v>1141</v>
      </c>
      <c r="K926" s="101">
        <v>1534</v>
      </c>
      <c r="L926" s="101">
        <v>43</v>
      </c>
      <c r="M926" s="101">
        <v>60</v>
      </c>
      <c r="N926" s="101">
        <v>146</v>
      </c>
      <c r="O926" s="101">
        <v>179</v>
      </c>
      <c r="P926" s="101">
        <v>1859</v>
      </c>
      <c r="Q926" s="101">
        <v>15846</v>
      </c>
      <c r="R926" s="12" t="s">
        <v>25</v>
      </c>
      <c r="S926" s="12" t="s">
        <v>25</v>
      </c>
      <c r="T926" s="12" t="s">
        <v>25</v>
      </c>
    </row>
    <row r="927" spans="1:20" x14ac:dyDescent="0.3">
      <c r="A927" s="13">
        <v>43929.708333333336</v>
      </c>
      <c r="B927" s="12" t="s">
        <v>22</v>
      </c>
      <c r="C927" s="101">
        <v>17</v>
      </c>
      <c r="D927" s="12" t="s">
        <v>43</v>
      </c>
      <c r="E927" s="101">
        <v>4063947052</v>
      </c>
      <c r="F927" s="101">
        <v>1580514834</v>
      </c>
      <c r="G927" s="101">
        <v>48</v>
      </c>
      <c r="H927" s="101">
        <v>17</v>
      </c>
      <c r="I927" s="101">
        <v>65</v>
      </c>
      <c r="J927" s="101">
        <v>205</v>
      </c>
      <c r="K927" s="101">
        <v>270</v>
      </c>
      <c r="L927" s="101">
        <v>5</v>
      </c>
      <c r="M927" s="101">
        <v>6</v>
      </c>
      <c r="N927" s="101">
        <v>13</v>
      </c>
      <c r="O927" s="101">
        <v>14</v>
      </c>
      <c r="P927" s="101">
        <v>297</v>
      </c>
      <c r="Q927" s="101">
        <v>3296</v>
      </c>
      <c r="R927" s="12" t="s">
        <v>25</v>
      </c>
      <c r="S927" s="12" t="s">
        <v>25</v>
      </c>
      <c r="T927" s="12" t="s">
        <v>25</v>
      </c>
    </row>
    <row r="928" spans="1:20" x14ac:dyDescent="0.3">
      <c r="A928" s="13">
        <v>43929.708333333336</v>
      </c>
      <c r="B928" s="12" t="s">
        <v>22</v>
      </c>
      <c r="C928" s="101">
        <v>4</v>
      </c>
      <c r="D928" s="12" t="s">
        <v>44</v>
      </c>
      <c r="E928" s="101">
        <v>4649933453</v>
      </c>
      <c r="F928" s="101">
        <v>1135662422</v>
      </c>
      <c r="G928" s="101">
        <v>268</v>
      </c>
      <c r="H928" s="101">
        <v>65</v>
      </c>
      <c r="I928" s="101">
        <v>333</v>
      </c>
      <c r="J928" s="101">
        <v>948</v>
      </c>
      <c r="K928" s="101">
        <v>1281</v>
      </c>
      <c r="L928" s="101">
        <v>-20</v>
      </c>
      <c r="M928" s="101">
        <v>24</v>
      </c>
      <c r="N928" s="101">
        <v>371</v>
      </c>
      <c r="O928" s="101">
        <v>183</v>
      </c>
      <c r="P928" s="101">
        <v>1835</v>
      </c>
      <c r="Q928" s="101">
        <v>18865</v>
      </c>
      <c r="R928" s="12" t="s">
        <v>25</v>
      </c>
      <c r="S928" s="12" t="s">
        <v>25</v>
      </c>
      <c r="T928" s="12" t="s">
        <v>25</v>
      </c>
    </row>
    <row r="929" spans="1:20" x14ac:dyDescent="0.3">
      <c r="A929" s="13">
        <v>43929.708333333336</v>
      </c>
      <c r="B929" s="12" t="s">
        <v>22</v>
      </c>
      <c r="C929" s="101">
        <v>18</v>
      </c>
      <c r="D929" s="12" t="s">
        <v>45</v>
      </c>
      <c r="E929" s="101">
        <v>3890597598</v>
      </c>
      <c r="F929" s="101">
        <v>1659440194</v>
      </c>
      <c r="G929" s="101">
        <v>170</v>
      </c>
      <c r="H929" s="101">
        <v>15</v>
      </c>
      <c r="I929" s="101">
        <v>185</v>
      </c>
      <c r="J929" s="101">
        <v>570</v>
      </c>
      <c r="K929" s="101">
        <v>755</v>
      </c>
      <c r="L929" s="101">
        <v>22</v>
      </c>
      <c r="M929" s="101">
        <v>26</v>
      </c>
      <c r="N929" s="101">
        <v>44</v>
      </c>
      <c r="O929" s="101">
        <v>60</v>
      </c>
      <c r="P929" s="101">
        <v>859</v>
      </c>
      <c r="Q929" s="101">
        <v>14977</v>
      </c>
      <c r="R929" s="12" t="s">
        <v>25</v>
      </c>
      <c r="S929" s="12" t="s">
        <v>25</v>
      </c>
      <c r="T929" s="12" t="s">
        <v>25</v>
      </c>
    </row>
    <row r="930" spans="1:20" x14ac:dyDescent="0.3">
      <c r="A930" s="13">
        <v>43929.708333333336</v>
      </c>
      <c r="B930" s="12" t="s">
        <v>22</v>
      </c>
      <c r="C930" s="101">
        <v>15</v>
      </c>
      <c r="D930" s="12" t="s">
        <v>46</v>
      </c>
      <c r="E930" s="101">
        <v>4083956555</v>
      </c>
      <c r="F930" s="101">
        <v>1425084984</v>
      </c>
      <c r="G930" s="101">
        <v>608</v>
      </c>
      <c r="H930" s="101">
        <v>97</v>
      </c>
      <c r="I930" s="101">
        <v>705</v>
      </c>
      <c r="J930" s="101">
        <v>2154</v>
      </c>
      <c r="K930" s="101">
        <v>2859</v>
      </c>
      <c r="L930" s="101">
        <v>94</v>
      </c>
      <c r="M930" s="101">
        <v>120</v>
      </c>
      <c r="N930" s="101">
        <v>188</v>
      </c>
      <c r="O930" s="101">
        <v>221</v>
      </c>
      <c r="P930" s="101">
        <v>3268</v>
      </c>
      <c r="Q930" s="101">
        <v>27784</v>
      </c>
      <c r="R930" s="12" t="s">
        <v>25</v>
      </c>
      <c r="S930" s="12" t="s">
        <v>25</v>
      </c>
      <c r="T930" s="12" t="s">
        <v>25</v>
      </c>
    </row>
    <row r="931" spans="1:20" x14ac:dyDescent="0.3">
      <c r="A931" s="13">
        <v>43929.708333333336</v>
      </c>
      <c r="B931" s="12" t="s">
        <v>22</v>
      </c>
      <c r="C931" s="101">
        <v>8</v>
      </c>
      <c r="D931" s="12" t="s">
        <v>96</v>
      </c>
      <c r="E931" s="101">
        <v>4449436681</v>
      </c>
      <c r="F931" s="101">
        <v>113417208</v>
      </c>
      <c r="G931" s="101">
        <v>3769</v>
      </c>
      <c r="H931" s="101">
        <v>361</v>
      </c>
      <c r="I931" s="101">
        <v>4130</v>
      </c>
      <c r="J931" s="101">
        <v>8980</v>
      </c>
      <c r="K931" s="101">
        <v>13110</v>
      </c>
      <c r="L931" s="101">
        <v>62</v>
      </c>
      <c r="M931" s="101">
        <v>409</v>
      </c>
      <c r="N931" s="101">
        <v>2890</v>
      </c>
      <c r="O931" s="101">
        <v>2234</v>
      </c>
      <c r="P931" s="101">
        <v>18234</v>
      </c>
      <c r="Q931" s="101">
        <v>78367</v>
      </c>
      <c r="R931" s="12" t="s">
        <v>25</v>
      </c>
      <c r="S931" s="12" t="s">
        <v>25</v>
      </c>
      <c r="T931" s="12" t="s">
        <v>25</v>
      </c>
    </row>
    <row r="932" spans="1:20" x14ac:dyDescent="0.3">
      <c r="A932" s="13">
        <v>43929.708333333336</v>
      </c>
      <c r="B932" s="12" t="s">
        <v>22</v>
      </c>
      <c r="C932" s="101">
        <v>6</v>
      </c>
      <c r="D932" s="12" t="s">
        <v>47</v>
      </c>
      <c r="E932" s="101">
        <v>456494354</v>
      </c>
      <c r="F932" s="101">
        <v>1376813649</v>
      </c>
      <c r="G932" s="101">
        <v>162</v>
      </c>
      <c r="H932" s="101">
        <v>41</v>
      </c>
      <c r="I932" s="101">
        <v>203</v>
      </c>
      <c r="J932" s="101">
        <v>1212</v>
      </c>
      <c r="K932" s="101">
        <v>1415</v>
      </c>
      <c r="L932" s="101">
        <v>36</v>
      </c>
      <c r="M932" s="101">
        <v>65</v>
      </c>
      <c r="N932" s="101">
        <v>634</v>
      </c>
      <c r="O932" s="101">
        <v>169</v>
      </c>
      <c r="P932" s="101">
        <v>2218</v>
      </c>
      <c r="Q932" s="101">
        <v>24798</v>
      </c>
      <c r="R932" s="12" t="s">
        <v>25</v>
      </c>
      <c r="S932" s="12" t="s">
        <v>25</v>
      </c>
      <c r="T932" s="12" t="s">
        <v>25</v>
      </c>
    </row>
    <row r="933" spans="1:20" x14ac:dyDescent="0.3">
      <c r="A933" s="13">
        <v>43929.708333333336</v>
      </c>
      <c r="B933" s="12" t="s">
        <v>22</v>
      </c>
      <c r="C933" s="101">
        <v>12</v>
      </c>
      <c r="D933" s="12" t="s">
        <v>48</v>
      </c>
      <c r="E933" s="101">
        <v>4189277044</v>
      </c>
      <c r="F933" s="101">
        <v>1248366722</v>
      </c>
      <c r="G933" s="101">
        <v>1241</v>
      </c>
      <c r="H933" s="101">
        <v>196</v>
      </c>
      <c r="I933" s="101">
        <v>1437</v>
      </c>
      <c r="J933" s="101">
        <v>2011</v>
      </c>
      <c r="K933" s="101">
        <v>3448</v>
      </c>
      <c r="L933" s="101">
        <v>83</v>
      </c>
      <c r="M933" s="101">
        <v>117</v>
      </c>
      <c r="N933" s="101">
        <v>574</v>
      </c>
      <c r="O933" s="101">
        <v>244</v>
      </c>
      <c r="P933" s="101">
        <v>4266</v>
      </c>
      <c r="Q933" s="101">
        <v>55113</v>
      </c>
      <c r="R933" s="12" t="s">
        <v>25</v>
      </c>
      <c r="S933" s="12" t="s">
        <v>25</v>
      </c>
      <c r="T933" s="12" t="s">
        <v>25</v>
      </c>
    </row>
    <row r="934" spans="1:20" x14ac:dyDescent="0.3">
      <c r="A934" s="13">
        <v>43929.708333333336</v>
      </c>
      <c r="B934" s="12" t="s">
        <v>22</v>
      </c>
      <c r="C934" s="101">
        <v>7</v>
      </c>
      <c r="D934" s="12" t="s">
        <v>49</v>
      </c>
      <c r="E934" s="101">
        <v>4441149315</v>
      </c>
      <c r="F934" s="101">
        <v>89326992</v>
      </c>
      <c r="G934" s="101">
        <v>1109</v>
      </c>
      <c r="H934" s="101">
        <v>153</v>
      </c>
      <c r="I934" s="101">
        <v>1262</v>
      </c>
      <c r="J934" s="101">
        <v>1983</v>
      </c>
      <c r="K934" s="101">
        <v>3245</v>
      </c>
      <c r="L934" s="101">
        <v>33</v>
      </c>
      <c r="M934" s="101">
        <v>149</v>
      </c>
      <c r="N934" s="101">
        <v>1007</v>
      </c>
      <c r="O934" s="101">
        <v>654</v>
      </c>
      <c r="P934" s="101">
        <v>4906</v>
      </c>
      <c r="Q934" s="101">
        <v>17521</v>
      </c>
      <c r="R934" s="12" t="s">
        <v>25</v>
      </c>
      <c r="S934" s="12" t="s">
        <v>25</v>
      </c>
      <c r="T934" s="12" t="s">
        <v>25</v>
      </c>
    </row>
    <row r="935" spans="1:20" x14ac:dyDescent="0.3">
      <c r="A935" s="13">
        <v>43929.708333333336</v>
      </c>
      <c r="B935" s="12" t="s">
        <v>22</v>
      </c>
      <c r="C935" s="101">
        <v>3</v>
      </c>
      <c r="D935" s="12" t="s">
        <v>50</v>
      </c>
      <c r="E935" s="101">
        <v>4546679409</v>
      </c>
      <c r="F935" s="101">
        <v>9190347404</v>
      </c>
      <c r="G935" s="101">
        <v>11719</v>
      </c>
      <c r="H935" s="101">
        <v>1257</v>
      </c>
      <c r="I935" s="101">
        <v>12976</v>
      </c>
      <c r="J935" s="101">
        <v>15569</v>
      </c>
      <c r="K935" s="101">
        <v>28545</v>
      </c>
      <c r="L935" s="101">
        <v>202</v>
      </c>
      <c r="M935" s="101">
        <v>1089</v>
      </c>
      <c r="N935" s="101">
        <v>15147</v>
      </c>
      <c r="O935" s="101">
        <v>9722</v>
      </c>
      <c r="P935" s="101">
        <v>53414</v>
      </c>
      <c r="Q935" s="101">
        <v>167557</v>
      </c>
      <c r="R935" s="12" t="s">
        <v>25</v>
      </c>
      <c r="S935" s="12" t="s">
        <v>25</v>
      </c>
      <c r="T935" s="12" t="s">
        <v>25</v>
      </c>
    </row>
    <row r="936" spans="1:20" x14ac:dyDescent="0.3">
      <c r="A936" s="13">
        <v>43929.708333333336</v>
      </c>
      <c r="B936" s="12" t="s">
        <v>22</v>
      </c>
      <c r="C936" s="101">
        <v>11</v>
      </c>
      <c r="D936" s="12" t="s">
        <v>51</v>
      </c>
      <c r="E936" s="101">
        <v>4361675973</v>
      </c>
      <c r="F936" s="101">
        <v>135188753</v>
      </c>
      <c r="G936" s="101">
        <v>974</v>
      </c>
      <c r="H936" s="101">
        <v>133</v>
      </c>
      <c r="I936" s="101">
        <v>1107</v>
      </c>
      <c r="J936" s="101">
        <v>2455</v>
      </c>
      <c r="K936" s="101">
        <v>3562</v>
      </c>
      <c r="L936" s="101">
        <v>-176</v>
      </c>
      <c r="M936" s="101">
        <v>149</v>
      </c>
      <c r="N936" s="101">
        <v>645</v>
      </c>
      <c r="O936" s="101">
        <v>652</v>
      </c>
      <c r="P936" s="101">
        <v>4859</v>
      </c>
      <c r="Q936" s="101">
        <v>17532</v>
      </c>
      <c r="R936" s="12" t="s">
        <v>25</v>
      </c>
      <c r="S936" s="12" t="s">
        <v>25</v>
      </c>
      <c r="T936" s="12" t="s">
        <v>25</v>
      </c>
    </row>
    <row r="937" spans="1:20" x14ac:dyDescent="0.3">
      <c r="A937" s="13">
        <v>43929.708333333336</v>
      </c>
      <c r="B937" s="12" t="s">
        <v>22</v>
      </c>
      <c r="C937" s="101">
        <v>14</v>
      </c>
      <c r="D937" s="12" t="s">
        <v>52</v>
      </c>
      <c r="E937" s="101">
        <v>4155774754</v>
      </c>
      <c r="F937" s="101">
        <v>1465916051</v>
      </c>
      <c r="G937" s="101">
        <v>30</v>
      </c>
      <c r="H937" s="101">
        <v>4</v>
      </c>
      <c r="I937" s="101">
        <v>34</v>
      </c>
      <c r="J937" s="101">
        <v>147</v>
      </c>
      <c r="K937" s="101">
        <v>181</v>
      </c>
      <c r="L937" s="101">
        <v>-4</v>
      </c>
      <c r="M937" s="101">
        <v>2</v>
      </c>
      <c r="N937" s="101">
        <v>32</v>
      </c>
      <c r="O937" s="101">
        <v>13</v>
      </c>
      <c r="P937" s="101">
        <v>226</v>
      </c>
      <c r="Q937" s="101">
        <v>2002</v>
      </c>
      <c r="R937" s="12" t="s">
        <v>25</v>
      </c>
      <c r="S937" s="12" t="s">
        <v>25</v>
      </c>
      <c r="T937" s="12" t="s">
        <v>25</v>
      </c>
    </row>
    <row r="938" spans="1:20" x14ac:dyDescent="0.3">
      <c r="A938" s="13">
        <v>43929.708333333336</v>
      </c>
      <c r="B938" s="12" t="s">
        <v>22</v>
      </c>
      <c r="C938" s="101">
        <v>1</v>
      </c>
      <c r="D938" s="12" t="s">
        <v>53</v>
      </c>
      <c r="E938" s="101">
        <v>450732745</v>
      </c>
      <c r="F938" s="101">
        <v>7680687483</v>
      </c>
      <c r="G938" s="101">
        <v>3493</v>
      </c>
      <c r="H938" s="101">
        <v>423</v>
      </c>
      <c r="I938" s="101">
        <v>3916</v>
      </c>
      <c r="J938" s="101">
        <v>7073</v>
      </c>
      <c r="K938" s="101">
        <v>10989</v>
      </c>
      <c r="L938" s="101">
        <v>285</v>
      </c>
      <c r="M938" s="101">
        <v>540</v>
      </c>
      <c r="N938" s="101">
        <v>1516</v>
      </c>
      <c r="O938" s="101">
        <v>1378</v>
      </c>
      <c r="P938" s="101">
        <v>13883</v>
      </c>
      <c r="Q938" s="101">
        <v>48495</v>
      </c>
      <c r="R938" s="12" t="s">
        <v>25</v>
      </c>
      <c r="S938" s="12" t="s">
        <v>25</v>
      </c>
      <c r="T938" s="12" t="s">
        <v>25</v>
      </c>
    </row>
    <row r="939" spans="1:20" x14ac:dyDescent="0.3">
      <c r="A939" s="13">
        <v>43929.708333333336</v>
      </c>
      <c r="B939" s="12" t="s">
        <v>22</v>
      </c>
      <c r="C939" s="101">
        <v>16</v>
      </c>
      <c r="D939" s="12" t="s">
        <v>54</v>
      </c>
      <c r="E939" s="101">
        <v>4112559576</v>
      </c>
      <c r="F939" s="101">
        <v>1686736689</v>
      </c>
      <c r="G939" s="101">
        <v>639</v>
      </c>
      <c r="H939" s="101">
        <v>90</v>
      </c>
      <c r="I939" s="101">
        <v>729</v>
      </c>
      <c r="J939" s="101">
        <v>1509</v>
      </c>
      <c r="K939" s="101">
        <v>2238</v>
      </c>
      <c r="L939" s="101">
        <v>101</v>
      </c>
      <c r="M939" s="101">
        <v>120</v>
      </c>
      <c r="N939" s="101">
        <v>177</v>
      </c>
      <c r="O939" s="101">
        <v>219</v>
      </c>
      <c r="P939" s="101">
        <v>2634</v>
      </c>
      <c r="Q939" s="101">
        <v>24493</v>
      </c>
      <c r="R939" s="12" t="s">
        <v>25</v>
      </c>
      <c r="S939" s="12" t="s">
        <v>25</v>
      </c>
      <c r="T939" s="12" t="s">
        <v>25</v>
      </c>
    </row>
    <row r="940" spans="1:20" x14ac:dyDescent="0.3">
      <c r="A940" s="13">
        <v>43929.708333333336</v>
      </c>
      <c r="B940" s="12" t="s">
        <v>22</v>
      </c>
      <c r="C940" s="101">
        <v>20</v>
      </c>
      <c r="D940" s="12" t="s">
        <v>55</v>
      </c>
      <c r="E940" s="101">
        <v>3921531192</v>
      </c>
      <c r="F940" s="101">
        <v>9110616306</v>
      </c>
      <c r="G940" s="101">
        <v>112</v>
      </c>
      <c r="H940" s="101">
        <v>31</v>
      </c>
      <c r="I940" s="101">
        <v>143</v>
      </c>
      <c r="J940" s="101">
        <v>697</v>
      </c>
      <c r="K940" s="101">
        <v>840</v>
      </c>
      <c r="L940" s="101">
        <v>19</v>
      </c>
      <c r="M940" s="101">
        <v>40</v>
      </c>
      <c r="N940" s="101">
        <v>76</v>
      </c>
      <c r="O940" s="101">
        <v>59</v>
      </c>
      <c r="P940" s="101">
        <v>975</v>
      </c>
      <c r="Q940" s="101">
        <v>8493</v>
      </c>
      <c r="R940" s="12" t="s">
        <v>25</v>
      </c>
      <c r="S940" s="12" t="s">
        <v>25</v>
      </c>
      <c r="T940" s="12" t="s">
        <v>25</v>
      </c>
    </row>
    <row r="941" spans="1:20" x14ac:dyDescent="0.3">
      <c r="A941" s="13">
        <v>43929.708333333336</v>
      </c>
      <c r="B941" s="12" t="s">
        <v>22</v>
      </c>
      <c r="C941" s="101">
        <v>19</v>
      </c>
      <c r="D941" s="12" t="s">
        <v>56</v>
      </c>
      <c r="E941" s="101">
        <v>3811569725</v>
      </c>
      <c r="F941" s="101">
        <v>133623567</v>
      </c>
      <c r="G941" s="101">
        <v>563</v>
      </c>
      <c r="H941" s="101">
        <v>65</v>
      </c>
      <c r="I941" s="101">
        <v>628</v>
      </c>
      <c r="J941" s="101">
        <v>1265</v>
      </c>
      <c r="K941" s="101">
        <v>1893</v>
      </c>
      <c r="L941" s="101">
        <v>34</v>
      </c>
      <c r="M941" s="101">
        <v>62</v>
      </c>
      <c r="N941" s="101">
        <v>133</v>
      </c>
      <c r="O941" s="101">
        <v>133</v>
      </c>
      <c r="P941" s="101">
        <v>2159</v>
      </c>
      <c r="Q941" s="101">
        <v>27438</v>
      </c>
      <c r="R941" s="12" t="s">
        <v>25</v>
      </c>
      <c r="S941" s="12" t="s">
        <v>25</v>
      </c>
      <c r="T941" s="12" t="s">
        <v>25</v>
      </c>
    </row>
    <row r="942" spans="1:20" x14ac:dyDescent="0.3">
      <c r="A942" s="13">
        <v>43929.708333333336</v>
      </c>
      <c r="B942" s="12" t="s">
        <v>22</v>
      </c>
      <c r="C942" s="101">
        <v>9</v>
      </c>
      <c r="D942" s="12" t="s">
        <v>57</v>
      </c>
      <c r="E942" s="101">
        <v>4376923077</v>
      </c>
      <c r="F942" s="101">
        <v>1125588885</v>
      </c>
      <c r="G942" s="101">
        <v>1066</v>
      </c>
      <c r="H942" s="101">
        <v>260</v>
      </c>
      <c r="I942" s="101">
        <v>1326</v>
      </c>
      <c r="J942" s="101">
        <v>4231</v>
      </c>
      <c r="K942" s="101">
        <v>5557</v>
      </c>
      <c r="L942" s="101">
        <v>130</v>
      </c>
      <c r="M942" s="101">
        <v>206</v>
      </c>
      <c r="N942" s="101">
        <v>430</v>
      </c>
      <c r="O942" s="101">
        <v>392</v>
      </c>
      <c r="P942" s="101">
        <v>6379</v>
      </c>
      <c r="Q942" s="101">
        <v>60985</v>
      </c>
      <c r="R942" s="12" t="s">
        <v>25</v>
      </c>
      <c r="S942" s="12" t="s">
        <v>25</v>
      </c>
      <c r="T942" s="12" t="s">
        <v>25</v>
      </c>
    </row>
    <row r="943" spans="1:20" x14ac:dyDescent="0.3">
      <c r="A943" s="13">
        <v>43929.708333333336</v>
      </c>
      <c r="B943" s="12" t="s">
        <v>22</v>
      </c>
      <c r="C943" s="101">
        <v>4</v>
      </c>
      <c r="D943" s="12" t="s">
        <v>58</v>
      </c>
      <c r="E943" s="101">
        <v>4606893511</v>
      </c>
      <c r="F943" s="101">
        <v>1112123097</v>
      </c>
      <c r="G943" s="101">
        <v>354</v>
      </c>
      <c r="H943" s="101">
        <v>77</v>
      </c>
      <c r="I943" s="101">
        <v>431</v>
      </c>
      <c r="J943" s="101">
        <v>1509</v>
      </c>
      <c r="K943" s="101">
        <v>1940</v>
      </c>
      <c r="L943" s="101">
        <v>50</v>
      </c>
      <c r="M943" s="101">
        <v>126</v>
      </c>
      <c r="N943" s="101">
        <v>407</v>
      </c>
      <c r="O943" s="101">
        <v>255</v>
      </c>
      <c r="P943" s="101">
        <v>2602</v>
      </c>
      <c r="Q943" s="101">
        <v>13258</v>
      </c>
      <c r="R943" s="12" t="s">
        <v>25</v>
      </c>
      <c r="S943" s="12" t="s">
        <v>25</v>
      </c>
      <c r="T943" s="12" t="s">
        <v>25</v>
      </c>
    </row>
    <row r="944" spans="1:20" x14ac:dyDescent="0.3">
      <c r="A944" s="13">
        <v>43929.708333333336</v>
      </c>
      <c r="B944" s="12" t="s">
        <v>22</v>
      </c>
      <c r="C944" s="101">
        <v>10</v>
      </c>
      <c r="D944" s="12" t="s">
        <v>59</v>
      </c>
      <c r="E944" s="101">
        <v>4310675841</v>
      </c>
      <c r="F944" s="101">
        <v>1238824698</v>
      </c>
      <c r="G944" s="101">
        <v>155</v>
      </c>
      <c r="H944" s="101">
        <v>41</v>
      </c>
      <c r="I944" s="101">
        <v>196</v>
      </c>
      <c r="J944" s="101">
        <v>627</v>
      </c>
      <c r="K944" s="101">
        <v>823</v>
      </c>
      <c r="L944" s="101">
        <v>-23</v>
      </c>
      <c r="M944" s="101">
        <v>26</v>
      </c>
      <c r="N944" s="101">
        <v>416</v>
      </c>
      <c r="O944" s="101">
        <v>50</v>
      </c>
      <c r="P944" s="101">
        <v>1289</v>
      </c>
      <c r="Q944" s="101">
        <v>14105</v>
      </c>
      <c r="R944" s="12" t="s">
        <v>25</v>
      </c>
      <c r="S944" s="12" t="s">
        <v>25</v>
      </c>
      <c r="T944" s="12" t="s">
        <v>25</v>
      </c>
    </row>
    <row r="945" spans="1:20" x14ac:dyDescent="0.3">
      <c r="A945" s="13">
        <v>43929.708333333336</v>
      </c>
      <c r="B945" s="12" t="s">
        <v>22</v>
      </c>
      <c r="C945" s="101">
        <v>2</v>
      </c>
      <c r="D945" s="12" t="s">
        <v>60</v>
      </c>
      <c r="E945" s="101">
        <v>4573750286</v>
      </c>
      <c r="F945" s="101">
        <v>7320149366</v>
      </c>
      <c r="G945" s="101">
        <v>120</v>
      </c>
      <c r="H945" s="101">
        <v>20</v>
      </c>
      <c r="I945" s="101">
        <v>140</v>
      </c>
      <c r="J945" s="101">
        <v>466</v>
      </c>
      <c r="K945" s="101">
        <v>606</v>
      </c>
      <c r="L945" s="101">
        <v>13</v>
      </c>
      <c r="M945" s="101">
        <v>15</v>
      </c>
      <c r="N945" s="101">
        <v>142</v>
      </c>
      <c r="O945" s="101">
        <v>102</v>
      </c>
      <c r="P945" s="101">
        <v>850</v>
      </c>
      <c r="Q945" s="101">
        <v>2953</v>
      </c>
      <c r="R945" s="12" t="s">
        <v>25</v>
      </c>
      <c r="S945" s="12" t="s">
        <v>25</v>
      </c>
      <c r="T945" s="12" t="s">
        <v>25</v>
      </c>
    </row>
    <row r="946" spans="1:20" x14ac:dyDescent="0.3">
      <c r="A946" s="13">
        <v>43929.708333333336</v>
      </c>
      <c r="B946" s="12" t="s">
        <v>22</v>
      </c>
      <c r="C946" s="101">
        <v>5</v>
      </c>
      <c r="D946" s="12" t="s">
        <v>61</v>
      </c>
      <c r="E946" s="101">
        <v>4543490485</v>
      </c>
      <c r="F946" s="101">
        <v>1233845213</v>
      </c>
      <c r="G946" s="101">
        <v>1554</v>
      </c>
      <c r="H946" s="101">
        <v>285</v>
      </c>
      <c r="I946" s="101">
        <v>1839</v>
      </c>
      <c r="J946" s="101">
        <v>8332</v>
      </c>
      <c r="K946" s="101">
        <v>10171</v>
      </c>
      <c r="L946" s="101">
        <v>206</v>
      </c>
      <c r="M946" s="101">
        <v>485</v>
      </c>
      <c r="N946" s="101">
        <v>1503</v>
      </c>
      <c r="O946" s="101">
        <v>736</v>
      </c>
      <c r="P946" s="101">
        <v>12410</v>
      </c>
      <c r="Q946" s="101">
        <v>163247</v>
      </c>
      <c r="R946" s="12" t="s">
        <v>25</v>
      </c>
      <c r="S946" s="12" t="s">
        <v>25</v>
      </c>
      <c r="T946" s="12" t="s">
        <v>25</v>
      </c>
    </row>
    <row r="947" spans="1:20" x14ac:dyDescent="0.3">
      <c r="A947" s="13">
        <v>43930.708333333336</v>
      </c>
      <c r="B947" s="12" t="s">
        <v>22</v>
      </c>
      <c r="C947" s="101">
        <v>13</v>
      </c>
      <c r="D947" s="12" t="s">
        <v>42</v>
      </c>
      <c r="E947" s="101">
        <v>4235122196</v>
      </c>
      <c r="F947" s="101">
        <v>1339843823</v>
      </c>
      <c r="G947" s="101">
        <v>306</v>
      </c>
      <c r="H947" s="101">
        <v>57</v>
      </c>
      <c r="I947" s="101">
        <v>363</v>
      </c>
      <c r="J947" s="101">
        <v>1203</v>
      </c>
      <c r="K947" s="101">
        <v>1566</v>
      </c>
      <c r="L947" s="101">
        <v>32</v>
      </c>
      <c r="M947" s="101">
        <v>72</v>
      </c>
      <c r="N947" s="101">
        <v>171</v>
      </c>
      <c r="O947" s="101">
        <v>194</v>
      </c>
      <c r="P947" s="101">
        <v>1931</v>
      </c>
      <c r="Q947" s="101">
        <v>16847</v>
      </c>
      <c r="R947" s="12" t="s">
        <v>25</v>
      </c>
      <c r="S947" s="12" t="s">
        <v>25</v>
      </c>
      <c r="T947" s="12" t="s">
        <v>25</v>
      </c>
    </row>
    <row r="948" spans="1:20" x14ac:dyDescent="0.3">
      <c r="A948" s="13">
        <v>43930.708333333336</v>
      </c>
      <c r="B948" s="12" t="s">
        <v>22</v>
      </c>
      <c r="C948" s="101">
        <v>17</v>
      </c>
      <c r="D948" s="12" t="s">
        <v>43</v>
      </c>
      <c r="E948" s="101">
        <v>4063947052</v>
      </c>
      <c r="F948" s="101">
        <v>1580514834</v>
      </c>
      <c r="G948" s="101">
        <v>50</v>
      </c>
      <c r="H948" s="101">
        <v>17</v>
      </c>
      <c r="I948" s="101">
        <v>67</v>
      </c>
      <c r="J948" s="101">
        <v>208</v>
      </c>
      <c r="K948" s="101">
        <v>275</v>
      </c>
      <c r="L948" s="101">
        <v>5</v>
      </c>
      <c r="M948" s="101">
        <v>6</v>
      </c>
      <c r="N948" s="101">
        <v>13</v>
      </c>
      <c r="O948" s="101">
        <v>15</v>
      </c>
      <c r="P948" s="101">
        <v>303</v>
      </c>
      <c r="Q948" s="101">
        <v>3474</v>
      </c>
      <c r="R948" s="12" t="s">
        <v>25</v>
      </c>
      <c r="S948" s="12" t="s">
        <v>25</v>
      </c>
      <c r="T948" s="12" t="s">
        <v>25</v>
      </c>
    </row>
    <row r="949" spans="1:20" x14ac:dyDescent="0.3">
      <c r="A949" s="13">
        <v>43930.708333333336</v>
      </c>
      <c r="B949" s="12" t="s">
        <v>22</v>
      </c>
      <c r="C949" s="101">
        <v>4</v>
      </c>
      <c r="D949" s="12" t="s">
        <v>44</v>
      </c>
      <c r="E949" s="101">
        <v>4649933453</v>
      </c>
      <c r="F949" s="101">
        <v>1135662422</v>
      </c>
      <c r="G949" s="101">
        <v>263</v>
      </c>
      <c r="H949" s="101">
        <v>64</v>
      </c>
      <c r="I949" s="101">
        <v>327</v>
      </c>
      <c r="J949" s="101">
        <v>988</v>
      </c>
      <c r="K949" s="101">
        <v>1315</v>
      </c>
      <c r="L949" s="101">
        <v>34</v>
      </c>
      <c r="M949" s="101">
        <v>68</v>
      </c>
      <c r="N949" s="101">
        <v>401</v>
      </c>
      <c r="O949" s="101">
        <v>187</v>
      </c>
      <c r="P949" s="101">
        <v>1903</v>
      </c>
      <c r="Q949" s="101">
        <v>19875</v>
      </c>
      <c r="R949" s="12" t="s">
        <v>25</v>
      </c>
      <c r="S949" s="12" t="s">
        <v>25</v>
      </c>
      <c r="T949" s="12" t="s">
        <v>25</v>
      </c>
    </row>
    <row r="950" spans="1:20" x14ac:dyDescent="0.3">
      <c r="A950" s="13">
        <v>43930.708333333336</v>
      </c>
      <c r="B950" s="12" t="s">
        <v>22</v>
      </c>
      <c r="C950" s="101">
        <v>18</v>
      </c>
      <c r="D950" s="12" t="s">
        <v>45</v>
      </c>
      <c r="E950" s="101">
        <v>3890597598</v>
      </c>
      <c r="F950" s="101">
        <v>1659440194</v>
      </c>
      <c r="G950" s="101">
        <v>168</v>
      </c>
      <c r="H950" s="101">
        <v>15</v>
      </c>
      <c r="I950" s="101">
        <v>183</v>
      </c>
      <c r="J950" s="101">
        <v>582</v>
      </c>
      <c r="K950" s="101">
        <v>765</v>
      </c>
      <c r="L950" s="101">
        <v>10</v>
      </c>
      <c r="M950" s="101">
        <v>15</v>
      </c>
      <c r="N950" s="101">
        <v>48</v>
      </c>
      <c r="O950" s="101">
        <v>61</v>
      </c>
      <c r="P950" s="101">
        <v>874</v>
      </c>
      <c r="Q950" s="101">
        <v>15698</v>
      </c>
      <c r="R950" s="12" t="s">
        <v>25</v>
      </c>
      <c r="S950" s="12" t="s">
        <v>25</v>
      </c>
      <c r="T950" s="12" t="s">
        <v>25</v>
      </c>
    </row>
    <row r="951" spans="1:20" x14ac:dyDescent="0.3">
      <c r="A951" s="13">
        <v>43930.708333333336</v>
      </c>
      <c r="B951" s="12" t="s">
        <v>22</v>
      </c>
      <c r="C951" s="101">
        <v>15</v>
      </c>
      <c r="D951" s="12" t="s">
        <v>46</v>
      </c>
      <c r="E951" s="101">
        <v>4083956555</v>
      </c>
      <c r="F951" s="101">
        <v>1425084984</v>
      </c>
      <c r="G951" s="101">
        <v>604</v>
      </c>
      <c r="H951" s="101">
        <v>94</v>
      </c>
      <c r="I951" s="101">
        <v>698</v>
      </c>
      <c r="J951" s="101">
        <v>2175</v>
      </c>
      <c r="K951" s="101">
        <v>2873</v>
      </c>
      <c r="L951" s="101">
        <v>14</v>
      </c>
      <c r="M951" s="101">
        <v>76</v>
      </c>
      <c r="N951" s="101">
        <v>244</v>
      </c>
      <c r="O951" s="101">
        <v>227</v>
      </c>
      <c r="P951" s="101">
        <v>3344</v>
      </c>
      <c r="Q951" s="101">
        <v>29664</v>
      </c>
      <c r="R951" s="12" t="s">
        <v>25</v>
      </c>
      <c r="S951" s="12" t="s">
        <v>25</v>
      </c>
      <c r="T951" s="12" t="s">
        <v>25</v>
      </c>
    </row>
    <row r="952" spans="1:20" x14ac:dyDescent="0.3">
      <c r="A952" s="13">
        <v>43930.708333333336</v>
      </c>
      <c r="B952" s="12" t="s">
        <v>22</v>
      </c>
      <c r="C952" s="101">
        <v>8</v>
      </c>
      <c r="D952" s="12" t="s">
        <v>96</v>
      </c>
      <c r="E952" s="101">
        <v>4449436681</v>
      </c>
      <c r="F952" s="101">
        <v>113417208</v>
      </c>
      <c r="G952" s="101">
        <v>3722</v>
      </c>
      <c r="H952" s="101">
        <v>355</v>
      </c>
      <c r="I952" s="101">
        <v>4077</v>
      </c>
      <c r="J952" s="101">
        <v>9181</v>
      </c>
      <c r="K952" s="101">
        <v>13258</v>
      </c>
      <c r="L952" s="101">
        <v>148</v>
      </c>
      <c r="M952" s="101">
        <v>443</v>
      </c>
      <c r="N952" s="101">
        <v>3103</v>
      </c>
      <c r="O952" s="101">
        <v>2316</v>
      </c>
      <c r="P952" s="101">
        <v>18677</v>
      </c>
      <c r="Q952" s="101">
        <v>81715</v>
      </c>
      <c r="R952" s="12" t="s">
        <v>25</v>
      </c>
      <c r="S952" s="12" t="s">
        <v>25</v>
      </c>
      <c r="T952" s="12" t="s">
        <v>25</v>
      </c>
    </row>
    <row r="953" spans="1:20" x14ac:dyDescent="0.3">
      <c r="A953" s="13">
        <v>43930.708333333336</v>
      </c>
      <c r="B953" s="12" t="s">
        <v>22</v>
      </c>
      <c r="C953" s="101">
        <v>6</v>
      </c>
      <c r="D953" s="12" t="s">
        <v>47</v>
      </c>
      <c r="E953" s="101">
        <v>456494354</v>
      </c>
      <c r="F953" s="101">
        <v>1376813649</v>
      </c>
      <c r="G953" s="101">
        <v>167</v>
      </c>
      <c r="H953" s="101">
        <v>37</v>
      </c>
      <c r="I953" s="101">
        <v>204</v>
      </c>
      <c r="J953" s="101">
        <v>1186</v>
      </c>
      <c r="K953" s="101">
        <v>1390</v>
      </c>
      <c r="L953" s="101">
        <v>-25</v>
      </c>
      <c r="M953" s="101">
        <v>81</v>
      </c>
      <c r="N953" s="101">
        <v>738</v>
      </c>
      <c r="O953" s="101">
        <v>171</v>
      </c>
      <c r="P953" s="101">
        <v>2299</v>
      </c>
      <c r="Q953" s="101">
        <v>26205</v>
      </c>
      <c r="R953" s="12" t="s">
        <v>25</v>
      </c>
      <c r="S953" s="12" t="s">
        <v>25</v>
      </c>
      <c r="T953" s="12" t="s">
        <v>25</v>
      </c>
    </row>
    <row r="954" spans="1:20" x14ac:dyDescent="0.3">
      <c r="A954" s="13">
        <v>43930.708333333336</v>
      </c>
      <c r="B954" s="12" t="s">
        <v>22</v>
      </c>
      <c r="C954" s="101">
        <v>12</v>
      </c>
      <c r="D954" s="12" t="s">
        <v>48</v>
      </c>
      <c r="E954" s="101">
        <v>4189277044</v>
      </c>
      <c r="F954" s="101">
        <v>1248366722</v>
      </c>
      <c r="G954" s="101">
        <v>1244</v>
      </c>
      <c r="H954" s="101">
        <v>198</v>
      </c>
      <c r="I954" s="101">
        <v>1442</v>
      </c>
      <c r="J954" s="101">
        <v>2090</v>
      </c>
      <c r="K954" s="101">
        <v>3532</v>
      </c>
      <c r="L954" s="101">
        <v>84</v>
      </c>
      <c r="M954" s="101">
        <v>163</v>
      </c>
      <c r="N954" s="101">
        <v>644</v>
      </c>
      <c r="O954" s="101">
        <v>253</v>
      </c>
      <c r="P954" s="101">
        <v>4429</v>
      </c>
      <c r="Q954" s="101">
        <v>58107</v>
      </c>
      <c r="R954" s="12" t="s">
        <v>25</v>
      </c>
      <c r="S954" s="12" t="s">
        <v>25</v>
      </c>
      <c r="T954" s="12" t="s">
        <v>25</v>
      </c>
    </row>
    <row r="955" spans="1:20" x14ac:dyDescent="0.3">
      <c r="A955" s="13">
        <v>43930.708333333336</v>
      </c>
      <c r="B955" s="12" t="s">
        <v>22</v>
      </c>
      <c r="C955" s="101">
        <v>7</v>
      </c>
      <c r="D955" s="12" t="s">
        <v>49</v>
      </c>
      <c r="E955" s="101">
        <v>4441149315</v>
      </c>
      <c r="F955" s="101">
        <v>89326992</v>
      </c>
      <c r="G955" s="101">
        <v>1103</v>
      </c>
      <c r="H955" s="101">
        <v>154</v>
      </c>
      <c r="I955" s="101">
        <v>1257</v>
      </c>
      <c r="J955" s="101">
        <v>1996</v>
      </c>
      <c r="K955" s="101">
        <v>3253</v>
      </c>
      <c r="L955" s="101">
        <v>8</v>
      </c>
      <c r="M955" s="101">
        <v>114</v>
      </c>
      <c r="N955" s="101">
        <v>1085</v>
      </c>
      <c r="O955" s="101">
        <v>682</v>
      </c>
      <c r="P955" s="101">
        <v>5020</v>
      </c>
      <c r="Q955" s="101">
        <v>18446</v>
      </c>
      <c r="R955" s="12" t="s">
        <v>25</v>
      </c>
      <c r="S955" s="12" t="s">
        <v>25</v>
      </c>
      <c r="T955" s="12" t="s">
        <v>25</v>
      </c>
    </row>
    <row r="956" spans="1:20" x14ac:dyDescent="0.3">
      <c r="A956" s="13">
        <v>43930.708333333336</v>
      </c>
      <c r="B956" s="12" t="s">
        <v>22</v>
      </c>
      <c r="C956" s="101">
        <v>3</v>
      </c>
      <c r="D956" s="12" t="s">
        <v>50</v>
      </c>
      <c r="E956" s="101">
        <v>4546679409</v>
      </c>
      <c r="F956" s="101">
        <v>9190347404</v>
      </c>
      <c r="G956" s="101">
        <v>11796</v>
      </c>
      <c r="H956" s="101">
        <v>1236</v>
      </c>
      <c r="I956" s="101">
        <v>13032</v>
      </c>
      <c r="J956" s="101">
        <v>16042</v>
      </c>
      <c r="K956" s="101">
        <v>29074</v>
      </c>
      <c r="L956" s="101">
        <v>529</v>
      </c>
      <c r="M956" s="101">
        <v>1388</v>
      </c>
      <c r="N956" s="101">
        <v>15706</v>
      </c>
      <c r="O956" s="101">
        <v>10022</v>
      </c>
      <c r="P956" s="101">
        <v>54802</v>
      </c>
      <c r="Q956" s="101">
        <v>176953</v>
      </c>
      <c r="R956" s="12" t="s">
        <v>25</v>
      </c>
      <c r="S956" s="12" t="s">
        <v>25</v>
      </c>
      <c r="T956" s="12" t="s">
        <v>25</v>
      </c>
    </row>
    <row r="957" spans="1:20" x14ac:dyDescent="0.3">
      <c r="A957" s="13">
        <v>43930.708333333336</v>
      </c>
      <c r="B957" s="12" t="s">
        <v>22</v>
      </c>
      <c r="C957" s="101">
        <v>11</v>
      </c>
      <c r="D957" s="12" t="s">
        <v>51</v>
      </c>
      <c r="E957" s="101">
        <v>4361675973</v>
      </c>
      <c r="F957" s="101">
        <v>135188753</v>
      </c>
      <c r="G957" s="101">
        <v>945</v>
      </c>
      <c r="H957" s="101">
        <v>133</v>
      </c>
      <c r="I957" s="101">
        <v>1078</v>
      </c>
      <c r="J957" s="101">
        <v>2323</v>
      </c>
      <c r="K957" s="101">
        <v>3401</v>
      </c>
      <c r="L957" s="101">
        <v>-161</v>
      </c>
      <c r="M957" s="101">
        <v>96</v>
      </c>
      <c r="N957" s="101">
        <v>885</v>
      </c>
      <c r="O957" s="101">
        <v>669</v>
      </c>
      <c r="P957" s="101">
        <v>4955</v>
      </c>
      <c r="Q957" s="101">
        <v>18194</v>
      </c>
      <c r="R957" s="12" t="s">
        <v>25</v>
      </c>
      <c r="S957" s="12" t="s">
        <v>25</v>
      </c>
      <c r="T957" s="12" t="s">
        <v>25</v>
      </c>
    </row>
    <row r="958" spans="1:20" x14ac:dyDescent="0.3">
      <c r="A958" s="13">
        <v>43930.708333333336</v>
      </c>
      <c r="B958" s="12" t="s">
        <v>22</v>
      </c>
      <c r="C958" s="101">
        <v>14</v>
      </c>
      <c r="D958" s="12" t="s">
        <v>52</v>
      </c>
      <c r="E958" s="101">
        <v>4155774754</v>
      </c>
      <c r="F958" s="101">
        <v>1465916051</v>
      </c>
      <c r="G958" s="101">
        <v>30</v>
      </c>
      <c r="H958" s="101">
        <v>4</v>
      </c>
      <c r="I958" s="101">
        <v>34</v>
      </c>
      <c r="J958" s="101">
        <v>155</v>
      </c>
      <c r="K958" s="101">
        <v>189</v>
      </c>
      <c r="L958" s="101">
        <v>8</v>
      </c>
      <c r="M958" s="101">
        <v>8</v>
      </c>
      <c r="N958" s="101">
        <v>32</v>
      </c>
      <c r="O958" s="101">
        <v>13</v>
      </c>
      <c r="P958" s="101">
        <v>234</v>
      </c>
      <c r="Q958" s="101">
        <v>2069</v>
      </c>
      <c r="R958" s="12" t="s">
        <v>25</v>
      </c>
      <c r="S958" s="12" t="s">
        <v>25</v>
      </c>
      <c r="T958" s="12" t="s">
        <v>25</v>
      </c>
    </row>
    <row r="959" spans="1:20" x14ac:dyDescent="0.3">
      <c r="A959" s="13">
        <v>43930.708333333336</v>
      </c>
      <c r="B959" s="12" t="s">
        <v>22</v>
      </c>
      <c r="C959" s="101">
        <v>1</v>
      </c>
      <c r="D959" s="12" t="s">
        <v>53</v>
      </c>
      <c r="E959" s="101">
        <v>450732745</v>
      </c>
      <c r="F959" s="101">
        <v>7680687483</v>
      </c>
      <c r="G959" s="101">
        <v>3514</v>
      </c>
      <c r="H959" s="101">
        <v>412</v>
      </c>
      <c r="I959" s="101">
        <v>3926</v>
      </c>
      <c r="J959" s="101">
        <v>7410</v>
      </c>
      <c r="K959" s="101">
        <v>11336</v>
      </c>
      <c r="L959" s="101">
        <v>347</v>
      </c>
      <c r="M959" s="101">
        <v>639</v>
      </c>
      <c r="N959" s="101">
        <v>1732</v>
      </c>
      <c r="O959" s="101">
        <v>1454</v>
      </c>
      <c r="P959" s="101">
        <v>14522</v>
      </c>
      <c r="Q959" s="101">
        <v>52807</v>
      </c>
      <c r="R959" s="12" t="s">
        <v>25</v>
      </c>
      <c r="S959" s="12" t="s">
        <v>25</v>
      </c>
      <c r="T959" s="12" t="s">
        <v>25</v>
      </c>
    </row>
    <row r="960" spans="1:20" x14ac:dyDescent="0.3">
      <c r="A960" s="13">
        <v>43930.708333333336</v>
      </c>
      <c r="B960" s="12" t="s">
        <v>22</v>
      </c>
      <c r="C960" s="101">
        <v>16</v>
      </c>
      <c r="D960" s="12" t="s">
        <v>54</v>
      </c>
      <c r="E960" s="101">
        <v>4112559576</v>
      </c>
      <c r="F960" s="101">
        <v>1686736689</v>
      </c>
      <c r="G960" s="101">
        <v>630</v>
      </c>
      <c r="H960" s="101">
        <v>86</v>
      </c>
      <c r="I960" s="101">
        <v>716</v>
      </c>
      <c r="J960" s="101">
        <v>1585</v>
      </c>
      <c r="K960" s="101">
        <v>2301</v>
      </c>
      <c r="L960" s="101">
        <v>63</v>
      </c>
      <c r="M960" s="101">
        <v>82</v>
      </c>
      <c r="N960" s="101">
        <v>190</v>
      </c>
      <c r="O960" s="101">
        <v>225</v>
      </c>
      <c r="P960" s="101">
        <v>2716</v>
      </c>
      <c r="Q960" s="101">
        <v>26088</v>
      </c>
      <c r="R960" s="12" t="s">
        <v>25</v>
      </c>
      <c r="S960" s="12" t="s">
        <v>25</v>
      </c>
      <c r="T960" s="12" t="s">
        <v>25</v>
      </c>
    </row>
    <row r="961" spans="1:20" x14ac:dyDescent="0.3">
      <c r="A961" s="13">
        <v>43930.708333333336</v>
      </c>
      <c r="B961" s="12" t="s">
        <v>22</v>
      </c>
      <c r="C961" s="101">
        <v>20</v>
      </c>
      <c r="D961" s="12" t="s">
        <v>55</v>
      </c>
      <c r="E961" s="101">
        <v>3921531192</v>
      </c>
      <c r="F961" s="101">
        <v>9110616306</v>
      </c>
      <c r="G961" s="101">
        <v>106</v>
      </c>
      <c r="H961" s="101">
        <v>25</v>
      </c>
      <c r="I961" s="101">
        <v>131</v>
      </c>
      <c r="J961" s="101">
        <v>745</v>
      </c>
      <c r="K961" s="101">
        <v>876</v>
      </c>
      <c r="L961" s="101">
        <v>36</v>
      </c>
      <c r="M961" s="101">
        <v>51</v>
      </c>
      <c r="N961" s="101">
        <v>86</v>
      </c>
      <c r="O961" s="101">
        <v>64</v>
      </c>
      <c r="P961" s="101">
        <v>1026</v>
      </c>
      <c r="Q961" s="101">
        <v>8918</v>
      </c>
      <c r="R961" s="12" t="s">
        <v>25</v>
      </c>
      <c r="S961" s="12" t="s">
        <v>25</v>
      </c>
      <c r="T961" s="12" t="s">
        <v>25</v>
      </c>
    </row>
    <row r="962" spans="1:20" x14ac:dyDescent="0.3">
      <c r="A962" s="13">
        <v>43930.708333333336</v>
      </c>
      <c r="B962" s="12" t="s">
        <v>22</v>
      </c>
      <c r="C962" s="101">
        <v>19</v>
      </c>
      <c r="D962" s="12" t="s">
        <v>56</v>
      </c>
      <c r="E962" s="101">
        <v>3811569725</v>
      </c>
      <c r="F962" s="101">
        <v>133623567</v>
      </c>
      <c r="G962" s="101">
        <v>566</v>
      </c>
      <c r="H962" s="101">
        <v>63</v>
      </c>
      <c r="I962" s="101">
        <v>629</v>
      </c>
      <c r="J962" s="101">
        <v>1313</v>
      </c>
      <c r="K962" s="101">
        <v>1942</v>
      </c>
      <c r="L962" s="101">
        <v>49</v>
      </c>
      <c r="M962" s="101">
        <v>73</v>
      </c>
      <c r="N962" s="101">
        <v>152</v>
      </c>
      <c r="O962" s="101">
        <v>138</v>
      </c>
      <c r="P962" s="101">
        <v>2232</v>
      </c>
      <c r="Q962" s="101">
        <v>28742</v>
      </c>
      <c r="R962" s="12" t="s">
        <v>25</v>
      </c>
      <c r="S962" s="12" t="s">
        <v>25</v>
      </c>
      <c r="T962" s="12" t="s">
        <v>25</v>
      </c>
    </row>
    <row r="963" spans="1:20" x14ac:dyDescent="0.3">
      <c r="A963" s="13">
        <v>43930.708333333336</v>
      </c>
      <c r="B963" s="12" t="s">
        <v>22</v>
      </c>
      <c r="C963" s="101">
        <v>9</v>
      </c>
      <c r="D963" s="12" t="s">
        <v>57</v>
      </c>
      <c r="E963" s="101">
        <v>4376923077</v>
      </c>
      <c r="F963" s="101">
        <v>1125588885</v>
      </c>
      <c r="G963" s="101">
        <v>1038</v>
      </c>
      <c r="H963" s="101">
        <v>256</v>
      </c>
      <c r="I963" s="101">
        <v>1294</v>
      </c>
      <c r="J963" s="101">
        <v>4409</v>
      </c>
      <c r="K963" s="101">
        <v>5703</v>
      </c>
      <c r="L963" s="101">
        <v>146</v>
      </c>
      <c r="M963" s="101">
        <v>173</v>
      </c>
      <c r="N963" s="101">
        <v>441</v>
      </c>
      <c r="O963" s="101">
        <v>408</v>
      </c>
      <c r="P963" s="101">
        <v>6552</v>
      </c>
      <c r="Q963" s="101">
        <v>65461</v>
      </c>
      <c r="R963" s="12" t="s">
        <v>25</v>
      </c>
      <c r="S963" s="12" t="s">
        <v>25</v>
      </c>
      <c r="T963" s="12" t="s">
        <v>25</v>
      </c>
    </row>
    <row r="964" spans="1:20" x14ac:dyDescent="0.3">
      <c r="A964" s="13">
        <v>43930.708333333336</v>
      </c>
      <c r="B964" s="12" t="s">
        <v>22</v>
      </c>
      <c r="C964" s="101">
        <v>4</v>
      </c>
      <c r="D964" s="12" t="s">
        <v>58</v>
      </c>
      <c r="E964" s="101">
        <v>4606893511</v>
      </c>
      <c r="F964" s="101">
        <v>1112123097</v>
      </c>
      <c r="G964" s="101">
        <v>345</v>
      </c>
      <c r="H964" s="101">
        <v>69</v>
      </c>
      <c r="I964" s="101">
        <v>414</v>
      </c>
      <c r="J964" s="101">
        <v>1564</v>
      </c>
      <c r="K964" s="101">
        <v>1978</v>
      </c>
      <c r="L964" s="101">
        <v>38</v>
      </c>
      <c r="M964" s="101">
        <v>106</v>
      </c>
      <c r="N964" s="101">
        <v>462</v>
      </c>
      <c r="O964" s="101">
        <v>268</v>
      </c>
      <c r="P964" s="101">
        <v>2708</v>
      </c>
      <c r="Q964" s="101">
        <v>14338</v>
      </c>
      <c r="R964" s="12" t="s">
        <v>25</v>
      </c>
      <c r="S964" s="12" t="s">
        <v>25</v>
      </c>
      <c r="T964" s="12" t="s">
        <v>25</v>
      </c>
    </row>
    <row r="965" spans="1:20" x14ac:dyDescent="0.3">
      <c r="A965" s="13">
        <v>43930.708333333336</v>
      </c>
      <c r="B965" s="12" t="s">
        <v>22</v>
      </c>
      <c r="C965" s="101">
        <v>10</v>
      </c>
      <c r="D965" s="12" t="s">
        <v>59</v>
      </c>
      <c r="E965" s="101">
        <v>4310675841</v>
      </c>
      <c r="F965" s="101">
        <v>1238824698</v>
      </c>
      <c r="G965" s="101">
        <v>154</v>
      </c>
      <c r="H965" s="101">
        <v>38</v>
      </c>
      <c r="I965" s="101">
        <v>192</v>
      </c>
      <c r="J965" s="101">
        <v>600</v>
      </c>
      <c r="K965" s="101">
        <v>792</v>
      </c>
      <c r="L965" s="101">
        <v>-31</v>
      </c>
      <c r="M965" s="101">
        <v>9</v>
      </c>
      <c r="N965" s="101">
        <v>455</v>
      </c>
      <c r="O965" s="101">
        <v>51</v>
      </c>
      <c r="P965" s="101">
        <v>1298</v>
      </c>
      <c r="Q965" s="101">
        <v>15170</v>
      </c>
      <c r="R965" s="12" t="s">
        <v>25</v>
      </c>
      <c r="S965" s="12" t="s">
        <v>25</v>
      </c>
      <c r="T965" s="12" t="s">
        <v>25</v>
      </c>
    </row>
    <row r="966" spans="1:20" x14ac:dyDescent="0.3">
      <c r="A966" s="13">
        <v>43930.708333333336</v>
      </c>
      <c r="B966" s="12" t="s">
        <v>22</v>
      </c>
      <c r="C966" s="101">
        <v>2</v>
      </c>
      <c r="D966" s="12" t="s">
        <v>60</v>
      </c>
      <c r="E966" s="101">
        <v>4573750286</v>
      </c>
      <c r="F966" s="101">
        <v>7320149366</v>
      </c>
      <c r="G966" s="101">
        <v>118</v>
      </c>
      <c r="H966" s="101">
        <v>18</v>
      </c>
      <c r="I966" s="101">
        <v>136</v>
      </c>
      <c r="J966" s="101">
        <v>473</v>
      </c>
      <c r="K966" s="101">
        <v>609</v>
      </c>
      <c r="L966" s="101">
        <v>3</v>
      </c>
      <c r="M966" s="101">
        <v>18</v>
      </c>
      <c r="N966" s="101">
        <v>154</v>
      </c>
      <c r="O966" s="101">
        <v>105</v>
      </c>
      <c r="P966" s="101">
        <v>868</v>
      </c>
      <c r="Q966" s="101">
        <v>3142</v>
      </c>
      <c r="R966" s="12" t="s">
        <v>25</v>
      </c>
      <c r="S966" s="12" t="s">
        <v>25</v>
      </c>
      <c r="T966" s="12" t="s">
        <v>25</v>
      </c>
    </row>
    <row r="967" spans="1:20" x14ac:dyDescent="0.3">
      <c r="A967" s="13">
        <v>43930.708333333336</v>
      </c>
      <c r="B967" s="12" t="s">
        <v>22</v>
      </c>
      <c r="C967" s="101">
        <v>5</v>
      </c>
      <c r="D967" s="12" t="s">
        <v>61</v>
      </c>
      <c r="E967" s="101">
        <v>4543490485</v>
      </c>
      <c r="F967" s="101">
        <v>1233845213</v>
      </c>
      <c r="G967" s="101">
        <v>1530</v>
      </c>
      <c r="H967" s="101">
        <v>274</v>
      </c>
      <c r="I967" s="101">
        <v>1804</v>
      </c>
      <c r="J967" s="101">
        <v>8645</v>
      </c>
      <c r="K967" s="101">
        <v>10449</v>
      </c>
      <c r="L967" s="101">
        <v>278</v>
      </c>
      <c r="M967" s="101">
        <v>523</v>
      </c>
      <c r="N967" s="101">
        <v>1728</v>
      </c>
      <c r="O967" s="101">
        <v>756</v>
      </c>
      <c r="P967" s="101">
        <v>12933</v>
      </c>
      <c r="Q967" s="101">
        <v>171456</v>
      </c>
      <c r="R967" s="12" t="s">
        <v>25</v>
      </c>
      <c r="S967" s="12" t="s">
        <v>25</v>
      </c>
      <c r="T967" s="12" t="s">
        <v>25</v>
      </c>
    </row>
    <row r="968" spans="1:20" x14ac:dyDescent="0.3">
      <c r="A968" s="13">
        <v>43931.708333333336</v>
      </c>
      <c r="B968" s="12" t="s">
        <v>22</v>
      </c>
      <c r="C968" s="101">
        <v>13</v>
      </c>
      <c r="D968" s="12" t="s">
        <v>42</v>
      </c>
      <c r="E968" s="101">
        <v>4235122196</v>
      </c>
      <c r="F968" s="101">
        <v>1339843823</v>
      </c>
      <c r="G968" s="101">
        <v>305</v>
      </c>
      <c r="H968" s="101">
        <v>53</v>
      </c>
      <c r="I968" s="101">
        <v>358</v>
      </c>
      <c r="J968" s="101">
        <v>1277</v>
      </c>
      <c r="K968" s="101">
        <v>1635</v>
      </c>
      <c r="L968" s="101">
        <v>69</v>
      </c>
      <c r="M968" s="101">
        <v>83</v>
      </c>
      <c r="N968" s="101">
        <v>181</v>
      </c>
      <c r="O968" s="101">
        <v>198</v>
      </c>
      <c r="P968" s="101">
        <v>2014</v>
      </c>
      <c r="Q968" s="101">
        <v>18088</v>
      </c>
      <c r="R968" s="12" t="s">
        <v>25</v>
      </c>
      <c r="S968" s="12" t="s">
        <v>25</v>
      </c>
      <c r="T968" s="12" t="s">
        <v>25</v>
      </c>
    </row>
    <row r="969" spans="1:20" x14ac:dyDescent="0.3">
      <c r="A969" s="13">
        <v>43931.708333333336</v>
      </c>
      <c r="B969" s="12" t="s">
        <v>22</v>
      </c>
      <c r="C969" s="101">
        <v>17</v>
      </c>
      <c r="D969" s="12" t="s">
        <v>43</v>
      </c>
      <c r="E969" s="101">
        <v>4063947052</v>
      </c>
      <c r="F969" s="101">
        <v>1580514834</v>
      </c>
      <c r="G969" s="101">
        <v>59</v>
      </c>
      <c r="H969" s="101">
        <v>15</v>
      </c>
      <c r="I969" s="101">
        <v>74</v>
      </c>
      <c r="J969" s="101">
        <v>205</v>
      </c>
      <c r="K969" s="101">
        <v>279</v>
      </c>
      <c r="L969" s="101">
        <v>4</v>
      </c>
      <c r="M969" s="101">
        <v>5</v>
      </c>
      <c r="N969" s="101">
        <v>14</v>
      </c>
      <c r="O969" s="101">
        <v>15</v>
      </c>
      <c r="P969" s="101">
        <v>308</v>
      </c>
      <c r="Q969" s="101">
        <v>3696</v>
      </c>
      <c r="R969" s="12" t="s">
        <v>25</v>
      </c>
      <c r="S969" s="12" t="s">
        <v>25</v>
      </c>
      <c r="T969" s="12" t="s">
        <v>25</v>
      </c>
    </row>
    <row r="970" spans="1:20" x14ac:dyDescent="0.3">
      <c r="A970" s="13">
        <v>43931.708333333336</v>
      </c>
      <c r="B970" s="12" t="s">
        <v>22</v>
      </c>
      <c r="C970" s="101">
        <v>4</v>
      </c>
      <c r="D970" s="12" t="s">
        <v>44</v>
      </c>
      <c r="E970" s="101">
        <v>4649933453</v>
      </c>
      <c r="F970" s="101">
        <v>1135662422</v>
      </c>
      <c r="G970" s="101">
        <v>258</v>
      </c>
      <c r="H970" s="101">
        <v>58</v>
      </c>
      <c r="I970" s="101">
        <v>316</v>
      </c>
      <c r="J970" s="101">
        <v>1001</v>
      </c>
      <c r="K970" s="101">
        <v>1317</v>
      </c>
      <c r="L970" s="101">
        <v>2</v>
      </c>
      <c r="M970" s="101">
        <v>52</v>
      </c>
      <c r="N970" s="101">
        <v>447</v>
      </c>
      <c r="O970" s="101">
        <v>191</v>
      </c>
      <c r="P970" s="101">
        <v>1955</v>
      </c>
      <c r="Q970" s="101">
        <v>20866</v>
      </c>
      <c r="R970" s="12" t="s">
        <v>25</v>
      </c>
      <c r="S970" s="12" t="s">
        <v>25</v>
      </c>
      <c r="T970" s="12" t="s">
        <v>25</v>
      </c>
    </row>
    <row r="971" spans="1:20" x14ac:dyDescent="0.3">
      <c r="A971" s="13">
        <v>43931.708333333336</v>
      </c>
      <c r="B971" s="12" t="s">
        <v>22</v>
      </c>
      <c r="C971" s="101">
        <v>18</v>
      </c>
      <c r="D971" s="12" t="s">
        <v>45</v>
      </c>
      <c r="E971" s="101">
        <v>3890597598</v>
      </c>
      <c r="F971" s="101">
        <v>1659440194</v>
      </c>
      <c r="G971" s="101">
        <v>168</v>
      </c>
      <c r="H971" s="101">
        <v>14</v>
      </c>
      <c r="I971" s="101">
        <v>182</v>
      </c>
      <c r="J971" s="101">
        <v>604</v>
      </c>
      <c r="K971" s="101">
        <v>786</v>
      </c>
      <c r="L971" s="101">
        <v>21</v>
      </c>
      <c r="M971" s="101">
        <v>27</v>
      </c>
      <c r="N971" s="101">
        <v>50</v>
      </c>
      <c r="O971" s="101">
        <v>65</v>
      </c>
      <c r="P971" s="101">
        <v>901</v>
      </c>
      <c r="Q971" s="101">
        <v>16637</v>
      </c>
      <c r="R971" s="12" t="s">
        <v>25</v>
      </c>
      <c r="S971" s="12" t="s">
        <v>25</v>
      </c>
      <c r="T971" s="12" t="s">
        <v>25</v>
      </c>
    </row>
    <row r="972" spans="1:20" x14ac:dyDescent="0.3">
      <c r="A972" s="13">
        <v>43931.708333333336</v>
      </c>
      <c r="B972" s="12" t="s">
        <v>22</v>
      </c>
      <c r="C972" s="101">
        <v>15</v>
      </c>
      <c r="D972" s="12" t="s">
        <v>46</v>
      </c>
      <c r="E972" s="101">
        <v>4083956555</v>
      </c>
      <c r="F972" s="101">
        <v>1425084984</v>
      </c>
      <c r="G972" s="101">
        <v>600</v>
      </c>
      <c r="H972" s="101">
        <v>90</v>
      </c>
      <c r="I972" s="101">
        <v>690</v>
      </c>
      <c r="J972" s="101">
        <v>2273</v>
      </c>
      <c r="K972" s="101">
        <v>2963</v>
      </c>
      <c r="L972" s="101">
        <v>90</v>
      </c>
      <c r="M972" s="101">
        <v>98</v>
      </c>
      <c r="N972" s="101">
        <v>248</v>
      </c>
      <c r="O972" s="101">
        <v>231</v>
      </c>
      <c r="P972" s="101">
        <v>3442</v>
      </c>
      <c r="Q972" s="101">
        <v>31745</v>
      </c>
      <c r="R972" s="12" t="s">
        <v>25</v>
      </c>
      <c r="S972" s="12" t="s">
        <v>25</v>
      </c>
      <c r="T972" s="12" t="s">
        <v>25</v>
      </c>
    </row>
    <row r="973" spans="1:20" x14ac:dyDescent="0.3">
      <c r="A973" s="13">
        <v>43931.708333333336</v>
      </c>
      <c r="B973" s="12" t="s">
        <v>22</v>
      </c>
      <c r="C973" s="101">
        <v>8</v>
      </c>
      <c r="D973" s="12" t="s">
        <v>96</v>
      </c>
      <c r="E973" s="101">
        <v>4449436681</v>
      </c>
      <c r="F973" s="101">
        <v>113417208</v>
      </c>
      <c r="G973" s="101">
        <v>3596</v>
      </c>
      <c r="H973" s="101">
        <v>349</v>
      </c>
      <c r="I973" s="101">
        <v>3945</v>
      </c>
      <c r="J973" s="101">
        <v>9405</v>
      </c>
      <c r="K973" s="101">
        <v>13350</v>
      </c>
      <c r="L973" s="101">
        <v>92</v>
      </c>
      <c r="M973" s="101">
        <v>451</v>
      </c>
      <c r="N973" s="101">
        <v>3381</v>
      </c>
      <c r="O973" s="101">
        <v>2397</v>
      </c>
      <c r="P973" s="101">
        <v>19128</v>
      </c>
      <c r="Q973" s="101">
        <v>85884</v>
      </c>
      <c r="R973" s="12" t="s">
        <v>25</v>
      </c>
      <c r="S973" s="12" t="s">
        <v>25</v>
      </c>
      <c r="T973" s="12" t="s">
        <v>25</v>
      </c>
    </row>
    <row r="974" spans="1:20" x14ac:dyDescent="0.3">
      <c r="A974" s="13">
        <v>43931.708333333336</v>
      </c>
      <c r="B974" s="12" t="s">
        <v>22</v>
      </c>
      <c r="C974" s="101">
        <v>6</v>
      </c>
      <c r="D974" s="12" t="s">
        <v>47</v>
      </c>
      <c r="E974" s="101">
        <v>456494354</v>
      </c>
      <c r="F974" s="101">
        <v>1376813649</v>
      </c>
      <c r="G974" s="101">
        <v>167</v>
      </c>
      <c r="H974" s="101">
        <v>33</v>
      </c>
      <c r="I974" s="101">
        <v>200</v>
      </c>
      <c r="J974" s="101">
        <v>1198</v>
      </c>
      <c r="K974" s="101">
        <v>1398</v>
      </c>
      <c r="L974" s="101">
        <v>8</v>
      </c>
      <c r="M974" s="101">
        <v>50</v>
      </c>
      <c r="N974" s="101">
        <v>772</v>
      </c>
      <c r="O974" s="101">
        <v>179</v>
      </c>
      <c r="P974" s="101">
        <v>2349</v>
      </c>
      <c r="Q974" s="101">
        <v>28097</v>
      </c>
      <c r="R974" s="12" t="s">
        <v>25</v>
      </c>
      <c r="S974" s="12" t="s">
        <v>25</v>
      </c>
      <c r="T974" s="12" t="s">
        <v>25</v>
      </c>
    </row>
    <row r="975" spans="1:20" x14ac:dyDescent="0.3">
      <c r="A975" s="13">
        <v>43931.708333333336</v>
      </c>
      <c r="B975" s="12" t="s">
        <v>22</v>
      </c>
      <c r="C975" s="101">
        <v>12</v>
      </c>
      <c r="D975" s="12" t="s">
        <v>48</v>
      </c>
      <c r="E975" s="101">
        <v>4189277044</v>
      </c>
      <c r="F975" s="101">
        <v>1248366722</v>
      </c>
      <c r="G975" s="101">
        <v>1236</v>
      </c>
      <c r="H975" s="101">
        <v>201</v>
      </c>
      <c r="I975" s="101">
        <v>1437</v>
      </c>
      <c r="J975" s="101">
        <v>2196</v>
      </c>
      <c r="K975" s="101">
        <v>3633</v>
      </c>
      <c r="L975" s="101">
        <v>101</v>
      </c>
      <c r="M975" s="101">
        <v>154</v>
      </c>
      <c r="N975" s="101">
        <v>687</v>
      </c>
      <c r="O975" s="101">
        <v>263</v>
      </c>
      <c r="P975" s="101">
        <v>4583</v>
      </c>
      <c r="Q975" s="101">
        <v>61769</v>
      </c>
      <c r="R975" s="12" t="s">
        <v>25</v>
      </c>
      <c r="S975" s="12" t="s">
        <v>25</v>
      </c>
      <c r="T975" s="12" t="s">
        <v>25</v>
      </c>
    </row>
    <row r="976" spans="1:20" x14ac:dyDescent="0.3">
      <c r="A976" s="13">
        <v>43931.708333333336</v>
      </c>
      <c r="B976" s="12" t="s">
        <v>22</v>
      </c>
      <c r="C976" s="101">
        <v>7</v>
      </c>
      <c r="D976" s="12" t="s">
        <v>49</v>
      </c>
      <c r="E976" s="101">
        <v>4441149315</v>
      </c>
      <c r="F976" s="101">
        <v>89326992</v>
      </c>
      <c r="G976" s="101">
        <v>1076</v>
      </c>
      <c r="H976" s="101">
        <v>151</v>
      </c>
      <c r="I976" s="101">
        <v>1227</v>
      </c>
      <c r="J976" s="101">
        <v>2074</v>
      </c>
      <c r="K976" s="101">
        <v>3301</v>
      </c>
      <c r="L976" s="101">
        <v>48</v>
      </c>
      <c r="M976" s="101">
        <v>171</v>
      </c>
      <c r="N976" s="101">
        <v>1181</v>
      </c>
      <c r="O976" s="101">
        <v>709</v>
      </c>
      <c r="P976" s="101">
        <v>5191</v>
      </c>
      <c r="Q976" s="101">
        <v>19514</v>
      </c>
      <c r="R976" s="12" t="s">
        <v>25</v>
      </c>
      <c r="S976" s="12" t="s">
        <v>25</v>
      </c>
      <c r="T976" s="12" t="s">
        <v>25</v>
      </c>
    </row>
    <row r="977" spans="1:20" x14ac:dyDescent="0.3">
      <c r="A977" s="13">
        <v>43931.708333333336</v>
      </c>
      <c r="B977" s="12" t="s">
        <v>22</v>
      </c>
      <c r="C977" s="101">
        <v>3</v>
      </c>
      <c r="D977" s="12" t="s">
        <v>50</v>
      </c>
      <c r="E977" s="101">
        <v>4546679409</v>
      </c>
      <c r="F977" s="101">
        <v>9190347404</v>
      </c>
      <c r="G977" s="101">
        <v>11877</v>
      </c>
      <c r="H977" s="101">
        <v>1202</v>
      </c>
      <c r="I977" s="101">
        <v>13079</v>
      </c>
      <c r="J977" s="101">
        <v>16451</v>
      </c>
      <c r="K977" s="101">
        <v>29530</v>
      </c>
      <c r="L977" s="101">
        <v>456</v>
      </c>
      <c r="M977" s="101">
        <v>1246</v>
      </c>
      <c r="N977" s="101">
        <v>16280</v>
      </c>
      <c r="O977" s="101">
        <v>10238</v>
      </c>
      <c r="P977" s="101">
        <v>56048</v>
      </c>
      <c r="Q977" s="101">
        <v>186325</v>
      </c>
      <c r="R977" s="12" t="s">
        <v>25</v>
      </c>
      <c r="S977" s="12" t="s">
        <v>25</v>
      </c>
      <c r="T977" s="12" t="s">
        <v>25</v>
      </c>
    </row>
    <row r="978" spans="1:20" x14ac:dyDescent="0.3">
      <c r="A978" s="13">
        <v>43931.708333333336</v>
      </c>
      <c r="B978" s="12" t="s">
        <v>22</v>
      </c>
      <c r="C978" s="101">
        <v>11</v>
      </c>
      <c r="D978" s="12" t="s">
        <v>51</v>
      </c>
      <c r="E978" s="101">
        <v>4361675973</v>
      </c>
      <c r="F978" s="101">
        <v>135188753</v>
      </c>
      <c r="G978" s="101">
        <v>925</v>
      </c>
      <c r="H978" s="101">
        <v>127</v>
      </c>
      <c r="I978" s="101">
        <v>1052</v>
      </c>
      <c r="J978" s="101">
        <v>2264</v>
      </c>
      <c r="K978" s="101">
        <v>3316</v>
      </c>
      <c r="L978" s="101">
        <v>-85</v>
      </c>
      <c r="M978" s="101">
        <v>129</v>
      </c>
      <c r="N978" s="101">
        <v>1086</v>
      </c>
      <c r="O978" s="101">
        <v>682</v>
      </c>
      <c r="P978" s="101">
        <v>5084</v>
      </c>
      <c r="Q978" s="101">
        <v>18970</v>
      </c>
      <c r="R978" s="12" t="s">
        <v>25</v>
      </c>
      <c r="S978" s="12" t="s">
        <v>25</v>
      </c>
      <c r="T978" s="12" t="s">
        <v>25</v>
      </c>
    </row>
    <row r="979" spans="1:20" x14ac:dyDescent="0.3">
      <c r="A979" s="13">
        <v>43931.708333333336</v>
      </c>
      <c r="B979" s="12" t="s">
        <v>22</v>
      </c>
      <c r="C979" s="101">
        <v>14</v>
      </c>
      <c r="D979" s="12" t="s">
        <v>52</v>
      </c>
      <c r="E979" s="101">
        <v>4155774754</v>
      </c>
      <c r="F979" s="101">
        <v>1465916051</v>
      </c>
      <c r="G979" s="101">
        <v>28</v>
      </c>
      <c r="H979" s="101">
        <v>4</v>
      </c>
      <c r="I979" s="101">
        <v>32</v>
      </c>
      <c r="J979" s="101">
        <v>161</v>
      </c>
      <c r="K979" s="101">
        <v>193</v>
      </c>
      <c r="L979" s="101">
        <v>4</v>
      </c>
      <c r="M979" s="101">
        <v>9</v>
      </c>
      <c r="N979" s="101">
        <v>37</v>
      </c>
      <c r="O979" s="101">
        <v>13</v>
      </c>
      <c r="P979" s="101">
        <v>243</v>
      </c>
      <c r="Q979" s="101">
        <v>2069</v>
      </c>
      <c r="R979" s="12" t="s">
        <v>25</v>
      </c>
      <c r="S979" s="12" t="s">
        <v>112</v>
      </c>
      <c r="T979" s="12" t="s">
        <v>113</v>
      </c>
    </row>
    <row r="980" spans="1:20" x14ac:dyDescent="0.3">
      <c r="A980" s="13">
        <v>43931.708333333336</v>
      </c>
      <c r="B980" s="12" t="s">
        <v>22</v>
      </c>
      <c r="C980" s="101">
        <v>1</v>
      </c>
      <c r="D980" s="12" t="s">
        <v>53</v>
      </c>
      <c r="E980" s="101">
        <v>450732745</v>
      </c>
      <c r="F980" s="101">
        <v>7680687483</v>
      </c>
      <c r="G980" s="101">
        <v>3497</v>
      </c>
      <c r="H980" s="101">
        <v>394</v>
      </c>
      <c r="I980" s="101">
        <v>3891</v>
      </c>
      <c r="J980" s="101">
        <v>7685</v>
      </c>
      <c r="K980" s="101">
        <v>11576</v>
      </c>
      <c r="L980" s="101">
        <v>240</v>
      </c>
      <c r="M980" s="101">
        <v>490</v>
      </c>
      <c r="N980" s="101">
        <v>1904</v>
      </c>
      <c r="O980" s="101">
        <v>1532</v>
      </c>
      <c r="P980" s="101">
        <v>15012</v>
      </c>
      <c r="Q980" s="101">
        <v>57457</v>
      </c>
      <c r="R980" s="12" t="s">
        <v>25</v>
      </c>
      <c r="S980" s="12" t="s">
        <v>25</v>
      </c>
      <c r="T980" s="12" t="s">
        <v>25</v>
      </c>
    </row>
    <row r="981" spans="1:20" x14ac:dyDescent="0.3">
      <c r="A981" s="13">
        <v>43931.708333333336</v>
      </c>
      <c r="B981" s="12" t="s">
        <v>22</v>
      </c>
      <c r="C981" s="101">
        <v>16</v>
      </c>
      <c r="D981" s="12" t="s">
        <v>54</v>
      </c>
      <c r="E981" s="101">
        <v>4112559576</v>
      </c>
      <c r="F981" s="101">
        <v>1686736689</v>
      </c>
      <c r="G981" s="101">
        <v>631</v>
      </c>
      <c r="H981" s="101">
        <v>80</v>
      </c>
      <c r="I981" s="101">
        <v>711</v>
      </c>
      <c r="J981" s="101">
        <v>1625</v>
      </c>
      <c r="K981" s="101">
        <v>2336</v>
      </c>
      <c r="L981" s="101">
        <v>35</v>
      </c>
      <c r="M981" s="101">
        <v>93</v>
      </c>
      <c r="N981" s="101">
        <v>235</v>
      </c>
      <c r="O981" s="101">
        <v>238</v>
      </c>
      <c r="P981" s="101">
        <v>2809</v>
      </c>
      <c r="Q981" s="101">
        <v>27812</v>
      </c>
      <c r="R981" s="12" t="s">
        <v>25</v>
      </c>
      <c r="S981" s="12" t="s">
        <v>25</v>
      </c>
      <c r="T981" s="12" t="s">
        <v>25</v>
      </c>
    </row>
    <row r="982" spans="1:20" x14ac:dyDescent="0.3">
      <c r="A982" s="13">
        <v>43931.708333333336</v>
      </c>
      <c r="B982" s="12" t="s">
        <v>22</v>
      </c>
      <c r="C982" s="101">
        <v>20</v>
      </c>
      <c r="D982" s="12" t="s">
        <v>55</v>
      </c>
      <c r="E982" s="101">
        <v>3921531192</v>
      </c>
      <c r="F982" s="101">
        <v>9110616306</v>
      </c>
      <c r="G982" s="101">
        <v>107</v>
      </c>
      <c r="H982" s="101">
        <v>26</v>
      </c>
      <c r="I982" s="101">
        <v>133</v>
      </c>
      <c r="J982" s="101">
        <v>743</v>
      </c>
      <c r="K982" s="101">
        <v>876</v>
      </c>
      <c r="L982" s="101">
        <v>0</v>
      </c>
      <c r="M982" s="101">
        <v>37</v>
      </c>
      <c r="N982" s="101">
        <v>118</v>
      </c>
      <c r="O982" s="101">
        <v>69</v>
      </c>
      <c r="P982" s="101">
        <v>1063</v>
      </c>
      <c r="Q982" s="101">
        <v>9444</v>
      </c>
      <c r="R982" s="12" t="s">
        <v>25</v>
      </c>
      <c r="S982" s="12" t="s">
        <v>25</v>
      </c>
      <c r="T982" s="12" t="s">
        <v>25</v>
      </c>
    </row>
    <row r="983" spans="1:20" x14ac:dyDescent="0.3">
      <c r="A983" s="13">
        <v>43931.708333333336</v>
      </c>
      <c r="B983" s="12" t="s">
        <v>22</v>
      </c>
      <c r="C983" s="101">
        <v>19</v>
      </c>
      <c r="D983" s="12" t="s">
        <v>56</v>
      </c>
      <c r="E983" s="101">
        <v>3811569725</v>
      </c>
      <c r="F983" s="101">
        <v>133623567</v>
      </c>
      <c r="G983" s="101">
        <v>568</v>
      </c>
      <c r="H983" s="101">
        <v>62</v>
      </c>
      <c r="I983" s="101">
        <v>630</v>
      </c>
      <c r="J983" s="101">
        <v>1337</v>
      </c>
      <c r="K983" s="101">
        <v>1967</v>
      </c>
      <c r="L983" s="101">
        <v>25</v>
      </c>
      <c r="M983" s="101">
        <v>70</v>
      </c>
      <c r="N983" s="101">
        <v>187</v>
      </c>
      <c r="O983" s="101">
        <v>148</v>
      </c>
      <c r="P983" s="101">
        <v>2302</v>
      </c>
      <c r="Q983" s="101">
        <v>31156</v>
      </c>
      <c r="R983" s="12" t="s">
        <v>25</v>
      </c>
      <c r="S983" s="12" t="s">
        <v>25</v>
      </c>
      <c r="T983" s="12" t="s">
        <v>25</v>
      </c>
    </row>
    <row r="984" spans="1:20" x14ac:dyDescent="0.3">
      <c r="A984" s="13">
        <v>43931.708333333336</v>
      </c>
      <c r="B984" s="12" t="s">
        <v>22</v>
      </c>
      <c r="C984" s="101">
        <v>9</v>
      </c>
      <c r="D984" s="12" t="s">
        <v>57</v>
      </c>
      <c r="E984" s="101">
        <v>4376923077</v>
      </c>
      <c r="F984" s="101">
        <v>1125588885</v>
      </c>
      <c r="G984" s="101">
        <v>1011</v>
      </c>
      <c r="H984" s="101">
        <v>256</v>
      </c>
      <c r="I984" s="101">
        <v>1267</v>
      </c>
      <c r="J984" s="101">
        <v>4555</v>
      </c>
      <c r="K984" s="101">
        <v>5822</v>
      </c>
      <c r="L984" s="101">
        <v>119</v>
      </c>
      <c r="M984" s="101">
        <v>175</v>
      </c>
      <c r="N984" s="101">
        <v>451</v>
      </c>
      <c r="O984" s="101">
        <v>454</v>
      </c>
      <c r="P984" s="101">
        <v>6727</v>
      </c>
      <c r="Q984" s="101">
        <v>72001</v>
      </c>
      <c r="R984" s="12" t="s">
        <v>25</v>
      </c>
      <c r="S984" s="12" t="s">
        <v>25</v>
      </c>
      <c r="T984" s="12" t="s">
        <v>25</v>
      </c>
    </row>
    <row r="985" spans="1:20" x14ac:dyDescent="0.3">
      <c r="A985" s="13">
        <v>43931.708333333336</v>
      </c>
      <c r="B985" s="12" t="s">
        <v>22</v>
      </c>
      <c r="C985" s="101">
        <v>4</v>
      </c>
      <c r="D985" s="12" t="s">
        <v>58</v>
      </c>
      <c r="E985" s="101">
        <v>4606893511</v>
      </c>
      <c r="F985" s="101">
        <v>1112123097</v>
      </c>
      <c r="G985" s="101">
        <v>335</v>
      </c>
      <c r="H985" s="101">
        <v>70</v>
      </c>
      <c r="I985" s="101">
        <v>405</v>
      </c>
      <c r="J985" s="101">
        <v>1589</v>
      </c>
      <c r="K985" s="101">
        <v>1994</v>
      </c>
      <c r="L985" s="101">
        <v>16</v>
      </c>
      <c r="M985" s="101">
        <v>108</v>
      </c>
      <c r="N985" s="101">
        <v>547</v>
      </c>
      <c r="O985" s="101">
        <v>275</v>
      </c>
      <c r="P985" s="101">
        <v>2816</v>
      </c>
      <c r="Q985" s="101">
        <v>14981</v>
      </c>
      <c r="R985" s="12" t="s">
        <v>25</v>
      </c>
      <c r="S985" s="12" t="s">
        <v>25</v>
      </c>
      <c r="T985" s="12" t="s">
        <v>25</v>
      </c>
    </row>
    <row r="986" spans="1:20" x14ac:dyDescent="0.3">
      <c r="A986" s="13">
        <v>43931.708333333336</v>
      </c>
      <c r="B986" s="12" t="s">
        <v>22</v>
      </c>
      <c r="C986" s="101">
        <v>10</v>
      </c>
      <c r="D986" s="12" t="s">
        <v>59</v>
      </c>
      <c r="E986" s="101">
        <v>4310675841</v>
      </c>
      <c r="F986" s="101">
        <v>1238824698</v>
      </c>
      <c r="G986" s="101">
        <v>146</v>
      </c>
      <c r="H986" s="101">
        <v>39</v>
      </c>
      <c r="I986" s="101">
        <v>185</v>
      </c>
      <c r="J986" s="101">
        <v>567</v>
      </c>
      <c r="K986" s="101">
        <v>752</v>
      </c>
      <c r="L986" s="101">
        <v>-40</v>
      </c>
      <c r="M986" s="101">
        <v>4</v>
      </c>
      <c r="N986" s="101">
        <v>498</v>
      </c>
      <c r="O986" s="101">
        <v>52</v>
      </c>
      <c r="P986" s="101">
        <v>1302</v>
      </c>
      <c r="Q986" s="101">
        <v>16325</v>
      </c>
      <c r="R986" s="12" t="s">
        <v>25</v>
      </c>
      <c r="S986" s="12" t="s">
        <v>25</v>
      </c>
      <c r="T986" s="12" t="s">
        <v>25</v>
      </c>
    </row>
    <row r="987" spans="1:20" x14ac:dyDescent="0.3">
      <c r="A987" s="13">
        <v>43931.708333333336</v>
      </c>
      <c r="B987" s="12" t="s">
        <v>22</v>
      </c>
      <c r="C987" s="101">
        <v>2</v>
      </c>
      <c r="D987" s="12" t="s">
        <v>60</v>
      </c>
      <c r="E987" s="101">
        <v>4573750286</v>
      </c>
      <c r="F987" s="101">
        <v>7320149366</v>
      </c>
      <c r="G987" s="101">
        <v>131</v>
      </c>
      <c r="H987" s="101">
        <v>16</v>
      </c>
      <c r="I987" s="101">
        <v>147</v>
      </c>
      <c r="J987" s="101">
        <v>455</v>
      </c>
      <c r="K987" s="101">
        <v>602</v>
      </c>
      <c r="L987" s="101">
        <v>-7</v>
      </c>
      <c r="M987" s="101">
        <v>11</v>
      </c>
      <c r="N987" s="101">
        <v>170</v>
      </c>
      <c r="O987" s="101">
        <v>107</v>
      </c>
      <c r="P987" s="101">
        <v>879</v>
      </c>
      <c r="Q987" s="101">
        <v>3328</v>
      </c>
      <c r="R987" s="12" t="s">
        <v>25</v>
      </c>
      <c r="S987" s="12" t="s">
        <v>25</v>
      </c>
      <c r="T987" s="12" t="s">
        <v>25</v>
      </c>
    </row>
    <row r="988" spans="1:20" x14ac:dyDescent="0.3">
      <c r="A988" s="13">
        <v>43931.708333333336</v>
      </c>
      <c r="B988" s="12" t="s">
        <v>22</v>
      </c>
      <c r="C988" s="101">
        <v>5</v>
      </c>
      <c r="D988" s="12" t="s">
        <v>61</v>
      </c>
      <c r="E988" s="101">
        <v>4543490485</v>
      </c>
      <c r="F988" s="101">
        <v>1233845213</v>
      </c>
      <c r="G988" s="101">
        <v>1521</v>
      </c>
      <c r="H988" s="101">
        <v>257</v>
      </c>
      <c r="I988" s="101">
        <v>1778</v>
      </c>
      <c r="J988" s="101">
        <v>8869</v>
      </c>
      <c r="K988" s="101">
        <v>10647</v>
      </c>
      <c r="L988" s="101">
        <v>198</v>
      </c>
      <c r="M988" s="101">
        <v>488</v>
      </c>
      <c r="N988" s="101">
        <v>1981</v>
      </c>
      <c r="O988" s="101">
        <v>793</v>
      </c>
      <c r="P988" s="101">
        <v>13421</v>
      </c>
      <c r="Q988" s="101">
        <v>180700</v>
      </c>
      <c r="R988" s="12" t="s">
        <v>25</v>
      </c>
      <c r="S988" s="12" t="s">
        <v>25</v>
      </c>
      <c r="T988" s="12" t="s">
        <v>25</v>
      </c>
    </row>
    <row r="989" spans="1:20" x14ac:dyDescent="0.3">
      <c r="A989" s="13">
        <v>43932.708333333336</v>
      </c>
      <c r="B989" s="12" t="s">
        <v>22</v>
      </c>
      <c r="C989" s="101">
        <v>13</v>
      </c>
      <c r="D989" s="12" t="s">
        <v>42</v>
      </c>
      <c r="E989" s="101">
        <v>4235122196</v>
      </c>
      <c r="F989" s="101">
        <v>1339843823</v>
      </c>
      <c r="G989" s="101">
        <v>315</v>
      </c>
      <c r="H989" s="101">
        <v>54</v>
      </c>
      <c r="I989" s="101">
        <v>369</v>
      </c>
      <c r="J989" s="101">
        <v>1355</v>
      </c>
      <c r="K989" s="101">
        <v>1724</v>
      </c>
      <c r="L989" s="101">
        <v>89</v>
      </c>
      <c r="M989" s="101">
        <v>106</v>
      </c>
      <c r="N989" s="101">
        <v>190</v>
      </c>
      <c r="O989" s="101">
        <v>206</v>
      </c>
      <c r="P989" s="101">
        <v>2120</v>
      </c>
      <c r="Q989" s="101">
        <v>19441</v>
      </c>
      <c r="R989" s="12" t="s">
        <v>25</v>
      </c>
      <c r="S989" s="12" t="s">
        <v>25</v>
      </c>
      <c r="T989" s="12" t="s">
        <v>25</v>
      </c>
    </row>
    <row r="990" spans="1:20" x14ac:dyDescent="0.3">
      <c r="A990" s="13">
        <v>43932.708333333336</v>
      </c>
      <c r="B990" s="12" t="s">
        <v>22</v>
      </c>
      <c r="C990" s="101">
        <v>17</v>
      </c>
      <c r="D990" s="12" t="s">
        <v>43</v>
      </c>
      <c r="E990" s="101">
        <v>4063947052</v>
      </c>
      <c r="F990" s="101">
        <v>1580514834</v>
      </c>
      <c r="G990" s="101">
        <v>60</v>
      </c>
      <c r="H990" s="101">
        <v>12</v>
      </c>
      <c r="I990" s="101">
        <v>72</v>
      </c>
      <c r="J990" s="101">
        <v>209</v>
      </c>
      <c r="K990" s="101">
        <v>281</v>
      </c>
      <c r="L990" s="101">
        <v>2</v>
      </c>
      <c r="M990" s="101">
        <v>4</v>
      </c>
      <c r="N990" s="101">
        <v>14</v>
      </c>
      <c r="O990" s="101">
        <v>17</v>
      </c>
      <c r="P990" s="101">
        <v>312</v>
      </c>
      <c r="Q990" s="101">
        <v>4050</v>
      </c>
      <c r="R990" s="12" t="s">
        <v>25</v>
      </c>
      <c r="S990" s="12" t="s">
        <v>25</v>
      </c>
      <c r="T990" s="12" t="s">
        <v>25</v>
      </c>
    </row>
    <row r="991" spans="1:20" x14ac:dyDescent="0.3">
      <c r="A991" s="13">
        <v>43932.708333333336</v>
      </c>
      <c r="B991" s="12" t="s">
        <v>22</v>
      </c>
      <c r="C991" s="101">
        <v>4</v>
      </c>
      <c r="D991" s="12" t="s">
        <v>44</v>
      </c>
      <c r="E991" s="101">
        <v>4649933453</v>
      </c>
      <c r="F991" s="101">
        <v>1135662422</v>
      </c>
      <c r="G991" s="101">
        <v>246</v>
      </c>
      <c r="H991" s="101">
        <v>56</v>
      </c>
      <c r="I991" s="101">
        <v>302</v>
      </c>
      <c r="J991" s="101">
        <v>967</v>
      </c>
      <c r="K991" s="101">
        <v>1269</v>
      </c>
      <c r="L991" s="101">
        <v>-48</v>
      </c>
      <c r="M991" s="101">
        <v>2</v>
      </c>
      <c r="N991" s="101">
        <v>488</v>
      </c>
      <c r="O991" s="101">
        <v>200</v>
      </c>
      <c r="P991" s="101">
        <v>1957</v>
      </c>
      <c r="Q991" s="101">
        <v>22186</v>
      </c>
      <c r="R991" s="12" t="s">
        <v>25</v>
      </c>
      <c r="S991" s="12" t="s">
        <v>25</v>
      </c>
      <c r="T991" s="12" t="s">
        <v>25</v>
      </c>
    </row>
    <row r="992" spans="1:20" x14ac:dyDescent="0.3">
      <c r="A992" s="13">
        <v>43932.708333333336</v>
      </c>
      <c r="B992" s="12" t="s">
        <v>22</v>
      </c>
      <c r="C992" s="101">
        <v>18</v>
      </c>
      <c r="D992" s="12" t="s">
        <v>45</v>
      </c>
      <c r="E992" s="101">
        <v>3890597598</v>
      </c>
      <c r="F992" s="101">
        <v>1659440194</v>
      </c>
      <c r="G992" s="101">
        <v>169</v>
      </c>
      <c r="H992" s="101">
        <v>15</v>
      </c>
      <c r="I992" s="101">
        <v>184</v>
      </c>
      <c r="J992" s="101">
        <v>608</v>
      </c>
      <c r="K992" s="101">
        <v>792</v>
      </c>
      <c r="L992" s="101">
        <v>6</v>
      </c>
      <c r="M992" s="101">
        <v>14</v>
      </c>
      <c r="N992" s="101">
        <v>57</v>
      </c>
      <c r="O992" s="101">
        <v>66</v>
      </c>
      <c r="P992" s="101">
        <v>915</v>
      </c>
      <c r="Q992" s="101">
        <v>17493</v>
      </c>
      <c r="R992" s="12" t="s">
        <v>25</v>
      </c>
      <c r="S992" s="12" t="s">
        <v>25</v>
      </c>
      <c r="T992" s="12" t="s">
        <v>25</v>
      </c>
    </row>
    <row r="993" spans="1:20" x14ac:dyDescent="0.3">
      <c r="A993" s="13">
        <v>43932.708333333336</v>
      </c>
      <c r="B993" s="12" t="s">
        <v>22</v>
      </c>
      <c r="C993" s="101">
        <v>15</v>
      </c>
      <c r="D993" s="12" t="s">
        <v>46</v>
      </c>
      <c r="E993" s="101">
        <v>4083956555</v>
      </c>
      <c r="F993" s="101">
        <v>1425084984</v>
      </c>
      <c r="G993" s="101">
        <v>582</v>
      </c>
      <c r="H993" s="101">
        <v>85</v>
      </c>
      <c r="I993" s="101">
        <v>667</v>
      </c>
      <c r="J993" s="101">
        <v>2335</v>
      </c>
      <c r="K993" s="101">
        <v>3002</v>
      </c>
      <c r="L993" s="101">
        <v>39</v>
      </c>
      <c r="M993" s="101">
        <v>75</v>
      </c>
      <c r="N993" s="101">
        <v>277</v>
      </c>
      <c r="O993" s="101">
        <v>238</v>
      </c>
      <c r="P993" s="101">
        <v>3517</v>
      </c>
      <c r="Q993" s="101">
        <v>33781</v>
      </c>
      <c r="R993" s="12" t="s">
        <v>25</v>
      </c>
      <c r="S993" s="12" t="s">
        <v>25</v>
      </c>
      <c r="T993" s="12" t="s">
        <v>25</v>
      </c>
    </row>
    <row r="994" spans="1:20" x14ac:dyDescent="0.3">
      <c r="A994" s="13">
        <v>43932.708333333336</v>
      </c>
      <c r="B994" s="12" t="s">
        <v>22</v>
      </c>
      <c r="C994" s="101">
        <v>8</v>
      </c>
      <c r="D994" s="12" t="s">
        <v>96</v>
      </c>
      <c r="E994" s="101">
        <v>4449436681</v>
      </c>
      <c r="F994" s="101">
        <v>113417208</v>
      </c>
      <c r="G994" s="101">
        <v>3530</v>
      </c>
      <c r="H994" s="101">
        <v>341</v>
      </c>
      <c r="I994" s="101">
        <v>3871</v>
      </c>
      <c r="J994" s="101">
        <v>9624</v>
      </c>
      <c r="K994" s="101">
        <v>13495</v>
      </c>
      <c r="L994" s="101">
        <v>145</v>
      </c>
      <c r="M994" s="101">
        <v>507</v>
      </c>
      <c r="N994" s="101">
        <v>3659</v>
      </c>
      <c r="O994" s="101">
        <v>2481</v>
      </c>
      <c r="P994" s="101">
        <v>19635</v>
      </c>
      <c r="Q994" s="101">
        <v>91759</v>
      </c>
      <c r="R994" s="12" t="s">
        <v>25</v>
      </c>
      <c r="S994" s="12" t="s">
        <v>25</v>
      </c>
      <c r="T994" s="12" t="s">
        <v>25</v>
      </c>
    </row>
    <row r="995" spans="1:20" x14ac:dyDescent="0.3">
      <c r="A995" s="13">
        <v>43932.708333333336</v>
      </c>
      <c r="B995" s="12" t="s">
        <v>22</v>
      </c>
      <c r="C995" s="101">
        <v>6</v>
      </c>
      <c r="D995" s="12" t="s">
        <v>47</v>
      </c>
      <c r="E995" s="101">
        <v>456494354</v>
      </c>
      <c r="F995" s="101">
        <v>1376813649</v>
      </c>
      <c r="G995" s="101">
        <v>172</v>
      </c>
      <c r="H995" s="101">
        <v>28</v>
      </c>
      <c r="I995" s="101">
        <v>200</v>
      </c>
      <c r="J995" s="101">
        <v>1182</v>
      </c>
      <c r="K995" s="101">
        <v>1382</v>
      </c>
      <c r="L995" s="101">
        <v>-16</v>
      </c>
      <c r="M995" s="101">
        <v>44</v>
      </c>
      <c r="N995" s="101">
        <v>826</v>
      </c>
      <c r="O995" s="101">
        <v>185</v>
      </c>
      <c r="P995" s="101">
        <v>2393</v>
      </c>
      <c r="Q995" s="101">
        <v>29685</v>
      </c>
      <c r="R995" s="12" t="s">
        <v>25</v>
      </c>
      <c r="S995" s="12" t="s">
        <v>25</v>
      </c>
      <c r="T995" s="12" t="s">
        <v>25</v>
      </c>
    </row>
    <row r="996" spans="1:20" x14ac:dyDescent="0.3">
      <c r="A996" s="13">
        <v>43932.708333333336</v>
      </c>
      <c r="B996" s="12" t="s">
        <v>22</v>
      </c>
      <c r="C996" s="101">
        <v>12</v>
      </c>
      <c r="D996" s="12" t="s">
        <v>48</v>
      </c>
      <c r="E996" s="101">
        <v>4189277044</v>
      </c>
      <c r="F996" s="101">
        <v>1248366722</v>
      </c>
      <c r="G996" s="101">
        <v>1264</v>
      </c>
      <c r="H996" s="101">
        <v>203</v>
      </c>
      <c r="I996" s="101">
        <v>1467</v>
      </c>
      <c r="J996" s="101">
        <v>2263</v>
      </c>
      <c r="K996" s="101">
        <v>3730</v>
      </c>
      <c r="L996" s="101">
        <v>97</v>
      </c>
      <c r="M996" s="101">
        <v>140</v>
      </c>
      <c r="N996" s="101">
        <v>720</v>
      </c>
      <c r="O996" s="101">
        <v>273</v>
      </c>
      <c r="P996" s="101">
        <v>4723</v>
      </c>
      <c r="Q996" s="101">
        <v>65241</v>
      </c>
      <c r="R996" s="12" t="s">
        <v>25</v>
      </c>
      <c r="S996" s="12" t="s">
        <v>25</v>
      </c>
      <c r="T996" s="12" t="s">
        <v>25</v>
      </c>
    </row>
    <row r="997" spans="1:20" x14ac:dyDescent="0.3">
      <c r="A997" s="13">
        <v>43932.708333333336</v>
      </c>
      <c r="B997" s="12" t="s">
        <v>22</v>
      </c>
      <c r="C997" s="101">
        <v>7</v>
      </c>
      <c r="D997" s="12" t="s">
        <v>49</v>
      </c>
      <c r="E997" s="101">
        <v>4441149315</v>
      </c>
      <c r="F997" s="101">
        <v>89326992</v>
      </c>
      <c r="G997" s="101">
        <v>1003</v>
      </c>
      <c r="H997" s="101">
        <v>146</v>
      </c>
      <c r="I997" s="101">
        <v>1149</v>
      </c>
      <c r="J997" s="101">
        <v>2184</v>
      </c>
      <c r="K997" s="101">
        <v>3333</v>
      </c>
      <c r="L997" s="101">
        <v>32</v>
      </c>
      <c r="M997" s="101">
        <v>185</v>
      </c>
      <c r="N997" s="101">
        <v>1309</v>
      </c>
      <c r="O997" s="101">
        <v>734</v>
      </c>
      <c r="P997" s="101">
        <v>5376</v>
      </c>
      <c r="Q997" s="101">
        <v>20888</v>
      </c>
      <c r="R997" s="12" t="s">
        <v>25</v>
      </c>
      <c r="S997" s="12" t="s">
        <v>25</v>
      </c>
      <c r="T997" s="12" t="s">
        <v>25</v>
      </c>
    </row>
    <row r="998" spans="1:20" x14ac:dyDescent="0.3">
      <c r="A998" s="13">
        <v>43932.708333333336</v>
      </c>
      <c r="B998" s="12" t="s">
        <v>22</v>
      </c>
      <c r="C998" s="101">
        <v>3</v>
      </c>
      <c r="D998" s="12" t="s">
        <v>50</v>
      </c>
      <c r="E998" s="101">
        <v>4546679409</v>
      </c>
      <c r="F998" s="101">
        <v>9190347404</v>
      </c>
      <c r="G998" s="101">
        <v>12026</v>
      </c>
      <c r="H998" s="101">
        <v>1174</v>
      </c>
      <c r="I998" s="101">
        <v>13200</v>
      </c>
      <c r="J998" s="101">
        <v>17058</v>
      </c>
      <c r="K998" s="101">
        <v>30258</v>
      </c>
      <c r="L998" s="101">
        <v>728</v>
      </c>
      <c r="M998" s="101">
        <v>1544</v>
      </c>
      <c r="N998" s="101">
        <v>16823</v>
      </c>
      <c r="O998" s="101">
        <v>10511</v>
      </c>
      <c r="P998" s="101">
        <v>57592</v>
      </c>
      <c r="Q998" s="101">
        <v>196302</v>
      </c>
      <c r="R998" s="12" t="s">
        <v>25</v>
      </c>
      <c r="S998" s="12" t="s">
        <v>25</v>
      </c>
      <c r="T998" s="12" t="s">
        <v>25</v>
      </c>
    </row>
    <row r="999" spans="1:20" x14ac:dyDescent="0.3">
      <c r="A999" s="13">
        <v>43932.708333333336</v>
      </c>
      <c r="B999" s="12" t="s">
        <v>22</v>
      </c>
      <c r="C999" s="101">
        <v>11</v>
      </c>
      <c r="D999" s="12" t="s">
        <v>51</v>
      </c>
      <c r="E999" s="101">
        <v>4361675973</v>
      </c>
      <c r="F999" s="101">
        <v>135188753</v>
      </c>
      <c r="G999" s="101">
        <v>960</v>
      </c>
      <c r="H999" s="101">
        <v>118</v>
      </c>
      <c r="I999" s="101">
        <v>1078</v>
      </c>
      <c r="J999" s="101">
        <v>2153</v>
      </c>
      <c r="K999" s="101">
        <v>3231</v>
      </c>
      <c r="L999" s="101">
        <v>-85</v>
      </c>
      <c r="M999" s="101">
        <v>127</v>
      </c>
      <c r="N999" s="101">
        <v>1291</v>
      </c>
      <c r="O999" s="101">
        <v>689</v>
      </c>
      <c r="P999" s="101">
        <v>5211</v>
      </c>
      <c r="Q999" s="101">
        <v>20060</v>
      </c>
      <c r="R999" s="12" t="s">
        <v>25</v>
      </c>
      <c r="S999" s="12" t="s">
        <v>25</v>
      </c>
      <c r="T999" s="12" t="s">
        <v>25</v>
      </c>
    </row>
    <row r="1000" spans="1:20" x14ac:dyDescent="0.3">
      <c r="A1000" s="13">
        <v>43932.708333333336</v>
      </c>
      <c r="B1000" s="12" t="s">
        <v>22</v>
      </c>
      <c r="C1000" s="101">
        <v>14</v>
      </c>
      <c r="D1000" s="12" t="s">
        <v>52</v>
      </c>
      <c r="E1000" s="101">
        <v>4155774754</v>
      </c>
      <c r="F1000" s="101">
        <v>1465916051</v>
      </c>
      <c r="G1000" s="101">
        <v>28</v>
      </c>
      <c r="H1000" s="101">
        <v>4</v>
      </c>
      <c r="I1000" s="101">
        <v>32</v>
      </c>
      <c r="J1000" s="101">
        <v>161</v>
      </c>
      <c r="K1000" s="101">
        <v>193</v>
      </c>
      <c r="L1000" s="101">
        <v>0</v>
      </c>
      <c r="M1000" s="101">
        <v>3</v>
      </c>
      <c r="N1000" s="101">
        <v>39</v>
      </c>
      <c r="O1000" s="101">
        <v>14</v>
      </c>
      <c r="P1000" s="101">
        <v>246</v>
      </c>
      <c r="Q1000" s="101">
        <v>2201</v>
      </c>
      <c r="R1000" s="12" t="s">
        <v>25</v>
      </c>
      <c r="S1000" s="12" t="s">
        <v>25</v>
      </c>
      <c r="T1000" s="12" t="s">
        <v>25</v>
      </c>
    </row>
    <row r="1001" spans="1:20" x14ac:dyDescent="0.3">
      <c r="A1001" s="13">
        <v>43932.708333333336</v>
      </c>
      <c r="B1001" s="12" t="s">
        <v>22</v>
      </c>
      <c r="C1001" s="101">
        <v>1</v>
      </c>
      <c r="D1001" s="12" t="s">
        <v>53</v>
      </c>
      <c r="E1001" s="101">
        <v>450732745</v>
      </c>
      <c r="F1001" s="101">
        <v>7680687483</v>
      </c>
      <c r="G1001" s="101">
        <v>3435</v>
      </c>
      <c r="H1001" s="101">
        <v>384</v>
      </c>
      <c r="I1001" s="101">
        <v>3819</v>
      </c>
      <c r="J1001" s="101">
        <v>8351</v>
      </c>
      <c r="K1001" s="101">
        <v>12170</v>
      </c>
      <c r="L1001" s="101">
        <v>594</v>
      </c>
      <c r="M1001" s="101">
        <v>996</v>
      </c>
      <c r="N1001" s="101">
        <v>2205</v>
      </c>
      <c r="O1001" s="101">
        <v>1633</v>
      </c>
      <c r="P1001" s="101">
        <v>16008</v>
      </c>
      <c r="Q1001" s="101">
        <v>62577</v>
      </c>
      <c r="R1001" s="12" t="s">
        <v>25</v>
      </c>
      <c r="S1001" s="12" t="s">
        <v>25</v>
      </c>
      <c r="T1001" s="12" t="s">
        <v>25</v>
      </c>
    </row>
    <row r="1002" spans="1:20" x14ac:dyDescent="0.3">
      <c r="A1002" s="13">
        <v>43932.708333333336</v>
      </c>
      <c r="B1002" s="12" t="s">
        <v>22</v>
      </c>
      <c r="C1002" s="101">
        <v>16</v>
      </c>
      <c r="D1002" s="12" t="s">
        <v>54</v>
      </c>
      <c r="E1002" s="101">
        <v>4112559576</v>
      </c>
      <c r="F1002" s="101">
        <v>1686736689</v>
      </c>
      <c r="G1002" s="101">
        <v>627</v>
      </c>
      <c r="H1002" s="101">
        <v>73</v>
      </c>
      <c r="I1002" s="101">
        <v>700</v>
      </c>
      <c r="J1002" s="101">
        <v>1702</v>
      </c>
      <c r="K1002" s="101">
        <v>2402</v>
      </c>
      <c r="L1002" s="101">
        <v>66</v>
      </c>
      <c r="M1002" s="101">
        <v>95</v>
      </c>
      <c r="N1002" s="101">
        <v>249</v>
      </c>
      <c r="O1002" s="101">
        <v>253</v>
      </c>
      <c r="P1002" s="101">
        <v>2904</v>
      </c>
      <c r="Q1002" s="101">
        <v>29463</v>
      </c>
      <c r="R1002" s="12" t="s">
        <v>25</v>
      </c>
      <c r="S1002" s="12" t="s">
        <v>25</v>
      </c>
      <c r="T1002" s="12" t="s">
        <v>25</v>
      </c>
    </row>
    <row r="1003" spans="1:20" x14ac:dyDescent="0.3">
      <c r="A1003" s="13">
        <v>43932.708333333336</v>
      </c>
      <c r="B1003" s="12" t="s">
        <v>22</v>
      </c>
      <c r="C1003" s="101">
        <v>20</v>
      </c>
      <c r="D1003" s="12" t="s">
        <v>55</v>
      </c>
      <c r="E1003" s="101">
        <v>3921531192</v>
      </c>
      <c r="F1003" s="101">
        <v>9110616306</v>
      </c>
      <c r="G1003" s="101">
        <v>113</v>
      </c>
      <c r="H1003" s="101">
        <v>24</v>
      </c>
      <c r="I1003" s="101">
        <v>137</v>
      </c>
      <c r="J1003" s="101">
        <v>751</v>
      </c>
      <c r="K1003" s="101">
        <v>888</v>
      </c>
      <c r="L1003" s="101">
        <v>12</v>
      </c>
      <c r="M1003" s="101">
        <v>28</v>
      </c>
      <c r="N1003" s="101">
        <v>130</v>
      </c>
      <c r="O1003" s="101">
        <v>73</v>
      </c>
      <c r="P1003" s="101">
        <v>1091</v>
      </c>
      <c r="Q1003" s="101">
        <v>10120</v>
      </c>
      <c r="R1003" s="12" t="s">
        <v>25</v>
      </c>
      <c r="S1003" s="12" t="s">
        <v>25</v>
      </c>
      <c r="T1003" s="12" t="s">
        <v>25</v>
      </c>
    </row>
    <row r="1004" spans="1:20" x14ac:dyDescent="0.3">
      <c r="A1004" s="13">
        <v>43932.708333333336</v>
      </c>
      <c r="B1004" s="12" t="s">
        <v>22</v>
      </c>
      <c r="C1004" s="101">
        <v>19</v>
      </c>
      <c r="D1004" s="12" t="s">
        <v>56</v>
      </c>
      <c r="E1004" s="101">
        <v>3811569725</v>
      </c>
      <c r="F1004" s="101">
        <v>133623567</v>
      </c>
      <c r="G1004" s="101">
        <v>562</v>
      </c>
      <c r="H1004" s="101">
        <v>58</v>
      </c>
      <c r="I1004" s="101">
        <v>620</v>
      </c>
      <c r="J1004" s="101">
        <v>1381</v>
      </c>
      <c r="K1004" s="101">
        <v>2001</v>
      </c>
      <c r="L1004" s="101">
        <v>34</v>
      </c>
      <c r="M1004" s="101">
        <v>62</v>
      </c>
      <c r="N1004" s="101">
        <v>209</v>
      </c>
      <c r="O1004" s="101">
        <v>154</v>
      </c>
      <c r="P1004" s="101">
        <v>2364</v>
      </c>
      <c r="Q1004" s="101">
        <v>33787</v>
      </c>
      <c r="R1004" s="12" t="s">
        <v>25</v>
      </c>
      <c r="S1004" s="12" t="s">
        <v>25</v>
      </c>
      <c r="T1004" s="12" t="s">
        <v>25</v>
      </c>
    </row>
    <row r="1005" spans="1:20" x14ac:dyDescent="0.3">
      <c r="A1005" s="13">
        <v>43932.708333333336</v>
      </c>
      <c r="B1005" s="12" t="s">
        <v>22</v>
      </c>
      <c r="C1005" s="101">
        <v>9</v>
      </c>
      <c r="D1005" s="12" t="s">
        <v>57</v>
      </c>
      <c r="E1005" s="101">
        <v>4376923077</v>
      </c>
      <c r="F1005" s="101">
        <v>1125588885</v>
      </c>
      <c r="G1005" s="101">
        <v>997</v>
      </c>
      <c r="H1005" s="101">
        <v>237</v>
      </c>
      <c r="I1005" s="101">
        <v>1234</v>
      </c>
      <c r="J1005" s="101">
        <v>4758</v>
      </c>
      <c r="K1005" s="101">
        <v>5992</v>
      </c>
      <c r="L1005" s="101">
        <v>170</v>
      </c>
      <c r="M1005" s="101">
        <v>231</v>
      </c>
      <c r="N1005" s="101">
        <v>499</v>
      </c>
      <c r="O1005" s="101">
        <v>467</v>
      </c>
      <c r="P1005" s="101">
        <v>6958</v>
      </c>
      <c r="Q1005" s="101">
        <v>75756</v>
      </c>
      <c r="R1005" s="12" t="s">
        <v>25</v>
      </c>
      <c r="S1005" s="12" t="s">
        <v>25</v>
      </c>
      <c r="T1005" s="12" t="s">
        <v>25</v>
      </c>
    </row>
    <row r="1006" spans="1:20" x14ac:dyDescent="0.3">
      <c r="A1006" s="13">
        <v>43932.708333333336</v>
      </c>
      <c r="B1006" s="12" t="s">
        <v>22</v>
      </c>
      <c r="C1006" s="101">
        <v>4</v>
      </c>
      <c r="D1006" s="12" t="s">
        <v>58</v>
      </c>
      <c r="E1006" s="101">
        <v>4606893511</v>
      </c>
      <c r="F1006" s="101">
        <v>1112123097</v>
      </c>
      <c r="G1006" s="101">
        <v>335</v>
      </c>
      <c r="H1006" s="101">
        <v>62</v>
      </c>
      <c r="I1006" s="101">
        <v>397</v>
      </c>
      <c r="J1006" s="101">
        <v>1667</v>
      </c>
      <c r="K1006" s="101">
        <v>2064</v>
      </c>
      <c r="L1006" s="101">
        <v>70</v>
      </c>
      <c r="M1006" s="101">
        <v>154</v>
      </c>
      <c r="N1006" s="101">
        <v>622</v>
      </c>
      <c r="O1006" s="101">
        <v>284</v>
      </c>
      <c r="P1006" s="101">
        <v>2970</v>
      </c>
      <c r="Q1006" s="101">
        <v>16646</v>
      </c>
      <c r="R1006" s="12" t="s">
        <v>25</v>
      </c>
      <c r="S1006" s="12" t="s">
        <v>25</v>
      </c>
      <c r="T1006" s="12" t="s">
        <v>25</v>
      </c>
    </row>
    <row r="1007" spans="1:20" x14ac:dyDescent="0.3">
      <c r="A1007" s="13">
        <v>43932.708333333336</v>
      </c>
      <c r="B1007" s="12" t="s">
        <v>22</v>
      </c>
      <c r="C1007" s="101">
        <v>10</v>
      </c>
      <c r="D1007" s="12" t="s">
        <v>59</v>
      </c>
      <c r="E1007" s="101">
        <v>4310675841</v>
      </c>
      <c r="F1007" s="101">
        <v>1238824698</v>
      </c>
      <c r="G1007" s="101">
        <v>137</v>
      </c>
      <c r="H1007" s="101">
        <v>39</v>
      </c>
      <c r="I1007" s="101">
        <v>176</v>
      </c>
      <c r="J1007" s="101">
        <v>547</v>
      </c>
      <c r="K1007" s="101">
        <v>723</v>
      </c>
      <c r="L1007" s="101">
        <v>-29</v>
      </c>
      <c r="M1007" s="101">
        <v>7</v>
      </c>
      <c r="N1007" s="101">
        <v>534</v>
      </c>
      <c r="O1007" s="101">
        <v>52</v>
      </c>
      <c r="P1007" s="101">
        <v>1309</v>
      </c>
      <c r="Q1007" s="101">
        <v>17661</v>
      </c>
      <c r="R1007" s="12" t="s">
        <v>25</v>
      </c>
      <c r="S1007" s="12" t="s">
        <v>25</v>
      </c>
      <c r="T1007" s="12" t="s">
        <v>25</v>
      </c>
    </row>
    <row r="1008" spans="1:20" x14ac:dyDescent="0.3">
      <c r="A1008" s="13">
        <v>43932.708333333336</v>
      </c>
      <c r="B1008" s="12" t="s">
        <v>22</v>
      </c>
      <c r="C1008" s="101">
        <v>2</v>
      </c>
      <c r="D1008" s="12" t="s">
        <v>60</v>
      </c>
      <c r="E1008" s="101">
        <v>4573750286</v>
      </c>
      <c r="F1008" s="101">
        <v>7320149366</v>
      </c>
      <c r="G1008" s="101">
        <v>118</v>
      </c>
      <c r="H1008" s="101">
        <v>17</v>
      </c>
      <c r="I1008" s="101">
        <v>135</v>
      </c>
      <c r="J1008" s="101">
        <v>455</v>
      </c>
      <c r="K1008" s="101">
        <v>590</v>
      </c>
      <c r="L1008" s="101">
        <v>-12</v>
      </c>
      <c r="M1008" s="101">
        <v>23</v>
      </c>
      <c r="N1008" s="101">
        <v>205</v>
      </c>
      <c r="O1008" s="101">
        <v>107</v>
      </c>
      <c r="P1008" s="101">
        <v>902</v>
      </c>
      <c r="Q1008" s="101">
        <v>3464</v>
      </c>
      <c r="R1008" s="12" t="s">
        <v>25</v>
      </c>
      <c r="S1008" s="12" t="s">
        <v>25</v>
      </c>
      <c r="T1008" s="12" t="s">
        <v>25</v>
      </c>
    </row>
    <row r="1009" spans="1:20" x14ac:dyDescent="0.3">
      <c r="A1009" s="13">
        <v>43932.708333333336</v>
      </c>
      <c r="B1009" s="12" t="s">
        <v>22</v>
      </c>
      <c r="C1009" s="101">
        <v>5</v>
      </c>
      <c r="D1009" s="12" t="s">
        <v>61</v>
      </c>
      <c r="E1009" s="101">
        <v>4543490485</v>
      </c>
      <c r="F1009" s="101">
        <v>1233845213</v>
      </c>
      <c r="G1009" s="101">
        <v>1465</v>
      </c>
      <c r="H1009" s="101">
        <v>251</v>
      </c>
      <c r="I1009" s="101">
        <v>1716</v>
      </c>
      <c r="J1009" s="101">
        <v>9033</v>
      </c>
      <c r="K1009" s="101">
        <v>10749</v>
      </c>
      <c r="L1009" s="101">
        <v>102</v>
      </c>
      <c r="M1009" s="101">
        <v>347</v>
      </c>
      <c r="N1009" s="101">
        <v>2188</v>
      </c>
      <c r="O1009" s="101">
        <v>831</v>
      </c>
      <c r="P1009" s="101">
        <v>13768</v>
      </c>
      <c r="Q1009" s="101">
        <v>190912</v>
      </c>
      <c r="R1009" s="12" t="s">
        <v>25</v>
      </c>
      <c r="S1009" s="12" t="s">
        <v>25</v>
      </c>
      <c r="T1009" s="12" t="s">
        <v>25</v>
      </c>
    </row>
    <row r="1010" spans="1:20" x14ac:dyDescent="0.3">
      <c r="A1010" s="13">
        <v>43933.708333333336</v>
      </c>
      <c r="B1010" s="12" t="s">
        <v>22</v>
      </c>
      <c r="C1010" s="101">
        <v>13</v>
      </c>
      <c r="D1010" s="12" t="s">
        <v>42</v>
      </c>
      <c r="E1010" s="101">
        <v>4235122196</v>
      </c>
      <c r="F1010" s="101">
        <v>1339843823</v>
      </c>
      <c r="G1010" s="101">
        <v>346</v>
      </c>
      <c r="H1010" s="101">
        <v>54</v>
      </c>
      <c r="I1010" s="101">
        <v>400</v>
      </c>
      <c r="J1010" s="101">
        <v>1342</v>
      </c>
      <c r="K1010" s="101">
        <v>1742</v>
      </c>
      <c r="L1010" s="101">
        <v>18</v>
      </c>
      <c r="M1010" s="101">
        <v>40</v>
      </c>
      <c r="N1010" s="101">
        <v>206</v>
      </c>
      <c r="O1010" s="101">
        <v>212</v>
      </c>
      <c r="P1010" s="101">
        <v>2160</v>
      </c>
      <c r="Q1010" s="101">
        <v>20594</v>
      </c>
      <c r="R1010" s="12" t="s">
        <v>25</v>
      </c>
      <c r="S1010" s="12" t="s">
        <v>25</v>
      </c>
      <c r="T1010" s="12" t="s">
        <v>25</v>
      </c>
    </row>
    <row r="1011" spans="1:20" x14ac:dyDescent="0.3">
      <c r="A1011" s="13">
        <v>43933.708333333336</v>
      </c>
      <c r="B1011" s="12" t="s">
        <v>22</v>
      </c>
      <c r="C1011" s="101">
        <v>17</v>
      </c>
      <c r="D1011" s="12" t="s">
        <v>43</v>
      </c>
      <c r="E1011" s="101">
        <v>4063947052</v>
      </c>
      <c r="F1011" s="101">
        <v>1580514834</v>
      </c>
      <c r="G1011" s="101">
        <v>61</v>
      </c>
      <c r="H1011" s="101">
        <v>12</v>
      </c>
      <c r="I1011" s="101">
        <v>73</v>
      </c>
      <c r="J1011" s="101">
        <v>204</v>
      </c>
      <c r="K1011" s="101">
        <v>277</v>
      </c>
      <c r="L1011" s="101">
        <v>-4</v>
      </c>
      <c r="M1011" s="101">
        <v>3</v>
      </c>
      <c r="N1011" s="101">
        <v>20</v>
      </c>
      <c r="O1011" s="101">
        <v>18</v>
      </c>
      <c r="P1011" s="101">
        <v>315</v>
      </c>
      <c r="Q1011" s="101">
        <v>4355</v>
      </c>
      <c r="R1011" s="12" t="s">
        <v>25</v>
      </c>
      <c r="S1011" s="12" t="s">
        <v>25</v>
      </c>
      <c r="T1011" s="12" t="s">
        <v>25</v>
      </c>
    </row>
    <row r="1012" spans="1:20" x14ac:dyDescent="0.3">
      <c r="A1012" s="13">
        <v>43933.708333333336</v>
      </c>
      <c r="B1012" s="12" t="s">
        <v>22</v>
      </c>
      <c r="C1012" s="101">
        <v>4</v>
      </c>
      <c r="D1012" s="12" t="s">
        <v>44</v>
      </c>
      <c r="E1012" s="101">
        <v>4649933453</v>
      </c>
      <c r="F1012" s="101">
        <v>1135662422</v>
      </c>
      <c r="G1012" s="101">
        <v>183</v>
      </c>
      <c r="H1012" s="101">
        <v>45</v>
      </c>
      <c r="I1012" s="101">
        <v>228</v>
      </c>
      <c r="J1012" s="101">
        <v>1287</v>
      </c>
      <c r="K1012" s="101">
        <v>1515</v>
      </c>
      <c r="L1012" s="101">
        <v>246</v>
      </c>
      <c r="M1012" s="101">
        <v>141</v>
      </c>
      <c r="N1012" s="101">
        <v>378</v>
      </c>
      <c r="O1012" s="101">
        <v>205</v>
      </c>
      <c r="P1012" s="101">
        <v>2098</v>
      </c>
      <c r="Q1012" s="101">
        <v>23246</v>
      </c>
      <c r="R1012" s="12" t="s">
        <v>25</v>
      </c>
      <c r="S1012" s="12" t="s">
        <v>114</v>
      </c>
      <c r="T1012" s="12" t="s">
        <v>115</v>
      </c>
    </row>
    <row r="1013" spans="1:20" x14ac:dyDescent="0.3">
      <c r="A1013" s="13">
        <v>43933.708333333336</v>
      </c>
      <c r="B1013" s="12" t="s">
        <v>22</v>
      </c>
      <c r="C1013" s="101">
        <v>18</v>
      </c>
      <c r="D1013" s="12" t="s">
        <v>45</v>
      </c>
      <c r="E1013" s="101">
        <v>3890597598</v>
      </c>
      <c r="F1013" s="101">
        <v>1659440194</v>
      </c>
      <c r="G1013" s="101">
        <v>165</v>
      </c>
      <c r="H1013" s="101">
        <v>14</v>
      </c>
      <c r="I1013" s="101">
        <v>179</v>
      </c>
      <c r="J1013" s="101">
        <v>616</v>
      </c>
      <c r="K1013" s="101">
        <v>795</v>
      </c>
      <c r="L1013" s="101">
        <v>3</v>
      </c>
      <c r="M1013" s="101">
        <v>8</v>
      </c>
      <c r="N1013" s="101">
        <v>62</v>
      </c>
      <c r="O1013" s="101">
        <v>66</v>
      </c>
      <c r="P1013" s="101">
        <v>923</v>
      </c>
      <c r="Q1013" s="101">
        <v>18211</v>
      </c>
      <c r="R1013" s="12" t="s">
        <v>25</v>
      </c>
      <c r="S1013" s="12" t="s">
        <v>25</v>
      </c>
      <c r="T1013" s="12" t="s">
        <v>25</v>
      </c>
    </row>
    <row r="1014" spans="1:20" x14ac:dyDescent="0.3">
      <c r="A1014" s="13">
        <v>43933.708333333336</v>
      </c>
      <c r="B1014" s="12" t="s">
        <v>22</v>
      </c>
      <c r="C1014" s="101">
        <v>15</v>
      </c>
      <c r="D1014" s="12" t="s">
        <v>46</v>
      </c>
      <c r="E1014" s="101">
        <v>4083956555</v>
      </c>
      <c r="F1014" s="101">
        <v>1425084984</v>
      </c>
      <c r="G1014" s="101">
        <v>526</v>
      </c>
      <c r="H1014" s="101">
        <v>82</v>
      </c>
      <c r="I1014" s="101">
        <v>608</v>
      </c>
      <c r="J1014" s="101">
        <v>2449</v>
      </c>
      <c r="K1014" s="101">
        <v>3057</v>
      </c>
      <c r="L1014" s="101">
        <v>55</v>
      </c>
      <c r="M1014" s="101">
        <v>87</v>
      </c>
      <c r="N1014" s="101">
        <v>305</v>
      </c>
      <c r="O1014" s="101">
        <v>242</v>
      </c>
      <c r="P1014" s="101">
        <v>3604</v>
      </c>
      <c r="Q1014" s="101">
        <v>35448</v>
      </c>
      <c r="R1014" s="12" t="s">
        <v>25</v>
      </c>
      <c r="S1014" s="12" t="s">
        <v>25</v>
      </c>
      <c r="T1014" s="12" t="s">
        <v>25</v>
      </c>
    </row>
    <row r="1015" spans="1:20" x14ac:dyDescent="0.3">
      <c r="A1015" s="13">
        <v>43933.708333333336</v>
      </c>
      <c r="B1015" s="12" t="s">
        <v>22</v>
      </c>
      <c r="C1015" s="101">
        <v>8</v>
      </c>
      <c r="D1015" s="12" t="s">
        <v>96</v>
      </c>
      <c r="E1015" s="101">
        <v>4449436681</v>
      </c>
      <c r="F1015" s="101">
        <v>113417208</v>
      </c>
      <c r="G1015" s="101">
        <v>3491</v>
      </c>
      <c r="H1015" s="101">
        <v>335</v>
      </c>
      <c r="I1015" s="101">
        <v>3826</v>
      </c>
      <c r="J1015" s="101">
        <v>9846</v>
      </c>
      <c r="K1015" s="101">
        <v>13672</v>
      </c>
      <c r="L1015" s="101">
        <v>177</v>
      </c>
      <c r="M1015" s="101">
        <v>463</v>
      </c>
      <c r="N1015" s="101">
        <v>3862</v>
      </c>
      <c r="O1015" s="101">
        <v>2564</v>
      </c>
      <c r="P1015" s="101">
        <v>20098</v>
      </c>
      <c r="Q1015" s="101">
        <v>96704</v>
      </c>
      <c r="R1015" s="12" t="s">
        <v>25</v>
      </c>
      <c r="S1015" s="12" t="s">
        <v>25</v>
      </c>
      <c r="T1015" s="12" t="s">
        <v>25</v>
      </c>
    </row>
    <row r="1016" spans="1:20" x14ac:dyDescent="0.3">
      <c r="A1016" s="13">
        <v>43933.708333333336</v>
      </c>
      <c r="B1016" s="12" t="s">
        <v>22</v>
      </c>
      <c r="C1016" s="101">
        <v>6</v>
      </c>
      <c r="D1016" s="12" t="s">
        <v>47</v>
      </c>
      <c r="E1016" s="101">
        <v>456494354</v>
      </c>
      <c r="F1016" s="101">
        <v>1376813649</v>
      </c>
      <c r="G1016" s="101">
        <v>160</v>
      </c>
      <c r="H1016" s="101">
        <v>28</v>
      </c>
      <c r="I1016" s="101">
        <v>188</v>
      </c>
      <c r="J1016" s="101">
        <v>1138</v>
      </c>
      <c r="K1016" s="101">
        <v>1326</v>
      </c>
      <c r="L1016" s="101">
        <v>-56</v>
      </c>
      <c r="M1016" s="101">
        <v>38</v>
      </c>
      <c r="N1016" s="101">
        <v>910</v>
      </c>
      <c r="O1016" s="101">
        <v>195</v>
      </c>
      <c r="P1016" s="101">
        <v>2431</v>
      </c>
      <c r="Q1016" s="101">
        <v>29988</v>
      </c>
      <c r="R1016" s="12" t="s">
        <v>25</v>
      </c>
      <c r="S1016" s="12" t="s">
        <v>25</v>
      </c>
      <c r="T1016" s="12" t="s">
        <v>25</v>
      </c>
    </row>
    <row r="1017" spans="1:20" x14ac:dyDescent="0.3">
      <c r="A1017" s="13">
        <v>43933.708333333336</v>
      </c>
      <c r="B1017" s="12" t="s">
        <v>22</v>
      </c>
      <c r="C1017" s="101">
        <v>12</v>
      </c>
      <c r="D1017" s="12" t="s">
        <v>48</v>
      </c>
      <c r="E1017" s="101">
        <v>4189277044</v>
      </c>
      <c r="F1017" s="101">
        <v>1248366722</v>
      </c>
      <c r="G1017" s="101">
        <v>1268</v>
      </c>
      <c r="H1017" s="101">
        <v>201</v>
      </c>
      <c r="I1017" s="101">
        <v>1469</v>
      </c>
      <c r="J1017" s="101">
        <v>2348</v>
      </c>
      <c r="K1017" s="101">
        <v>3817</v>
      </c>
      <c r="L1017" s="101">
        <v>87</v>
      </c>
      <c r="M1017" s="101">
        <v>122</v>
      </c>
      <c r="N1017" s="101">
        <v>749</v>
      </c>
      <c r="O1017" s="101">
        <v>279</v>
      </c>
      <c r="P1017" s="101">
        <v>4845</v>
      </c>
      <c r="Q1017" s="101">
        <v>68954</v>
      </c>
      <c r="R1017" s="12" t="s">
        <v>25</v>
      </c>
      <c r="S1017" s="12" t="s">
        <v>25</v>
      </c>
      <c r="T1017" s="12" t="s">
        <v>25</v>
      </c>
    </row>
    <row r="1018" spans="1:20" x14ac:dyDescent="0.3">
      <c r="A1018" s="13">
        <v>43933.708333333336</v>
      </c>
      <c r="B1018" s="12" t="s">
        <v>22</v>
      </c>
      <c r="C1018" s="101">
        <v>7</v>
      </c>
      <c r="D1018" s="12" t="s">
        <v>49</v>
      </c>
      <c r="E1018" s="101">
        <v>4441149315</v>
      </c>
      <c r="F1018" s="101">
        <v>89326992</v>
      </c>
      <c r="G1018" s="101">
        <v>1032</v>
      </c>
      <c r="H1018" s="101">
        <v>144</v>
      </c>
      <c r="I1018" s="101">
        <v>1176</v>
      </c>
      <c r="J1018" s="101">
        <v>2157</v>
      </c>
      <c r="K1018" s="101">
        <v>3333</v>
      </c>
      <c r="L1018" s="101">
        <v>0</v>
      </c>
      <c r="M1018" s="101">
        <v>118</v>
      </c>
      <c r="N1018" s="101">
        <v>1412</v>
      </c>
      <c r="O1018" s="101">
        <v>749</v>
      </c>
      <c r="P1018" s="101">
        <v>5494</v>
      </c>
      <c r="Q1018" s="101">
        <v>21983</v>
      </c>
      <c r="R1018" s="12" t="s">
        <v>25</v>
      </c>
      <c r="S1018" s="12" t="s">
        <v>25</v>
      </c>
      <c r="T1018" s="12" t="s">
        <v>25</v>
      </c>
    </row>
    <row r="1019" spans="1:20" x14ac:dyDescent="0.3">
      <c r="A1019" s="13">
        <v>43933.708333333336</v>
      </c>
      <c r="B1019" s="12" t="s">
        <v>22</v>
      </c>
      <c r="C1019" s="101">
        <v>3</v>
      </c>
      <c r="D1019" s="12" t="s">
        <v>50</v>
      </c>
      <c r="E1019" s="101">
        <v>4546679409</v>
      </c>
      <c r="F1019" s="101">
        <v>9190347404</v>
      </c>
      <c r="G1019" s="101">
        <v>11969</v>
      </c>
      <c r="H1019" s="101">
        <v>1176</v>
      </c>
      <c r="I1019" s="101">
        <v>13145</v>
      </c>
      <c r="J1019" s="101">
        <v>18120</v>
      </c>
      <c r="K1019" s="101">
        <v>31265</v>
      </c>
      <c r="L1019" s="101">
        <v>1007</v>
      </c>
      <c r="M1019" s="101">
        <v>1460</v>
      </c>
      <c r="N1019" s="101">
        <v>17166</v>
      </c>
      <c r="O1019" s="101">
        <v>10621</v>
      </c>
      <c r="P1019" s="101">
        <v>59052</v>
      </c>
      <c r="Q1019" s="101">
        <v>205832</v>
      </c>
      <c r="R1019" s="12" t="s">
        <v>25</v>
      </c>
      <c r="S1019" s="12" t="s">
        <v>25</v>
      </c>
      <c r="T1019" s="12" t="s">
        <v>25</v>
      </c>
    </row>
    <row r="1020" spans="1:20" x14ac:dyDescent="0.3">
      <c r="A1020" s="13">
        <v>43933.708333333336</v>
      </c>
      <c r="B1020" s="12" t="s">
        <v>22</v>
      </c>
      <c r="C1020" s="101">
        <v>11</v>
      </c>
      <c r="D1020" s="12" t="s">
        <v>51</v>
      </c>
      <c r="E1020" s="101">
        <v>4361675973</v>
      </c>
      <c r="F1020" s="101">
        <v>135188753</v>
      </c>
      <c r="G1020" s="101">
        <v>949</v>
      </c>
      <c r="H1020" s="101">
        <v>114</v>
      </c>
      <c r="I1020" s="101">
        <v>1063</v>
      </c>
      <c r="J1020" s="101">
        <v>2051</v>
      </c>
      <c r="K1020" s="101">
        <v>3114</v>
      </c>
      <c r="L1020" s="101">
        <v>-117</v>
      </c>
      <c r="M1020" s="101">
        <v>92</v>
      </c>
      <c r="N1020" s="101">
        <v>1489</v>
      </c>
      <c r="O1020" s="101">
        <v>700</v>
      </c>
      <c r="P1020" s="101">
        <v>5303</v>
      </c>
      <c r="Q1020" s="101">
        <v>21057</v>
      </c>
      <c r="R1020" s="12" t="s">
        <v>25</v>
      </c>
      <c r="S1020" s="12" t="s">
        <v>25</v>
      </c>
      <c r="T1020" s="12" t="s">
        <v>25</v>
      </c>
    </row>
    <row r="1021" spans="1:20" x14ac:dyDescent="0.3">
      <c r="A1021" s="13">
        <v>43933.708333333336</v>
      </c>
      <c r="B1021" s="12" t="s">
        <v>22</v>
      </c>
      <c r="C1021" s="101">
        <v>14</v>
      </c>
      <c r="D1021" s="12" t="s">
        <v>52</v>
      </c>
      <c r="E1021" s="101">
        <v>4155774754</v>
      </c>
      <c r="F1021" s="101">
        <v>1465916051</v>
      </c>
      <c r="G1021" s="101">
        <v>27</v>
      </c>
      <c r="H1021" s="101">
        <v>4</v>
      </c>
      <c r="I1021" s="101">
        <v>31</v>
      </c>
      <c r="J1021" s="101">
        <v>171</v>
      </c>
      <c r="K1021" s="101">
        <v>202</v>
      </c>
      <c r="L1021" s="101">
        <v>9</v>
      </c>
      <c r="M1021" s="101">
        <v>11</v>
      </c>
      <c r="N1021" s="101">
        <v>40</v>
      </c>
      <c r="O1021" s="101">
        <v>15</v>
      </c>
      <c r="P1021" s="101">
        <v>257</v>
      </c>
      <c r="Q1021" s="101">
        <v>2471</v>
      </c>
      <c r="R1021" s="12" t="s">
        <v>25</v>
      </c>
      <c r="S1021" s="12" t="s">
        <v>25</v>
      </c>
      <c r="T1021" s="12" t="s">
        <v>25</v>
      </c>
    </row>
    <row r="1022" spans="1:20" x14ac:dyDescent="0.3">
      <c r="A1022" s="13">
        <v>43933.708333333336</v>
      </c>
      <c r="B1022" s="12" t="s">
        <v>22</v>
      </c>
      <c r="C1022" s="101">
        <v>1</v>
      </c>
      <c r="D1022" s="12" t="s">
        <v>53</v>
      </c>
      <c r="E1022" s="101">
        <v>450732745</v>
      </c>
      <c r="F1022" s="101">
        <v>7680687483</v>
      </c>
      <c r="G1022" s="101">
        <v>3429</v>
      </c>
      <c r="H1022" s="101">
        <v>381</v>
      </c>
      <c r="I1022" s="101">
        <v>3810</v>
      </c>
      <c r="J1022" s="101">
        <v>8695</v>
      </c>
      <c r="K1022" s="101">
        <v>12505</v>
      </c>
      <c r="L1022" s="101">
        <v>335</v>
      </c>
      <c r="M1022" s="101">
        <v>652</v>
      </c>
      <c r="N1022" s="101">
        <v>2426</v>
      </c>
      <c r="O1022" s="101">
        <v>1729</v>
      </c>
      <c r="P1022" s="101">
        <v>16660</v>
      </c>
      <c r="Q1022" s="101">
        <v>66555</v>
      </c>
      <c r="R1022" s="12" t="s">
        <v>25</v>
      </c>
      <c r="S1022" s="12" t="s">
        <v>25</v>
      </c>
      <c r="T1022" s="12" t="s">
        <v>25</v>
      </c>
    </row>
    <row r="1023" spans="1:20" x14ac:dyDescent="0.3">
      <c r="A1023" s="13">
        <v>43933.708333333336</v>
      </c>
      <c r="B1023" s="12" t="s">
        <v>22</v>
      </c>
      <c r="C1023" s="101">
        <v>16</v>
      </c>
      <c r="D1023" s="12" t="s">
        <v>54</v>
      </c>
      <c r="E1023" s="101">
        <v>4112559576</v>
      </c>
      <c r="F1023" s="101">
        <v>1686736689</v>
      </c>
      <c r="G1023" s="101">
        <v>609</v>
      </c>
      <c r="H1023" s="101">
        <v>71</v>
      </c>
      <c r="I1023" s="101">
        <v>680</v>
      </c>
      <c r="J1023" s="101">
        <v>1772</v>
      </c>
      <c r="K1023" s="101">
        <v>2452</v>
      </c>
      <c r="L1023" s="101">
        <v>50</v>
      </c>
      <c r="M1023" s="101">
        <v>85</v>
      </c>
      <c r="N1023" s="101">
        <v>277</v>
      </c>
      <c r="O1023" s="101">
        <v>260</v>
      </c>
      <c r="P1023" s="101">
        <v>2989</v>
      </c>
      <c r="Q1023" s="101">
        <v>30973</v>
      </c>
      <c r="R1023" s="12" t="s">
        <v>25</v>
      </c>
      <c r="S1023" s="12" t="s">
        <v>25</v>
      </c>
      <c r="T1023" s="12" t="s">
        <v>25</v>
      </c>
    </row>
    <row r="1024" spans="1:20" x14ac:dyDescent="0.3">
      <c r="A1024" s="13">
        <v>43933.708333333336</v>
      </c>
      <c r="B1024" s="12" t="s">
        <v>22</v>
      </c>
      <c r="C1024" s="101">
        <v>20</v>
      </c>
      <c r="D1024" s="12" t="s">
        <v>55</v>
      </c>
      <c r="E1024" s="101">
        <v>3921531192</v>
      </c>
      <c r="F1024" s="101">
        <v>9110616306</v>
      </c>
      <c r="G1024" s="101">
        <v>109</v>
      </c>
      <c r="H1024" s="101">
        <v>26</v>
      </c>
      <c r="I1024" s="101">
        <v>135</v>
      </c>
      <c r="J1024" s="101">
        <v>768</v>
      </c>
      <c r="K1024" s="101">
        <v>903</v>
      </c>
      <c r="L1024" s="101">
        <v>15</v>
      </c>
      <c r="M1024" s="101">
        <v>22</v>
      </c>
      <c r="N1024" s="101">
        <v>137</v>
      </c>
      <c r="O1024" s="101">
        <v>73</v>
      </c>
      <c r="P1024" s="101">
        <v>1113</v>
      </c>
      <c r="Q1024" s="101">
        <v>10663</v>
      </c>
      <c r="R1024" s="12" t="s">
        <v>25</v>
      </c>
      <c r="S1024" s="12" t="s">
        <v>25</v>
      </c>
      <c r="T1024" s="12" t="s">
        <v>25</v>
      </c>
    </row>
    <row r="1025" spans="1:20" x14ac:dyDescent="0.3">
      <c r="A1025" s="13">
        <v>43933.708333333336</v>
      </c>
      <c r="B1025" s="12" t="s">
        <v>22</v>
      </c>
      <c r="C1025" s="101">
        <v>19</v>
      </c>
      <c r="D1025" s="12" t="s">
        <v>56</v>
      </c>
      <c r="E1025" s="101">
        <v>3811569725</v>
      </c>
      <c r="F1025" s="101">
        <v>133623567</v>
      </c>
      <c r="G1025" s="101">
        <v>552</v>
      </c>
      <c r="H1025" s="101">
        <v>53</v>
      </c>
      <c r="I1025" s="101">
        <v>605</v>
      </c>
      <c r="J1025" s="101">
        <v>1425</v>
      </c>
      <c r="K1025" s="101">
        <v>2030</v>
      </c>
      <c r="L1025" s="101">
        <v>29</v>
      </c>
      <c r="M1025" s="101">
        <v>52</v>
      </c>
      <c r="N1025" s="101">
        <v>223</v>
      </c>
      <c r="O1025" s="101">
        <v>163</v>
      </c>
      <c r="P1025" s="101">
        <v>2416</v>
      </c>
      <c r="Q1025" s="101">
        <v>36098</v>
      </c>
      <c r="R1025" s="12" t="s">
        <v>25</v>
      </c>
      <c r="S1025" s="12" t="s">
        <v>25</v>
      </c>
      <c r="T1025" s="12" t="s">
        <v>25</v>
      </c>
    </row>
    <row r="1026" spans="1:20" x14ac:dyDescent="0.3">
      <c r="A1026" s="13">
        <v>43933.708333333336</v>
      </c>
      <c r="B1026" s="12" t="s">
        <v>22</v>
      </c>
      <c r="C1026" s="101">
        <v>9</v>
      </c>
      <c r="D1026" s="12" t="s">
        <v>57</v>
      </c>
      <c r="E1026" s="101">
        <v>4376923077</v>
      </c>
      <c r="F1026" s="101">
        <v>1125588885</v>
      </c>
      <c r="G1026" s="101">
        <v>983</v>
      </c>
      <c r="H1026" s="101">
        <v>238</v>
      </c>
      <c r="I1026" s="101">
        <v>1221</v>
      </c>
      <c r="J1026" s="101">
        <v>4941</v>
      </c>
      <c r="K1026" s="101">
        <v>6162</v>
      </c>
      <c r="L1026" s="101">
        <v>170</v>
      </c>
      <c r="M1026" s="101">
        <v>277</v>
      </c>
      <c r="N1026" s="101">
        <v>578</v>
      </c>
      <c r="O1026" s="101">
        <v>495</v>
      </c>
      <c r="P1026" s="101">
        <v>7235</v>
      </c>
      <c r="Q1026" s="101">
        <v>78640</v>
      </c>
      <c r="R1026" s="12" t="s">
        <v>25</v>
      </c>
      <c r="S1026" s="12" t="s">
        <v>25</v>
      </c>
      <c r="T1026" s="12" t="s">
        <v>25</v>
      </c>
    </row>
    <row r="1027" spans="1:20" x14ac:dyDescent="0.3">
      <c r="A1027" s="13">
        <v>43933.708333333336</v>
      </c>
      <c r="B1027" s="12" t="s">
        <v>22</v>
      </c>
      <c r="C1027" s="101">
        <v>4</v>
      </c>
      <c r="D1027" s="12" t="s">
        <v>58</v>
      </c>
      <c r="E1027" s="101">
        <v>4606893511</v>
      </c>
      <c r="F1027" s="101">
        <v>1112123097</v>
      </c>
      <c r="G1027" s="101">
        <v>322</v>
      </c>
      <c r="H1027" s="101">
        <v>61</v>
      </c>
      <c r="I1027" s="101">
        <v>383</v>
      </c>
      <c r="J1027" s="101">
        <v>1699</v>
      </c>
      <c r="K1027" s="101">
        <v>2082</v>
      </c>
      <c r="L1027" s="101">
        <v>18</v>
      </c>
      <c r="M1027" s="101">
        <v>83</v>
      </c>
      <c r="N1027" s="101">
        <v>678</v>
      </c>
      <c r="O1027" s="101">
        <v>293</v>
      </c>
      <c r="P1027" s="101">
        <v>3053</v>
      </c>
      <c r="Q1027" s="101">
        <v>17797</v>
      </c>
      <c r="R1027" s="12" t="s">
        <v>25</v>
      </c>
      <c r="S1027" s="12" t="s">
        <v>25</v>
      </c>
      <c r="T1027" s="12" t="s">
        <v>25</v>
      </c>
    </row>
    <row r="1028" spans="1:20" x14ac:dyDescent="0.3">
      <c r="A1028" s="13">
        <v>43933.708333333336</v>
      </c>
      <c r="B1028" s="12" t="s">
        <v>22</v>
      </c>
      <c r="C1028" s="101">
        <v>10</v>
      </c>
      <c r="D1028" s="12" t="s">
        <v>59</v>
      </c>
      <c r="E1028" s="101">
        <v>4310675841</v>
      </c>
      <c r="F1028" s="101">
        <v>1238824698</v>
      </c>
      <c r="G1028" s="101">
        <v>129</v>
      </c>
      <c r="H1028" s="101">
        <v>39</v>
      </c>
      <c r="I1028" s="101">
        <v>168</v>
      </c>
      <c r="J1028" s="101">
        <v>519</v>
      </c>
      <c r="K1028" s="101">
        <v>687</v>
      </c>
      <c r="L1028" s="101">
        <v>-36</v>
      </c>
      <c r="M1028" s="101">
        <v>10</v>
      </c>
      <c r="N1028" s="101">
        <v>580</v>
      </c>
      <c r="O1028" s="101">
        <v>52</v>
      </c>
      <c r="P1028" s="101">
        <v>1319</v>
      </c>
      <c r="Q1028" s="101">
        <v>18672</v>
      </c>
      <c r="R1028" s="12" t="s">
        <v>25</v>
      </c>
      <c r="S1028" s="12" t="s">
        <v>25</v>
      </c>
      <c r="T1028" s="12" t="s">
        <v>25</v>
      </c>
    </row>
    <row r="1029" spans="1:20" x14ac:dyDescent="0.3">
      <c r="A1029" s="13">
        <v>43933.708333333336</v>
      </c>
      <c r="B1029" s="12" t="s">
        <v>22</v>
      </c>
      <c r="C1029" s="101">
        <v>2</v>
      </c>
      <c r="D1029" s="12" t="s">
        <v>60</v>
      </c>
      <c r="E1029" s="101">
        <v>4573750286</v>
      </c>
      <c r="F1029" s="101">
        <v>7320149366</v>
      </c>
      <c r="G1029" s="101">
        <v>109</v>
      </c>
      <c r="H1029" s="101">
        <v>16</v>
      </c>
      <c r="I1029" s="101">
        <v>125</v>
      </c>
      <c r="J1029" s="101">
        <v>463</v>
      </c>
      <c r="K1029" s="101">
        <v>588</v>
      </c>
      <c r="L1029" s="101">
        <v>-2</v>
      </c>
      <c r="M1029" s="101">
        <v>19</v>
      </c>
      <c r="N1029" s="101">
        <v>221</v>
      </c>
      <c r="O1029" s="101">
        <v>112</v>
      </c>
      <c r="P1029" s="101">
        <v>921</v>
      </c>
      <c r="Q1029" s="101">
        <v>3510</v>
      </c>
      <c r="R1029" s="12" t="s">
        <v>25</v>
      </c>
      <c r="S1029" s="12" t="s">
        <v>25</v>
      </c>
      <c r="T1029" s="12" t="s">
        <v>25</v>
      </c>
    </row>
    <row r="1030" spans="1:20" x14ac:dyDescent="0.3">
      <c r="A1030" s="13">
        <v>43933.708333333336</v>
      </c>
      <c r="B1030" s="12" t="s">
        <v>22</v>
      </c>
      <c r="C1030" s="101">
        <v>5</v>
      </c>
      <c r="D1030" s="12" t="s">
        <v>61</v>
      </c>
      <c r="E1030" s="101">
        <v>4543490485</v>
      </c>
      <c r="F1030" s="101">
        <v>1233845213</v>
      </c>
      <c r="G1030" s="101">
        <v>1428</v>
      </c>
      <c r="H1030" s="101">
        <v>249</v>
      </c>
      <c r="I1030" s="101">
        <v>1677</v>
      </c>
      <c r="J1030" s="101">
        <v>9052</v>
      </c>
      <c r="K1030" s="101">
        <v>10729</v>
      </c>
      <c r="L1030" s="101">
        <v>-20</v>
      </c>
      <c r="M1030" s="101">
        <v>309</v>
      </c>
      <c r="N1030" s="101">
        <v>2492</v>
      </c>
      <c r="O1030" s="101">
        <v>856</v>
      </c>
      <c r="P1030" s="101">
        <v>14077</v>
      </c>
      <c r="Q1030" s="101">
        <v>198442</v>
      </c>
      <c r="R1030" s="12" t="s">
        <v>25</v>
      </c>
      <c r="S1030" s="12" t="s">
        <v>25</v>
      </c>
      <c r="T1030" s="12" t="s">
        <v>25</v>
      </c>
    </row>
    <row r="1031" spans="1:20" x14ac:dyDescent="0.3">
      <c r="A1031" s="13">
        <v>43934.708333333336</v>
      </c>
      <c r="B1031" s="12" t="s">
        <v>22</v>
      </c>
      <c r="C1031" s="101">
        <v>13</v>
      </c>
      <c r="D1031" s="12" t="s">
        <v>42</v>
      </c>
      <c r="E1031" s="101">
        <v>4235122196</v>
      </c>
      <c r="F1031" s="101">
        <v>1339843823</v>
      </c>
      <c r="G1031" s="101">
        <v>351</v>
      </c>
      <c r="H1031" s="101">
        <v>54</v>
      </c>
      <c r="I1031" s="101">
        <v>405</v>
      </c>
      <c r="J1031" s="101">
        <v>1373</v>
      </c>
      <c r="K1031" s="101">
        <v>1778</v>
      </c>
      <c r="L1031" s="101">
        <v>36</v>
      </c>
      <c r="M1031" s="101">
        <v>53</v>
      </c>
      <c r="N1031" s="101">
        <v>211</v>
      </c>
      <c r="O1031" s="101">
        <v>224</v>
      </c>
      <c r="P1031" s="101">
        <v>2213</v>
      </c>
      <c r="Q1031" s="101">
        <v>20667</v>
      </c>
      <c r="R1031" s="12" t="s">
        <v>25</v>
      </c>
      <c r="S1031" s="12" t="s">
        <v>25</v>
      </c>
      <c r="T1031" s="12" t="s">
        <v>25</v>
      </c>
    </row>
    <row r="1032" spans="1:20" x14ac:dyDescent="0.3">
      <c r="A1032" s="13">
        <v>43934.708333333336</v>
      </c>
      <c r="B1032" s="12" t="s">
        <v>22</v>
      </c>
      <c r="C1032" s="101">
        <v>17</v>
      </c>
      <c r="D1032" s="12" t="s">
        <v>43</v>
      </c>
      <c r="E1032" s="101">
        <v>4063947052</v>
      </c>
      <c r="F1032" s="101">
        <v>1580514834</v>
      </c>
      <c r="G1032" s="101">
        <v>64</v>
      </c>
      <c r="H1032" s="101">
        <v>12</v>
      </c>
      <c r="I1032" s="101">
        <v>76</v>
      </c>
      <c r="J1032" s="101">
        <v>194</v>
      </c>
      <c r="K1032" s="101">
        <v>270</v>
      </c>
      <c r="L1032" s="101">
        <v>-7</v>
      </c>
      <c r="M1032" s="101">
        <v>4</v>
      </c>
      <c r="N1032" s="101">
        <v>31</v>
      </c>
      <c r="O1032" s="101">
        <v>18</v>
      </c>
      <c r="P1032" s="101">
        <v>319</v>
      </c>
      <c r="Q1032" s="101">
        <v>4545</v>
      </c>
      <c r="R1032" s="12" t="s">
        <v>25</v>
      </c>
      <c r="S1032" s="12" t="s">
        <v>25</v>
      </c>
      <c r="T1032" s="12" t="s">
        <v>25</v>
      </c>
    </row>
    <row r="1033" spans="1:20" x14ac:dyDescent="0.3">
      <c r="A1033" s="13">
        <v>43934.708333333336</v>
      </c>
      <c r="B1033" s="12" t="s">
        <v>22</v>
      </c>
      <c r="C1033" s="101">
        <v>4</v>
      </c>
      <c r="D1033" s="12" t="s">
        <v>44</v>
      </c>
      <c r="E1033" s="101">
        <v>4649933453</v>
      </c>
      <c r="F1033" s="101">
        <v>1135662422</v>
      </c>
      <c r="G1033" s="101">
        <v>190</v>
      </c>
      <c r="H1033" s="101">
        <v>41</v>
      </c>
      <c r="I1033" s="101">
        <v>231</v>
      </c>
      <c r="J1033" s="101">
        <v>1306</v>
      </c>
      <c r="K1033" s="101">
        <v>1537</v>
      </c>
      <c r="L1033" s="101">
        <v>22</v>
      </c>
      <c r="M1033" s="101">
        <v>51</v>
      </c>
      <c r="N1033" s="101">
        <v>400</v>
      </c>
      <c r="O1033" s="101">
        <v>212</v>
      </c>
      <c r="P1033" s="101">
        <v>2149</v>
      </c>
      <c r="Q1033" s="101">
        <v>24157</v>
      </c>
      <c r="R1033" s="12" t="s">
        <v>25</v>
      </c>
      <c r="S1033" s="12" t="s">
        <v>25</v>
      </c>
      <c r="T1033" s="12" t="s">
        <v>25</v>
      </c>
    </row>
    <row r="1034" spans="1:20" x14ac:dyDescent="0.3">
      <c r="A1034" s="13">
        <v>43934.708333333336</v>
      </c>
      <c r="B1034" s="12" t="s">
        <v>22</v>
      </c>
      <c r="C1034" s="101">
        <v>18</v>
      </c>
      <c r="D1034" s="12" t="s">
        <v>45</v>
      </c>
      <c r="E1034" s="101">
        <v>3890597598</v>
      </c>
      <c r="F1034" s="101">
        <v>1659440194</v>
      </c>
      <c r="G1034" s="101">
        <v>160</v>
      </c>
      <c r="H1034" s="101">
        <v>12</v>
      </c>
      <c r="I1034" s="101">
        <v>172</v>
      </c>
      <c r="J1034" s="101">
        <v>619</v>
      </c>
      <c r="K1034" s="101">
        <v>791</v>
      </c>
      <c r="L1034" s="101">
        <v>-4</v>
      </c>
      <c r="M1034" s="101">
        <v>5</v>
      </c>
      <c r="N1034" s="101">
        <v>70</v>
      </c>
      <c r="O1034" s="101">
        <v>67</v>
      </c>
      <c r="P1034" s="101">
        <v>928</v>
      </c>
      <c r="Q1034" s="101">
        <v>18596</v>
      </c>
      <c r="R1034" s="12" t="s">
        <v>25</v>
      </c>
      <c r="S1034" s="12" t="s">
        <v>25</v>
      </c>
      <c r="T1034" s="12" t="s">
        <v>25</v>
      </c>
    </row>
    <row r="1035" spans="1:20" x14ac:dyDescent="0.3">
      <c r="A1035" s="13">
        <v>43934.708333333336</v>
      </c>
      <c r="B1035" s="12" t="s">
        <v>22</v>
      </c>
      <c r="C1035" s="101">
        <v>15</v>
      </c>
      <c r="D1035" s="12" t="s">
        <v>46</v>
      </c>
      <c r="E1035" s="101">
        <v>4083956555</v>
      </c>
      <c r="F1035" s="101">
        <v>1425084984</v>
      </c>
      <c r="G1035" s="101">
        <v>606</v>
      </c>
      <c r="H1035" s="101">
        <v>80</v>
      </c>
      <c r="I1035" s="101">
        <v>686</v>
      </c>
      <c r="J1035" s="101">
        <v>2376</v>
      </c>
      <c r="K1035" s="101">
        <v>3062</v>
      </c>
      <c r="L1035" s="101">
        <v>5</v>
      </c>
      <c r="M1035" s="101">
        <v>66</v>
      </c>
      <c r="N1035" s="101">
        <v>360</v>
      </c>
      <c r="O1035" s="101">
        <v>248</v>
      </c>
      <c r="P1035" s="101">
        <v>3670</v>
      </c>
      <c r="Q1035" s="101">
        <v>36770</v>
      </c>
      <c r="R1035" s="12" t="s">
        <v>25</v>
      </c>
      <c r="S1035" s="12" t="s">
        <v>25</v>
      </c>
      <c r="T1035" s="12" t="s">
        <v>25</v>
      </c>
    </row>
    <row r="1036" spans="1:20" x14ac:dyDescent="0.3">
      <c r="A1036" s="13">
        <v>43934.708333333336</v>
      </c>
      <c r="B1036" s="12" t="s">
        <v>22</v>
      </c>
      <c r="C1036" s="101">
        <v>8</v>
      </c>
      <c r="D1036" s="12" t="s">
        <v>96</v>
      </c>
      <c r="E1036" s="101">
        <v>4449436681</v>
      </c>
      <c r="F1036" s="101">
        <v>113417208</v>
      </c>
      <c r="G1036" s="101">
        <v>3490</v>
      </c>
      <c r="H1036" s="101">
        <v>331</v>
      </c>
      <c r="I1036" s="101">
        <v>3821</v>
      </c>
      <c r="J1036" s="101">
        <v>9997</v>
      </c>
      <c r="K1036" s="101">
        <v>13818</v>
      </c>
      <c r="L1036" s="101">
        <v>146</v>
      </c>
      <c r="M1036" s="101">
        <v>342</v>
      </c>
      <c r="N1036" s="101">
        <v>4007</v>
      </c>
      <c r="O1036" s="101">
        <v>2615</v>
      </c>
      <c r="P1036" s="101">
        <v>20440</v>
      </c>
      <c r="Q1036" s="101">
        <v>99047</v>
      </c>
      <c r="R1036" s="12" t="s">
        <v>25</v>
      </c>
      <c r="S1036" s="12" t="s">
        <v>25</v>
      </c>
      <c r="T1036" s="12" t="s">
        <v>25</v>
      </c>
    </row>
    <row r="1037" spans="1:20" x14ac:dyDescent="0.3">
      <c r="A1037" s="13">
        <v>43934.708333333336</v>
      </c>
      <c r="B1037" s="12" t="s">
        <v>22</v>
      </c>
      <c r="C1037" s="101">
        <v>6</v>
      </c>
      <c r="D1037" s="12" t="s">
        <v>47</v>
      </c>
      <c r="E1037" s="101">
        <v>456494354</v>
      </c>
      <c r="F1037" s="101">
        <v>1376813649</v>
      </c>
      <c r="G1037" s="101">
        <v>159</v>
      </c>
      <c r="H1037" s="101">
        <v>30</v>
      </c>
      <c r="I1037" s="101">
        <v>189</v>
      </c>
      <c r="J1037" s="101">
        <v>1118</v>
      </c>
      <c r="K1037" s="101">
        <v>1307</v>
      </c>
      <c r="L1037" s="101">
        <v>-19</v>
      </c>
      <c r="M1037" s="101">
        <v>51</v>
      </c>
      <c r="N1037" s="101">
        <v>973</v>
      </c>
      <c r="O1037" s="101">
        <v>202</v>
      </c>
      <c r="P1037" s="101">
        <v>2482</v>
      </c>
      <c r="Q1037" s="101">
        <v>30941</v>
      </c>
      <c r="R1037" s="12" t="s">
        <v>25</v>
      </c>
      <c r="S1037" s="12" t="s">
        <v>25</v>
      </c>
      <c r="T1037" s="12" t="s">
        <v>25</v>
      </c>
    </row>
    <row r="1038" spans="1:20" x14ac:dyDescent="0.3">
      <c r="A1038" s="13">
        <v>43934.708333333336</v>
      </c>
      <c r="B1038" s="12" t="s">
        <v>22</v>
      </c>
      <c r="C1038" s="101">
        <v>12</v>
      </c>
      <c r="D1038" s="12" t="s">
        <v>48</v>
      </c>
      <c r="E1038" s="101">
        <v>4189277044</v>
      </c>
      <c r="F1038" s="101">
        <v>1248366722</v>
      </c>
      <c r="G1038" s="101">
        <v>1314</v>
      </c>
      <c r="H1038" s="101">
        <v>200</v>
      </c>
      <c r="I1038" s="101">
        <v>1514</v>
      </c>
      <c r="J1038" s="101">
        <v>2406</v>
      </c>
      <c r="K1038" s="101">
        <v>3920</v>
      </c>
      <c r="L1038" s="101">
        <v>103</v>
      </c>
      <c r="M1038" s="101">
        <v>123</v>
      </c>
      <c r="N1038" s="101">
        <v>764</v>
      </c>
      <c r="O1038" s="101">
        <v>284</v>
      </c>
      <c r="P1038" s="101">
        <v>4968</v>
      </c>
      <c r="Q1038" s="101">
        <v>72746</v>
      </c>
      <c r="R1038" s="12" t="s">
        <v>25</v>
      </c>
      <c r="S1038" s="12" t="s">
        <v>25</v>
      </c>
      <c r="T1038" s="12" t="s">
        <v>25</v>
      </c>
    </row>
    <row r="1039" spans="1:20" x14ac:dyDescent="0.3">
      <c r="A1039" s="13">
        <v>43934.708333333336</v>
      </c>
      <c r="B1039" s="12" t="s">
        <v>22</v>
      </c>
      <c r="C1039" s="101">
        <v>7</v>
      </c>
      <c r="D1039" s="12" t="s">
        <v>49</v>
      </c>
      <c r="E1039" s="101">
        <v>4441149315</v>
      </c>
      <c r="F1039" s="101">
        <v>89326992</v>
      </c>
      <c r="G1039" s="101">
        <v>1088</v>
      </c>
      <c r="H1039" s="101">
        <v>138</v>
      </c>
      <c r="I1039" s="101">
        <v>1226</v>
      </c>
      <c r="J1039" s="101">
        <v>2139</v>
      </c>
      <c r="K1039" s="101">
        <v>3365</v>
      </c>
      <c r="L1039" s="101">
        <v>32</v>
      </c>
      <c r="M1039" s="101">
        <v>102</v>
      </c>
      <c r="N1039" s="101">
        <v>1471</v>
      </c>
      <c r="O1039" s="101">
        <v>760</v>
      </c>
      <c r="P1039" s="101">
        <v>5596</v>
      </c>
      <c r="Q1039" s="101">
        <v>23129</v>
      </c>
      <c r="R1039" s="12" t="s">
        <v>25</v>
      </c>
      <c r="S1039" s="12" t="s">
        <v>25</v>
      </c>
      <c r="T1039" s="12" t="s">
        <v>25</v>
      </c>
    </row>
    <row r="1040" spans="1:20" x14ac:dyDescent="0.3">
      <c r="A1040" s="13">
        <v>43934.708333333336</v>
      </c>
      <c r="B1040" s="12" t="s">
        <v>22</v>
      </c>
      <c r="C1040" s="101">
        <v>3</v>
      </c>
      <c r="D1040" s="12" t="s">
        <v>50</v>
      </c>
      <c r="E1040" s="101">
        <v>4546679409</v>
      </c>
      <c r="F1040" s="101">
        <v>9190347404</v>
      </c>
      <c r="G1040" s="101">
        <v>12028</v>
      </c>
      <c r="H1040" s="101">
        <v>1143</v>
      </c>
      <c r="I1040" s="101">
        <v>13171</v>
      </c>
      <c r="J1040" s="101">
        <v>18764</v>
      </c>
      <c r="K1040" s="101">
        <v>31935</v>
      </c>
      <c r="L1040" s="101">
        <v>670</v>
      </c>
      <c r="M1040" s="101">
        <v>1262</v>
      </c>
      <c r="N1040" s="101">
        <v>17478</v>
      </c>
      <c r="O1040" s="101">
        <v>10901</v>
      </c>
      <c r="P1040" s="101">
        <v>60314</v>
      </c>
      <c r="Q1040" s="101">
        <v>211092</v>
      </c>
      <c r="R1040" s="12" t="s">
        <v>25</v>
      </c>
      <c r="S1040" s="12" t="s">
        <v>25</v>
      </c>
      <c r="T1040" s="12" t="s">
        <v>25</v>
      </c>
    </row>
    <row r="1041" spans="1:20" x14ac:dyDescent="0.3">
      <c r="A1041" s="13">
        <v>43934.708333333336</v>
      </c>
      <c r="B1041" s="12" t="s">
        <v>22</v>
      </c>
      <c r="C1041" s="101">
        <v>11</v>
      </c>
      <c r="D1041" s="12" t="s">
        <v>51</v>
      </c>
      <c r="E1041" s="101">
        <v>4361675973</v>
      </c>
      <c r="F1041" s="101">
        <v>135188753</v>
      </c>
      <c r="G1041" s="101">
        <v>959</v>
      </c>
      <c r="H1041" s="101">
        <v>108</v>
      </c>
      <c r="I1041" s="101">
        <v>1067</v>
      </c>
      <c r="J1041" s="101">
        <v>2013</v>
      </c>
      <c r="K1041" s="101">
        <v>3080</v>
      </c>
      <c r="L1041" s="101">
        <v>-34</v>
      </c>
      <c r="M1041" s="101">
        <v>78</v>
      </c>
      <c r="N1041" s="101">
        <v>1588</v>
      </c>
      <c r="O1041" s="101">
        <v>713</v>
      </c>
      <c r="P1041" s="101">
        <v>5381</v>
      </c>
      <c r="Q1041" s="101">
        <v>28379</v>
      </c>
      <c r="R1041" s="12" t="s">
        <v>25</v>
      </c>
      <c r="S1041" s="12" t="s">
        <v>25</v>
      </c>
      <c r="T1041" s="12" t="s">
        <v>25</v>
      </c>
    </row>
    <row r="1042" spans="1:20" x14ac:dyDescent="0.3">
      <c r="A1042" s="13">
        <v>43934.708333333336</v>
      </c>
      <c r="B1042" s="12" t="s">
        <v>22</v>
      </c>
      <c r="C1042" s="101">
        <v>14</v>
      </c>
      <c r="D1042" s="12" t="s">
        <v>52</v>
      </c>
      <c r="E1042" s="101">
        <v>4155774754</v>
      </c>
      <c r="F1042" s="101">
        <v>1465916051</v>
      </c>
      <c r="G1042" s="101">
        <v>28</v>
      </c>
      <c r="H1042" s="101">
        <v>4</v>
      </c>
      <c r="I1042" s="101">
        <v>32</v>
      </c>
      <c r="J1042" s="101">
        <v>170</v>
      </c>
      <c r="K1042" s="101">
        <v>202</v>
      </c>
      <c r="L1042" s="101">
        <v>0</v>
      </c>
      <c r="M1042" s="101">
        <v>0</v>
      </c>
      <c r="N1042" s="101">
        <v>40</v>
      </c>
      <c r="O1042" s="101">
        <v>15</v>
      </c>
      <c r="P1042" s="101">
        <v>257</v>
      </c>
      <c r="Q1042" s="101">
        <v>2522</v>
      </c>
      <c r="R1042" s="12" t="s">
        <v>25</v>
      </c>
      <c r="S1042" s="12" t="s">
        <v>25</v>
      </c>
      <c r="T1042" s="12" t="s">
        <v>25</v>
      </c>
    </row>
    <row r="1043" spans="1:20" x14ac:dyDescent="0.3">
      <c r="A1043" s="13">
        <v>43934.708333333336</v>
      </c>
      <c r="B1043" s="12" t="s">
        <v>22</v>
      </c>
      <c r="C1043" s="101">
        <v>1</v>
      </c>
      <c r="D1043" s="12" t="s">
        <v>53</v>
      </c>
      <c r="E1043" s="101">
        <v>450732745</v>
      </c>
      <c r="F1043" s="101">
        <v>7680687483</v>
      </c>
      <c r="G1043" s="101">
        <v>3344</v>
      </c>
      <c r="H1043" s="101">
        <v>379</v>
      </c>
      <c r="I1043" s="101">
        <v>3723</v>
      </c>
      <c r="J1043" s="101">
        <v>9042</v>
      </c>
      <c r="K1043" s="101">
        <v>12765</v>
      </c>
      <c r="L1043" s="101">
        <v>260</v>
      </c>
      <c r="M1043" s="101">
        <v>474</v>
      </c>
      <c r="N1043" s="101">
        <v>2543</v>
      </c>
      <c r="O1043" s="101">
        <v>1826</v>
      </c>
      <c r="P1043" s="101">
        <v>17134</v>
      </c>
      <c r="Q1043" s="101">
        <v>69170</v>
      </c>
      <c r="R1043" s="12" t="s">
        <v>25</v>
      </c>
      <c r="S1043" s="12" t="s">
        <v>25</v>
      </c>
      <c r="T1043" s="12" t="s">
        <v>25</v>
      </c>
    </row>
    <row r="1044" spans="1:20" x14ac:dyDescent="0.3">
      <c r="A1044" s="13">
        <v>43934.708333333336</v>
      </c>
      <c r="B1044" s="12" t="s">
        <v>22</v>
      </c>
      <c r="C1044" s="101">
        <v>16</v>
      </c>
      <c r="D1044" s="12" t="s">
        <v>54</v>
      </c>
      <c r="E1044" s="101">
        <v>4112559576</v>
      </c>
      <c r="F1044" s="101">
        <v>1686736689</v>
      </c>
      <c r="G1044" s="101">
        <v>600</v>
      </c>
      <c r="H1044" s="101">
        <v>71</v>
      </c>
      <c r="I1044" s="101">
        <v>671</v>
      </c>
      <c r="J1044" s="101">
        <v>1841</v>
      </c>
      <c r="K1044" s="101">
        <v>2512</v>
      </c>
      <c r="L1044" s="101">
        <v>60</v>
      </c>
      <c r="M1044" s="101">
        <v>76</v>
      </c>
      <c r="N1044" s="101">
        <v>286</v>
      </c>
      <c r="O1044" s="101">
        <v>267</v>
      </c>
      <c r="P1044" s="101">
        <v>3065</v>
      </c>
      <c r="Q1044" s="101">
        <v>31922</v>
      </c>
      <c r="R1044" s="12" t="s">
        <v>25</v>
      </c>
      <c r="S1044" s="12" t="s">
        <v>25</v>
      </c>
      <c r="T1044" s="12" t="s">
        <v>25</v>
      </c>
    </row>
    <row r="1045" spans="1:20" x14ac:dyDescent="0.3">
      <c r="A1045" s="13">
        <v>43934.708333333336</v>
      </c>
      <c r="B1045" s="12" t="s">
        <v>22</v>
      </c>
      <c r="C1045" s="101">
        <v>20</v>
      </c>
      <c r="D1045" s="12" t="s">
        <v>55</v>
      </c>
      <c r="E1045" s="101">
        <v>3921531192</v>
      </c>
      <c r="F1045" s="101">
        <v>9110616306</v>
      </c>
      <c r="G1045" s="101">
        <v>107</v>
      </c>
      <c r="H1045" s="101">
        <v>27</v>
      </c>
      <c r="I1045" s="101">
        <v>134</v>
      </c>
      <c r="J1045" s="101">
        <v>780</v>
      </c>
      <c r="K1045" s="101">
        <v>914</v>
      </c>
      <c r="L1045" s="101">
        <v>11</v>
      </c>
      <c r="M1045" s="101">
        <v>15</v>
      </c>
      <c r="N1045" s="101">
        <v>139</v>
      </c>
      <c r="O1045" s="101">
        <v>75</v>
      </c>
      <c r="P1045" s="101">
        <v>1128</v>
      </c>
      <c r="Q1045" s="101">
        <v>11010</v>
      </c>
      <c r="R1045" s="12" t="s">
        <v>25</v>
      </c>
      <c r="S1045" s="12" t="s">
        <v>25</v>
      </c>
      <c r="T1045" s="12" t="s">
        <v>25</v>
      </c>
    </row>
    <row r="1046" spans="1:20" x14ac:dyDescent="0.3">
      <c r="A1046" s="13">
        <v>43934.708333333336</v>
      </c>
      <c r="B1046" s="12" t="s">
        <v>22</v>
      </c>
      <c r="C1046" s="101">
        <v>19</v>
      </c>
      <c r="D1046" s="12" t="s">
        <v>56</v>
      </c>
      <c r="E1046" s="101">
        <v>3811569725</v>
      </c>
      <c r="F1046" s="101">
        <v>133623567</v>
      </c>
      <c r="G1046" s="101">
        <v>554</v>
      </c>
      <c r="H1046" s="101">
        <v>51</v>
      </c>
      <c r="I1046" s="101">
        <v>605</v>
      </c>
      <c r="J1046" s="101">
        <v>1445</v>
      </c>
      <c r="K1046" s="101">
        <v>2050</v>
      </c>
      <c r="L1046" s="101">
        <v>20</v>
      </c>
      <c r="M1046" s="101">
        <v>42</v>
      </c>
      <c r="N1046" s="101">
        <v>237</v>
      </c>
      <c r="O1046" s="101">
        <v>171</v>
      </c>
      <c r="P1046" s="101">
        <v>2458</v>
      </c>
      <c r="Q1046" s="101">
        <v>37311</v>
      </c>
      <c r="R1046" s="12" t="s">
        <v>25</v>
      </c>
      <c r="S1046" s="12" t="s">
        <v>25</v>
      </c>
      <c r="T1046" s="12" t="s">
        <v>25</v>
      </c>
    </row>
    <row r="1047" spans="1:20" x14ac:dyDescent="0.3">
      <c r="A1047" s="13">
        <v>43934.708333333336</v>
      </c>
      <c r="B1047" s="12" t="s">
        <v>22</v>
      </c>
      <c r="C1047" s="101">
        <v>9</v>
      </c>
      <c r="D1047" s="12" t="s">
        <v>57</v>
      </c>
      <c r="E1047" s="101">
        <v>4376923077</v>
      </c>
      <c r="F1047" s="101">
        <v>1125588885</v>
      </c>
      <c r="G1047" s="101">
        <v>992</v>
      </c>
      <c r="H1047" s="101">
        <v>225</v>
      </c>
      <c r="I1047" s="101">
        <v>1217</v>
      </c>
      <c r="J1047" s="101">
        <v>5040</v>
      </c>
      <c r="K1047" s="101">
        <v>6257</v>
      </c>
      <c r="L1047" s="101">
        <v>95</v>
      </c>
      <c r="M1047" s="101">
        <v>155</v>
      </c>
      <c r="N1047" s="101">
        <v>615</v>
      </c>
      <c r="O1047" s="101">
        <v>518</v>
      </c>
      <c r="P1047" s="101">
        <v>7390</v>
      </c>
      <c r="Q1047" s="101">
        <v>80889</v>
      </c>
      <c r="R1047" s="12" t="s">
        <v>25</v>
      </c>
      <c r="S1047" s="12" t="s">
        <v>25</v>
      </c>
      <c r="T1047" s="12" t="s">
        <v>25</v>
      </c>
    </row>
    <row r="1048" spans="1:20" x14ac:dyDescent="0.3">
      <c r="A1048" s="13">
        <v>43934.708333333336</v>
      </c>
      <c r="B1048" s="12" t="s">
        <v>22</v>
      </c>
      <c r="C1048" s="101">
        <v>4</v>
      </c>
      <c r="D1048" s="12" t="s">
        <v>58</v>
      </c>
      <c r="E1048" s="101">
        <v>4606893511</v>
      </c>
      <c r="F1048" s="101">
        <v>1112123097</v>
      </c>
      <c r="G1048" s="101">
        <v>326</v>
      </c>
      <c r="H1048" s="101">
        <v>56</v>
      </c>
      <c r="I1048" s="101">
        <v>382</v>
      </c>
      <c r="J1048" s="101">
        <v>1698</v>
      </c>
      <c r="K1048" s="101">
        <v>2080</v>
      </c>
      <c r="L1048" s="101">
        <v>-2</v>
      </c>
      <c r="M1048" s="101">
        <v>73</v>
      </c>
      <c r="N1048" s="101">
        <v>746</v>
      </c>
      <c r="O1048" s="101">
        <v>300</v>
      </c>
      <c r="P1048" s="101">
        <v>3126</v>
      </c>
      <c r="Q1048" s="101">
        <v>18586</v>
      </c>
      <c r="R1048" s="12" t="s">
        <v>25</v>
      </c>
      <c r="S1048" s="12" t="s">
        <v>25</v>
      </c>
      <c r="T1048" s="12" t="s">
        <v>25</v>
      </c>
    </row>
    <row r="1049" spans="1:20" x14ac:dyDescent="0.3">
      <c r="A1049" s="13">
        <v>43934.708333333336</v>
      </c>
      <c r="B1049" s="12" t="s">
        <v>22</v>
      </c>
      <c r="C1049" s="101">
        <v>10</v>
      </c>
      <c r="D1049" s="12" t="s">
        <v>59</v>
      </c>
      <c r="E1049" s="101">
        <v>4310675841</v>
      </c>
      <c r="F1049" s="101">
        <v>1238824698</v>
      </c>
      <c r="G1049" s="101">
        <v>127</v>
      </c>
      <c r="H1049" s="101">
        <v>38</v>
      </c>
      <c r="I1049" s="101">
        <v>165</v>
      </c>
      <c r="J1049" s="101">
        <v>460</v>
      </c>
      <c r="K1049" s="101">
        <v>625</v>
      </c>
      <c r="L1049" s="101">
        <v>-62</v>
      </c>
      <c r="M1049" s="101">
        <v>1</v>
      </c>
      <c r="N1049" s="101">
        <v>643</v>
      </c>
      <c r="O1049" s="101">
        <v>52</v>
      </c>
      <c r="P1049" s="101">
        <v>1320</v>
      </c>
      <c r="Q1049" s="101">
        <v>18740</v>
      </c>
      <c r="R1049" s="12" t="s">
        <v>25</v>
      </c>
      <c r="S1049" s="12" t="s">
        <v>25</v>
      </c>
      <c r="T1049" s="12" t="s">
        <v>25</v>
      </c>
    </row>
    <row r="1050" spans="1:20" x14ac:dyDescent="0.3">
      <c r="A1050" s="13">
        <v>43934.708333333336</v>
      </c>
      <c r="B1050" s="12" t="s">
        <v>22</v>
      </c>
      <c r="C1050" s="101">
        <v>2</v>
      </c>
      <c r="D1050" s="12" t="s">
        <v>60</v>
      </c>
      <c r="E1050" s="101">
        <v>4573750286</v>
      </c>
      <c r="F1050" s="101">
        <v>7320149366</v>
      </c>
      <c r="G1050" s="101">
        <v>109</v>
      </c>
      <c r="H1050" s="101">
        <v>15</v>
      </c>
      <c r="I1050" s="101">
        <v>124</v>
      </c>
      <c r="J1050" s="101">
        <v>458</v>
      </c>
      <c r="K1050" s="101">
        <v>582</v>
      </c>
      <c r="L1050" s="101">
        <v>-6</v>
      </c>
      <c r="M1050" s="101">
        <v>6</v>
      </c>
      <c r="N1050" s="101">
        <v>230</v>
      </c>
      <c r="O1050" s="101">
        <v>115</v>
      </c>
      <c r="P1050" s="101">
        <v>927</v>
      </c>
      <c r="Q1050" s="101">
        <v>3614</v>
      </c>
      <c r="R1050" s="12" t="s">
        <v>25</v>
      </c>
      <c r="S1050" s="12" t="s">
        <v>25</v>
      </c>
      <c r="T1050" s="12" t="s">
        <v>25</v>
      </c>
    </row>
    <row r="1051" spans="1:20" x14ac:dyDescent="0.3">
      <c r="A1051" s="13">
        <v>43934.708333333336</v>
      </c>
      <c r="B1051" s="12" t="s">
        <v>22</v>
      </c>
      <c r="C1051" s="101">
        <v>5</v>
      </c>
      <c r="D1051" s="12" t="s">
        <v>61</v>
      </c>
      <c r="E1051" s="101">
        <v>4543490485</v>
      </c>
      <c r="F1051" s="101">
        <v>1233845213</v>
      </c>
      <c r="G1051" s="101">
        <v>1427</v>
      </c>
      <c r="H1051" s="101">
        <v>245</v>
      </c>
      <c r="I1051" s="101">
        <v>1672</v>
      </c>
      <c r="J1051" s="101">
        <v>9094</v>
      </c>
      <c r="K1051" s="101">
        <v>10766</v>
      </c>
      <c r="L1051" s="101">
        <v>37</v>
      </c>
      <c r="M1051" s="101">
        <v>174</v>
      </c>
      <c r="N1051" s="101">
        <v>2603</v>
      </c>
      <c r="O1051" s="101">
        <v>882</v>
      </c>
      <c r="P1051" s="101">
        <v>14251</v>
      </c>
      <c r="Q1051" s="101">
        <v>203077</v>
      </c>
      <c r="R1051" s="12" t="s">
        <v>25</v>
      </c>
      <c r="S1051" s="12" t="s">
        <v>25</v>
      </c>
      <c r="T1051" s="12" t="s">
        <v>25</v>
      </c>
    </row>
    <row r="1052" spans="1:20" x14ac:dyDescent="0.3">
      <c r="A1052" s="13">
        <v>43935.708333333336</v>
      </c>
      <c r="B1052" s="12" t="s">
        <v>22</v>
      </c>
      <c r="C1052" s="101">
        <v>13</v>
      </c>
      <c r="D1052" s="12" t="s">
        <v>42</v>
      </c>
      <c r="E1052" s="101">
        <v>4235122196</v>
      </c>
      <c r="F1052" s="101">
        <v>1339843823</v>
      </c>
      <c r="G1052" s="101">
        <v>345</v>
      </c>
      <c r="H1052" s="101">
        <v>52</v>
      </c>
      <c r="I1052" s="101">
        <v>397</v>
      </c>
      <c r="J1052" s="101">
        <v>1403</v>
      </c>
      <c r="K1052" s="101">
        <v>1800</v>
      </c>
      <c r="L1052" s="101">
        <v>22</v>
      </c>
      <c r="M1052" s="101">
        <v>32</v>
      </c>
      <c r="N1052" s="101">
        <v>213</v>
      </c>
      <c r="O1052" s="101">
        <v>232</v>
      </c>
      <c r="P1052" s="101">
        <v>2245</v>
      </c>
      <c r="Q1052" s="101">
        <v>20935</v>
      </c>
      <c r="R1052" s="12" t="s">
        <v>25</v>
      </c>
      <c r="S1052" s="12" t="s">
        <v>25</v>
      </c>
      <c r="T1052" s="12" t="s">
        <v>25</v>
      </c>
    </row>
    <row r="1053" spans="1:20" x14ac:dyDescent="0.3">
      <c r="A1053" s="13">
        <v>43935.708333333336</v>
      </c>
      <c r="B1053" s="12" t="s">
        <v>22</v>
      </c>
      <c r="C1053" s="101">
        <v>17</v>
      </c>
      <c r="D1053" s="12" t="s">
        <v>43</v>
      </c>
      <c r="E1053" s="101">
        <v>4063947052</v>
      </c>
      <c r="F1053" s="101">
        <v>1580514834</v>
      </c>
      <c r="G1053" s="101">
        <v>62</v>
      </c>
      <c r="H1053" s="101">
        <v>12</v>
      </c>
      <c r="I1053" s="101">
        <v>74</v>
      </c>
      <c r="J1053" s="101">
        <v>191</v>
      </c>
      <c r="K1053" s="101">
        <v>265</v>
      </c>
      <c r="L1053" s="101">
        <v>-5</v>
      </c>
      <c r="M1053" s="101">
        <v>0</v>
      </c>
      <c r="N1053" s="101">
        <v>35</v>
      </c>
      <c r="O1053" s="101">
        <v>19</v>
      </c>
      <c r="P1053" s="101">
        <v>319</v>
      </c>
      <c r="Q1053" s="101">
        <v>4759</v>
      </c>
      <c r="R1053" s="12" t="s">
        <v>25</v>
      </c>
      <c r="S1053" s="12" t="s">
        <v>25</v>
      </c>
      <c r="T1053" s="12" t="s">
        <v>25</v>
      </c>
    </row>
    <row r="1054" spans="1:20" x14ac:dyDescent="0.3">
      <c r="A1054" s="13">
        <v>43935.708333333336</v>
      </c>
      <c r="B1054" s="12" t="s">
        <v>22</v>
      </c>
      <c r="C1054" s="101">
        <v>4</v>
      </c>
      <c r="D1054" s="12" t="s">
        <v>44</v>
      </c>
      <c r="E1054" s="101">
        <v>4649933453</v>
      </c>
      <c r="F1054" s="101">
        <v>1135662422</v>
      </c>
      <c r="G1054" s="101">
        <v>177</v>
      </c>
      <c r="H1054" s="101">
        <v>39</v>
      </c>
      <c r="I1054" s="101">
        <v>216</v>
      </c>
      <c r="J1054" s="101">
        <v>1348</v>
      </c>
      <c r="K1054" s="101">
        <v>1564</v>
      </c>
      <c r="L1054" s="101">
        <v>27</v>
      </c>
      <c r="M1054" s="101">
        <v>35</v>
      </c>
      <c r="N1054" s="101">
        <v>406</v>
      </c>
      <c r="O1054" s="101">
        <v>214</v>
      </c>
      <c r="P1054" s="101">
        <v>2184</v>
      </c>
      <c r="Q1054" s="101">
        <v>24457</v>
      </c>
      <c r="R1054" s="12" t="s">
        <v>25</v>
      </c>
      <c r="S1054" s="12" t="s">
        <v>25</v>
      </c>
      <c r="T1054" s="12" t="s">
        <v>25</v>
      </c>
    </row>
    <row r="1055" spans="1:20" x14ac:dyDescent="0.3">
      <c r="A1055" s="13">
        <v>43935.708333333336</v>
      </c>
      <c r="B1055" s="12" t="s">
        <v>22</v>
      </c>
      <c r="C1055" s="101">
        <v>18</v>
      </c>
      <c r="D1055" s="12" t="s">
        <v>45</v>
      </c>
      <c r="E1055" s="101">
        <v>3890597598</v>
      </c>
      <c r="F1055" s="101">
        <v>1659440194</v>
      </c>
      <c r="G1055" s="101">
        <v>161</v>
      </c>
      <c r="H1055" s="101">
        <v>12</v>
      </c>
      <c r="I1055" s="101">
        <v>173</v>
      </c>
      <c r="J1055" s="101">
        <v>643</v>
      </c>
      <c r="K1055" s="101">
        <v>816</v>
      </c>
      <c r="L1055" s="101">
        <v>25</v>
      </c>
      <c r="M1055" s="101">
        <v>28</v>
      </c>
      <c r="N1055" s="101">
        <v>72</v>
      </c>
      <c r="O1055" s="101">
        <v>68</v>
      </c>
      <c r="P1055" s="101">
        <v>956</v>
      </c>
      <c r="Q1055" s="101">
        <v>19014</v>
      </c>
      <c r="R1055" s="12" t="s">
        <v>25</v>
      </c>
      <c r="S1055" s="12" t="s">
        <v>25</v>
      </c>
      <c r="T1055" s="12" t="s">
        <v>25</v>
      </c>
    </row>
    <row r="1056" spans="1:20" x14ac:dyDescent="0.3">
      <c r="A1056" s="13">
        <v>43935.708333333336</v>
      </c>
      <c r="B1056" s="12" t="s">
        <v>22</v>
      </c>
      <c r="C1056" s="101">
        <v>15</v>
      </c>
      <c r="D1056" s="12" t="s">
        <v>46</v>
      </c>
      <c r="E1056" s="101">
        <v>4083956555</v>
      </c>
      <c r="F1056" s="101">
        <v>1425084984</v>
      </c>
      <c r="G1056" s="101">
        <v>618</v>
      </c>
      <c r="H1056" s="101">
        <v>82</v>
      </c>
      <c r="I1056" s="101">
        <v>700</v>
      </c>
      <c r="J1056" s="101">
        <v>2394</v>
      </c>
      <c r="K1056" s="101">
        <v>3094</v>
      </c>
      <c r="L1056" s="101">
        <v>32</v>
      </c>
      <c r="M1056" s="101">
        <v>99</v>
      </c>
      <c r="N1056" s="101">
        <v>415</v>
      </c>
      <c r="O1056" s="101">
        <v>260</v>
      </c>
      <c r="P1056" s="101">
        <v>3769</v>
      </c>
      <c r="Q1056" s="101">
        <v>38094</v>
      </c>
      <c r="R1056" s="12" t="s">
        <v>25</v>
      </c>
      <c r="S1056" s="12" t="s">
        <v>25</v>
      </c>
      <c r="T1056" s="12" t="s">
        <v>25</v>
      </c>
    </row>
    <row r="1057" spans="1:20" x14ac:dyDescent="0.3">
      <c r="A1057" s="13">
        <v>43935.708333333336</v>
      </c>
      <c r="B1057" s="12" t="s">
        <v>22</v>
      </c>
      <c r="C1057" s="101">
        <v>8</v>
      </c>
      <c r="D1057" s="12" t="s">
        <v>96</v>
      </c>
      <c r="E1057" s="101">
        <v>4449436681</v>
      </c>
      <c r="F1057" s="101">
        <v>113417208</v>
      </c>
      <c r="G1057" s="101">
        <v>3473</v>
      </c>
      <c r="H1057" s="101">
        <v>328</v>
      </c>
      <c r="I1057" s="101">
        <v>3801</v>
      </c>
      <c r="J1057" s="101">
        <v>9977</v>
      </c>
      <c r="K1057" s="101">
        <v>13778</v>
      </c>
      <c r="L1057" s="101">
        <v>-40</v>
      </c>
      <c r="M1057" s="101">
        <v>312</v>
      </c>
      <c r="N1057" s="101">
        <v>4269</v>
      </c>
      <c r="O1057" s="101">
        <v>2705</v>
      </c>
      <c r="P1057" s="101">
        <v>20752</v>
      </c>
      <c r="Q1057" s="101">
        <v>101896</v>
      </c>
      <c r="R1057" s="12" t="s">
        <v>25</v>
      </c>
      <c r="S1057" s="12" t="s">
        <v>25</v>
      </c>
      <c r="T1057" s="12" t="s">
        <v>25</v>
      </c>
    </row>
    <row r="1058" spans="1:20" x14ac:dyDescent="0.3">
      <c r="A1058" s="13">
        <v>43935.708333333336</v>
      </c>
      <c r="B1058" s="12" t="s">
        <v>22</v>
      </c>
      <c r="C1058" s="101">
        <v>6</v>
      </c>
      <c r="D1058" s="12" t="s">
        <v>47</v>
      </c>
      <c r="E1058" s="101">
        <v>456494354</v>
      </c>
      <c r="F1058" s="101">
        <v>1376813649</v>
      </c>
      <c r="G1058" s="101">
        <v>166</v>
      </c>
      <c r="H1058" s="101">
        <v>28</v>
      </c>
      <c r="I1058" s="101">
        <v>194</v>
      </c>
      <c r="J1058" s="101">
        <v>705</v>
      </c>
      <c r="K1058" s="101">
        <v>899</v>
      </c>
      <c r="L1058" s="101">
        <v>-408</v>
      </c>
      <c r="M1058" s="101">
        <v>38</v>
      </c>
      <c r="N1058" s="101">
        <v>1415</v>
      </c>
      <c r="O1058" s="101">
        <v>206</v>
      </c>
      <c r="P1058" s="101">
        <v>2520</v>
      </c>
      <c r="Q1058" s="101">
        <v>31764</v>
      </c>
      <c r="R1058" s="12" t="s">
        <v>25</v>
      </c>
      <c r="S1058" s="12" t="s">
        <v>25</v>
      </c>
      <c r="T1058" s="12" t="s">
        <v>25</v>
      </c>
    </row>
    <row r="1059" spans="1:20" x14ac:dyDescent="0.3">
      <c r="A1059" s="13">
        <v>43935.708333333336</v>
      </c>
      <c r="B1059" s="12" t="s">
        <v>22</v>
      </c>
      <c r="C1059" s="101">
        <v>12</v>
      </c>
      <c r="D1059" s="12" t="s">
        <v>48</v>
      </c>
      <c r="E1059" s="101">
        <v>4189277044</v>
      </c>
      <c r="F1059" s="101">
        <v>1248366722</v>
      </c>
      <c r="G1059" s="101">
        <v>1344</v>
      </c>
      <c r="H1059" s="101">
        <v>199</v>
      </c>
      <c r="I1059" s="101">
        <v>1543</v>
      </c>
      <c r="J1059" s="101">
        <v>2479</v>
      </c>
      <c r="K1059" s="101">
        <v>4022</v>
      </c>
      <c r="L1059" s="101">
        <v>102</v>
      </c>
      <c r="M1059" s="101">
        <v>143</v>
      </c>
      <c r="N1059" s="101">
        <v>789</v>
      </c>
      <c r="O1059" s="101">
        <v>300</v>
      </c>
      <c r="P1059" s="101">
        <v>5111</v>
      </c>
      <c r="Q1059" s="101">
        <v>74650</v>
      </c>
      <c r="R1059" s="12" t="s">
        <v>25</v>
      </c>
      <c r="S1059" s="12" t="s">
        <v>25</v>
      </c>
      <c r="T1059" s="12" t="s">
        <v>25</v>
      </c>
    </row>
    <row r="1060" spans="1:20" x14ac:dyDescent="0.3">
      <c r="A1060" s="13">
        <v>43935.708333333336</v>
      </c>
      <c r="B1060" s="12" t="s">
        <v>22</v>
      </c>
      <c r="C1060" s="101">
        <v>7</v>
      </c>
      <c r="D1060" s="12" t="s">
        <v>49</v>
      </c>
      <c r="E1060" s="101">
        <v>4441149315</v>
      </c>
      <c r="F1060" s="101">
        <v>89326992</v>
      </c>
      <c r="G1060" s="101">
        <v>967</v>
      </c>
      <c r="H1060" s="101">
        <v>133</v>
      </c>
      <c r="I1060" s="101">
        <v>1100</v>
      </c>
      <c r="J1060" s="101">
        <v>2366</v>
      </c>
      <c r="K1060" s="101">
        <v>3466</v>
      </c>
      <c r="L1060" s="101">
        <v>101</v>
      </c>
      <c r="M1060" s="101">
        <v>212</v>
      </c>
      <c r="N1060" s="101">
        <v>1549</v>
      </c>
      <c r="O1060" s="101">
        <v>793</v>
      </c>
      <c r="P1060" s="101">
        <v>5808</v>
      </c>
      <c r="Q1060" s="101">
        <v>24446</v>
      </c>
      <c r="R1060" s="12" t="s">
        <v>25</v>
      </c>
      <c r="S1060" s="12" t="s">
        <v>25</v>
      </c>
      <c r="T1060" s="12" t="s">
        <v>25</v>
      </c>
    </row>
    <row r="1061" spans="1:20" x14ac:dyDescent="0.3">
      <c r="A1061" s="13">
        <v>43935.708333333336</v>
      </c>
      <c r="B1061" s="12" t="s">
        <v>22</v>
      </c>
      <c r="C1061" s="101">
        <v>3</v>
      </c>
      <c r="D1061" s="12" t="s">
        <v>50</v>
      </c>
      <c r="E1061" s="101">
        <v>4546679409</v>
      </c>
      <c r="F1061" s="101">
        <v>9190347404</v>
      </c>
      <c r="G1061" s="101">
        <v>12077</v>
      </c>
      <c r="H1061" s="101">
        <v>1122</v>
      </c>
      <c r="I1061" s="101">
        <v>13199</v>
      </c>
      <c r="J1061" s="101">
        <v>19164</v>
      </c>
      <c r="K1061" s="101">
        <v>32363</v>
      </c>
      <c r="L1061" s="101">
        <v>428</v>
      </c>
      <c r="M1061" s="101">
        <v>1012</v>
      </c>
      <c r="N1061" s="101">
        <v>17821</v>
      </c>
      <c r="O1061" s="101">
        <v>11142</v>
      </c>
      <c r="P1061" s="101">
        <v>61326</v>
      </c>
      <c r="Q1061" s="101">
        <v>214870</v>
      </c>
      <c r="R1061" s="12" t="s">
        <v>25</v>
      </c>
      <c r="S1061" s="12" t="s">
        <v>25</v>
      </c>
      <c r="T1061" s="12" t="s">
        <v>25</v>
      </c>
    </row>
    <row r="1062" spans="1:20" x14ac:dyDescent="0.3">
      <c r="A1062" s="13">
        <v>43935.708333333336</v>
      </c>
      <c r="B1062" s="12" t="s">
        <v>22</v>
      </c>
      <c r="C1062" s="101">
        <v>11</v>
      </c>
      <c r="D1062" s="12" t="s">
        <v>51</v>
      </c>
      <c r="E1062" s="101">
        <v>4361675973</v>
      </c>
      <c r="F1062" s="101">
        <v>135188753</v>
      </c>
      <c r="G1062" s="101">
        <v>937</v>
      </c>
      <c r="H1062" s="101">
        <v>106</v>
      </c>
      <c r="I1062" s="101">
        <v>1043</v>
      </c>
      <c r="J1062" s="101">
        <v>2052</v>
      </c>
      <c r="K1062" s="101">
        <v>3095</v>
      </c>
      <c r="L1062" s="101">
        <v>15</v>
      </c>
      <c r="M1062" s="101">
        <v>45</v>
      </c>
      <c r="N1062" s="101">
        <v>1603</v>
      </c>
      <c r="O1062" s="101">
        <v>728</v>
      </c>
      <c r="P1062" s="101">
        <v>5426</v>
      </c>
      <c r="Q1062" s="101">
        <v>29160</v>
      </c>
      <c r="R1062" s="12" t="s">
        <v>25</v>
      </c>
      <c r="S1062" s="12" t="s">
        <v>25</v>
      </c>
      <c r="T1062" s="12" t="s">
        <v>25</v>
      </c>
    </row>
    <row r="1063" spans="1:20" x14ac:dyDescent="0.3">
      <c r="A1063" s="13">
        <v>43935.708333333336</v>
      </c>
      <c r="B1063" s="12" t="s">
        <v>22</v>
      </c>
      <c r="C1063" s="101">
        <v>14</v>
      </c>
      <c r="D1063" s="12" t="s">
        <v>52</v>
      </c>
      <c r="E1063" s="101">
        <v>4155774754</v>
      </c>
      <c r="F1063" s="101">
        <v>1465916051</v>
      </c>
      <c r="G1063" s="101">
        <v>26</v>
      </c>
      <c r="H1063" s="101">
        <v>4</v>
      </c>
      <c r="I1063" s="101">
        <v>30</v>
      </c>
      <c r="J1063" s="101">
        <v>170</v>
      </c>
      <c r="K1063" s="101">
        <v>200</v>
      </c>
      <c r="L1063" s="101">
        <v>-2</v>
      </c>
      <c r="M1063" s="101">
        <v>0</v>
      </c>
      <c r="N1063" s="101">
        <v>42</v>
      </c>
      <c r="O1063" s="101">
        <v>15</v>
      </c>
      <c r="P1063" s="101">
        <v>257</v>
      </c>
      <c r="Q1063" s="101">
        <v>2522</v>
      </c>
      <c r="R1063" s="12" t="s">
        <v>25</v>
      </c>
      <c r="S1063" s="12" t="s">
        <v>25</v>
      </c>
      <c r="T1063" s="12" t="s">
        <v>25</v>
      </c>
    </row>
    <row r="1064" spans="1:20" x14ac:dyDescent="0.3">
      <c r="A1064" s="13">
        <v>43935.708333333336</v>
      </c>
      <c r="B1064" s="12" t="s">
        <v>22</v>
      </c>
      <c r="C1064" s="101">
        <v>1</v>
      </c>
      <c r="D1064" s="12" t="s">
        <v>53</v>
      </c>
      <c r="E1064" s="101">
        <v>450732745</v>
      </c>
      <c r="F1064" s="101">
        <v>7680687483</v>
      </c>
      <c r="G1064" s="101">
        <v>3395</v>
      </c>
      <c r="H1064" s="101">
        <v>367</v>
      </c>
      <c r="I1064" s="101">
        <v>3762</v>
      </c>
      <c r="J1064" s="101">
        <v>9293</v>
      </c>
      <c r="K1064" s="101">
        <v>13055</v>
      </c>
      <c r="L1064" s="101">
        <v>290</v>
      </c>
      <c r="M1064" s="101">
        <v>556</v>
      </c>
      <c r="N1064" s="101">
        <v>2708</v>
      </c>
      <c r="O1064" s="101">
        <v>1927</v>
      </c>
      <c r="P1064" s="101">
        <v>17690</v>
      </c>
      <c r="Q1064" s="101">
        <v>71678</v>
      </c>
      <c r="R1064" s="12" t="s">
        <v>25</v>
      </c>
      <c r="S1064" s="12" t="s">
        <v>25</v>
      </c>
      <c r="T1064" s="12" t="s">
        <v>25</v>
      </c>
    </row>
    <row r="1065" spans="1:20" x14ac:dyDescent="0.3">
      <c r="A1065" s="13">
        <v>43935.708333333336</v>
      </c>
      <c r="B1065" s="12" t="s">
        <v>22</v>
      </c>
      <c r="C1065" s="101">
        <v>16</v>
      </c>
      <c r="D1065" s="12" t="s">
        <v>54</v>
      </c>
      <c r="E1065" s="101">
        <v>4112559576</v>
      </c>
      <c r="F1065" s="101">
        <v>1686736689</v>
      </c>
      <c r="G1065" s="101">
        <v>611</v>
      </c>
      <c r="H1065" s="101">
        <v>62</v>
      </c>
      <c r="I1065" s="101">
        <v>673</v>
      </c>
      <c r="J1065" s="101">
        <v>1879</v>
      </c>
      <c r="K1065" s="101">
        <v>2552</v>
      </c>
      <c r="L1065" s="101">
        <v>40</v>
      </c>
      <c r="M1065" s="101">
        <v>53</v>
      </c>
      <c r="N1065" s="101">
        <v>288</v>
      </c>
      <c r="O1065" s="101">
        <v>278</v>
      </c>
      <c r="P1065" s="101">
        <v>3118</v>
      </c>
      <c r="Q1065" s="101">
        <v>33071</v>
      </c>
      <c r="R1065" s="12" t="s">
        <v>25</v>
      </c>
      <c r="S1065" s="12" t="s">
        <v>25</v>
      </c>
      <c r="T1065" s="12" t="s">
        <v>25</v>
      </c>
    </row>
    <row r="1066" spans="1:20" x14ac:dyDescent="0.3">
      <c r="A1066" s="13">
        <v>43935.708333333336</v>
      </c>
      <c r="B1066" s="12" t="s">
        <v>22</v>
      </c>
      <c r="C1066" s="101">
        <v>20</v>
      </c>
      <c r="D1066" s="12" t="s">
        <v>55</v>
      </c>
      <c r="E1066" s="101">
        <v>3921531192</v>
      </c>
      <c r="F1066" s="101">
        <v>9110616306</v>
      </c>
      <c r="G1066" s="101">
        <v>107</v>
      </c>
      <c r="H1066" s="101">
        <v>24</v>
      </c>
      <c r="I1066" s="101">
        <v>131</v>
      </c>
      <c r="J1066" s="101">
        <v>769</v>
      </c>
      <c r="K1066" s="101">
        <v>900</v>
      </c>
      <c r="L1066" s="101">
        <v>-14</v>
      </c>
      <c r="M1066" s="101">
        <v>10</v>
      </c>
      <c r="N1066" s="101">
        <v>158</v>
      </c>
      <c r="O1066" s="101">
        <v>80</v>
      </c>
      <c r="P1066" s="101">
        <v>1138</v>
      </c>
      <c r="Q1066" s="101">
        <v>11893</v>
      </c>
      <c r="R1066" s="12" t="s">
        <v>25</v>
      </c>
      <c r="S1066" s="12" t="s">
        <v>25</v>
      </c>
      <c r="T1066" s="12" t="s">
        <v>25</v>
      </c>
    </row>
    <row r="1067" spans="1:20" x14ac:dyDescent="0.3">
      <c r="A1067" s="13">
        <v>43935.708333333336</v>
      </c>
      <c r="B1067" s="12" t="s">
        <v>22</v>
      </c>
      <c r="C1067" s="101">
        <v>19</v>
      </c>
      <c r="D1067" s="12" t="s">
        <v>56</v>
      </c>
      <c r="E1067" s="101">
        <v>3811569725</v>
      </c>
      <c r="F1067" s="101">
        <v>133623567</v>
      </c>
      <c r="G1067" s="101">
        <v>552</v>
      </c>
      <c r="H1067" s="101">
        <v>53</v>
      </c>
      <c r="I1067" s="101">
        <v>605</v>
      </c>
      <c r="J1067" s="101">
        <v>1466</v>
      </c>
      <c r="K1067" s="101">
        <v>2071</v>
      </c>
      <c r="L1067" s="101">
        <v>21</v>
      </c>
      <c r="M1067" s="101">
        <v>43</v>
      </c>
      <c r="N1067" s="101">
        <v>255</v>
      </c>
      <c r="O1067" s="101">
        <v>175</v>
      </c>
      <c r="P1067" s="101">
        <v>2501</v>
      </c>
      <c r="Q1067" s="101">
        <v>37877</v>
      </c>
      <c r="R1067" s="12" t="s">
        <v>25</v>
      </c>
      <c r="S1067" s="12" t="s">
        <v>25</v>
      </c>
      <c r="T1067" s="12" t="s">
        <v>25</v>
      </c>
    </row>
    <row r="1068" spans="1:20" x14ac:dyDescent="0.3">
      <c r="A1068" s="13">
        <v>43935.708333333336</v>
      </c>
      <c r="B1068" s="12" t="s">
        <v>22</v>
      </c>
      <c r="C1068" s="101">
        <v>9</v>
      </c>
      <c r="D1068" s="12" t="s">
        <v>57</v>
      </c>
      <c r="E1068" s="101">
        <v>4376923077</v>
      </c>
      <c r="F1068" s="101">
        <v>1125588885</v>
      </c>
      <c r="G1068" s="101">
        <v>1002</v>
      </c>
      <c r="H1068" s="101">
        <v>225</v>
      </c>
      <c r="I1068" s="101">
        <v>1227</v>
      </c>
      <c r="J1068" s="101">
        <v>5125</v>
      </c>
      <c r="K1068" s="101">
        <v>6352</v>
      </c>
      <c r="L1068" s="101">
        <v>95</v>
      </c>
      <c r="M1068" s="101">
        <v>137</v>
      </c>
      <c r="N1068" s="101">
        <v>637</v>
      </c>
      <c r="O1068" s="101">
        <v>538</v>
      </c>
      <c r="P1068" s="101">
        <v>7527</v>
      </c>
      <c r="Q1068" s="101">
        <v>82269</v>
      </c>
      <c r="R1068" s="12" t="s">
        <v>25</v>
      </c>
      <c r="S1068" s="12" t="s">
        <v>25</v>
      </c>
      <c r="T1068" s="12" t="s">
        <v>25</v>
      </c>
    </row>
    <row r="1069" spans="1:20" x14ac:dyDescent="0.3">
      <c r="A1069" s="13">
        <v>43935.708333333336</v>
      </c>
      <c r="B1069" s="12" t="s">
        <v>22</v>
      </c>
      <c r="C1069" s="101">
        <v>4</v>
      </c>
      <c r="D1069" s="12" t="s">
        <v>58</v>
      </c>
      <c r="E1069" s="101">
        <v>4606893511</v>
      </c>
      <c r="F1069" s="101">
        <v>1112123097</v>
      </c>
      <c r="G1069" s="101">
        <v>325</v>
      </c>
      <c r="H1069" s="101">
        <v>54</v>
      </c>
      <c r="I1069" s="101">
        <v>379</v>
      </c>
      <c r="J1069" s="101">
        <v>1703</v>
      </c>
      <c r="K1069" s="101">
        <v>2082</v>
      </c>
      <c r="L1069" s="101">
        <v>2</v>
      </c>
      <c r="M1069" s="101">
        <v>15</v>
      </c>
      <c r="N1069" s="101">
        <v>749</v>
      </c>
      <c r="O1069" s="101">
        <v>310</v>
      </c>
      <c r="P1069" s="101">
        <v>3141</v>
      </c>
      <c r="Q1069" s="101">
        <v>18774</v>
      </c>
      <c r="R1069" s="12" t="s">
        <v>25</v>
      </c>
      <c r="S1069" s="12" t="s">
        <v>25</v>
      </c>
      <c r="T1069" s="12" t="s">
        <v>25</v>
      </c>
    </row>
    <row r="1070" spans="1:20" x14ac:dyDescent="0.3">
      <c r="A1070" s="13">
        <v>43935.708333333336</v>
      </c>
      <c r="B1070" s="12" t="s">
        <v>22</v>
      </c>
      <c r="C1070" s="101">
        <v>10</v>
      </c>
      <c r="D1070" s="12" t="s">
        <v>59</v>
      </c>
      <c r="E1070" s="101">
        <v>4310675841</v>
      </c>
      <c r="F1070" s="101">
        <v>1238824698</v>
      </c>
      <c r="G1070" s="101">
        <v>127</v>
      </c>
      <c r="H1070" s="101">
        <v>37</v>
      </c>
      <c r="I1070" s="101">
        <v>164</v>
      </c>
      <c r="J1070" s="101">
        <v>458</v>
      </c>
      <c r="K1070" s="101">
        <v>622</v>
      </c>
      <c r="L1070" s="101">
        <v>-3</v>
      </c>
      <c r="M1070" s="101">
        <v>1</v>
      </c>
      <c r="N1070" s="101">
        <v>646</v>
      </c>
      <c r="O1070" s="101">
        <v>53</v>
      </c>
      <c r="P1070" s="101">
        <v>1321</v>
      </c>
      <c r="Q1070" s="101">
        <v>18956</v>
      </c>
      <c r="R1070" s="12" t="s">
        <v>25</v>
      </c>
      <c r="S1070" s="12" t="s">
        <v>25</v>
      </c>
      <c r="T1070" s="12" t="s">
        <v>25</v>
      </c>
    </row>
    <row r="1071" spans="1:20" x14ac:dyDescent="0.3">
      <c r="A1071" s="13">
        <v>43935.708333333336</v>
      </c>
      <c r="B1071" s="12" t="s">
        <v>22</v>
      </c>
      <c r="C1071" s="101">
        <v>2</v>
      </c>
      <c r="D1071" s="12" t="s">
        <v>60</v>
      </c>
      <c r="E1071" s="101">
        <v>4573750286</v>
      </c>
      <c r="F1071" s="101">
        <v>7320149366</v>
      </c>
      <c r="G1071" s="101">
        <v>112</v>
      </c>
      <c r="H1071" s="101">
        <v>14</v>
      </c>
      <c r="I1071" s="101">
        <v>126</v>
      </c>
      <c r="J1071" s="101">
        <v>433</v>
      </c>
      <c r="K1071" s="101">
        <v>559</v>
      </c>
      <c r="L1071" s="101">
        <v>-23</v>
      </c>
      <c r="M1071" s="101">
        <v>20</v>
      </c>
      <c r="N1071" s="101">
        <v>270</v>
      </c>
      <c r="O1071" s="101">
        <v>118</v>
      </c>
      <c r="P1071" s="101">
        <v>947</v>
      </c>
      <c r="Q1071" s="101">
        <v>3726</v>
      </c>
      <c r="R1071" s="12" t="s">
        <v>25</v>
      </c>
      <c r="S1071" s="12" t="s">
        <v>25</v>
      </c>
      <c r="T1071" s="12" t="s">
        <v>25</v>
      </c>
    </row>
    <row r="1072" spans="1:20" x14ac:dyDescent="0.3">
      <c r="A1072" s="13">
        <v>43935.708333333336</v>
      </c>
      <c r="B1072" s="12" t="s">
        <v>22</v>
      </c>
      <c r="C1072" s="101">
        <v>5</v>
      </c>
      <c r="D1072" s="12" t="s">
        <v>61</v>
      </c>
      <c r="E1072" s="101">
        <v>4543490485</v>
      </c>
      <c r="F1072" s="101">
        <v>1233845213</v>
      </c>
      <c r="G1072" s="101">
        <v>1427</v>
      </c>
      <c r="H1072" s="101">
        <v>233</v>
      </c>
      <c r="I1072" s="101">
        <v>1660</v>
      </c>
      <c r="J1072" s="101">
        <v>9076</v>
      </c>
      <c r="K1072" s="101">
        <v>10736</v>
      </c>
      <c r="L1072" s="101">
        <v>-30</v>
      </c>
      <c r="M1072" s="101">
        <v>181</v>
      </c>
      <c r="N1072" s="101">
        <v>2790</v>
      </c>
      <c r="O1072" s="101">
        <v>906</v>
      </c>
      <c r="P1072" s="101">
        <v>14432</v>
      </c>
      <c r="Q1072" s="101">
        <v>208878</v>
      </c>
      <c r="R1072" s="12" t="s">
        <v>25</v>
      </c>
      <c r="S1072" s="12" t="s">
        <v>25</v>
      </c>
      <c r="T1072" s="12" t="s">
        <v>25</v>
      </c>
    </row>
    <row r="1073" spans="1:20" x14ac:dyDescent="0.3">
      <c r="A1073" s="13">
        <v>43936.708333333336</v>
      </c>
      <c r="B1073" s="12" t="s">
        <v>22</v>
      </c>
      <c r="C1073" s="101">
        <v>13</v>
      </c>
      <c r="D1073" s="12" t="s">
        <v>42</v>
      </c>
      <c r="E1073" s="101">
        <v>4235122196</v>
      </c>
      <c r="F1073" s="101">
        <v>1339843823</v>
      </c>
      <c r="G1073" s="101">
        <v>341</v>
      </c>
      <c r="H1073" s="101">
        <v>44</v>
      </c>
      <c r="I1073" s="101">
        <v>385</v>
      </c>
      <c r="J1073" s="101">
        <v>1425</v>
      </c>
      <c r="K1073" s="101">
        <v>1810</v>
      </c>
      <c r="L1073" s="101">
        <v>10</v>
      </c>
      <c r="M1073" s="101">
        <v>29</v>
      </c>
      <c r="N1073" s="101">
        <v>224</v>
      </c>
      <c r="O1073" s="101">
        <v>240</v>
      </c>
      <c r="P1073" s="101">
        <v>2274</v>
      </c>
      <c r="Q1073" s="101">
        <v>22500</v>
      </c>
      <c r="R1073" s="12" t="s">
        <v>25</v>
      </c>
      <c r="S1073" s="12" t="s">
        <v>25</v>
      </c>
      <c r="T1073" s="12" t="s">
        <v>25</v>
      </c>
    </row>
    <row r="1074" spans="1:20" x14ac:dyDescent="0.3">
      <c r="A1074" s="13">
        <v>43936.708333333336</v>
      </c>
      <c r="B1074" s="12" t="s">
        <v>22</v>
      </c>
      <c r="C1074" s="101">
        <v>17</v>
      </c>
      <c r="D1074" s="12" t="s">
        <v>43</v>
      </c>
      <c r="E1074" s="101">
        <v>4063947052</v>
      </c>
      <c r="F1074" s="101">
        <v>1580514834</v>
      </c>
      <c r="G1074" s="101">
        <v>60</v>
      </c>
      <c r="H1074" s="101">
        <v>12</v>
      </c>
      <c r="I1074" s="101">
        <v>72</v>
      </c>
      <c r="J1074" s="101">
        <v>189</v>
      </c>
      <c r="K1074" s="101">
        <v>261</v>
      </c>
      <c r="L1074" s="101">
        <v>-4</v>
      </c>
      <c r="M1074" s="101">
        <v>1</v>
      </c>
      <c r="N1074" s="101">
        <v>38</v>
      </c>
      <c r="O1074" s="101">
        <v>21</v>
      </c>
      <c r="P1074" s="101">
        <v>320</v>
      </c>
      <c r="Q1074" s="101">
        <v>5037</v>
      </c>
      <c r="R1074" s="12" t="s">
        <v>25</v>
      </c>
      <c r="S1074" s="12" t="s">
        <v>25</v>
      </c>
      <c r="T1074" s="12" t="s">
        <v>25</v>
      </c>
    </row>
    <row r="1075" spans="1:20" x14ac:dyDescent="0.3">
      <c r="A1075" s="13">
        <v>43936.708333333336</v>
      </c>
      <c r="B1075" s="12" t="s">
        <v>22</v>
      </c>
      <c r="C1075" s="101">
        <v>4</v>
      </c>
      <c r="D1075" s="12" t="s">
        <v>44</v>
      </c>
      <c r="E1075" s="101">
        <v>4649933453</v>
      </c>
      <c r="F1075" s="101">
        <v>1135662422</v>
      </c>
      <c r="G1075" s="101">
        <v>166</v>
      </c>
      <c r="H1075" s="101">
        <v>32</v>
      </c>
      <c r="I1075" s="101">
        <v>198</v>
      </c>
      <c r="J1075" s="101">
        <v>1378</v>
      </c>
      <c r="K1075" s="101">
        <v>1576</v>
      </c>
      <c r="L1075" s="101">
        <v>12</v>
      </c>
      <c r="M1075" s="101">
        <v>40</v>
      </c>
      <c r="N1075" s="101">
        <v>425</v>
      </c>
      <c r="O1075" s="101">
        <v>223</v>
      </c>
      <c r="P1075" s="101">
        <v>2224</v>
      </c>
      <c r="Q1075" s="101">
        <v>25370</v>
      </c>
      <c r="R1075" s="12" t="s">
        <v>25</v>
      </c>
      <c r="S1075" s="12" t="s">
        <v>25</v>
      </c>
      <c r="T1075" s="12" t="s">
        <v>25</v>
      </c>
    </row>
    <row r="1076" spans="1:20" x14ac:dyDescent="0.3">
      <c r="A1076" s="13">
        <v>43936.708333333336</v>
      </c>
      <c r="B1076" s="12" t="s">
        <v>22</v>
      </c>
      <c r="C1076" s="101">
        <v>18</v>
      </c>
      <c r="D1076" s="12" t="s">
        <v>45</v>
      </c>
      <c r="E1076" s="101">
        <v>3890597598</v>
      </c>
      <c r="F1076" s="101">
        <v>1659440194</v>
      </c>
      <c r="G1076" s="101">
        <v>156</v>
      </c>
      <c r="H1076" s="101">
        <v>11</v>
      </c>
      <c r="I1076" s="101">
        <v>167</v>
      </c>
      <c r="J1076" s="101">
        <v>652</v>
      </c>
      <c r="K1076" s="101">
        <v>819</v>
      </c>
      <c r="L1076" s="101">
        <v>3</v>
      </c>
      <c r="M1076" s="101">
        <v>15</v>
      </c>
      <c r="N1076" s="101">
        <v>81</v>
      </c>
      <c r="O1076" s="101">
        <v>71</v>
      </c>
      <c r="P1076" s="101">
        <v>971</v>
      </c>
      <c r="Q1076" s="101">
        <v>19662</v>
      </c>
      <c r="R1076" s="12" t="s">
        <v>25</v>
      </c>
      <c r="S1076" s="12" t="s">
        <v>25</v>
      </c>
      <c r="T1076" s="12" t="s">
        <v>25</v>
      </c>
    </row>
    <row r="1077" spans="1:20" x14ac:dyDescent="0.3">
      <c r="A1077" s="13">
        <v>43936.708333333336</v>
      </c>
      <c r="B1077" s="12" t="s">
        <v>22</v>
      </c>
      <c r="C1077" s="101">
        <v>15</v>
      </c>
      <c r="D1077" s="12" t="s">
        <v>46</v>
      </c>
      <c r="E1077" s="101">
        <v>4083956555</v>
      </c>
      <c r="F1077" s="101">
        <v>1425084984</v>
      </c>
      <c r="G1077" s="101">
        <v>607</v>
      </c>
      <c r="H1077" s="101">
        <v>86</v>
      </c>
      <c r="I1077" s="101">
        <v>693</v>
      </c>
      <c r="J1077" s="101">
        <v>2394</v>
      </c>
      <c r="K1077" s="101">
        <v>3087</v>
      </c>
      <c r="L1077" s="101">
        <v>-7</v>
      </c>
      <c r="M1077" s="101">
        <v>38</v>
      </c>
      <c r="N1077" s="101">
        <v>442</v>
      </c>
      <c r="O1077" s="101">
        <v>278</v>
      </c>
      <c r="P1077" s="101">
        <v>3807</v>
      </c>
      <c r="Q1077" s="101">
        <v>39534</v>
      </c>
      <c r="R1077" s="12" t="s">
        <v>25</v>
      </c>
      <c r="S1077" s="12" t="s">
        <v>25</v>
      </c>
      <c r="T1077" s="12" t="s">
        <v>25</v>
      </c>
    </row>
    <row r="1078" spans="1:20" x14ac:dyDescent="0.3">
      <c r="A1078" s="13">
        <v>43936.708333333336</v>
      </c>
      <c r="B1078" s="12" t="s">
        <v>22</v>
      </c>
      <c r="C1078" s="101">
        <v>8</v>
      </c>
      <c r="D1078" s="12" t="s">
        <v>96</v>
      </c>
      <c r="E1078" s="101">
        <v>4449436681</v>
      </c>
      <c r="F1078" s="101">
        <v>113417208</v>
      </c>
      <c r="G1078" s="101">
        <v>3388</v>
      </c>
      <c r="H1078" s="101">
        <v>325</v>
      </c>
      <c r="I1078" s="101">
        <v>3713</v>
      </c>
      <c r="J1078" s="101">
        <v>9864</v>
      </c>
      <c r="K1078" s="101">
        <v>13577</v>
      </c>
      <c r="L1078" s="101">
        <v>-201</v>
      </c>
      <c r="M1078" s="101">
        <v>277</v>
      </c>
      <c r="N1078" s="101">
        <v>4664</v>
      </c>
      <c r="O1078" s="101">
        <v>2788</v>
      </c>
      <c r="P1078" s="101">
        <v>21029</v>
      </c>
      <c r="Q1078" s="101">
        <v>106149</v>
      </c>
      <c r="R1078" s="12" t="s">
        <v>25</v>
      </c>
      <c r="S1078" s="12" t="s">
        <v>25</v>
      </c>
      <c r="T1078" s="12" t="s">
        <v>25</v>
      </c>
    </row>
    <row r="1079" spans="1:20" x14ac:dyDescent="0.3">
      <c r="A1079" s="13">
        <v>43936.708333333336</v>
      </c>
      <c r="B1079" s="12" t="s">
        <v>22</v>
      </c>
      <c r="C1079" s="101">
        <v>6</v>
      </c>
      <c r="D1079" s="12" t="s">
        <v>47</v>
      </c>
      <c r="E1079" s="101">
        <v>456494354</v>
      </c>
      <c r="F1079" s="101">
        <v>1376813649</v>
      </c>
      <c r="G1079" s="101">
        <v>163</v>
      </c>
      <c r="H1079" s="101">
        <v>24</v>
      </c>
      <c r="I1079" s="101">
        <v>187</v>
      </c>
      <c r="J1079" s="101">
        <v>1207</v>
      </c>
      <c r="K1079" s="101">
        <v>1394</v>
      </c>
      <c r="L1079" s="101">
        <v>495</v>
      </c>
      <c r="M1079" s="101">
        <v>24</v>
      </c>
      <c r="N1079" s="101">
        <v>938</v>
      </c>
      <c r="O1079" s="101">
        <v>212</v>
      </c>
      <c r="P1079" s="101">
        <v>2544</v>
      </c>
      <c r="Q1079" s="101">
        <v>33800</v>
      </c>
      <c r="R1079" s="12" t="s">
        <v>25</v>
      </c>
      <c r="S1079" s="12" t="s">
        <v>189</v>
      </c>
      <c r="T1079" s="12" t="s">
        <v>190</v>
      </c>
    </row>
    <row r="1080" spans="1:20" x14ac:dyDescent="0.3">
      <c r="A1080" s="13">
        <v>43936.708333333336</v>
      </c>
      <c r="B1080" s="12" t="s">
        <v>22</v>
      </c>
      <c r="C1080" s="101">
        <v>12</v>
      </c>
      <c r="D1080" s="12" t="s">
        <v>48</v>
      </c>
      <c r="E1080" s="101">
        <v>4189277044</v>
      </c>
      <c r="F1080" s="101">
        <v>1248366722</v>
      </c>
      <c r="G1080" s="101">
        <v>1342</v>
      </c>
      <c r="H1080" s="101">
        <v>196</v>
      </c>
      <c r="I1080" s="101">
        <v>1538</v>
      </c>
      <c r="J1080" s="101">
        <v>2509</v>
      </c>
      <c r="K1080" s="101">
        <v>4047</v>
      </c>
      <c r="L1080" s="101">
        <v>25</v>
      </c>
      <c r="M1080" s="101">
        <v>121</v>
      </c>
      <c r="N1080" s="101">
        <v>874</v>
      </c>
      <c r="O1080" s="101">
        <v>311</v>
      </c>
      <c r="P1080" s="101">
        <v>5232</v>
      </c>
      <c r="Q1080" s="101">
        <v>75584</v>
      </c>
      <c r="R1080" s="12" t="s">
        <v>25</v>
      </c>
      <c r="S1080" s="12" t="s">
        <v>25</v>
      </c>
      <c r="T1080" s="12" t="s">
        <v>25</v>
      </c>
    </row>
    <row r="1081" spans="1:20" x14ac:dyDescent="0.3">
      <c r="A1081" s="13">
        <v>43936.708333333336</v>
      </c>
      <c r="B1081" s="12" t="s">
        <v>22</v>
      </c>
      <c r="C1081" s="101">
        <v>7</v>
      </c>
      <c r="D1081" s="12" t="s">
        <v>49</v>
      </c>
      <c r="E1081" s="101">
        <v>4441149315</v>
      </c>
      <c r="F1081" s="101">
        <v>89326992</v>
      </c>
      <c r="G1081" s="101">
        <v>959</v>
      </c>
      <c r="H1081" s="101">
        <v>120</v>
      </c>
      <c r="I1081" s="101">
        <v>1079</v>
      </c>
      <c r="J1081" s="101">
        <v>2385</v>
      </c>
      <c r="K1081" s="101">
        <v>3464</v>
      </c>
      <c r="L1081" s="101">
        <v>-2</v>
      </c>
      <c r="M1081" s="101">
        <v>128</v>
      </c>
      <c r="N1081" s="101">
        <v>1665</v>
      </c>
      <c r="O1081" s="101">
        <v>807</v>
      </c>
      <c r="P1081" s="101">
        <v>5936</v>
      </c>
      <c r="Q1081" s="101">
        <v>25793</v>
      </c>
      <c r="R1081" s="12" t="s">
        <v>25</v>
      </c>
      <c r="S1081" s="12" t="s">
        <v>25</v>
      </c>
      <c r="T1081" s="12" t="s">
        <v>25</v>
      </c>
    </row>
    <row r="1082" spans="1:20" x14ac:dyDescent="0.3">
      <c r="A1082" s="13">
        <v>43936.708333333336</v>
      </c>
      <c r="B1082" s="12" t="s">
        <v>22</v>
      </c>
      <c r="C1082" s="101">
        <v>3</v>
      </c>
      <c r="D1082" s="12" t="s">
        <v>50</v>
      </c>
      <c r="E1082" s="101">
        <v>4546679409</v>
      </c>
      <c r="F1082" s="101">
        <v>9190347404</v>
      </c>
      <c r="G1082" s="101">
        <v>12043</v>
      </c>
      <c r="H1082" s="101">
        <v>1074</v>
      </c>
      <c r="I1082" s="101">
        <v>13117</v>
      </c>
      <c r="J1082" s="101">
        <v>19804</v>
      </c>
      <c r="K1082" s="101">
        <v>32921</v>
      </c>
      <c r="L1082" s="101">
        <v>558</v>
      </c>
      <c r="M1082" s="101">
        <v>827</v>
      </c>
      <c r="N1082" s="101">
        <v>17855</v>
      </c>
      <c r="O1082" s="101">
        <v>11377</v>
      </c>
      <c r="P1082" s="101">
        <v>62153</v>
      </c>
      <c r="Q1082" s="101">
        <v>221968</v>
      </c>
      <c r="R1082" s="12" t="s">
        <v>25</v>
      </c>
      <c r="S1082" s="12" t="s">
        <v>25</v>
      </c>
      <c r="T1082" s="12" t="s">
        <v>25</v>
      </c>
    </row>
    <row r="1083" spans="1:20" x14ac:dyDescent="0.3">
      <c r="A1083" s="13">
        <v>43936.708333333336</v>
      </c>
      <c r="B1083" s="12" t="s">
        <v>22</v>
      </c>
      <c r="C1083" s="101">
        <v>11</v>
      </c>
      <c r="D1083" s="12" t="s">
        <v>51</v>
      </c>
      <c r="E1083" s="101">
        <v>4361675973</v>
      </c>
      <c r="F1083" s="101">
        <v>135188753</v>
      </c>
      <c r="G1083" s="101">
        <v>888</v>
      </c>
      <c r="H1083" s="101">
        <v>106</v>
      </c>
      <c r="I1083" s="101">
        <v>994</v>
      </c>
      <c r="J1083" s="101">
        <v>2103</v>
      </c>
      <c r="K1083" s="101">
        <v>3097</v>
      </c>
      <c r="L1083" s="101">
        <v>2</v>
      </c>
      <c r="M1083" s="101">
        <v>77</v>
      </c>
      <c r="N1083" s="101">
        <v>1660</v>
      </c>
      <c r="O1083" s="101">
        <v>746</v>
      </c>
      <c r="P1083" s="101">
        <v>5503</v>
      </c>
      <c r="Q1083" s="101">
        <v>30329</v>
      </c>
      <c r="R1083" s="12" t="s">
        <v>25</v>
      </c>
      <c r="S1083" s="12" t="s">
        <v>25</v>
      </c>
      <c r="T1083" s="12" t="s">
        <v>25</v>
      </c>
    </row>
    <row r="1084" spans="1:20" x14ac:dyDescent="0.3">
      <c r="A1084" s="13">
        <v>43936.708333333336</v>
      </c>
      <c r="B1084" s="12" t="s">
        <v>22</v>
      </c>
      <c r="C1084" s="101">
        <v>14</v>
      </c>
      <c r="D1084" s="12" t="s">
        <v>52</v>
      </c>
      <c r="E1084" s="101">
        <v>4155774754</v>
      </c>
      <c r="F1084" s="101">
        <v>1465916051</v>
      </c>
      <c r="G1084" s="101">
        <v>27</v>
      </c>
      <c r="H1084" s="101">
        <v>4</v>
      </c>
      <c r="I1084" s="101">
        <v>31</v>
      </c>
      <c r="J1084" s="101">
        <v>175</v>
      </c>
      <c r="K1084" s="101">
        <v>206</v>
      </c>
      <c r="L1084" s="101">
        <v>6</v>
      </c>
      <c r="M1084" s="101">
        <v>6</v>
      </c>
      <c r="N1084" s="101">
        <v>42</v>
      </c>
      <c r="O1084" s="101">
        <v>15</v>
      </c>
      <c r="P1084" s="101">
        <v>263</v>
      </c>
      <c r="Q1084" s="101">
        <v>2855</v>
      </c>
      <c r="R1084" s="12" t="s">
        <v>25</v>
      </c>
      <c r="S1084" s="12" t="s">
        <v>25</v>
      </c>
      <c r="T1084" s="12" t="s">
        <v>25</v>
      </c>
    </row>
    <row r="1085" spans="1:20" x14ac:dyDescent="0.3">
      <c r="A1085" s="13">
        <v>43936.708333333336</v>
      </c>
      <c r="B1085" s="12" t="s">
        <v>22</v>
      </c>
      <c r="C1085" s="101">
        <v>1</v>
      </c>
      <c r="D1085" s="12" t="s">
        <v>53</v>
      </c>
      <c r="E1085" s="101">
        <v>450732745</v>
      </c>
      <c r="F1085" s="101">
        <v>7680687483</v>
      </c>
      <c r="G1085" s="101">
        <v>3338</v>
      </c>
      <c r="H1085" s="101">
        <v>366</v>
      </c>
      <c r="I1085" s="101">
        <v>3704</v>
      </c>
      <c r="J1085" s="101">
        <v>9491</v>
      </c>
      <c r="K1085" s="101">
        <v>13195</v>
      </c>
      <c r="L1085" s="101">
        <v>140</v>
      </c>
      <c r="M1085" s="101">
        <v>539</v>
      </c>
      <c r="N1085" s="101">
        <v>3019</v>
      </c>
      <c r="O1085" s="101">
        <v>2015</v>
      </c>
      <c r="P1085" s="101">
        <v>18229</v>
      </c>
      <c r="Q1085" s="101">
        <v>75664</v>
      </c>
      <c r="R1085" s="12" t="s">
        <v>25</v>
      </c>
      <c r="S1085" s="12" t="s">
        <v>25</v>
      </c>
      <c r="T1085" s="12" t="s">
        <v>25</v>
      </c>
    </row>
    <row r="1086" spans="1:20" x14ac:dyDescent="0.3">
      <c r="A1086" s="13">
        <v>43936.708333333336</v>
      </c>
      <c r="B1086" s="12" t="s">
        <v>22</v>
      </c>
      <c r="C1086" s="101">
        <v>16</v>
      </c>
      <c r="D1086" s="12" t="s">
        <v>54</v>
      </c>
      <c r="E1086" s="101">
        <v>4112559576</v>
      </c>
      <c r="F1086" s="101">
        <v>1686736689</v>
      </c>
      <c r="G1086" s="101">
        <v>592</v>
      </c>
      <c r="H1086" s="101">
        <v>73</v>
      </c>
      <c r="I1086" s="101">
        <v>665</v>
      </c>
      <c r="J1086" s="101">
        <v>1908</v>
      </c>
      <c r="K1086" s="101">
        <v>2573</v>
      </c>
      <c r="L1086" s="101">
        <v>21</v>
      </c>
      <c r="M1086" s="101">
        <v>66</v>
      </c>
      <c r="N1086" s="101">
        <v>323</v>
      </c>
      <c r="O1086" s="101">
        <v>288</v>
      </c>
      <c r="P1086" s="101">
        <v>3184</v>
      </c>
      <c r="Q1086" s="101">
        <v>34518</v>
      </c>
      <c r="R1086" s="12" t="s">
        <v>25</v>
      </c>
      <c r="S1086" s="12" t="s">
        <v>25</v>
      </c>
      <c r="T1086" s="12" t="s">
        <v>25</v>
      </c>
    </row>
    <row r="1087" spans="1:20" x14ac:dyDescent="0.3">
      <c r="A1087" s="13">
        <v>43936.708333333336</v>
      </c>
      <c r="B1087" s="12" t="s">
        <v>22</v>
      </c>
      <c r="C1087" s="101">
        <v>20</v>
      </c>
      <c r="D1087" s="12" t="s">
        <v>55</v>
      </c>
      <c r="E1087" s="101">
        <v>3921531192</v>
      </c>
      <c r="F1087" s="101">
        <v>9110616306</v>
      </c>
      <c r="G1087" s="101">
        <v>107</v>
      </c>
      <c r="H1087" s="101">
        <v>26</v>
      </c>
      <c r="I1087" s="101">
        <v>133</v>
      </c>
      <c r="J1087" s="101">
        <v>737</v>
      </c>
      <c r="K1087" s="101">
        <v>870</v>
      </c>
      <c r="L1087" s="101">
        <v>-30</v>
      </c>
      <c r="M1087" s="101">
        <v>23</v>
      </c>
      <c r="N1087" s="101">
        <v>208</v>
      </c>
      <c r="O1087" s="101">
        <v>83</v>
      </c>
      <c r="P1087" s="101">
        <v>1161</v>
      </c>
      <c r="Q1087" s="101">
        <v>12395</v>
      </c>
      <c r="R1087" s="12" t="s">
        <v>25</v>
      </c>
      <c r="S1087" s="12" t="s">
        <v>25</v>
      </c>
      <c r="T1087" s="12" t="s">
        <v>25</v>
      </c>
    </row>
    <row r="1088" spans="1:20" x14ac:dyDescent="0.3">
      <c r="A1088" s="13">
        <v>43936.708333333336</v>
      </c>
      <c r="B1088" s="12" t="s">
        <v>22</v>
      </c>
      <c r="C1088" s="101">
        <v>19</v>
      </c>
      <c r="D1088" s="12" t="s">
        <v>56</v>
      </c>
      <c r="E1088" s="101">
        <v>3811569725</v>
      </c>
      <c r="F1088" s="101">
        <v>133623567</v>
      </c>
      <c r="G1088" s="101">
        <v>541</v>
      </c>
      <c r="H1088" s="101">
        <v>49</v>
      </c>
      <c r="I1088" s="101">
        <v>590</v>
      </c>
      <c r="J1088" s="101">
        <v>1491</v>
      </c>
      <c r="K1088" s="101">
        <v>2081</v>
      </c>
      <c r="L1088" s="101">
        <v>10</v>
      </c>
      <c r="M1088" s="101">
        <v>34</v>
      </c>
      <c r="N1088" s="101">
        <v>273</v>
      </c>
      <c r="O1088" s="101">
        <v>181</v>
      </c>
      <c r="P1088" s="101">
        <v>2535</v>
      </c>
      <c r="Q1088" s="101">
        <v>39867</v>
      </c>
      <c r="R1088" s="12" t="s">
        <v>25</v>
      </c>
      <c r="S1088" s="12" t="s">
        <v>25</v>
      </c>
      <c r="T1088" s="12" t="s">
        <v>25</v>
      </c>
    </row>
    <row r="1089" spans="1:20" x14ac:dyDescent="0.3">
      <c r="A1089" s="13">
        <v>43936.708333333336</v>
      </c>
      <c r="B1089" s="12" t="s">
        <v>22</v>
      </c>
      <c r="C1089" s="101">
        <v>9</v>
      </c>
      <c r="D1089" s="12" t="s">
        <v>57</v>
      </c>
      <c r="E1089" s="101">
        <v>4376923077</v>
      </c>
      <c r="F1089" s="101">
        <v>1125588885</v>
      </c>
      <c r="G1089" s="101">
        <v>977</v>
      </c>
      <c r="H1089" s="101">
        <v>216</v>
      </c>
      <c r="I1089" s="101">
        <v>1193</v>
      </c>
      <c r="J1089" s="101">
        <v>5224</v>
      </c>
      <c r="K1089" s="101">
        <v>6417</v>
      </c>
      <c r="L1089" s="101">
        <v>65</v>
      </c>
      <c r="M1089" s="101">
        <v>139</v>
      </c>
      <c r="N1089" s="101">
        <v>693</v>
      </c>
      <c r="O1089" s="101">
        <v>556</v>
      </c>
      <c r="P1089" s="101">
        <v>7666</v>
      </c>
      <c r="Q1089" s="101">
        <v>86348</v>
      </c>
      <c r="R1089" s="12" t="s">
        <v>25</v>
      </c>
      <c r="S1089" s="12" t="s">
        <v>25</v>
      </c>
      <c r="T1089" s="12" t="s">
        <v>25</v>
      </c>
    </row>
    <row r="1090" spans="1:20" x14ac:dyDescent="0.3">
      <c r="A1090" s="13">
        <v>43936.708333333336</v>
      </c>
      <c r="B1090" s="12" t="s">
        <v>22</v>
      </c>
      <c r="C1090" s="101">
        <v>4</v>
      </c>
      <c r="D1090" s="12" t="s">
        <v>58</v>
      </c>
      <c r="E1090" s="101">
        <v>4606893511</v>
      </c>
      <c r="F1090" s="101">
        <v>1112123097</v>
      </c>
      <c r="G1090" s="101">
        <v>312</v>
      </c>
      <c r="H1090" s="101">
        <v>48</v>
      </c>
      <c r="I1090" s="101">
        <v>360</v>
      </c>
      <c r="J1090" s="101">
        <v>1744</v>
      </c>
      <c r="K1090" s="101">
        <v>2104</v>
      </c>
      <c r="L1090" s="101">
        <v>22</v>
      </c>
      <c r="M1090" s="101">
        <v>79</v>
      </c>
      <c r="N1090" s="101">
        <v>798</v>
      </c>
      <c r="O1090" s="101">
        <v>318</v>
      </c>
      <c r="P1090" s="101">
        <v>3220</v>
      </c>
      <c r="Q1090" s="101">
        <v>19535</v>
      </c>
      <c r="R1090" s="12" t="s">
        <v>25</v>
      </c>
      <c r="S1090" s="12" t="s">
        <v>25</v>
      </c>
      <c r="T1090" s="12" t="s">
        <v>25</v>
      </c>
    </row>
    <row r="1091" spans="1:20" x14ac:dyDescent="0.3">
      <c r="A1091" s="13">
        <v>43936.708333333336</v>
      </c>
      <c r="B1091" s="12" t="s">
        <v>22</v>
      </c>
      <c r="C1091" s="101">
        <v>10</v>
      </c>
      <c r="D1091" s="12" t="s">
        <v>59</v>
      </c>
      <c r="E1091" s="101">
        <v>4310675841</v>
      </c>
      <c r="F1091" s="101">
        <v>1238824698</v>
      </c>
      <c r="G1091" s="101">
        <v>122</v>
      </c>
      <c r="H1091" s="101">
        <v>37</v>
      </c>
      <c r="I1091" s="101">
        <v>159</v>
      </c>
      <c r="J1091" s="101">
        <v>423</v>
      </c>
      <c r="K1091" s="101">
        <v>582</v>
      </c>
      <c r="L1091" s="101">
        <v>-40</v>
      </c>
      <c r="M1091" s="101">
        <v>1</v>
      </c>
      <c r="N1091" s="101">
        <v>686</v>
      </c>
      <c r="O1091" s="101">
        <v>54</v>
      </c>
      <c r="P1091" s="101">
        <v>1322</v>
      </c>
      <c r="Q1091" s="101">
        <v>20258</v>
      </c>
      <c r="R1091" s="12" t="s">
        <v>25</v>
      </c>
      <c r="S1091" s="12" t="s">
        <v>25</v>
      </c>
      <c r="T1091" s="12" t="s">
        <v>25</v>
      </c>
    </row>
    <row r="1092" spans="1:20" x14ac:dyDescent="0.3">
      <c r="A1092" s="13">
        <v>43936.708333333336</v>
      </c>
      <c r="B1092" s="12" t="s">
        <v>22</v>
      </c>
      <c r="C1092" s="101">
        <v>2</v>
      </c>
      <c r="D1092" s="12" t="s">
        <v>60</v>
      </c>
      <c r="E1092" s="101">
        <v>4573750286</v>
      </c>
      <c r="F1092" s="101">
        <v>7320149366</v>
      </c>
      <c r="G1092" s="101">
        <v>112</v>
      </c>
      <c r="H1092" s="101">
        <v>11</v>
      </c>
      <c r="I1092" s="101">
        <v>123</v>
      </c>
      <c r="J1092" s="101">
        <v>425</v>
      </c>
      <c r="K1092" s="101">
        <v>548</v>
      </c>
      <c r="L1092" s="101">
        <v>-11</v>
      </c>
      <c r="M1092" s="101">
        <v>11</v>
      </c>
      <c r="N1092" s="101">
        <v>289</v>
      </c>
      <c r="O1092" s="101">
        <v>121</v>
      </c>
      <c r="P1092" s="101">
        <v>958</v>
      </c>
      <c r="Q1092" s="101">
        <v>3894</v>
      </c>
      <c r="R1092" s="12" t="s">
        <v>25</v>
      </c>
      <c r="S1092" s="12" t="s">
        <v>25</v>
      </c>
      <c r="T1092" s="12" t="s">
        <v>25</v>
      </c>
    </row>
    <row r="1093" spans="1:20" x14ac:dyDescent="0.3">
      <c r="A1093" s="13">
        <v>43936.708333333336</v>
      </c>
      <c r="B1093" s="12" t="s">
        <v>22</v>
      </c>
      <c r="C1093" s="101">
        <v>5</v>
      </c>
      <c r="D1093" s="12" t="s">
        <v>61</v>
      </c>
      <c r="E1093" s="101">
        <v>4543490485</v>
      </c>
      <c r="F1093" s="101">
        <v>1233845213</v>
      </c>
      <c r="G1093" s="101">
        <v>1402</v>
      </c>
      <c r="H1093" s="101">
        <v>219</v>
      </c>
      <c r="I1093" s="101">
        <v>1621</v>
      </c>
      <c r="J1093" s="101">
        <v>9168</v>
      </c>
      <c r="K1093" s="101">
        <v>10789</v>
      </c>
      <c r="L1093" s="101">
        <v>53</v>
      </c>
      <c r="M1093" s="101">
        <v>192</v>
      </c>
      <c r="N1093" s="101">
        <v>2895</v>
      </c>
      <c r="O1093" s="101">
        <v>940</v>
      </c>
      <c r="P1093" s="101">
        <v>14624</v>
      </c>
      <c r="Q1093" s="101">
        <v>216344</v>
      </c>
      <c r="R1093" s="12" t="s">
        <v>25</v>
      </c>
      <c r="S1093" s="12" t="s">
        <v>25</v>
      </c>
      <c r="T1093" s="12" t="s">
        <v>25</v>
      </c>
    </row>
    <row r="1094" spans="1:20" x14ac:dyDescent="0.3">
      <c r="A1094" s="13">
        <v>43937.708333333336</v>
      </c>
      <c r="B1094" s="12" t="s">
        <v>22</v>
      </c>
      <c r="C1094" s="101">
        <v>13</v>
      </c>
      <c r="D1094" s="12" t="s">
        <v>42</v>
      </c>
      <c r="E1094" s="101">
        <v>4235122196</v>
      </c>
      <c r="F1094" s="101">
        <v>1339843823</v>
      </c>
      <c r="G1094" s="101">
        <v>324</v>
      </c>
      <c r="H1094" s="101">
        <v>42</v>
      </c>
      <c r="I1094" s="101">
        <v>366</v>
      </c>
      <c r="J1094" s="101">
        <v>1484</v>
      </c>
      <c r="K1094" s="101">
        <v>1850</v>
      </c>
      <c r="L1094" s="101">
        <v>40</v>
      </c>
      <c r="M1094" s="101">
        <v>72</v>
      </c>
      <c r="N1094" s="101">
        <v>253</v>
      </c>
      <c r="O1094" s="101">
        <v>243</v>
      </c>
      <c r="P1094" s="101">
        <v>2346</v>
      </c>
      <c r="Q1094" s="101">
        <v>23786</v>
      </c>
      <c r="R1094" s="12" t="s">
        <v>25</v>
      </c>
      <c r="S1094" s="12" t="s">
        <v>25</v>
      </c>
      <c r="T1094" s="12" t="s">
        <v>25</v>
      </c>
    </row>
    <row r="1095" spans="1:20" x14ac:dyDescent="0.3">
      <c r="A1095" s="13">
        <v>43937.708333333336</v>
      </c>
      <c r="B1095" s="12" t="s">
        <v>22</v>
      </c>
      <c r="C1095" s="101">
        <v>17</v>
      </c>
      <c r="D1095" s="12" t="s">
        <v>43</v>
      </c>
      <c r="E1095" s="101">
        <v>4063947052</v>
      </c>
      <c r="F1095" s="101">
        <v>1580514834</v>
      </c>
      <c r="G1095" s="101">
        <v>60</v>
      </c>
      <c r="H1095" s="101">
        <v>9</v>
      </c>
      <c r="I1095" s="101">
        <v>69</v>
      </c>
      <c r="J1095" s="101">
        <v>204</v>
      </c>
      <c r="K1095" s="101">
        <v>273</v>
      </c>
      <c r="L1095" s="101">
        <v>12</v>
      </c>
      <c r="M1095" s="101">
        <v>16</v>
      </c>
      <c r="N1095" s="101">
        <v>41</v>
      </c>
      <c r="O1095" s="101">
        <v>22</v>
      </c>
      <c r="P1095" s="101">
        <v>336</v>
      </c>
      <c r="Q1095" s="101">
        <v>5349</v>
      </c>
      <c r="R1095" s="12" t="s">
        <v>25</v>
      </c>
      <c r="S1095" s="12" t="s">
        <v>25</v>
      </c>
      <c r="T1095" s="12" t="s">
        <v>25</v>
      </c>
    </row>
    <row r="1096" spans="1:20" x14ac:dyDescent="0.3">
      <c r="A1096" s="13">
        <v>43937.708333333336</v>
      </c>
      <c r="B1096" s="12" t="s">
        <v>22</v>
      </c>
      <c r="C1096" s="101">
        <v>4</v>
      </c>
      <c r="D1096" s="12" t="s">
        <v>44</v>
      </c>
      <c r="E1096" s="101">
        <v>4649933453</v>
      </c>
      <c r="F1096" s="101">
        <v>1135662422</v>
      </c>
      <c r="G1096" s="101">
        <v>180</v>
      </c>
      <c r="H1096" s="101">
        <v>34</v>
      </c>
      <c r="I1096" s="101">
        <v>214</v>
      </c>
      <c r="J1096" s="101">
        <v>1379</v>
      </c>
      <c r="K1096" s="101">
        <v>1593</v>
      </c>
      <c r="L1096" s="101">
        <v>17</v>
      </c>
      <c r="M1096" s="101">
        <v>43</v>
      </c>
      <c r="N1096" s="101">
        <v>449</v>
      </c>
      <c r="O1096" s="101">
        <v>225</v>
      </c>
      <c r="P1096" s="101">
        <v>2267</v>
      </c>
      <c r="Q1096" s="101">
        <v>26416</v>
      </c>
      <c r="R1096" s="12" t="s">
        <v>25</v>
      </c>
      <c r="S1096" s="12" t="s">
        <v>25</v>
      </c>
      <c r="T1096" s="12" t="s">
        <v>25</v>
      </c>
    </row>
    <row r="1097" spans="1:20" x14ac:dyDescent="0.3">
      <c r="A1097" s="13">
        <v>43937.708333333336</v>
      </c>
      <c r="B1097" s="12" t="s">
        <v>22</v>
      </c>
      <c r="C1097" s="101">
        <v>18</v>
      </c>
      <c r="D1097" s="12" t="s">
        <v>45</v>
      </c>
      <c r="E1097" s="101">
        <v>3890597598</v>
      </c>
      <c r="F1097" s="101">
        <v>1659440194</v>
      </c>
      <c r="G1097" s="101">
        <v>157</v>
      </c>
      <c r="H1097" s="101">
        <v>9</v>
      </c>
      <c r="I1097" s="101">
        <v>166</v>
      </c>
      <c r="J1097" s="101">
        <v>681</v>
      </c>
      <c r="K1097" s="101">
        <v>847</v>
      </c>
      <c r="L1097" s="101">
        <v>28</v>
      </c>
      <c r="M1097" s="101">
        <v>38</v>
      </c>
      <c r="N1097" s="101">
        <v>90</v>
      </c>
      <c r="O1097" s="101">
        <v>72</v>
      </c>
      <c r="P1097" s="101">
        <v>1009</v>
      </c>
      <c r="Q1097" s="101">
        <v>20642</v>
      </c>
      <c r="R1097" s="12" t="s">
        <v>25</v>
      </c>
      <c r="S1097" s="12" t="s">
        <v>25</v>
      </c>
      <c r="T1097" s="12" t="s">
        <v>25</v>
      </c>
    </row>
    <row r="1098" spans="1:20" x14ac:dyDescent="0.3">
      <c r="A1098" s="13">
        <v>43937.708333333336</v>
      </c>
      <c r="B1098" s="12" t="s">
        <v>22</v>
      </c>
      <c r="C1098" s="101">
        <v>15</v>
      </c>
      <c r="D1098" s="12" t="s">
        <v>46</v>
      </c>
      <c r="E1098" s="101">
        <v>4083956555</v>
      </c>
      <c r="F1098" s="101">
        <v>1425084984</v>
      </c>
      <c r="G1098" s="101">
        <v>618</v>
      </c>
      <c r="H1098" s="101">
        <v>76</v>
      </c>
      <c r="I1098" s="101">
        <v>694</v>
      </c>
      <c r="J1098" s="101">
        <v>2424</v>
      </c>
      <c r="K1098" s="101">
        <v>3118</v>
      </c>
      <c r="L1098" s="101">
        <v>31</v>
      </c>
      <c r="M1098" s="101">
        <v>80</v>
      </c>
      <c r="N1098" s="101">
        <v>483</v>
      </c>
      <c r="O1098" s="101">
        <v>286</v>
      </c>
      <c r="P1098" s="101">
        <v>3887</v>
      </c>
      <c r="Q1098" s="101">
        <v>41296</v>
      </c>
      <c r="R1098" s="12" t="s">
        <v>25</v>
      </c>
      <c r="S1098" s="12" t="s">
        <v>25</v>
      </c>
      <c r="T1098" s="12" t="s">
        <v>25</v>
      </c>
    </row>
    <row r="1099" spans="1:20" x14ac:dyDescent="0.3">
      <c r="A1099" s="13">
        <v>43937.708333333336</v>
      </c>
      <c r="B1099" s="12" t="s">
        <v>22</v>
      </c>
      <c r="C1099" s="101">
        <v>8</v>
      </c>
      <c r="D1099" s="12" t="s">
        <v>96</v>
      </c>
      <c r="E1099" s="101">
        <v>4449436681</v>
      </c>
      <c r="F1099" s="101">
        <v>113417208</v>
      </c>
      <c r="G1099" s="101">
        <v>3360</v>
      </c>
      <c r="H1099" s="101">
        <v>316</v>
      </c>
      <c r="I1099" s="101">
        <v>3676</v>
      </c>
      <c r="J1099" s="101">
        <v>9987</v>
      </c>
      <c r="K1099" s="101">
        <v>13663</v>
      </c>
      <c r="L1099" s="101">
        <v>86</v>
      </c>
      <c r="M1099" s="101">
        <v>457</v>
      </c>
      <c r="N1099" s="101">
        <v>4980</v>
      </c>
      <c r="O1099" s="101">
        <v>2843</v>
      </c>
      <c r="P1099" s="101">
        <v>21486</v>
      </c>
      <c r="Q1099" s="101">
        <v>112105</v>
      </c>
      <c r="R1099" s="12" t="s">
        <v>25</v>
      </c>
      <c r="S1099" s="12" t="s">
        <v>25</v>
      </c>
      <c r="T1099" s="12" t="s">
        <v>25</v>
      </c>
    </row>
    <row r="1100" spans="1:20" x14ac:dyDescent="0.3">
      <c r="A1100" s="13">
        <v>43937.708333333336</v>
      </c>
      <c r="B1100" s="12" t="s">
        <v>22</v>
      </c>
      <c r="C1100" s="101">
        <v>6</v>
      </c>
      <c r="D1100" s="12" t="s">
        <v>47</v>
      </c>
      <c r="E1100" s="101">
        <v>456494354</v>
      </c>
      <c r="F1100" s="101">
        <v>1376813649</v>
      </c>
      <c r="G1100" s="101">
        <v>159</v>
      </c>
      <c r="H1100" s="101">
        <v>26</v>
      </c>
      <c r="I1100" s="101">
        <v>185</v>
      </c>
      <c r="J1100" s="101">
        <v>1145</v>
      </c>
      <c r="K1100" s="101">
        <v>1330</v>
      </c>
      <c r="L1100" s="101">
        <v>-64</v>
      </c>
      <c r="M1100" s="101">
        <v>72</v>
      </c>
      <c r="N1100" s="101">
        <v>1069</v>
      </c>
      <c r="O1100" s="101">
        <v>217</v>
      </c>
      <c r="P1100" s="101">
        <v>2616</v>
      </c>
      <c r="Q1100" s="101">
        <v>35766</v>
      </c>
      <c r="R1100" s="12" t="s">
        <v>25</v>
      </c>
      <c r="S1100" s="12" t="s">
        <v>25</v>
      </c>
      <c r="T1100" s="12" t="s">
        <v>25</v>
      </c>
    </row>
    <row r="1101" spans="1:20" x14ac:dyDescent="0.3">
      <c r="A1101" s="13">
        <v>43937.708333333336</v>
      </c>
      <c r="B1101" s="12" t="s">
        <v>22</v>
      </c>
      <c r="C1101" s="101">
        <v>12</v>
      </c>
      <c r="D1101" s="12" t="s">
        <v>48</v>
      </c>
      <c r="E1101" s="101">
        <v>4189277044</v>
      </c>
      <c r="F1101" s="101">
        <v>1248366722</v>
      </c>
      <c r="G1101" s="101">
        <v>1347</v>
      </c>
      <c r="H1101" s="101">
        <v>197</v>
      </c>
      <c r="I1101" s="101">
        <v>1544</v>
      </c>
      <c r="J1101" s="101">
        <v>2600</v>
      </c>
      <c r="K1101" s="101">
        <v>4144</v>
      </c>
      <c r="L1101" s="101">
        <v>97</v>
      </c>
      <c r="M1101" s="101">
        <v>148</v>
      </c>
      <c r="N1101" s="101">
        <v>920</v>
      </c>
      <c r="O1101" s="101">
        <v>316</v>
      </c>
      <c r="P1101" s="101">
        <v>5380</v>
      </c>
      <c r="Q1101" s="101">
        <v>81993</v>
      </c>
      <c r="R1101" s="12" t="s">
        <v>25</v>
      </c>
      <c r="S1101" s="12" t="s">
        <v>25</v>
      </c>
      <c r="T1101" s="12" t="s">
        <v>25</v>
      </c>
    </row>
    <row r="1102" spans="1:20" x14ac:dyDescent="0.3">
      <c r="A1102" s="13">
        <v>43937.708333333336</v>
      </c>
      <c r="B1102" s="12" t="s">
        <v>22</v>
      </c>
      <c r="C1102" s="101">
        <v>7</v>
      </c>
      <c r="D1102" s="12" t="s">
        <v>49</v>
      </c>
      <c r="E1102" s="101">
        <v>4441149315</v>
      </c>
      <c r="F1102" s="101">
        <v>89326992</v>
      </c>
      <c r="G1102" s="101">
        <v>957</v>
      </c>
      <c r="H1102" s="101">
        <v>103</v>
      </c>
      <c r="I1102" s="101">
        <v>1060</v>
      </c>
      <c r="J1102" s="101">
        <v>2377</v>
      </c>
      <c r="K1102" s="101">
        <v>3437</v>
      </c>
      <c r="L1102" s="101">
        <v>-27</v>
      </c>
      <c r="M1102" s="101">
        <v>103</v>
      </c>
      <c r="N1102" s="101">
        <v>1774</v>
      </c>
      <c r="O1102" s="101">
        <v>828</v>
      </c>
      <c r="P1102" s="101">
        <v>6039</v>
      </c>
      <c r="Q1102" s="101">
        <v>26945</v>
      </c>
      <c r="R1102" s="12" t="s">
        <v>25</v>
      </c>
      <c r="S1102" s="12" t="s">
        <v>25</v>
      </c>
      <c r="T1102" s="12" t="s">
        <v>25</v>
      </c>
    </row>
    <row r="1103" spans="1:20" x14ac:dyDescent="0.3">
      <c r="A1103" s="13">
        <v>43937.708333333336</v>
      </c>
      <c r="B1103" s="12" t="s">
        <v>22</v>
      </c>
      <c r="C1103" s="101">
        <v>3</v>
      </c>
      <c r="D1103" s="12" t="s">
        <v>50</v>
      </c>
      <c r="E1103" s="101">
        <v>4546679409</v>
      </c>
      <c r="F1103" s="101">
        <v>9190347404</v>
      </c>
      <c r="G1103" s="101">
        <v>11356</v>
      </c>
      <c r="H1103" s="101">
        <v>1032</v>
      </c>
      <c r="I1103" s="101">
        <v>12388</v>
      </c>
      <c r="J1103" s="101">
        <v>20702</v>
      </c>
      <c r="K1103" s="101">
        <v>33090</v>
      </c>
      <c r="L1103" s="101">
        <v>169</v>
      </c>
      <c r="M1103" s="101">
        <v>941</v>
      </c>
      <c r="N1103" s="101">
        <v>18396</v>
      </c>
      <c r="O1103" s="101">
        <v>11608</v>
      </c>
      <c r="P1103" s="101">
        <v>63094</v>
      </c>
      <c r="Q1103" s="101">
        <v>232674</v>
      </c>
      <c r="R1103" s="12" t="s">
        <v>25</v>
      </c>
      <c r="S1103" s="12" t="s">
        <v>25</v>
      </c>
      <c r="T1103" s="12" t="s">
        <v>25</v>
      </c>
    </row>
    <row r="1104" spans="1:20" x14ac:dyDescent="0.3">
      <c r="A1104" s="13">
        <v>43937.708333333336</v>
      </c>
      <c r="B1104" s="12" t="s">
        <v>22</v>
      </c>
      <c r="C1104" s="101">
        <v>11</v>
      </c>
      <c r="D1104" s="12" t="s">
        <v>51</v>
      </c>
      <c r="E1104" s="101">
        <v>4361675973</v>
      </c>
      <c r="F1104" s="101">
        <v>135188753</v>
      </c>
      <c r="G1104" s="101">
        <v>850</v>
      </c>
      <c r="H1104" s="101">
        <v>102</v>
      </c>
      <c r="I1104" s="101">
        <v>952</v>
      </c>
      <c r="J1104" s="101">
        <v>2172</v>
      </c>
      <c r="K1104" s="101">
        <v>3124</v>
      </c>
      <c r="L1104" s="101">
        <v>27</v>
      </c>
      <c r="M1104" s="101">
        <v>79</v>
      </c>
      <c r="N1104" s="101">
        <v>1694</v>
      </c>
      <c r="O1104" s="101">
        <v>764</v>
      </c>
      <c r="P1104" s="101">
        <v>5582</v>
      </c>
      <c r="Q1104" s="101">
        <v>33778</v>
      </c>
      <c r="R1104" s="12" t="s">
        <v>25</v>
      </c>
      <c r="S1104" s="12" t="s">
        <v>25</v>
      </c>
      <c r="T1104" s="12" t="s">
        <v>25</v>
      </c>
    </row>
    <row r="1105" spans="1:20" x14ac:dyDescent="0.3">
      <c r="A1105" s="13">
        <v>43937.708333333336</v>
      </c>
      <c r="B1105" s="12" t="s">
        <v>22</v>
      </c>
      <c r="C1105" s="101">
        <v>14</v>
      </c>
      <c r="D1105" s="12" t="s">
        <v>52</v>
      </c>
      <c r="E1105" s="101">
        <v>4155774754</v>
      </c>
      <c r="F1105" s="101">
        <v>1465916051</v>
      </c>
      <c r="G1105" s="101">
        <v>25</v>
      </c>
      <c r="H1105" s="101">
        <v>4</v>
      </c>
      <c r="I1105" s="101">
        <v>29</v>
      </c>
      <c r="J1105" s="101">
        <v>174</v>
      </c>
      <c r="K1105" s="101">
        <v>203</v>
      </c>
      <c r="L1105" s="101">
        <v>-3</v>
      </c>
      <c r="M1105" s="101">
        <v>0</v>
      </c>
      <c r="N1105" s="101">
        <v>44</v>
      </c>
      <c r="O1105" s="101">
        <v>16</v>
      </c>
      <c r="P1105" s="101">
        <v>263</v>
      </c>
      <c r="Q1105" s="101">
        <v>2967</v>
      </c>
      <c r="R1105" s="12" t="s">
        <v>25</v>
      </c>
      <c r="S1105" s="12" t="s">
        <v>25</v>
      </c>
      <c r="T1105" s="12" t="s">
        <v>25</v>
      </c>
    </row>
    <row r="1106" spans="1:20" x14ac:dyDescent="0.3">
      <c r="A1106" s="13">
        <v>43937.708333333336</v>
      </c>
      <c r="B1106" s="12" t="s">
        <v>22</v>
      </c>
      <c r="C1106" s="101">
        <v>1</v>
      </c>
      <c r="D1106" s="12" t="s">
        <v>53</v>
      </c>
      <c r="E1106" s="101">
        <v>450732745</v>
      </c>
      <c r="F1106" s="101">
        <v>7680687483</v>
      </c>
      <c r="G1106" s="101">
        <v>3418</v>
      </c>
      <c r="H1106" s="101">
        <v>346</v>
      </c>
      <c r="I1106" s="101">
        <v>3764</v>
      </c>
      <c r="J1106" s="101">
        <v>10019</v>
      </c>
      <c r="K1106" s="101">
        <v>13783</v>
      </c>
      <c r="L1106" s="101">
        <v>588</v>
      </c>
      <c r="M1106" s="101">
        <v>879</v>
      </c>
      <c r="N1106" s="101">
        <v>3231</v>
      </c>
      <c r="O1106" s="101">
        <v>2094</v>
      </c>
      <c r="P1106" s="101">
        <v>19108</v>
      </c>
      <c r="Q1106" s="101">
        <v>80708</v>
      </c>
      <c r="R1106" s="12" t="s">
        <v>25</v>
      </c>
      <c r="S1106" s="12" t="s">
        <v>25</v>
      </c>
      <c r="T1106" s="12" t="s">
        <v>25</v>
      </c>
    </row>
    <row r="1107" spans="1:20" x14ac:dyDescent="0.3">
      <c r="A1107" s="13">
        <v>43937.708333333336</v>
      </c>
      <c r="B1107" s="12" t="s">
        <v>22</v>
      </c>
      <c r="C1107" s="101">
        <v>16</v>
      </c>
      <c r="D1107" s="12" t="s">
        <v>54</v>
      </c>
      <c r="E1107" s="101">
        <v>4112559576</v>
      </c>
      <c r="F1107" s="101">
        <v>1686736689</v>
      </c>
      <c r="G1107" s="101">
        <v>603</v>
      </c>
      <c r="H1107" s="101">
        <v>58</v>
      </c>
      <c r="I1107" s="101">
        <v>661</v>
      </c>
      <c r="J1107" s="101">
        <v>1964</v>
      </c>
      <c r="K1107" s="101">
        <v>2625</v>
      </c>
      <c r="L1107" s="101">
        <v>52</v>
      </c>
      <c r="M1107" s="101">
        <v>74</v>
      </c>
      <c r="N1107" s="101">
        <v>334</v>
      </c>
      <c r="O1107" s="101">
        <v>299</v>
      </c>
      <c r="P1107" s="101">
        <v>3258</v>
      </c>
      <c r="Q1107" s="101">
        <v>36158</v>
      </c>
      <c r="R1107" s="12" t="s">
        <v>25</v>
      </c>
      <c r="S1107" s="12" t="s">
        <v>25</v>
      </c>
      <c r="T1107" s="12" t="s">
        <v>25</v>
      </c>
    </row>
    <row r="1108" spans="1:20" x14ac:dyDescent="0.3">
      <c r="A1108" s="13">
        <v>43937.708333333336</v>
      </c>
      <c r="B1108" s="12" t="s">
        <v>22</v>
      </c>
      <c r="C1108" s="101">
        <v>20</v>
      </c>
      <c r="D1108" s="12" t="s">
        <v>55</v>
      </c>
      <c r="E1108" s="101">
        <v>3921531192</v>
      </c>
      <c r="F1108" s="101">
        <v>9110616306</v>
      </c>
      <c r="G1108" s="101">
        <v>109</v>
      </c>
      <c r="H1108" s="101">
        <v>24</v>
      </c>
      <c r="I1108" s="101">
        <v>133</v>
      </c>
      <c r="J1108" s="101">
        <v>732</v>
      </c>
      <c r="K1108" s="101">
        <v>865</v>
      </c>
      <c r="L1108" s="101">
        <v>-5</v>
      </c>
      <c r="M1108" s="101">
        <v>3</v>
      </c>
      <c r="N1108" s="101">
        <v>214</v>
      </c>
      <c r="O1108" s="101">
        <v>85</v>
      </c>
      <c r="P1108" s="101">
        <v>1164</v>
      </c>
      <c r="Q1108" s="101">
        <v>12796</v>
      </c>
      <c r="R1108" s="12" t="s">
        <v>25</v>
      </c>
      <c r="S1108" s="12" t="s">
        <v>25</v>
      </c>
      <c r="T1108" s="12" t="s">
        <v>25</v>
      </c>
    </row>
    <row r="1109" spans="1:20" x14ac:dyDescent="0.3">
      <c r="A1109" s="13">
        <v>43937.708333333336</v>
      </c>
      <c r="B1109" s="12" t="s">
        <v>22</v>
      </c>
      <c r="C1109" s="101">
        <v>19</v>
      </c>
      <c r="D1109" s="12" t="s">
        <v>56</v>
      </c>
      <c r="E1109" s="101">
        <v>3811569725</v>
      </c>
      <c r="F1109" s="101">
        <v>133623567</v>
      </c>
      <c r="G1109" s="101">
        <v>525</v>
      </c>
      <c r="H1109" s="101">
        <v>48</v>
      </c>
      <c r="I1109" s="101">
        <v>573</v>
      </c>
      <c r="J1109" s="101">
        <v>1535</v>
      </c>
      <c r="K1109" s="101">
        <v>2108</v>
      </c>
      <c r="L1109" s="101">
        <v>27</v>
      </c>
      <c r="M1109" s="101">
        <v>44</v>
      </c>
      <c r="N1109" s="101">
        <v>284</v>
      </c>
      <c r="O1109" s="101">
        <v>187</v>
      </c>
      <c r="P1109" s="101">
        <v>2579</v>
      </c>
      <c r="Q1109" s="101">
        <v>42405</v>
      </c>
      <c r="R1109" s="12" t="s">
        <v>25</v>
      </c>
      <c r="S1109" s="12" t="s">
        <v>25</v>
      </c>
      <c r="T1109" s="12" t="s">
        <v>25</v>
      </c>
    </row>
    <row r="1110" spans="1:20" x14ac:dyDescent="0.3">
      <c r="A1110" s="13">
        <v>43937.708333333336</v>
      </c>
      <c r="B1110" s="12" t="s">
        <v>22</v>
      </c>
      <c r="C1110" s="101">
        <v>9</v>
      </c>
      <c r="D1110" s="12" t="s">
        <v>57</v>
      </c>
      <c r="E1110" s="101">
        <v>4376923077</v>
      </c>
      <c r="F1110" s="101">
        <v>1125588885</v>
      </c>
      <c r="G1110" s="101">
        <v>940</v>
      </c>
      <c r="H1110" s="101">
        <v>213</v>
      </c>
      <c r="I1110" s="101">
        <v>1153</v>
      </c>
      <c r="J1110" s="101">
        <v>5460</v>
      </c>
      <c r="K1110" s="101">
        <v>6613</v>
      </c>
      <c r="L1110" s="101">
        <v>196</v>
      </c>
      <c r="M1110" s="101">
        <v>277</v>
      </c>
      <c r="N1110" s="101">
        <v>745</v>
      </c>
      <c r="O1110" s="101">
        <v>585</v>
      </c>
      <c r="P1110" s="101">
        <v>7943</v>
      </c>
      <c r="Q1110" s="101">
        <v>91651</v>
      </c>
      <c r="R1110" s="12" t="s">
        <v>25</v>
      </c>
      <c r="S1110" s="12" t="s">
        <v>25</v>
      </c>
      <c r="T1110" s="12" t="s">
        <v>25</v>
      </c>
    </row>
    <row r="1111" spans="1:20" x14ac:dyDescent="0.3">
      <c r="A1111" s="13">
        <v>43937.708333333336</v>
      </c>
      <c r="B1111" s="12" t="s">
        <v>22</v>
      </c>
      <c r="C1111" s="101">
        <v>4</v>
      </c>
      <c r="D1111" s="12" t="s">
        <v>58</v>
      </c>
      <c r="E1111" s="101">
        <v>4606893511</v>
      </c>
      <c r="F1111" s="101">
        <v>1112123097</v>
      </c>
      <c r="G1111" s="101">
        <v>296</v>
      </c>
      <c r="H1111" s="101">
        <v>43</v>
      </c>
      <c r="I1111" s="101">
        <v>339</v>
      </c>
      <c r="J1111" s="101">
        <v>1748</v>
      </c>
      <c r="K1111" s="101">
        <v>2087</v>
      </c>
      <c r="L1111" s="101">
        <v>-17</v>
      </c>
      <c r="M1111" s="101">
        <v>74</v>
      </c>
      <c r="N1111" s="101">
        <v>885</v>
      </c>
      <c r="O1111" s="101">
        <v>322</v>
      </c>
      <c r="P1111" s="101">
        <v>3294</v>
      </c>
      <c r="Q1111" s="101">
        <v>20773</v>
      </c>
      <c r="R1111" s="12" t="s">
        <v>25</v>
      </c>
      <c r="S1111" s="12" t="s">
        <v>25</v>
      </c>
      <c r="T1111" s="12" t="s">
        <v>25</v>
      </c>
    </row>
    <row r="1112" spans="1:20" x14ac:dyDescent="0.3">
      <c r="A1112" s="13">
        <v>43937.708333333336</v>
      </c>
      <c r="B1112" s="12" t="s">
        <v>22</v>
      </c>
      <c r="C1112" s="101">
        <v>10</v>
      </c>
      <c r="D1112" s="12" t="s">
        <v>59</v>
      </c>
      <c r="E1112" s="101">
        <v>4310675841</v>
      </c>
      <c r="F1112" s="101">
        <v>1238824698</v>
      </c>
      <c r="G1112" s="101">
        <v>116</v>
      </c>
      <c r="H1112" s="101">
        <v>33</v>
      </c>
      <c r="I1112" s="101">
        <v>149</v>
      </c>
      <c r="J1112" s="101">
        <v>387</v>
      </c>
      <c r="K1112" s="101">
        <v>536</v>
      </c>
      <c r="L1112" s="101">
        <v>-46</v>
      </c>
      <c r="M1112" s="101">
        <v>7</v>
      </c>
      <c r="N1112" s="101">
        <v>738</v>
      </c>
      <c r="O1112" s="101">
        <v>55</v>
      </c>
      <c r="P1112" s="101">
        <v>1329</v>
      </c>
      <c r="Q1112" s="101">
        <v>21487</v>
      </c>
      <c r="R1112" s="12" t="s">
        <v>25</v>
      </c>
      <c r="S1112" s="12" t="s">
        <v>25</v>
      </c>
      <c r="T1112" s="12" t="s">
        <v>25</v>
      </c>
    </row>
    <row r="1113" spans="1:20" x14ac:dyDescent="0.3">
      <c r="A1113" s="13">
        <v>43937.708333333336</v>
      </c>
      <c r="B1113" s="12" t="s">
        <v>22</v>
      </c>
      <c r="C1113" s="101">
        <v>2</v>
      </c>
      <c r="D1113" s="12" t="s">
        <v>60</v>
      </c>
      <c r="E1113" s="101">
        <v>4573750286</v>
      </c>
      <c r="F1113" s="101">
        <v>7320149366</v>
      </c>
      <c r="G1113" s="101">
        <v>105</v>
      </c>
      <c r="H1113" s="101">
        <v>12</v>
      </c>
      <c r="I1113" s="101">
        <v>117</v>
      </c>
      <c r="J1113" s="101">
        <v>401</v>
      </c>
      <c r="K1113" s="101">
        <v>518</v>
      </c>
      <c r="L1113" s="101">
        <v>-30</v>
      </c>
      <c r="M1113" s="101">
        <v>13</v>
      </c>
      <c r="N1113" s="101">
        <v>331</v>
      </c>
      <c r="O1113" s="101">
        <v>122</v>
      </c>
      <c r="P1113" s="101">
        <v>971</v>
      </c>
      <c r="Q1113" s="101">
        <v>4159</v>
      </c>
      <c r="R1113" s="12" t="s">
        <v>25</v>
      </c>
      <c r="S1113" s="12" t="s">
        <v>25</v>
      </c>
      <c r="T1113" s="12" t="s">
        <v>25</v>
      </c>
    </row>
    <row r="1114" spans="1:20" x14ac:dyDescent="0.3">
      <c r="A1114" s="13">
        <v>43937.708333333336</v>
      </c>
      <c r="B1114" s="12" t="s">
        <v>22</v>
      </c>
      <c r="C1114" s="101">
        <v>5</v>
      </c>
      <c r="D1114" s="12" t="s">
        <v>61</v>
      </c>
      <c r="E1114" s="101">
        <v>4543490485</v>
      </c>
      <c r="F1114" s="101">
        <v>1233845213</v>
      </c>
      <c r="G1114" s="101">
        <v>1388</v>
      </c>
      <c r="H1114" s="101">
        <v>209</v>
      </c>
      <c r="I1114" s="101">
        <v>1597</v>
      </c>
      <c r="J1114" s="101">
        <v>9203</v>
      </c>
      <c r="K1114" s="101">
        <v>10800</v>
      </c>
      <c r="L1114" s="101">
        <v>11</v>
      </c>
      <c r="M1114" s="101">
        <v>366</v>
      </c>
      <c r="N1114" s="101">
        <v>3209</v>
      </c>
      <c r="O1114" s="101">
        <v>981</v>
      </c>
      <c r="P1114" s="101">
        <v>14990</v>
      </c>
      <c r="Q1114" s="101">
        <v>224549</v>
      </c>
      <c r="R1114" s="12" t="s">
        <v>25</v>
      </c>
      <c r="S1114" s="12" t="s">
        <v>25</v>
      </c>
      <c r="T1114" s="12" t="s">
        <v>25</v>
      </c>
    </row>
    <row r="1115" spans="1:20" x14ac:dyDescent="0.3">
      <c r="A1115" s="13">
        <v>43938.708333333336</v>
      </c>
      <c r="B1115" s="12" t="s">
        <v>22</v>
      </c>
      <c r="C1115" s="101">
        <v>13</v>
      </c>
      <c r="D1115" s="12" t="s">
        <v>42</v>
      </c>
      <c r="E1115" s="101">
        <v>4235122196</v>
      </c>
      <c r="F1115" s="101">
        <v>1339843823</v>
      </c>
      <c r="G1115" s="101">
        <v>319</v>
      </c>
      <c r="H1115" s="101">
        <v>43</v>
      </c>
      <c r="I1115" s="101">
        <v>362</v>
      </c>
      <c r="J1115" s="101">
        <v>1580</v>
      </c>
      <c r="K1115" s="101">
        <v>1942</v>
      </c>
      <c r="L1115" s="101">
        <v>92</v>
      </c>
      <c r="M1115" s="101">
        <v>97</v>
      </c>
      <c r="N1115" s="101">
        <v>255</v>
      </c>
      <c r="O1115" s="101">
        <v>246</v>
      </c>
      <c r="P1115" s="101">
        <v>2443</v>
      </c>
      <c r="Q1115" s="101">
        <v>25436</v>
      </c>
      <c r="R1115" s="12" t="s">
        <v>25</v>
      </c>
      <c r="S1115" s="12" t="s">
        <v>25</v>
      </c>
      <c r="T1115" s="12" t="s">
        <v>25</v>
      </c>
    </row>
    <row r="1116" spans="1:20" x14ac:dyDescent="0.3">
      <c r="A1116" s="13">
        <v>43938.708333333336</v>
      </c>
      <c r="B1116" s="12" t="s">
        <v>22</v>
      </c>
      <c r="C1116" s="101">
        <v>17</v>
      </c>
      <c r="D1116" s="12" t="s">
        <v>43</v>
      </c>
      <c r="E1116" s="101">
        <v>4063947052</v>
      </c>
      <c r="F1116" s="101">
        <v>1580514834</v>
      </c>
      <c r="G1116" s="101">
        <v>59</v>
      </c>
      <c r="H1116" s="101">
        <v>9</v>
      </c>
      <c r="I1116" s="101">
        <v>68</v>
      </c>
      <c r="J1116" s="101">
        <v>198</v>
      </c>
      <c r="K1116" s="101">
        <v>266</v>
      </c>
      <c r="L1116" s="101">
        <v>-7</v>
      </c>
      <c r="M1116" s="101">
        <v>1</v>
      </c>
      <c r="N1116" s="101">
        <v>49</v>
      </c>
      <c r="O1116" s="101">
        <v>22</v>
      </c>
      <c r="P1116" s="101">
        <v>337</v>
      </c>
      <c r="Q1116" s="101">
        <v>5710</v>
      </c>
      <c r="R1116" s="12" t="s">
        <v>25</v>
      </c>
      <c r="S1116" s="12" t="s">
        <v>25</v>
      </c>
      <c r="T1116" s="12" t="s">
        <v>25</v>
      </c>
    </row>
    <row r="1117" spans="1:20" x14ac:dyDescent="0.3">
      <c r="A1117" s="13">
        <v>43938.708333333336</v>
      </c>
      <c r="B1117" s="12" t="s">
        <v>22</v>
      </c>
      <c r="C1117" s="101">
        <v>4</v>
      </c>
      <c r="D1117" s="12" t="s">
        <v>44</v>
      </c>
      <c r="E1117" s="101">
        <v>4649933453</v>
      </c>
      <c r="F1117" s="101">
        <v>1135662422</v>
      </c>
      <c r="G1117" s="101">
        <v>181</v>
      </c>
      <c r="H1117" s="101">
        <v>32</v>
      </c>
      <c r="I1117" s="101">
        <v>213</v>
      </c>
      <c r="J1117" s="101">
        <v>1369</v>
      </c>
      <c r="K1117" s="101">
        <v>1582</v>
      </c>
      <c r="L1117" s="101">
        <v>-11</v>
      </c>
      <c r="M1117" s="101">
        <v>29</v>
      </c>
      <c r="N1117" s="101">
        <v>480</v>
      </c>
      <c r="O1117" s="101">
        <v>234</v>
      </c>
      <c r="P1117" s="101">
        <v>2296</v>
      </c>
      <c r="Q1117" s="101">
        <v>27698</v>
      </c>
      <c r="R1117" s="12" t="s">
        <v>25</v>
      </c>
      <c r="S1117" s="12" t="s">
        <v>25</v>
      </c>
      <c r="T1117" s="12" t="s">
        <v>25</v>
      </c>
    </row>
    <row r="1118" spans="1:20" x14ac:dyDescent="0.3">
      <c r="A1118" s="13">
        <v>43938.708333333336</v>
      </c>
      <c r="B1118" s="12" t="s">
        <v>22</v>
      </c>
      <c r="C1118" s="101">
        <v>18</v>
      </c>
      <c r="D1118" s="12" t="s">
        <v>45</v>
      </c>
      <c r="E1118" s="101">
        <v>3890597598</v>
      </c>
      <c r="F1118" s="101">
        <v>1659440194</v>
      </c>
      <c r="G1118" s="101">
        <v>154</v>
      </c>
      <c r="H1118" s="101">
        <v>7</v>
      </c>
      <c r="I1118" s="101">
        <v>161</v>
      </c>
      <c r="J1118" s="101">
        <v>658</v>
      </c>
      <c r="K1118" s="101">
        <v>819</v>
      </c>
      <c r="L1118" s="101">
        <v>-28</v>
      </c>
      <c r="M1118" s="101">
        <v>-18</v>
      </c>
      <c r="N1118" s="101">
        <v>99</v>
      </c>
      <c r="O1118" s="101">
        <v>73</v>
      </c>
      <c r="P1118" s="101">
        <v>991</v>
      </c>
      <c r="Q1118" s="101">
        <v>21657</v>
      </c>
      <c r="R1118" s="12" t="s">
        <v>25</v>
      </c>
      <c r="S1118" s="12" t="s">
        <v>25</v>
      </c>
      <c r="T1118" s="12" t="s">
        <v>25</v>
      </c>
    </row>
    <row r="1119" spans="1:20" x14ac:dyDescent="0.3">
      <c r="A1119" s="13">
        <v>43938.708333333336</v>
      </c>
      <c r="B1119" s="12" t="s">
        <v>22</v>
      </c>
      <c r="C1119" s="101">
        <v>15</v>
      </c>
      <c r="D1119" s="12" t="s">
        <v>46</v>
      </c>
      <c r="E1119" s="101">
        <v>4083956555</v>
      </c>
      <c r="F1119" s="101">
        <v>1425084984</v>
      </c>
      <c r="G1119" s="101">
        <v>622</v>
      </c>
      <c r="H1119" s="101">
        <v>76</v>
      </c>
      <c r="I1119" s="101">
        <v>698</v>
      </c>
      <c r="J1119" s="101">
        <v>2329</v>
      </c>
      <c r="K1119" s="101">
        <v>3027</v>
      </c>
      <c r="L1119" s="101">
        <v>-91</v>
      </c>
      <c r="M1119" s="101">
        <v>64</v>
      </c>
      <c r="N1119" s="101">
        <v>631</v>
      </c>
      <c r="O1119" s="101">
        <v>293</v>
      </c>
      <c r="P1119" s="101">
        <v>3951</v>
      </c>
      <c r="Q1119" s="101">
        <v>43697</v>
      </c>
      <c r="R1119" s="12" t="s">
        <v>25</v>
      </c>
      <c r="S1119" s="12" t="s">
        <v>25</v>
      </c>
      <c r="T1119" s="12" t="s">
        <v>25</v>
      </c>
    </row>
    <row r="1120" spans="1:20" x14ac:dyDescent="0.3">
      <c r="A1120" s="13">
        <v>43938.708333333336</v>
      </c>
      <c r="B1120" s="12" t="s">
        <v>22</v>
      </c>
      <c r="C1120" s="101">
        <v>8</v>
      </c>
      <c r="D1120" s="12" t="s">
        <v>96</v>
      </c>
      <c r="E1120" s="101">
        <v>4449436681</v>
      </c>
      <c r="F1120" s="101">
        <v>113417208</v>
      </c>
      <c r="G1120" s="101">
        <v>3330</v>
      </c>
      <c r="H1120" s="101">
        <v>309</v>
      </c>
      <c r="I1120" s="101">
        <v>3639</v>
      </c>
      <c r="J1120" s="101">
        <v>9946</v>
      </c>
      <c r="K1120" s="101">
        <v>13585</v>
      </c>
      <c r="L1120" s="101">
        <v>-78</v>
      </c>
      <c r="M1120" s="101">
        <v>348</v>
      </c>
      <c r="N1120" s="101">
        <v>5346</v>
      </c>
      <c r="O1120" s="101">
        <v>2903</v>
      </c>
      <c r="P1120" s="101">
        <v>21834</v>
      </c>
      <c r="Q1120" s="101">
        <v>116826</v>
      </c>
      <c r="R1120" s="12" t="s">
        <v>25</v>
      </c>
      <c r="S1120" s="12" t="s">
        <v>25</v>
      </c>
      <c r="T1120" s="12" t="s">
        <v>25</v>
      </c>
    </row>
    <row r="1121" spans="1:20" x14ac:dyDescent="0.3">
      <c r="A1121" s="13">
        <v>43938.708333333336</v>
      </c>
      <c r="B1121" s="12" t="s">
        <v>22</v>
      </c>
      <c r="C1121" s="101">
        <v>6</v>
      </c>
      <c r="D1121" s="12" t="s">
        <v>47</v>
      </c>
      <c r="E1121" s="101">
        <v>456494354</v>
      </c>
      <c r="F1121" s="101">
        <v>1376813649</v>
      </c>
      <c r="G1121" s="101">
        <v>148</v>
      </c>
      <c r="H1121" s="101">
        <v>23</v>
      </c>
      <c r="I1121" s="101">
        <v>171</v>
      </c>
      <c r="J1121" s="101">
        <v>1257</v>
      </c>
      <c r="K1121" s="101">
        <v>1428</v>
      </c>
      <c r="L1121" s="101">
        <v>98</v>
      </c>
      <c r="M1121" s="101">
        <v>59</v>
      </c>
      <c r="N1121" s="101">
        <v>1027</v>
      </c>
      <c r="O1121" s="101">
        <v>220</v>
      </c>
      <c r="P1121" s="101">
        <v>2675</v>
      </c>
      <c r="Q1121" s="101">
        <v>40030</v>
      </c>
      <c r="R1121" s="12" t="s">
        <v>25</v>
      </c>
      <c r="S1121" s="12" t="s">
        <v>25</v>
      </c>
      <c r="T1121" s="12" t="s">
        <v>25</v>
      </c>
    </row>
    <row r="1122" spans="1:20" x14ac:dyDescent="0.3">
      <c r="A1122" s="13">
        <v>43938.708333333336</v>
      </c>
      <c r="B1122" s="12" t="s">
        <v>22</v>
      </c>
      <c r="C1122" s="101">
        <v>12</v>
      </c>
      <c r="D1122" s="12" t="s">
        <v>48</v>
      </c>
      <c r="E1122" s="101">
        <v>4189277044</v>
      </c>
      <c r="F1122" s="101">
        <v>1248366722</v>
      </c>
      <c r="G1122" s="101">
        <v>1332</v>
      </c>
      <c r="H1122" s="101">
        <v>187</v>
      </c>
      <c r="I1122" s="101">
        <v>1519</v>
      </c>
      <c r="J1122" s="101">
        <v>2695</v>
      </c>
      <c r="K1122" s="101">
        <v>4214</v>
      </c>
      <c r="L1122" s="101">
        <v>70</v>
      </c>
      <c r="M1122" s="101">
        <v>144</v>
      </c>
      <c r="N1122" s="101">
        <v>978</v>
      </c>
      <c r="O1122" s="101">
        <v>332</v>
      </c>
      <c r="P1122" s="101">
        <v>5524</v>
      </c>
      <c r="Q1122" s="101">
        <v>84755</v>
      </c>
      <c r="R1122" s="12" t="s">
        <v>25</v>
      </c>
      <c r="S1122" s="12" t="s">
        <v>25</v>
      </c>
      <c r="T1122" s="12" t="s">
        <v>25</v>
      </c>
    </row>
    <row r="1123" spans="1:20" x14ac:dyDescent="0.3">
      <c r="A1123" s="13">
        <v>43938.708333333336</v>
      </c>
      <c r="B1123" s="12" t="s">
        <v>22</v>
      </c>
      <c r="C1123" s="101">
        <v>7</v>
      </c>
      <c r="D1123" s="12" t="s">
        <v>49</v>
      </c>
      <c r="E1123" s="101">
        <v>4441149315</v>
      </c>
      <c r="F1123" s="101">
        <v>89326992</v>
      </c>
      <c r="G1123" s="101">
        <v>897</v>
      </c>
      <c r="H1123" s="101">
        <v>105</v>
      </c>
      <c r="I1123" s="101">
        <v>1002</v>
      </c>
      <c r="J1123" s="101">
        <v>2457</v>
      </c>
      <c r="K1123" s="101">
        <v>3459</v>
      </c>
      <c r="L1123" s="101">
        <v>22</v>
      </c>
      <c r="M1123" s="101">
        <v>149</v>
      </c>
      <c r="N1123" s="101">
        <v>1863</v>
      </c>
      <c r="O1123" s="101">
        <v>866</v>
      </c>
      <c r="P1123" s="101">
        <v>6188</v>
      </c>
      <c r="Q1123" s="101">
        <v>28181</v>
      </c>
      <c r="R1123" s="12" t="s">
        <v>25</v>
      </c>
      <c r="S1123" s="12" t="s">
        <v>25</v>
      </c>
      <c r="T1123" s="12" t="s">
        <v>25</v>
      </c>
    </row>
    <row r="1124" spans="1:20" x14ac:dyDescent="0.3">
      <c r="A1124" s="13">
        <v>43938.708333333336</v>
      </c>
      <c r="B1124" s="12" t="s">
        <v>22</v>
      </c>
      <c r="C1124" s="101">
        <v>3</v>
      </c>
      <c r="D1124" s="12" t="s">
        <v>50</v>
      </c>
      <c r="E1124" s="101">
        <v>4546679409</v>
      </c>
      <c r="F1124" s="101">
        <v>9190347404</v>
      </c>
      <c r="G1124" s="101">
        <v>10627</v>
      </c>
      <c r="H1124" s="101">
        <v>971</v>
      </c>
      <c r="I1124" s="101">
        <v>11598</v>
      </c>
      <c r="J1124" s="101">
        <v>21836</v>
      </c>
      <c r="K1124" s="101">
        <v>33434</v>
      </c>
      <c r="L1124" s="101">
        <v>344</v>
      </c>
      <c r="M1124" s="101">
        <v>1041</v>
      </c>
      <c r="N1124" s="101">
        <v>18850</v>
      </c>
      <c r="O1124" s="101">
        <v>11851</v>
      </c>
      <c r="P1124" s="101">
        <v>64135</v>
      </c>
      <c r="Q1124" s="101">
        <v>243513</v>
      </c>
      <c r="R1124" s="12" t="s">
        <v>25</v>
      </c>
      <c r="S1124" s="12" t="s">
        <v>25</v>
      </c>
      <c r="T1124" s="12" t="s">
        <v>25</v>
      </c>
    </row>
    <row r="1125" spans="1:20" x14ac:dyDescent="0.3">
      <c r="A1125" s="13">
        <v>43938.708333333336</v>
      </c>
      <c r="B1125" s="12" t="s">
        <v>22</v>
      </c>
      <c r="C1125" s="101">
        <v>11</v>
      </c>
      <c r="D1125" s="12" t="s">
        <v>51</v>
      </c>
      <c r="E1125" s="101">
        <v>4361675973</v>
      </c>
      <c r="F1125" s="101">
        <v>135188753</v>
      </c>
      <c r="G1125" s="101">
        <v>839</v>
      </c>
      <c r="H1125" s="101">
        <v>94</v>
      </c>
      <c r="I1125" s="101">
        <v>933</v>
      </c>
      <c r="J1125" s="101">
        <v>2224</v>
      </c>
      <c r="K1125" s="101">
        <v>3157</v>
      </c>
      <c r="L1125" s="101">
        <v>33</v>
      </c>
      <c r="M1125" s="101">
        <v>86</v>
      </c>
      <c r="N1125" s="101">
        <v>1726</v>
      </c>
      <c r="O1125" s="101">
        <v>785</v>
      </c>
      <c r="P1125" s="101">
        <v>5668</v>
      </c>
      <c r="Q1125" s="101">
        <v>37997</v>
      </c>
      <c r="R1125" s="12" t="s">
        <v>25</v>
      </c>
      <c r="S1125" s="12" t="s">
        <v>25</v>
      </c>
      <c r="T1125" s="12" t="s">
        <v>25</v>
      </c>
    </row>
    <row r="1126" spans="1:20" x14ac:dyDescent="0.3">
      <c r="A1126" s="13">
        <v>43938.708333333336</v>
      </c>
      <c r="B1126" s="12" t="s">
        <v>22</v>
      </c>
      <c r="C1126" s="101">
        <v>14</v>
      </c>
      <c r="D1126" s="12" t="s">
        <v>52</v>
      </c>
      <c r="E1126" s="101">
        <v>4155774754</v>
      </c>
      <c r="F1126" s="101">
        <v>1465916051</v>
      </c>
      <c r="G1126" s="101">
        <v>26</v>
      </c>
      <c r="H1126" s="101">
        <v>4</v>
      </c>
      <c r="I1126" s="101">
        <v>30</v>
      </c>
      <c r="J1126" s="101">
        <v>178</v>
      </c>
      <c r="K1126" s="101">
        <v>208</v>
      </c>
      <c r="L1126" s="101">
        <v>5</v>
      </c>
      <c r="M1126" s="101">
        <v>6</v>
      </c>
      <c r="N1126" s="101">
        <v>45</v>
      </c>
      <c r="O1126" s="101">
        <v>16</v>
      </c>
      <c r="P1126" s="101">
        <v>269</v>
      </c>
      <c r="Q1126" s="101">
        <v>3082</v>
      </c>
      <c r="R1126" s="12" t="s">
        <v>25</v>
      </c>
      <c r="S1126" s="12" t="s">
        <v>25</v>
      </c>
      <c r="T1126" s="12" t="s">
        <v>25</v>
      </c>
    </row>
    <row r="1127" spans="1:20" x14ac:dyDescent="0.3">
      <c r="A1127" s="13">
        <v>43938.708333333336</v>
      </c>
      <c r="B1127" s="12" t="s">
        <v>22</v>
      </c>
      <c r="C1127" s="101">
        <v>1</v>
      </c>
      <c r="D1127" s="12" t="s">
        <v>53</v>
      </c>
      <c r="E1127" s="101">
        <v>450732745</v>
      </c>
      <c r="F1127" s="101">
        <v>7680687483</v>
      </c>
      <c r="G1127" s="101">
        <v>3266</v>
      </c>
      <c r="H1127" s="101">
        <v>333</v>
      </c>
      <c r="I1127" s="101">
        <v>3599</v>
      </c>
      <c r="J1127" s="101">
        <v>10399</v>
      </c>
      <c r="K1127" s="101">
        <v>13998</v>
      </c>
      <c r="L1127" s="101">
        <v>215</v>
      </c>
      <c r="M1127" s="101">
        <v>695</v>
      </c>
      <c r="N1127" s="101">
        <v>3634</v>
      </c>
      <c r="O1127" s="101">
        <v>2171</v>
      </c>
      <c r="P1127" s="101">
        <v>19803</v>
      </c>
      <c r="Q1127" s="101">
        <v>86714</v>
      </c>
      <c r="R1127" s="12" t="s">
        <v>25</v>
      </c>
      <c r="S1127" s="12" t="s">
        <v>25</v>
      </c>
      <c r="T1127" s="12" t="s">
        <v>25</v>
      </c>
    </row>
    <row r="1128" spans="1:20" x14ac:dyDescent="0.3">
      <c r="A1128" s="13">
        <v>43938.708333333336</v>
      </c>
      <c r="B1128" s="12" t="s">
        <v>22</v>
      </c>
      <c r="C1128" s="101">
        <v>16</v>
      </c>
      <c r="D1128" s="12" t="s">
        <v>54</v>
      </c>
      <c r="E1128" s="101">
        <v>4112559576</v>
      </c>
      <c r="F1128" s="101">
        <v>1686736689</v>
      </c>
      <c r="G1128" s="101">
        <v>590</v>
      </c>
      <c r="H1128" s="101">
        <v>62</v>
      </c>
      <c r="I1128" s="101">
        <v>652</v>
      </c>
      <c r="J1128" s="101">
        <v>2004</v>
      </c>
      <c r="K1128" s="101">
        <v>2656</v>
      </c>
      <c r="L1128" s="101">
        <v>31</v>
      </c>
      <c r="M1128" s="101">
        <v>69</v>
      </c>
      <c r="N1128" s="101">
        <v>364</v>
      </c>
      <c r="O1128" s="101">
        <v>307</v>
      </c>
      <c r="P1128" s="101">
        <v>3327</v>
      </c>
      <c r="Q1128" s="101">
        <v>38278</v>
      </c>
      <c r="R1128" s="12" t="s">
        <v>25</v>
      </c>
      <c r="S1128" s="12" t="s">
        <v>25</v>
      </c>
      <c r="T1128" s="12" t="s">
        <v>25</v>
      </c>
    </row>
    <row r="1129" spans="1:20" x14ac:dyDescent="0.3">
      <c r="A1129" s="13">
        <v>43938.708333333336</v>
      </c>
      <c r="B1129" s="12" t="s">
        <v>22</v>
      </c>
      <c r="C1129" s="101">
        <v>20</v>
      </c>
      <c r="D1129" s="12" t="s">
        <v>55</v>
      </c>
      <c r="E1129" s="101">
        <v>3921531192</v>
      </c>
      <c r="F1129" s="101">
        <v>9110616306</v>
      </c>
      <c r="G1129" s="101">
        <v>113</v>
      </c>
      <c r="H1129" s="101">
        <v>23</v>
      </c>
      <c r="I1129" s="101">
        <v>136</v>
      </c>
      <c r="J1129" s="101">
        <v>736</v>
      </c>
      <c r="K1129" s="101">
        <v>872</v>
      </c>
      <c r="L1129" s="101">
        <v>7</v>
      </c>
      <c r="M1129" s="101">
        <v>14</v>
      </c>
      <c r="N1129" s="101">
        <v>220</v>
      </c>
      <c r="O1129" s="101">
        <v>86</v>
      </c>
      <c r="P1129" s="101">
        <v>1178</v>
      </c>
      <c r="Q1129" s="101">
        <v>13304</v>
      </c>
      <c r="R1129" s="12" t="s">
        <v>25</v>
      </c>
      <c r="S1129" s="12" t="s">
        <v>25</v>
      </c>
      <c r="T1129" s="12" t="s">
        <v>25</v>
      </c>
    </row>
    <row r="1130" spans="1:20" x14ac:dyDescent="0.3">
      <c r="A1130" s="13">
        <v>43938.708333333336</v>
      </c>
      <c r="B1130" s="12" t="s">
        <v>22</v>
      </c>
      <c r="C1130" s="101">
        <v>19</v>
      </c>
      <c r="D1130" s="12" t="s">
        <v>56</v>
      </c>
      <c r="E1130" s="101">
        <v>3811569725</v>
      </c>
      <c r="F1130" s="101">
        <v>133623567</v>
      </c>
      <c r="G1130" s="101">
        <v>521</v>
      </c>
      <c r="H1130" s="101">
        <v>46</v>
      </c>
      <c r="I1130" s="101">
        <v>567</v>
      </c>
      <c r="J1130" s="101">
        <v>1572</v>
      </c>
      <c r="K1130" s="101">
        <v>2139</v>
      </c>
      <c r="L1130" s="101">
        <v>31</v>
      </c>
      <c r="M1130" s="101">
        <v>46</v>
      </c>
      <c r="N1130" s="101">
        <v>296</v>
      </c>
      <c r="O1130" s="101">
        <v>190</v>
      </c>
      <c r="P1130" s="101">
        <v>2625</v>
      </c>
      <c r="Q1130" s="101">
        <v>45172</v>
      </c>
      <c r="R1130" s="12" t="s">
        <v>25</v>
      </c>
      <c r="S1130" s="12" t="s">
        <v>25</v>
      </c>
      <c r="T1130" s="12" t="s">
        <v>25</v>
      </c>
    </row>
    <row r="1131" spans="1:20" x14ac:dyDescent="0.3">
      <c r="A1131" s="13">
        <v>43938.708333333336</v>
      </c>
      <c r="B1131" s="12" t="s">
        <v>22</v>
      </c>
      <c r="C1131" s="101">
        <v>9</v>
      </c>
      <c r="D1131" s="12" t="s">
        <v>57</v>
      </c>
      <c r="E1131" s="101">
        <v>4376923077</v>
      </c>
      <c r="F1131" s="101">
        <v>1125588885</v>
      </c>
      <c r="G1131" s="101">
        <v>898</v>
      </c>
      <c r="H1131" s="101">
        <v>207</v>
      </c>
      <c r="I1131" s="101">
        <v>1105</v>
      </c>
      <c r="J1131" s="101">
        <v>5478</v>
      </c>
      <c r="K1131" s="101">
        <v>6583</v>
      </c>
      <c r="L1131" s="101">
        <v>-30</v>
      </c>
      <c r="M1131" s="101">
        <v>167</v>
      </c>
      <c r="N1131" s="101">
        <v>925</v>
      </c>
      <c r="O1131" s="101">
        <v>602</v>
      </c>
      <c r="P1131" s="101">
        <v>8110</v>
      </c>
      <c r="Q1131" s="101">
        <v>96231</v>
      </c>
      <c r="R1131" s="12" t="s">
        <v>25</v>
      </c>
      <c r="S1131" s="12" t="s">
        <v>25</v>
      </c>
      <c r="T1131" s="12" t="s">
        <v>25</v>
      </c>
    </row>
    <row r="1132" spans="1:20" x14ac:dyDescent="0.3">
      <c r="A1132" s="13">
        <v>43938.708333333336</v>
      </c>
      <c r="B1132" s="12" t="s">
        <v>22</v>
      </c>
      <c r="C1132" s="101">
        <v>4</v>
      </c>
      <c r="D1132" s="12" t="s">
        <v>58</v>
      </c>
      <c r="E1132" s="101">
        <v>4606893511</v>
      </c>
      <c r="F1132" s="101">
        <v>1112123097</v>
      </c>
      <c r="G1132" s="101">
        <v>286</v>
      </c>
      <c r="H1132" s="101">
        <v>44</v>
      </c>
      <c r="I1132" s="101">
        <v>330</v>
      </c>
      <c r="J1132" s="101">
        <v>1660</v>
      </c>
      <c r="K1132" s="101">
        <v>1990</v>
      </c>
      <c r="L1132" s="101">
        <v>-97</v>
      </c>
      <c r="M1132" s="101">
        <v>82</v>
      </c>
      <c r="N1132" s="101">
        <v>1044</v>
      </c>
      <c r="O1132" s="101">
        <v>342</v>
      </c>
      <c r="P1132" s="101">
        <v>3376</v>
      </c>
      <c r="Q1132" s="101">
        <v>21921</v>
      </c>
      <c r="R1132" s="12" t="s">
        <v>25</v>
      </c>
      <c r="S1132" s="12" t="s">
        <v>25</v>
      </c>
      <c r="T1132" s="12" t="s">
        <v>25</v>
      </c>
    </row>
    <row r="1133" spans="1:20" x14ac:dyDescent="0.3">
      <c r="A1133" s="13">
        <v>43938.708333333336</v>
      </c>
      <c r="B1133" s="12" t="s">
        <v>22</v>
      </c>
      <c r="C1133" s="101">
        <v>10</v>
      </c>
      <c r="D1133" s="12" t="s">
        <v>59</v>
      </c>
      <c r="E1133" s="101">
        <v>4310675841</v>
      </c>
      <c r="F1133" s="101">
        <v>1238824698</v>
      </c>
      <c r="G1133" s="101">
        <v>111</v>
      </c>
      <c r="H1133" s="101">
        <v>31</v>
      </c>
      <c r="I1133" s="101">
        <v>142</v>
      </c>
      <c r="J1133" s="101">
        <v>352</v>
      </c>
      <c r="K1133" s="101">
        <v>494</v>
      </c>
      <c r="L1133" s="101">
        <v>-42</v>
      </c>
      <c r="M1133" s="101">
        <v>8</v>
      </c>
      <c r="N1133" s="101">
        <v>786</v>
      </c>
      <c r="O1133" s="101">
        <v>57</v>
      </c>
      <c r="P1133" s="101">
        <v>1337</v>
      </c>
      <c r="Q1133" s="101">
        <v>22818</v>
      </c>
      <c r="R1133" s="12" t="s">
        <v>25</v>
      </c>
      <c r="S1133" s="12" t="s">
        <v>25</v>
      </c>
      <c r="T1133" s="12" t="s">
        <v>25</v>
      </c>
    </row>
    <row r="1134" spans="1:20" x14ac:dyDescent="0.3">
      <c r="A1134" s="13">
        <v>43938.708333333336</v>
      </c>
      <c r="B1134" s="12" t="s">
        <v>22</v>
      </c>
      <c r="C1134" s="101">
        <v>2</v>
      </c>
      <c r="D1134" s="12" t="s">
        <v>60</v>
      </c>
      <c r="E1134" s="101">
        <v>4573750286</v>
      </c>
      <c r="F1134" s="101">
        <v>7320149366</v>
      </c>
      <c r="G1134" s="101">
        <v>108</v>
      </c>
      <c r="H1134" s="101">
        <v>9</v>
      </c>
      <c r="I1134" s="101">
        <v>117</v>
      </c>
      <c r="J1134" s="101">
        <v>374</v>
      </c>
      <c r="K1134" s="101">
        <v>491</v>
      </c>
      <c r="L1134" s="101">
        <v>-27</v>
      </c>
      <c r="M1134" s="101">
        <v>22</v>
      </c>
      <c r="N1134" s="101">
        <v>379</v>
      </c>
      <c r="O1134" s="101">
        <v>123</v>
      </c>
      <c r="P1134" s="101">
        <v>993</v>
      </c>
      <c r="Q1134" s="101">
        <v>4366</v>
      </c>
      <c r="R1134" s="12" t="s">
        <v>25</v>
      </c>
      <c r="S1134" s="12" t="s">
        <v>25</v>
      </c>
      <c r="T1134" s="12" t="s">
        <v>25</v>
      </c>
    </row>
    <row r="1135" spans="1:20" x14ac:dyDescent="0.3">
      <c r="A1135" s="13">
        <v>43938.708333333336</v>
      </c>
      <c r="B1135" s="12" t="s">
        <v>22</v>
      </c>
      <c r="C1135" s="101">
        <v>5</v>
      </c>
      <c r="D1135" s="12" t="s">
        <v>61</v>
      </c>
      <c r="E1135" s="101">
        <v>4543490485</v>
      </c>
      <c r="F1135" s="101">
        <v>1233845213</v>
      </c>
      <c r="G1135" s="101">
        <v>1359</v>
      </c>
      <c r="H1135" s="101">
        <v>197</v>
      </c>
      <c r="I1135" s="101">
        <v>1556</v>
      </c>
      <c r="J1135" s="101">
        <v>9062</v>
      </c>
      <c r="K1135" s="101">
        <v>10618</v>
      </c>
      <c r="L1135" s="101">
        <v>-182</v>
      </c>
      <c r="M1135" s="101">
        <v>384</v>
      </c>
      <c r="N1135" s="101">
        <v>3730</v>
      </c>
      <c r="O1135" s="101">
        <v>1026</v>
      </c>
      <c r="P1135" s="101">
        <v>15374</v>
      </c>
      <c r="Q1135" s="101">
        <v>236722</v>
      </c>
      <c r="R1135" s="12" t="s">
        <v>25</v>
      </c>
      <c r="S1135" s="12" t="s">
        <v>25</v>
      </c>
      <c r="T1135" s="12" t="s">
        <v>25</v>
      </c>
    </row>
    <row r="1136" spans="1:20" x14ac:dyDescent="0.3">
      <c r="A1136" s="13">
        <v>43939.708333333336</v>
      </c>
      <c r="B1136" s="12" t="s">
        <v>22</v>
      </c>
      <c r="C1136" s="101">
        <v>13</v>
      </c>
      <c r="D1136" s="12" t="s">
        <v>42</v>
      </c>
      <c r="E1136" s="101">
        <v>4235122196</v>
      </c>
      <c r="F1136" s="101">
        <v>1339843823</v>
      </c>
      <c r="G1136" s="101">
        <v>321</v>
      </c>
      <c r="H1136" s="101">
        <v>41</v>
      </c>
      <c r="I1136" s="101">
        <v>362</v>
      </c>
      <c r="J1136" s="101">
        <v>1609</v>
      </c>
      <c r="K1136" s="101">
        <v>1971</v>
      </c>
      <c r="L1136" s="101">
        <v>29</v>
      </c>
      <c r="M1136" s="101">
        <v>44</v>
      </c>
      <c r="N1136" s="101">
        <v>263</v>
      </c>
      <c r="O1136" s="101">
        <v>253</v>
      </c>
      <c r="P1136" s="101">
        <v>2487</v>
      </c>
      <c r="Q1136" s="101">
        <v>27016</v>
      </c>
      <c r="R1136" s="12" t="s">
        <v>25</v>
      </c>
      <c r="S1136" s="12" t="s">
        <v>25</v>
      </c>
      <c r="T1136" s="12" t="s">
        <v>25</v>
      </c>
    </row>
    <row r="1137" spans="1:20" x14ac:dyDescent="0.3">
      <c r="A1137" s="13">
        <v>43939.708333333336</v>
      </c>
      <c r="B1137" s="12" t="s">
        <v>22</v>
      </c>
      <c r="C1137" s="101">
        <v>17</v>
      </c>
      <c r="D1137" s="12" t="s">
        <v>43</v>
      </c>
      <c r="E1137" s="101">
        <v>4063947052</v>
      </c>
      <c r="F1137" s="101">
        <v>1580514834</v>
      </c>
      <c r="G1137" s="101">
        <v>60</v>
      </c>
      <c r="H1137" s="101">
        <v>8</v>
      </c>
      <c r="I1137" s="101">
        <v>68</v>
      </c>
      <c r="J1137" s="101">
        <v>194</v>
      </c>
      <c r="K1137" s="101">
        <v>262</v>
      </c>
      <c r="L1137" s="101">
        <v>-4</v>
      </c>
      <c r="M1137" s="101">
        <v>2</v>
      </c>
      <c r="N1137" s="101">
        <v>54</v>
      </c>
      <c r="O1137" s="101">
        <v>23</v>
      </c>
      <c r="P1137" s="101">
        <v>339</v>
      </c>
      <c r="Q1137" s="101">
        <v>6056</v>
      </c>
      <c r="R1137" s="12" t="s">
        <v>25</v>
      </c>
      <c r="S1137" s="12" t="s">
        <v>25</v>
      </c>
      <c r="T1137" s="12" t="s">
        <v>25</v>
      </c>
    </row>
    <row r="1138" spans="1:20" x14ac:dyDescent="0.3">
      <c r="A1138" s="13">
        <v>43939.708333333336</v>
      </c>
      <c r="B1138" s="12" t="s">
        <v>22</v>
      </c>
      <c r="C1138" s="101">
        <v>4</v>
      </c>
      <c r="D1138" s="12" t="s">
        <v>44</v>
      </c>
      <c r="E1138" s="101">
        <v>4649933453</v>
      </c>
      <c r="F1138" s="101">
        <v>1135662422</v>
      </c>
      <c r="G1138" s="101">
        <v>179</v>
      </c>
      <c r="H1138" s="101">
        <v>28</v>
      </c>
      <c r="I1138" s="101">
        <v>207</v>
      </c>
      <c r="J1138" s="101">
        <v>1349</v>
      </c>
      <c r="K1138" s="101">
        <v>1556</v>
      </c>
      <c r="L1138" s="101">
        <v>-26</v>
      </c>
      <c r="M1138" s="101">
        <v>29</v>
      </c>
      <c r="N1138" s="101">
        <v>530</v>
      </c>
      <c r="O1138" s="101">
        <v>239</v>
      </c>
      <c r="P1138" s="101">
        <v>2325</v>
      </c>
      <c r="Q1138" s="101">
        <v>28888</v>
      </c>
      <c r="R1138" s="12" t="s">
        <v>25</v>
      </c>
      <c r="S1138" s="12" t="s">
        <v>25</v>
      </c>
      <c r="T1138" s="12" t="s">
        <v>25</v>
      </c>
    </row>
    <row r="1139" spans="1:20" x14ac:dyDescent="0.3">
      <c r="A1139" s="13">
        <v>43939.708333333336</v>
      </c>
      <c r="B1139" s="12" t="s">
        <v>22</v>
      </c>
      <c r="C1139" s="101">
        <v>18</v>
      </c>
      <c r="D1139" s="12" t="s">
        <v>45</v>
      </c>
      <c r="E1139" s="101">
        <v>3890597598</v>
      </c>
      <c r="F1139" s="101">
        <v>1659440194</v>
      </c>
      <c r="G1139" s="101">
        <v>152</v>
      </c>
      <c r="H1139" s="101">
        <v>7</v>
      </c>
      <c r="I1139" s="101">
        <v>159</v>
      </c>
      <c r="J1139" s="101">
        <v>673</v>
      </c>
      <c r="K1139" s="101">
        <v>832</v>
      </c>
      <c r="L1139" s="101">
        <v>13</v>
      </c>
      <c r="M1139" s="101">
        <v>20</v>
      </c>
      <c r="N1139" s="101">
        <v>106</v>
      </c>
      <c r="O1139" s="101">
        <v>73</v>
      </c>
      <c r="P1139" s="101">
        <v>1011</v>
      </c>
      <c r="Q1139" s="101">
        <v>22794</v>
      </c>
      <c r="R1139" s="12" t="s">
        <v>25</v>
      </c>
      <c r="S1139" s="12" t="s">
        <v>25</v>
      </c>
      <c r="T1139" s="12" t="s">
        <v>25</v>
      </c>
    </row>
    <row r="1140" spans="1:20" x14ac:dyDescent="0.3">
      <c r="A1140" s="13">
        <v>43939.708333333336</v>
      </c>
      <c r="B1140" s="12" t="s">
        <v>22</v>
      </c>
      <c r="C1140" s="101">
        <v>15</v>
      </c>
      <c r="D1140" s="12" t="s">
        <v>46</v>
      </c>
      <c r="E1140" s="101">
        <v>4083956555</v>
      </c>
      <c r="F1140" s="101">
        <v>1425084984</v>
      </c>
      <c r="G1140" s="101">
        <v>605</v>
      </c>
      <c r="H1140" s="101">
        <v>76</v>
      </c>
      <c r="I1140" s="101">
        <v>681</v>
      </c>
      <c r="J1140" s="101">
        <v>2364</v>
      </c>
      <c r="K1140" s="101">
        <v>3045</v>
      </c>
      <c r="L1140" s="101">
        <v>18</v>
      </c>
      <c r="M1140" s="101">
        <v>37</v>
      </c>
      <c r="N1140" s="101">
        <v>643</v>
      </c>
      <c r="O1140" s="101">
        <v>300</v>
      </c>
      <c r="P1140" s="101">
        <v>3988</v>
      </c>
      <c r="Q1140" s="101">
        <v>46294</v>
      </c>
      <c r="R1140" s="12" t="s">
        <v>25</v>
      </c>
      <c r="S1140" s="12" t="s">
        <v>25</v>
      </c>
      <c r="T1140" s="12" t="s">
        <v>25</v>
      </c>
    </row>
    <row r="1141" spans="1:20" x14ac:dyDescent="0.3">
      <c r="A1141" s="13">
        <v>43939.708333333336</v>
      </c>
      <c r="B1141" s="12" t="s">
        <v>22</v>
      </c>
      <c r="C1141" s="101">
        <v>8</v>
      </c>
      <c r="D1141" s="12" t="s">
        <v>96</v>
      </c>
      <c r="E1141" s="101">
        <v>4449436681</v>
      </c>
      <c r="F1141" s="101">
        <v>113417208</v>
      </c>
      <c r="G1141" s="101">
        <v>3234</v>
      </c>
      <c r="H1141" s="101">
        <v>296</v>
      </c>
      <c r="I1141" s="101">
        <v>3530</v>
      </c>
      <c r="J1141" s="101">
        <v>10054</v>
      </c>
      <c r="K1141" s="101">
        <v>13584</v>
      </c>
      <c r="L1141" s="101">
        <v>-1</v>
      </c>
      <c r="M1141" s="101">
        <v>350</v>
      </c>
      <c r="N1141" s="101">
        <v>5635</v>
      </c>
      <c r="O1141" s="101">
        <v>2965</v>
      </c>
      <c r="P1141" s="101">
        <v>22184</v>
      </c>
      <c r="Q1141" s="101">
        <v>121220</v>
      </c>
      <c r="R1141" s="12" t="s">
        <v>25</v>
      </c>
      <c r="S1141" s="12" t="s">
        <v>25</v>
      </c>
      <c r="T1141" s="12" t="s">
        <v>25</v>
      </c>
    </row>
    <row r="1142" spans="1:20" x14ac:dyDescent="0.3">
      <c r="A1142" s="13">
        <v>43939.708333333336</v>
      </c>
      <c r="B1142" s="12" t="s">
        <v>22</v>
      </c>
      <c r="C1142" s="101">
        <v>6</v>
      </c>
      <c r="D1142" s="12" t="s">
        <v>47</v>
      </c>
      <c r="E1142" s="101">
        <v>456494354</v>
      </c>
      <c r="F1142" s="101">
        <v>1376813649</v>
      </c>
      <c r="G1142" s="101">
        <v>141</v>
      </c>
      <c r="H1142" s="101">
        <v>27</v>
      </c>
      <c r="I1142" s="101">
        <v>168</v>
      </c>
      <c r="J1142" s="101">
        <v>1235</v>
      </c>
      <c r="K1142" s="101">
        <v>1403</v>
      </c>
      <c r="L1142" s="101">
        <v>-25</v>
      </c>
      <c r="M1142" s="101">
        <v>56</v>
      </c>
      <c r="N1142" s="101">
        <v>1106</v>
      </c>
      <c r="O1142" s="101">
        <v>222</v>
      </c>
      <c r="P1142" s="101">
        <v>2731</v>
      </c>
      <c r="Q1142" s="101">
        <v>43293</v>
      </c>
      <c r="R1142" s="12" t="s">
        <v>25</v>
      </c>
      <c r="S1142" s="12" t="s">
        <v>25</v>
      </c>
      <c r="T1142" s="12" t="s">
        <v>25</v>
      </c>
    </row>
    <row r="1143" spans="1:20" x14ac:dyDescent="0.3">
      <c r="A1143" s="13">
        <v>43939.708333333336</v>
      </c>
      <c r="B1143" s="12" t="s">
        <v>22</v>
      </c>
      <c r="C1143" s="101">
        <v>12</v>
      </c>
      <c r="D1143" s="12" t="s">
        <v>48</v>
      </c>
      <c r="E1143" s="101">
        <v>4189277044</v>
      </c>
      <c r="F1143" s="101">
        <v>1248366722</v>
      </c>
      <c r="G1143" s="101">
        <v>1376</v>
      </c>
      <c r="H1143" s="101">
        <v>186</v>
      </c>
      <c r="I1143" s="101">
        <v>1562</v>
      </c>
      <c r="J1143" s="101">
        <v>2720</v>
      </c>
      <c r="K1143" s="101">
        <v>4282</v>
      </c>
      <c r="L1143" s="101">
        <v>68</v>
      </c>
      <c r="M1143" s="101">
        <v>144</v>
      </c>
      <c r="N1143" s="101">
        <v>1046</v>
      </c>
      <c r="O1143" s="101">
        <v>340</v>
      </c>
      <c r="P1143" s="101">
        <v>5668</v>
      </c>
      <c r="Q1143" s="101">
        <v>89553</v>
      </c>
      <c r="R1143" s="12" t="s">
        <v>25</v>
      </c>
      <c r="S1143" s="12" t="s">
        <v>25</v>
      </c>
      <c r="T1143" s="12" t="s">
        <v>25</v>
      </c>
    </row>
    <row r="1144" spans="1:20" x14ac:dyDescent="0.3">
      <c r="A1144" s="13">
        <v>43939.708333333336</v>
      </c>
      <c r="B1144" s="12" t="s">
        <v>22</v>
      </c>
      <c r="C1144" s="101">
        <v>7</v>
      </c>
      <c r="D1144" s="12" t="s">
        <v>49</v>
      </c>
      <c r="E1144" s="101">
        <v>4441149315</v>
      </c>
      <c r="F1144" s="101">
        <v>89326992</v>
      </c>
      <c r="G1144" s="101">
        <v>901</v>
      </c>
      <c r="H1144" s="101">
        <v>105</v>
      </c>
      <c r="I1144" s="101">
        <v>1006</v>
      </c>
      <c r="J1144" s="101">
        <v>2406</v>
      </c>
      <c r="K1144" s="101">
        <v>3412</v>
      </c>
      <c r="L1144" s="101">
        <v>-47</v>
      </c>
      <c r="M1144" s="101">
        <v>113</v>
      </c>
      <c r="N1144" s="101">
        <v>1992</v>
      </c>
      <c r="O1144" s="101">
        <v>897</v>
      </c>
      <c r="P1144" s="101">
        <v>6301</v>
      </c>
      <c r="Q1144" s="101">
        <v>29322</v>
      </c>
      <c r="R1144" s="12" t="s">
        <v>25</v>
      </c>
      <c r="S1144" s="12" t="s">
        <v>25</v>
      </c>
      <c r="T1144" s="12" t="s">
        <v>25</v>
      </c>
    </row>
    <row r="1145" spans="1:20" x14ac:dyDescent="0.3">
      <c r="A1145" s="13">
        <v>43939.708333333336</v>
      </c>
      <c r="B1145" s="12" t="s">
        <v>22</v>
      </c>
      <c r="C1145" s="101">
        <v>3</v>
      </c>
      <c r="D1145" s="12" t="s">
        <v>50</v>
      </c>
      <c r="E1145" s="101">
        <v>4546679409</v>
      </c>
      <c r="F1145" s="101">
        <v>9190347404</v>
      </c>
      <c r="G1145" s="101">
        <v>10042</v>
      </c>
      <c r="H1145" s="101">
        <v>947</v>
      </c>
      <c r="I1145" s="101">
        <v>10989</v>
      </c>
      <c r="J1145" s="101">
        <v>23206</v>
      </c>
      <c r="K1145" s="101">
        <v>34195</v>
      </c>
      <c r="L1145" s="101">
        <v>761</v>
      </c>
      <c r="M1145" s="101">
        <v>1246</v>
      </c>
      <c r="N1145" s="101">
        <v>19136</v>
      </c>
      <c r="O1145" s="101">
        <v>12050</v>
      </c>
      <c r="P1145" s="101">
        <v>65381</v>
      </c>
      <c r="Q1145" s="101">
        <v>255331</v>
      </c>
      <c r="R1145" s="12" t="s">
        <v>25</v>
      </c>
      <c r="S1145" s="12" t="s">
        <v>25</v>
      </c>
      <c r="T1145" s="12" t="s">
        <v>25</v>
      </c>
    </row>
    <row r="1146" spans="1:20" x14ac:dyDescent="0.3">
      <c r="A1146" s="13">
        <v>43939.708333333336</v>
      </c>
      <c r="B1146" s="12" t="s">
        <v>22</v>
      </c>
      <c r="C1146" s="101">
        <v>11</v>
      </c>
      <c r="D1146" s="12" t="s">
        <v>51</v>
      </c>
      <c r="E1146" s="101">
        <v>4361675973</v>
      </c>
      <c r="F1146" s="101">
        <v>135188753</v>
      </c>
      <c r="G1146" s="101">
        <v>804</v>
      </c>
      <c r="H1146" s="101">
        <v>88</v>
      </c>
      <c r="I1146" s="101">
        <v>892</v>
      </c>
      <c r="J1146" s="101">
        <v>2280</v>
      </c>
      <c r="K1146" s="101">
        <v>3172</v>
      </c>
      <c r="L1146" s="101">
        <v>15</v>
      </c>
      <c r="M1146" s="101">
        <v>53</v>
      </c>
      <c r="N1146" s="101">
        <v>1754</v>
      </c>
      <c r="O1146" s="101">
        <v>795</v>
      </c>
      <c r="P1146" s="101">
        <v>5721</v>
      </c>
      <c r="Q1146" s="101">
        <v>39909</v>
      </c>
      <c r="R1146" s="12" t="s">
        <v>25</v>
      </c>
      <c r="S1146" s="12" t="s">
        <v>25</v>
      </c>
      <c r="T1146" s="12" t="s">
        <v>25</v>
      </c>
    </row>
    <row r="1147" spans="1:20" x14ac:dyDescent="0.3">
      <c r="A1147" s="13">
        <v>43939.708333333336</v>
      </c>
      <c r="B1147" s="12" t="s">
        <v>22</v>
      </c>
      <c r="C1147" s="101">
        <v>14</v>
      </c>
      <c r="D1147" s="12" t="s">
        <v>52</v>
      </c>
      <c r="E1147" s="101">
        <v>4155774754</v>
      </c>
      <c r="F1147" s="101">
        <v>1465916051</v>
      </c>
      <c r="G1147" s="101">
        <v>27</v>
      </c>
      <c r="H1147" s="101">
        <v>4</v>
      </c>
      <c r="I1147" s="101">
        <v>31</v>
      </c>
      <c r="J1147" s="101">
        <v>178</v>
      </c>
      <c r="K1147" s="101">
        <v>209</v>
      </c>
      <c r="L1147" s="101">
        <v>1</v>
      </c>
      <c r="M1147" s="101">
        <v>0</v>
      </c>
      <c r="N1147" s="101">
        <v>44</v>
      </c>
      <c r="O1147" s="101">
        <v>16</v>
      </c>
      <c r="P1147" s="101">
        <v>269</v>
      </c>
      <c r="Q1147" s="101">
        <v>3082</v>
      </c>
      <c r="R1147" s="12" t="s">
        <v>25</v>
      </c>
      <c r="S1147" s="12" t="s">
        <v>25</v>
      </c>
      <c r="T1147" s="12" t="s">
        <v>25</v>
      </c>
    </row>
    <row r="1148" spans="1:20" x14ac:dyDescent="0.3">
      <c r="A1148" s="13">
        <v>43939.708333333336</v>
      </c>
      <c r="B1148" s="12" t="s">
        <v>22</v>
      </c>
      <c r="C1148" s="101">
        <v>1</v>
      </c>
      <c r="D1148" s="12" t="s">
        <v>53</v>
      </c>
      <c r="E1148" s="101">
        <v>450732745</v>
      </c>
      <c r="F1148" s="101">
        <v>7680687483</v>
      </c>
      <c r="G1148" s="101">
        <v>3271</v>
      </c>
      <c r="H1148" s="101">
        <v>323</v>
      </c>
      <c r="I1148" s="101">
        <v>3594</v>
      </c>
      <c r="J1148" s="101">
        <v>10629</v>
      </c>
      <c r="K1148" s="101">
        <v>14223</v>
      </c>
      <c r="L1148" s="101">
        <v>225</v>
      </c>
      <c r="M1148" s="101">
        <v>661</v>
      </c>
      <c r="N1148" s="101">
        <v>3989</v>
      </c>
      <c r="O1148" s="101">
        <v>2252</v>
      </c>
      <c r="P1148" s="101">
        <v>20464</v>
      </c>
      <c r="Q1148" s="101">
        <v>91844</v>
      </c>
      <c r="R1148" s="12" t="s">
        <v>25</v>
      </c>
      <c r="S1148" s="12" t="s">
        <v>25</v>
      </c>
      <c r="T1148" s="12" t="s">
        <v>25</v>
      </c>
    </row>
    <row r="1149" spans="1:20" x14ac:dyDescent="0.3">
      <c r="A1149" s="13">
        <v>43939.708333333336</v>
      </c>
      <c r="B1149" s="12" t="s">
        <v>22</v>
      </c>
      <c r="C1149" s="101">
        <v>16</v>
      </c>
      <c r="D1149" s="12" t="s">
        <v>54</v>
      </c>
      <c r="E1149" s="101">
        <v>4112559576</v>
      </c>
      <c r="F1149" s="101">
        <v>1686736689</v>
      </c>
      <c r="G1149" s="101">
        <v>594</v>
      </c>
      <c r="H1149" s="101">
        <v>60</v>
      </c>
      <c r="I1149" s="101">
        <v>654</v>
      </c>
      <c r="J1149" s="101">
        <v>2040</v>
      </c>
      <c r="K1149" s="101">
        <v>2694</v>
      </c>
      <c r="L1149" s="101">
        <v>38</v>
      </c>
      <c r="M1149" s="101">
        <v>82</v>
      </c>
      <c r="N1149" s="101">
        <v>401</v>
      </c>
      <c r="O1149" s="101">
        <v>314</v>
      </c>
      <c r="P1149" s="101">
        <v>3409</v>
      </c>
      <c r="Q1149" s="101">
        <v>40423</v>
      </c>
      <c r="R1149" s="12" t="s">
        <v>25</v>
      </c>
      <c r="S1149" s="12" t="s">
        <v>25</v>
      </c>
      <c r="T1149" s="12" t="s">
        <v>25</v>
      </c>
    </row>
    <row r="1150" spans="1:20" x14ac:dyDescent="0.3">
      <c r="A1150" s="13">
        <v>43939.708333333336</v>
      </c>
      <c r="B1150" s="12" t="s">
        <v>22</v>
      </c>
      <c r="C1150" s="101">
        <v>20</v>
      </c>
      <c r="D1150" s="12" t="s">
        <v>55</v>
      </c>
      <c r="E1150" s="101">
        <v>3921531192</v>
      </c>
      <c r="F1150" s="101">
        <v>9110616306</v>
      </c>
      <c r="G1150" s="101">
        <v>112</v>
      </c>
      <c r="H1150" s="101">
        <v>23</v>
      </c>
      <c r="I1150" s="101">
        <v>135</v>
      </c>
      <c r="J1150" s="101">
        <v>746</v>
      </c>
      <c r="K1150" s="101">
        <v>881</v>
      </c>
      <c r="L1150" s="101">
        <v>9</v>
      </c>
      <c r="M1150" s="101">
        <v>20</v>
      </c>
      <c r="N1150" s="101">
        <v>231</v>
      </c>
      <c r="O1150" s="101">
        <v>86</v>
      </c>
      <c r="P1150" s="101">
        <v>1198</v>
      </c>
      <c r="Q1150" s="101">
        <v>14087</v>
      </c>
      <c r="R1150" s="12" t="s">
        <v>25</v>
      </c>
      <c r="S1150" s="12" t="s">
        <v>25</v>
      </c>
      <c r="T1150" s="12" t="s">
        <v>25</v>
      </c>
    </row>
    <row r="1151" spans="1:20" x14ac:dyDescent="0.3">
      <c r="A1151" s="13">
        <v>43939.708333333336</v>
      </c>
      <c r="B1151" s="12" t="s">
        <v>22</v>
      </c>
      <c r="C1151" s="101">
        <v>19</v>
      </c>
      <c r="D1151" s="12" t="s">
        <v>56</v>
      </c>
      <c r="E1151" s="101">
        <v>3811569725</v>
      </c>
      <c r="F1151" s="101">
        <v>133623567</v>
      </c>
      <c r="G1151" s="101">
        <v>526</v>
      </c>
      <c r="H1151" s="101">
        <v>42</v>
      </c>
      <c r="I1151" s="101">
        <v>568</v>
      </c>
      <c r="J1151" s="101">
        <v>1603</v>
      </c>
      <c r="K1151" s="101">
        <v>2171</v>
      </c>
      <c r="L1151" s="101">
        <v>32</v>
      </c>
      <c r="M1151" s="101">
        <v>47</v>
      </c>
      <c r="N1151" s="101">
        <v>305</v>
      </c>
      <c r="O1151" s="101">
        <v>196</v>
      </c>
      <c r="P1151" s="101">
        <v>2672</v>
      </c>
      <c r="Q1151" s="101">
        <v>47715</v>
      </c>
      <c r="R1151" s="12" t="s">
        <v>25</v>
      </c>
      <c r="S1151" s="12" t="s">
        <v>25</v>
      </c>
      <c r="T1151" s="12" t="s">
        <v>25</v>
      </c>
    </row>
    <row r="1152" spans="1:20" x14ac:dyDescent="0.3">
      <c r="A1152" s="13">
        <v>43939.708333333336</v>
      </c>
      <c r="B1152" s="12" t="s">
        <v>22</v>
      </c>
      <c r="C1152" s="101">
        <v>9</v>
      </c>
      <c r="D1152" s="12" t="s">
        <v>57</v>
      </c>
      <c r="E1152" s="101">
        <v>4376923077</v>
      </c>
      <c r="F1152" s="101">
        <v>1125588885</v>
      </c>
      <c r="G1152" s="101">
        <v>883</v>
      </c>
      <c r="H1152" s="101">
        <v>198</v>
      </c>
      <c r="I1152" s="101">
        <v>1081</v>
      </c>
      <c r="J1152" s="101">
        <v>5389</v>
      </c>
      <c r="K1152" s="101">
        <v>6470</v>
      </c>
      <c r="L1152" s="101">
        <v>-113</v>
      </c>
      <c r="M1152" s="101">
        <v>127</v>
      </c>
      <c r="N1152" s="101">
        <v>1149</v>
      </c>
      <c r="O1152" s="101">
        <v>618</v>
      </c>
      <c r="P1152" s="101">
        <v>8237</v>
      </c>
      <c r="Q1152" s="101">
        <v>99903</v>
      </c>
      <c r="R1152" s="12" t="s">
        <v>25</v>
      </c>
      <c r="S1152" s="12" t="s">
        <v>25</v>
      </c>
      <c r="T1152" s="12" t="s">
        <v>25</v>
      </c>
    </row>
    <row r="1153" spans="1:20" x14ac:dyDescent="0.3">
      <c r="A1153" s="13">
        <v>43939.708333333336</v>
      </c>
      <c r="B1153" s="12" t="s">
        <v>22</v>
      </c>
      <c r="C1153" s="101">
        <v>4</v>
      </c>
      <c r="D1153" s="12" t="s">
        <v>58</v>
      </c>
      <c r="E1153" s="101">
        <v>4606893511</v>
      </c>
      <c r="F1153" s="101">
        <v>1112123097</v>
      </c>
      <c r="G1153" s="101">
        <v>276</v>
      </c>
      <c r="H1153" s="101">
        <v>42</v>
      </c>
      <c r="I1153" s="101">
        <v>318</v>
      </c>
      <c r="J1153" s="101">
        <v>1667</v>
      </c>
      <c r="K1153" s="101">
        <v>1985</v>
      </c>
      <c r="L1153" s="101">
        <v>-5</v>
      </c>
      <c r="M1153" s="101">
        <v>55</v>
      </c>
      <c r="N1153" s="101">
        <v>1098</v>
      </c>
      <c r="O1153" s="101">
        <v>348</v>
      </c>
      <c r="P1153" s="101">
        <v>3431</v>
      </c>
      <c r="Q1153" s="101">
        <v>23147</v>
      </c>
      <c r="R1153" s="12" t="s">
        <v>25</v>
      </c>
      <c r="S1153" s="12" t="s">
        <v>25</v>
      </c>
      <c r="T1153" s="12" t="s">
        <v>25</v>
      </c>
    </row>
    <row r="1154" spans="1:20" x14ac:dyDescent="0.3">
      <c r="A1154" s="13">
        <v>43939.708333333336</v>
      </c>
      <c r="B1154" s="12" t="s">
        <v>22</v>
      </c>
      <c r="C1154" s="101">
        <v>10</v>
      </c>
      <c r="D1154" s="12" t="s">
        <v>59</v>
      </c>
      <c r="E1154" s="101">
        <v>4310675841</v>
      </c>
      <c r="F1154" s="101">
        <v>1238824698</v>
      </c>
      <c r="G1154" s="101">
        <v>109</v>
      </c>
      <c r="H1154" s="101">
        <v>32</v>
      </c>
      <c r="I1154" s="101">
        <v>141</v>
      </c>
      <c r="J1154" s="101">
        <v>290</v>
      </c>
      <c r="K1154" s="101">
        <v>431</v>
      </c>
      <c r="L1154" s="101">
        <v>-63</v>
      </c>
      <c r="M1154" s="101">
        <v>7</v>
      </c>
      <c r="N1154" s="101">
        <v>856</v>
      </c>
      <c r="O1154" s="101">
        <v>57</v>
      </c>
      <c r="P1154" s="101">
        <v>1344</v>
      </c>
      <c r="Q1154" s="101">
        <v>24106</v>
      </c>
      <c r="R1154" s="12" t="s">
        <v>25</v>
      </c>
      <c r="S1154" s="12" t="s">
        <v>25</v>
      </c>
      <c r="T1154" s="12" t="s">
        <v>25</v>
      </c>
    </row>
    <row r="1155" spans="1:20" x14ac:dyDescent="0.3">
      <c r="A1155" s="13">
        <v>43939.708333333336</v>
      </c>
      <c r="B1155" s="12" t="s">
        <v>22</v>
      </c>
      <c r="C1155" s="101">
        <v>2</v>
      </c>
      <c r="D1155" s="12" t="s">
        <v>60</v>
      </c>
      <c r="E1155" s="101">
        <v>4573750286</v>
      </c>
      <c r="F1155" s="101">
        <v>7320149366</v>
      </c>
      <c r="G1155" s="101">
        <v>107</v>
      </c>
      <c r="H1155" s="101">
        <v>10</v>
      </c>
      <c r="I1155" s="101">
        <v>117</v>
      </c>
      <c r="J1155" s="101">
        <v>432</v>
      </c>
      <c r="K1155" s="101">
        <v>549</v>
      </c>
      <c r="L1155" s="101">
        <v>58</v>
      </c>
      <c r="M1155" s="101">
        <v>80</v>
      </c>
      <c r="N1155" s="101">
        <v>400</v>
      </c>
      <c r="O1155" s="101">
        <v>124</v>
      </c>
      <c r="P1155" s="101">
        <v>1073</v>
      </c>
      <c r="Q1155" s="101">
        <v>4521</v>
      </c>
      <c r="R1155" s="12" t="s">
        <v>25</v>
      </c>
      <c r="S1155" s="12" t="s">
        <v>25</v>
      </c>
      <c r="T1155" s="12" t="s">
        <v>25</v>
      </c>
    </row>
    <row r="1156" spans="1:20" x14ac:dyDescent="0.3">
      <c r="A1156" s="13">
        <v>43939.708333333336</v>
      </c>
      <c r="B1156" s="12" t="s">
        <v>22</v>
      </c>
      <c r="C1156" s="101">
        <v>5</v>
      </c>
      <c r="D1156" s="12" t="s">
        <v>61</v>
      </c>
      <c r="E1156" s="101">
        <v>4543490485</v>
      </c>
      <c r="F1156" s="101">
        <v>1233845213</v>
      </c>
      <c r="G1156" s="101">
        <v>1287</v>
      </c>
      <c r="H1156" s="101">
        <v>190</v>
      </c>
      <c r="I1156" s="101">
        <v>1477</v>
      </c>
      <c r="J1156" s="101">
        <v>8967</v>
      </c>
      <c r="K1156" s="101">
        <v>10444</v>
      </c>
      <c r="L1156" s="101">
        <v>-174</v>
      </c>
      <c r="M1156" s="101">
        <v>318</v>
      </c>
      <c r="N1156" s="101">
        <v>4189</v>
      </c>
      <c r="O1156" s="101">
        <v>1059</v>
      </c>
      <c r="P1156" s="101">
        <v>15692</v>
      </c>
      <c r="Q1156" s="101">
        <v>247329</v>
      </c>
      <c r="R1156" s="12" t="s">
        <v>25</v>
      </c>
      <c r="S1156" s="12" t="s">
        <v>25</v>
      </c>
      <c r="T1156" s="12" t="s">
        <v>25</v>
      </c>
    </row>
    <row r="1157" spans="1:20" x14ac:dyDescent="0.3">
      <c r="A1157" s="13">
        <v>43940.708333333336</v>
      </c>
      <c r="B1157" s="12" t="s">
        <v>22</v>
      </c>
      <c r="C1157" s="101">
        <v>13</v>
      </c>
      <c r="D1157" s="12" t="s">
        <v>42</v>
      </c>
      <c r="E1157" s="101">
        <v>4235122196</v>
      </c>
      <c r="F1157" s="101">
        <v>1339843823</v>
      </c>
      <c r="G1157" s="101">
        <v>317</v>
      </c>
      <c r="H1157" s="101">
        <v>40</v>
      </c>
      <c r="I1157" s="101">
        <v>357</v>
      </c>
      <c r="J1157" s="101">
        <v>1630</v>
      </c>
      <c r="K1157" s="101">
        <v>1987</v>
      </c>
      <c r="L1157" s="101">
        <v>16</v>
      </c>
      <c r="M1157" s="101">
        <v>34</v>
      </c>
      <c r="N1157" s="101">
        <v>276</v>
      </c>
      <c r="O1157" s="101">
        <v>258</v>
      </c>
      <c r="P1157" s="101">
        <v>2521</v>
      </c>
      <c r="Q1157" s="101">
        <v>27791</v>
      </c>
      <c r="R1157" s="12" t="s">
        <v>200</v>
      </c>
      <c r="S1157" s="12" t="s">
        <v>25</v>
      </c>
      <c r="T1157" s="12" t="s">
        <v>25</v>
      </c>
    </row>
    <row r="1158" spans="1:20" x14ac:dyDescent="0.3">
      <c r="A1158" s="13">
        <v>43940.708333333336</v>
      </c>
      <c r="B1158" s="12" t="s">
        <v>22</v>
      </c>
      <c r="C1158" s="101">
        <v>17</v>
      </c>
      <c r="D1158" s="12" t="s">
        <v>43</v>
      </c>
      <c r="E1158" s="101">
        <v>4063947052</v>
      </c>
      <c r="F1158" s="101">
        <v>1580514834</v>
      </c>
      <c r="G1158" s="101">
        <v>59</v>
      </c>
      <c r="H1158" s="101">
        <v>8</v>
      </c>
      <c r="I1158" s="101">
        <v>67</v>
      </c>
      <c r="J1158" s="101">
        <v>180</v>
      </c>
      <c r="K1158" s="101">
        <v>247</v>
      </c>
      <c r="L1158" s="101">
        <v>-15</v>
      </c>
      <c r="M1158" s="101">
        <v>3</v>
      </c>
      <c r="N1158" s="101">
        <v>71</v>
      </c>
      <c r="O1158" s="101">
        <v>24</v>
      </c>
      <c r="P1158" s="101">
        <v>342</v>
      </c>
      <c r="Q1158" s="101">
        <v>6528</v>
      </c>
      <c r="R1158" s="12" t="s">
        <v>201</v>
      </c>
      <c r="S1158" s="12" t="s">
        <v>25</v>
      </c>
      <c r="T1158" s="12" t="s">
        <v>25</v>
      </c>
    </row>
    <row r="1159" spans="1:20" x14ac:dyDescent="0.3">
      <c r="A1159" s="13">
        <v>43940.708333333336</v>
      </c>
      <c r="B1159" s="12" t="s">
        <v>22</v>
      </c>
      <c r="C1159" s="101">
        <v>4</v>
      </c>
      <c r="D1159" s="12" t="s">
        <v>44</v>
      </c>
      <c r="E1159" s="101">
        <v>4649933453</v>
      </c>
      <c r="F1159" s="101">
        <v>1135662422</v>
      </c>
      <c r="G1159" s="101">
        <v>162</v>
      </c>
      <c r="H1159" s="101">
        <v>23</v>
      </c>
      <c r="I1159" s="101">
        <v>185</v>
      </c>
      <c r="J1159" s="101">
        <v>1381</v>
      </c>
      <c r="K1159" s="101">
        <v>1566</v>
      </c>
      <c r="L1159" s="101">
        <v>10</v>
      </c>
      <c r="M1159" s="101">
        <v>55</v>
      </c>
      <c r="N1159" s="101">
        <v>569</v>
      </c>
      <c r="O1159" s="101">
        <v>245</v>
      </c>
      <c r="P1159" s="101">
        <v>2380</v>
      </c>
      <c r="Q1159" s="101">
        <v>30361</v>
      </c>
      <c r="R1159" s="12" t="s">
        <v>202</v>
      </c>
      <c r="S1159" s="12" t="s">
        <v>25</v>
      </c>
      <c r="T1159" s="12" t="s">
        <v>25</v>
      </c>
    </row>
    <row r="1160" spans="1:20" x14ac:dyDescent="0.3">
      <c r="A1160" s="13">
        <v>43940.708333333336</v>
      </c>
      <c r="B1160" s="12" t="s">
        <v>22</v>
      </c>
      <c r="C1160" s="101">
        <v>18</v>
      </c>
      <c r="D1160" s="12" t="s">
        <v>45</v>
      </c>
      <c r="E1160" s="101">
        <v>3890597598</v>
      </c>
      <c r="F1160" s="101">
        <v>1659440194</v>
      </c>
      <c r="G1160" s="101">
        <v>142</v>
      </c>
      <c r="H1160" s="101">
        <v>6</v>
      </c>
      <c r="I1160" s="101">
        <v>148</v>
      </c>
      <c r="J1160" s="101">
        <v>696</v>
      </c>
      <c r="K1160" s="101">
        <v>844</v>
      </c>
      <c r="L1160" s="101">
        <v>12</v>
      </c>
      <c r="M1160" s="101">
        <v>24</v>
      </c>
      <c r="N1160" s="101">
        <v>116</v>
      </c>
      <c r="O1160" s="101">
        <v>75</v>
      </c>
      <c r="P1160" s="101">
        <v>1035</v>
      </c>
      <c r="Q1160" s="101">
        <v>23760</v>
      </c>
      <c r="R1160" s="12" t="s">
        <v>203</v>
      </c>
      <c r="S1160" s="12" t="s">
        <v>25</v>
      </c>
      <c r="T1160" s="12" t="s">
        <v>25</v>
      </c>
    </row>
    <row r="1161" spans="1:20" x14ac:dyDescent="0.3">
      <c r="A1161" s="13">
        <v>43940.708333333336</v>
      </c>
      <c r="B1161" s="12" t="s">
        <v>22</v>
      </c>
      <c r="C1161" s="101">
        <v>15</v>
      </c>
      <c r="D1161" s="12" t="s">
        <v>46</v>
      </c>
      <c r="E1161" s="101">
        <v>4083956555</v>
      </c>
      <c r="F1161" s="101">
        <v>1425084984</v>
      </c>
      <c r="G1161" s="101">
        <v>590</v>
      </c>
      <c r="H1161" s="101">
        <v>61</v>
      </c>
      <c r="I1161" s="101">
        <v>651</v>
      </c>
      <c r="J1161" s="101">
        <v>2371</v>
      </c>
      <c r="K1161" s="101">
        <v>3022</v>
      </c>
      <c r="L1161" s="101">
        <v>-23</v>
      </c>
      <c r="M1161" s="101">
        <v>41</v>
      </c>
      <c r="N1161" s="101">
        <v>703</v>
      </c>
      <c r="O1161" s="101">
        <v>304</v>
      </c>
      <c r="P1161" s="101">
        <v>4029</v>
      </c>
      <c r="Q1161" s="101">
        <v>48187</v>
      </c>
      <c r="R1161" s="12" t="s">
        <v>204</v>
      </c>
      <c r="S1161" s="12" t="s">
        <v>25</v>
      </c>
      <c r="T1161" s="12" t="s">
        <v>25</v>
      </c>
    </row>
    <row r="1162" spans="1:20" x14ac:dyDescent="0.3">
      <c r="A1162" s="13">
        <v>43940.708333333336</v>
      </c>
      <c r="B1162" s="12" t="s">
        <v>22</v>
      </c>
      <c r="C1162" s="101">
        <v>8</v>
      </c>
      <c r="D1162" s="12" t="s">
        <v>96</v>
      </c>
      <c r="E1162" s="101">
        <v>4449436681</v>
      </c>
      <c r="F1162" s="101">
        <v>113417208</v>
      </c>
      <c r="G1162" s="101">
        <v>3166</v>
      </c>
      <c r="H1162" s="101">
        <v>289</v>
      </c>
      <c r="I1162" s="101">
        <v>3455</v>
      </c>
      <c r="J1162" s="101">
        <v>10097</v>
      </c>
      <c r="K1162" s="101">
        <v>13552</v>
      </c>
      <c r="L1162" s="101">
        <v>-32</v>
      </c>
      <c r="M1162" s="101">
        <v>376</v>
      </c>
      <c r="N1162" s="101">
        <v>5985</v>
      </c>
      <c r="O1162" s="101">
        <v>3023</v>
      </c>
      <c r="P1162" s="101">
        <v>22560</v>
      </c>
      <c r="Q1162" s="101">
        <v>124916</v>
      </c>
      <c r="R1162" s="12" t="s">
        <v>205</v>
      </c>
      <c r="S1162" s="12" t="s">
        <v>25</v>
      </c>
      <c r="T1162" s="12" t="s">
        <v>25</v>
      </c>
    </row>
    <row r="1163" spans="1:20" x14ac:dyDescent="0.3">
      <c r="A1163" s="13">
        <v>43940.708333333336</v>
      </c>
      <c r="B1163" s="12" t="s">
        <v>22</v>
      </c>
      <c r="C1163" s="101">
        <v>6</v>
      </c>
      <c r="D1163" s="12" t="s">
        <v>47</v>
      </c>
      <c r="E1163" s="101">
        <v>456494354</v>
      </c>
      <c r="F1163" s="101">
        <v>1376813649</v>
      </c>
      <c r="G1163" s="101">
        <v>140</v>
      </c>
      <c r="H1163" s="101">
        <v>25</v>
      </c>
      <c r="I1163" s="101">
        <v>165</v>
      </c>
      <c r="J1163" s="101">
        <v>1172</v>
      </c>
      <c r="K1163" s="101">
        <v>1337</v>
      </c>
      <c r="L1163" s="101">
        <v>-66</v>
      </c>
      <c r="M1163" s="101">
        <v>14</v>
      </c>
      <c r="N1163" s="101">
        <v>1183</v>
      </c>
      <c r="O1163" s="101">
        <v>225</v>
      </c>
      <c r="P1163" s="101">
        <v>2745</v>
      </c>
      <c r="Q1163" s="101">
        <v>44622</v>
      </c>
      <c r="R1163" s="12" t="s">
        <v>206</v>
      </c>
      <c r="S1163" s="12" t="s">
        <v>25</v>
      </c>
      <c r="T1163" s="12" t="s">
        <v>25</v>
      </c>
    </row>
    <row r="1164" spans="1:20" x14ac:dyDescent="0.3">
      <c r="A1164" s="13">
        <v>43940.708333333336</v>
      </c>
      <c r="B1164" s="12" t="s">
        <v>22</v>
      </c>
      <c r="C1164" s="101">
        <v>12</v>
      </c>
      <c r="D1164" s="12" t="s">
        <v>48</v>
      </c>
      <c r="E1164" s="101">
        <v>4189277044</v>
      </c>
      <c r="F1164" s="101">
        <v>1248366722</v>
      </c>
      <c r="G1164" s="101">
        <v>1370</v>
      </c>
      <c r="H1164" s="101">
        <v>185</v>
      </c>
      <c r="I1164" s="101">
        <v>1555</v>
      </c>
      <c r="J1164" s="101">
        <v>2766</v>
      </c>
      <c r="K1164" s="101">
        <v>4321</v>
      </c>
      <c r="L1164" s="101">
        <v>39</v>
      </c>
      <c r="M1164" s="101">
        <v>87</v>
      </c>
      <c r="N1164" s="101">
        <v>1093</v>
      </c>
      <c r="O1164" s="101">
        <v>341</v>
      </c>
      <c r="P1164" s="101">
        <v>5755</v>
      </c>
      <c r="Q1164" s="101">
        <v>91807</v>
      </c>
      <c r="R1164" s="12" t="s">
        <v>207</v>
      </c>
      <c r="S1164" s="12" t="s">
        <v>25</v>
      </c>
      <c r="T1164" s="12" t="s">
        <v>25</v>
      </c>
    </row>
    <row r="1165" spans="1:20" x14ac:dyDescent="0.3">
      <c r="A1165" s="13">
        <v>43940.708333333336</v>
      </c>
      <c r="B1165" s="12" t="s">
        <v>22</v>
      </c>
      <c r="C1165" s="101">
        <v>7</v>
      </c>
      <c r="D1165" s="12" t="s">
        <v>49</v>
      </c>
      <c r="E1165" s="101">
        <v>4441149315</v>
      </c>
      <c r="F1165" s="101">
        <v>89326992</v>
      </c>
      <c r="G1165" s="101">
        <v>885</v>
      </c>
      <c r="H1165" s="101">
        <v>101</v>
      </c>
      <c r="I1165" s="101">
        <v>986</v>
      </c>
      <c r="J1165" s="101">
        <v>2504</v>
      </c>
      <c r="K1165" s="101">
        <v>3490</v>
      </c>
      <c r="L1165" s="101">
        <v>78</v>
      </c>
      <c r="M1165" s="101">
        <v>227</v>
      </c>
      <c r="N1165" s="101">
        <v>2110</v>
      </c>
      <c r="O1165" s="101">
        <v>928</v>
      </c>
      <c r="P1165" s="101">
        <v>6528</v>
      </c>
      <c r="Q1165" s="101">
        <v>31551</v>
      </c>
      <c r="R1165" s="12" t="s">
        <v>208</v>
      </c>
      <c r="S1165" s="12" t="s">
        <v>25</v>
      </c>
      <c r="T1165" s="12" t="s">
        <v>25</v>
      </c>
    </row>
    <row r="1166" spans="1:20" x14ac:dyDescent="0.3">
      <c r="A1166" s="13">
        <v>43940.708333333336</v>
      </c>
      <c r="B1166" s="12" t="s">
        <v>22</v>
      </c>
      <c r="C1166" s="101">
        <v>3</v>
      </c>
      <c r="D1166" s="12" t="s">
        <v>50</v>
      </c>
      <c r="E1166" s="101">
        <v>4546679409</v>
      </c>
      <c r="F1166" s="101">
        <v>9190347404</v>
      </c>
      <c r="G1166" s="101">
        <v>10342</v>
      </c>
      <c r="H1166" s="101">
        <v>922</v>
      </c>
      <c r="I1166" s="101">
        <v>11264</v>
      </c>
      <c r="J1166" s="101">
        <v>23233</v>
      </c>
      <c r="K1166" s="101">
        <v>34497</v>
      </c>
      <c r="L1166" s="101">
        <v>302</v>
      </c>
      <c r="M1166" s="101">
        <v>855</v>
      </c>
      <c r="N1166" s="101">
        <v>19526</v>
      </c>
      <c r="O1166" s="101">
        <v>12213</v>
      </c>
      <c r="P1166" s="101">
        <v>66236</v>
      </c>
      <c r="Q1166" s="101">
        <v>264155</v>
      </c>
      <c r="R1166" s="12" t="s">
        <v>209</v>
      </c>
      <c r="S1166" s="12" t="s">
        <v>25</v>
      </c>
      <c r="T1166" s="12" t="s">
        <v>25</v>
      </c>
    </row>
    <row r="1167" spans="1:20" x14ac:dyDescent="0.3">
      <c r="A1167" s="13">
        <v>43940.708333333336</v>
      </c>
      <c r="B1167" s="12" t="s">
        <v>22</v>
      </c>
      <c r="C1167" s="101">
        <v>11</v>
      </c>
      <c r="D1167" s="12" t="s">
        <v>51</v>
      </c>
      <c r="E1167" s="101">
        <v>4361675973</v>
      </c>
      <c r="F1167" s="101">
        <v>135188753</v>
      </c>
      <c r="G1167" s="101">
        <v>799</v>
      </c>
      <c r="H1167" s="101">
        <v>86</v>
      </c>
      <c r="I1167" s="101">
        <v>885</v>
      </c>
      <c r="J1167" s="101">
        <v>2297</v>
      </c>
      <c r="K1167" s="101">
        <v>3182</v>
      </c>
      <c r="L1167" s="101">
        <v>10</v>
      </c>
      <c r="M1167" s="101">
        <v>48</v>
      </c>
      <c r="N1167" s="101">
        <v>1780</v>
      </c>
      <c r="O1167" s="101">
        <v>807</v>
      </c>
      <c r="P1167" s="101">
        <v>5769</v>
      </c>
      <c r="Q1167" s="101">
        <v>41474</v>
      </c>
      <c r="R1167" s="12" t="s">
        <v>210</v>
      </c>
      <c r="S1167" s="12" t="s">
        <v>25</v>
      </c>
      <c r="T1167" s="12" t="s">
        <v>25</v>
      </c>
    </row>
    <row r="1168" spans="1:20" x14ac:dyDescent="0.3">
      <c r="A1168" s="13">
        <v>43940.708333333336</v>
      </c>
      <c r="B1168" s="12" t="s">
        <v>22</v>
      </c>
      <c r="C1168" s="101">
        <v>14</v>
      </c>
      <c r="D1168" s="12" t="s">
        <v>52</v>
      </c>
      <c r="E1168" s="101">
        <v>4155774754</v>
      </c>
      <c r="F1168" s="101">
        <v>1465916051</v>
      </c>
      <c r="G1168" s="101">
        <v>27</v>
      </c>
      <c r="H1168" s="101">
        <v>4</v>
      </c>
      <c r="I1168" s="101">
        <v>31</v>
      </c>
      <c r="J1168" s="101">
        <v>184</v>
      </c>
      <c r="K1168" s="101">
        <v>215</v>
      </c>
      <c r="L1168" s="101">
        <v>6</v>
      </c>
      <c r="M1168" s="101">
        <v>10</v>
      </c>
      <c r="N1168" s="101">
        <v>47</v>
      </c>
      <c r="O1168" s="101">
        <v>17</v>
      </c>
      <c r="P1168" s="101">
        <v>279</v>
      </c>
      <c r="Q1168" s="101">
        <v>3584</v>
      </c>
      <c r="R1168" s="12" t="s">
        <v>211</v>
      </c>
      <c r="S1168" s="12" t="s">
        <v>25</v>
      </c>
      <c r="T1168" s="12" t="s">
        <v>25</v>
      </c>
    </row>
    <row r="1169" spans="1:20" x14ac:dyDescent="0.3">
      <c r="A1169" s="13">
        <v>43940.708333333336</v>
      </c>
      <c r="B1169" s="12" t="s">
        <v>22</v>
      </c>
      <c r="C1169" s="101">
        <v>1</v>
      </c>
      <c r="D1169" s="12" t="s">
        <v>53</v>
      </c>
      <c r="E1169" s="101">
        <v>450732745</v>
      </c>
      <c r="F1169" s="101">
        <v>7680687483</v>
      </c>
      <c r="G1169" s="101">
        <v>3201</v>
      </c>
      <c r="H1169" s="101">
        <v>305</v>
      </c>
      <c r="I1169" s="101">
        <v>3506</v>
      </c>
      <c r="J1169" s="101">
        <v>10964</v>
      </c>
      <c r="K1169" s="101">
        <v>14470</v>
      </c>
      <c r="L1169" s="101">
        <v>247</v>
      </c>
      <c r="M1169" s="101">
        <v>593</v>
      </c>
      <c r="N1169" s="101">
        <v>4256</v>
      </c>
      <c r="O1169" s="101">
        <v>2331</v>
      </c>
      <c r="P1169" s="101">
        <v>21057</v>
      </c>
      <c r="Q1169" s="101">
        <v>96569</v>
      </c>
      <c r="R1169" s="12" t="s">
        <v>212</v>
      </c>
      <c r="S1169" s="12" t="s">
        <v>25</v>
      </c>
      <c r="T1169" s="12" t="s">
        <v>25</v>
      </c>
    </row>
    <row r="1170" spans="1:20" x14ac:dyDescent="0.3">
      <c r="A1170" s="13">
        <v>43940.708333333336</v>
      </c>
      <c r="B1170" s="12" t="s">
        <v>22</v>
      </c>
      <c r="C1170" s="101">
        <v>16</v>
      </c>
      <c r="D1170" s="12" t="s">
        <v>54</v>
      </c>
      <c r="E1170" s="101">
        <v>4112559576</v>
      </c>
      <c r="F1170" s="101">
        <v>1686736689</v>
      </c>
      <c r="G1170" s="101">
        <v>590</v>
      </c>
      <c r="H1170" s="101">
        <v>60</v>
      </c>
      <c r="I1170" s="101">
        <v>650</v>
      </c>
      <c r="J1170" s="101">
        <v>2136</v>
      </c>
      <c r="K1170" s="101">
        <v>2786</v>
      </c>
      <c r="L1170" s="101">
        <v>92</v>
      </c>
      <c r="M1170" s="101">
        <v>120</v>
      </c>
      <c r="N1170" s="101">
        <v>427</v>
      </c>
      <c r="O1170" s="101">
        <v>316</v>
      </c>
      <c r="P1170" s="101">
        <v>3529</v>
      </c>
      <c r="Q1170" s="101">
        <v>42598</v>
      </c>
      <c r="R1170" s="12" t="s">
        <v>213</v>
      </c>
      <c r="S1170" s="12" t="s">
        <v>25</v>
      </c>
      <c r="T1170" s="12" t="s">
        <v>25</v>
      </c>
    </row>
    <row r="1171" spans="1:20" x14ac:dyDescent="0.3">
      <c r="A1171" s="13">
        <v>43940.708333333336</v>
      </c>
      <c r="B1171" s="12" t="s">
        <v>22</v>
      </c>
      <c r="C1171" s="101">
        <v>20</v>
      </c>
      <c r="D1171" s="12" t="s">
        <v>55</v>
      </c>
      <c r="E1171" s="101">
        <v>3921531192</v>
      </c>
      <c r="F1171" s="101">
        <v>9110616306</v>
      </c>
      <c r="G1171" s="101">
        <v>117</v>
      </c>
      <c r="H1171" s="101">
        <v>22</v>
      </c>
      <c r="I1171" s="101">
        <v>139</v>
      </c>
      <c r="J1171" s="101">
        <v>725</v>
      </c>
      <c r="K1171" s="101">
        <v>864</v>
      </c>
      <c r="L1171" s="101">
        <v>-17</v>
      </c>
      <c r="M1171" s="101">
        <v>17</v>
      </c>
      <c r="N1171" s="101">
        <v>265</v>
      </c>
      <c r="O1171" s="101">
        <v>86</v>
      </c>
      <c r="P1171" s="101">
        <v>1215</v>
      </c>
      <c r="Q1171" s="101">
        <v>14859</v>
      </c>
      <c r="R1171" s="12" t="s">
        <v>214</v>
      </c>
      <c r="S1171" s="12" t="s">
        <v>25</v>
      </c>
      <c r="T1171" s="12" t="s">
        <v>25</v>
      </c>
    </row>
    <row r="1172" spans="1:20" x14ac:dyDescent="0.3">
      <c r="A1172" s="13">
        <v>43940.708333333336</v>
      </c>
      <c r="B1172" s="12" t="s">
        <v>22</v>
      </c>
      <c r="C1172" s="101">
        <v>19</v>
      </c>
      <c r="D1172" s="12" t="s">
        <v>56</v>
      </c>
      <c r="E1172" s="101">
        <v>3811569725</v>
      </c>
      <c r="F1172" s="101">
        <v>133623567</v>
      </c>
      <c r="G1172" s="101">
        <v>522</v>
      </c>
      <c r="H1172" s="101">
        <v>41</v>
      </c>
      <c r="I1172" s="101">
        <v>563</v>
      </c>
      <c r="J1172" s="101">
        <v>1639</v>
      </c>
      <c r="K1172" s="101">
        <v>2202</v>
      </c>
      <c r="L1172" s="101">
        <v>31</v>
      </c>
      <c r="M1172" s="101">
        <v>45</v>
      </c>
      <c r="N1172" s="101">
        <v>315</v>
      </c>
      <c r="O1172" s="101">
        <v>200</v>
      </c>
      <c r="P1172" s="101">
        <v>2717</v>
      </c>
      <c r="Q1172" s="101">
        <v>49772</v>
      </c>
      <c r="R1172" s="12" t="s">
        <v>215</v>
      </c>
      <c r="S1172" s="12" t="s">
        <v>25</v>
      </c>
      <c r="T1172" s="12" t="s">
        <v>25</v>
      </c>
    </row>
    <row r="1173" spans="1:20" x14ac:dyDescent="0.3">
      <c r="A1173" s="13">
        <v>43940.708333333336</v>
      </c>
      <c r="B1173" s="12" t="s">
        <v>22</v>
      </c>
      <c r="C1173" s="101">
        <v>9</v>
      </c>
      <c r="D1173" s="12" t="s">
        <v>57</v>
      </c>
      <c r="E1173" s="101">
        <v>4376923077</v>
      </c>
      <c r="F1173" s="101">
        <v>1125588885</v>
      </c>
      <c r="G1173" s="101">
        <v>852</v>
      </c>
      <c r="H1173" s="101">
        <v>192</v>
      </c>
      <c r="I1173" s="101">
        <v>1044</v>
      </c>
      <c r="J1173" s="101">
        <v>5452</v>
      </c>
      <c r="K1173" s="101">
        <v>6496</v>
      </c>
      <c r="L1173" s="101">
        <v>26</v>
      </c>
      <c r="M1173" s="101">
        <v>135</v>
      </c>
      <c r="N1173" s="101">
        <v>1239</v>
      </c>
      <c r="O1173" s="101">
        <v>637</v>
      </c>
      <c r="P1173" s="101">
        <v>8372</v>
      </c>
      <c r="Q1173" s="101">
        <v>103975</v>
      </c>
      <c r="R1173" s="12" t="s">
        <v>216</v>
      </c>
      <c r="S1173" s="12" t="s">
        <v>25</v>
      </c>
      <c r="T1173" s="12" t="s">
        <v>25</v>
      </c>
    </row>
    <row r="1174" spans="1:20" x14ac:dyDescent="0.3">
      <c r="A1174" s="13">
        <v>43940.708333333336</v>
      </c>
      <c r="B1174" s="12" t="s">
        <v>22</v>
      </c>
      <c r="C1174" s="101">
        <v>4</v>
      </c>
      <c r="D1174" s="12" t="s">
        <v>58</v>
      </c>
      <c r="E1174" s="101">
        <v>4606893511</v>
      </c>
      <c r="F1174" s="101">
        <v>1112123097</v>
      </c>
      <c r="G1174" s="101">
        <v>278</v>
      </c>
      <c r="H1174" s="101">
        <v>41</v>
      </c>
      <c r="I1174" s="101">
        <v>319</v>
      </c>
      <c r="J1174" s="101">
        <v>1652</v>
      </c>
      <c r="K1174" s="101">
        <v>1971</v>
      </c>
      <c r="L1174" s="101">
        <v>-14</v>
      </c>
      <c r="M1174" s="101">
        <v>101</v>
      </c>
      <c r="N1174" s="101">
        <v>1201</v>
      </c>
      <c r="O1174" s="101">
        <v>360</v>
      </c>
      <c r="P1174" s="101">
        <v>3532</v>
      </c>
      <c r="Q1174" s="101">
        <v>24388</v>
      </c>
      <c r="R1174" s="12" t="s">
        <v>217</v>
      </c>
      <c r="S1174" s="12" t="s">
        <v>25</v>
      </c>
      <c r="T1174" s="12" t="s">
        <v>25</v>
      </c>
    </row>
    <row r="1175" spans="1:20" x14ac:dyDescent="0.3">
      <c r="A1175" s="13">
        <v>43940.708333333336</v>
      </c>
      <c r="B1175" s="12" t="s">
        <v>22</v>
      </c>
      <c r="C1175" s="101">
        <v>10</v>
      </c>
      <c r="D1175" s="12" t="s">
        <v>59</v>
      </c>
      <c r="E1175" s="101">
        <v>4310675841</v>
      </c>
      <c r="F1175" s="101">
        <v>1238824698</v>
      </c>
      <c r="G1175" s="101">
        <v>108</v>
      </c>
      <c r="H1175" s="101">
        <v>30</v>
      </c>
      <c r="I1175" s="101">
        <v>138</v>
      </c>
      <c r="J1175" s="101">
        <v>298</v>
      </c>
      <c r="K1175" s="101">
        <v>436</v>
      </c>
      <c r="L1175" s="101">
        <v>5</v>
      </c>
      <c r="M1175" s="101">
        <v>4</v>
      </c>
      <c r="N1175" s="101">
        <v>854</v>
      </c>
      <c r="O1175" s="101">
        <v>58</v>
      </c>
      <c r="P1175" s="101">
        <v>1348</v>
      </c>
      <c r="Q1175" s="101">
        <v>25170</v>
      </c>
      <c r="R1175" s="12" t="s">
        <v>218</v>
      </c>
      <c r="S1175" s="12" t="s">
        <v>25</v>
      </c>
      <c r="T1175" s="12" t="s">
        <v>25</v>
      </c>
    </row>
    <row r="1176" spans="1:20" x14ac:dyDescent="0.3">
      <c r="A1176" s="13">
        <v>43940.708333333336</v>
      </c>
      <c r="B1176" s="12" t="s">
        <v>22</v>
      </c>
      <c r="C1176" s="101">
        <v>2</v>
      </c>
      <c r="D1176" s="12" t="s">
        <v>60</v>
      </c>
      <c r="E1176" s="101">
        <v>4573750286</v>
      </c>
      <c r="F1176" s="101">
        <v>7320149366</v>
      </c>
      <c r="G1176" s="101">
        <v>102</v>
      </c>
      <c r="H1176" s="101">
        <v>10</v>
      </c>
      <c r="I1176" s="101">
        <v>112</v>
      </c>
      <c r="J1176" s="101">
        <v>450</v>
      </c>
      <c r="K1176" s="101">
        <v>562</v>
      </c>
      <c r="L1176" s="101">
        <v>13</v>
      </c>
      <c r="M1176" s="101">
        <v>15</v>
      </c>
      <c r="N1176" s="101">
        <v>401</v>
      </c>
      <c r="O1176" s="101">
        <v>125</v>
      </c>
      <c r="P1176" s="101">
        <v>1088</v>
      </c>
      <c r="Q1176" s="101">
        <v>4677</v>
      </c>
      <c r="R1176" s="12" t="s">
        <v>219</v>
      </c>
      <c r="S1176" s="12" t="s">
        <v>25</v>
      </c>
      <c r="T1176" s="12" t="s">
        <v>25</v>
      </c>
    </row>
    <row r="1177" spans="1:20" x14ac:dyDescent="0.3">
      <c r="A1177" s="13">
        <v>43940.708333333336</v>
      </c>
      <c r="B1177" s="12" t="s">
        <v>22</v>
      </c>
      <c r="C1177" s="101">
        <v>5</v>
      </c>
      <c r="D1177" s="12" t="s">
        <v>61</v>
      </c>
      <c r="E1177" s="101">
        <v>4543490485</v>
      </c>
      <c r="F1177" s="101">
        <v>1233845213</v>
      </c>
      <c r="G1177" s="101">
        <v>1264</v>
      </c>
      <c r="H1177" s="101">
        <v>184</v>
      </c>
      <c r="I1177" s="101">
        <v>1448</v>
      </c>
      <c r="J1177" s="101">
        <v>8762</v>
      </c>
      <c r="K1177" s="101">
        <v>10210</v>
      </c>
      <c r="L1177" s="101">
        <v>-234</v>
      </c>
      <c r="M1177" s="101">
        <v>243</v>
      </c>
      <c r="N1177" s="101">
        <v>4638</v>
      </c>
      <c r="O1177" s="101">
        <v>1087</v>
      </c>
      <c r="P1177" s="101">
        <v>15935</v>
      </c>
      <c r="Q1177" s="101">
        <v>255797</v>
      </c>
      <c r="R1177" s="12" t="s">
        <v>220</v>
      </c>
      <c r="S1177" s="12" t="s">
        <v>25</v>
      </c>
      <c r="T1177" s="12" t="s">
        <v>25</v>
      </c>
    </row>
    <row r="1178" spans="1:20" x14ac:dyDescent="0.3">
      <c r="A1178" s="13">
        <v>43941.708333333336</v>
      </c>
      <c r="B1178" s="12" t="s">
        <v>22</v>
      </c>
      <c r="C1178" s="101">
        <v>13</v>
      </c>
      <c r="D1178" s="12" t="s">
        <v>42</v>
      </c>
      <c r="E1178" s="101">
        <v>4235122196</v>
      </c>
      <c r="F1178" s="101">
        <v>1339843823</v>
      </c>
      <c r="G1178" s="101">
        <v>320</v>
      </c>
      <c r="H1178" s="101">
        <v>38</v>
      </c>
      <c r="I1178" s="101">
        <v>358</v>
      </c>
      <c r="J1178" s="101">
        <v>1704</v>
      </c>
      <c r="K1178" s="101">
        <v>2062</v>
      </c>
      <c r="L1178" s="101">
        <v>75</v>
      </c>
      <c r="M1178" s="101">
        <v>91</v>
      </c>
      <c r="N1178" s="101">
        <v>287</v>
      </c>
      <c r="O1178" s="101">
        <v>263</v>
      </c>
      <c r="P1178" s="101">
        <v>2612</v>
      </c>
      <c r="Q1178" s="101">
        <v>27942</v>
      </c>
      <c r="R1178" s="12" t="s">
        <v>221</v>
      </c>
      <c r="S1178" s="12" t="s">
        <v>25</v>
      </c>
      <c r="T1178" s="12" t="s">
        <v>25</v>
      </c>
    </row>
    <row r="1179" spans="1:20" x14ac:dyDescent="0.3">
      <c r="A1179" s="13">
        <v>43941.708333333336</v>
      </c>
      <c r="B1179" s="12" t="s">
        <v>22</v>
      </c>
      <c r="C1179" s="101">
        <v>17</v>
      </c>
      <c r="D1179" s="12" t="s">
        <v>43</v>
      </c>
      <c r="E1179" s="101">
        <v>4063947052</v>
      </c>
      <c r="F1179" s="101">
        <v>1580514834</v>
      </c>
      <c r="G1179" s="101">
        <v>59</v>
      </c>
      <c r="H1179" s="101">
        <v>7</v>
      </c>
      <c r="I1179" s="101">
        <v>66</v>
      </c>
      <c r="J1179" s="101">
        <v>176</v>
      </c>
      <c r="K1179" s="101">
        <v>242</v>
      </c>
      <c r="L1179" s="101">
        <v>-5</v>
      </c>
      <c r="M1179" s="101">
        <v>0</v>
      </c>
      <c r="N1179" s="101">
        <v>76</v>
      </c>
      <c r="O1179" s="101">
        <v>24</v>
      </c>
      <c r="P1179" s="101">
        <v>342</v>
      </c>
      <c r="Q1179" s="101">
        <v>6868</v>
      </c>
      <c r="R1179" s="12" t="s">
        <v>222</v>
      </c>
      <c r="S1179" s="12" t="s">
        <v>25</v>
      </c>
      <c r="T1179" s="12" t="s">
        <v>25</v>
      </c>
    </row>
    <row r="1180" spans="1:20" x14ac:dyDescent="0.3">
      <c r="A1180" s="13">
        <v>43941.708333333336</v>
      </c>
      <c r="B1180" s="12" t="s">
        <v>22</v>
      </c>
      <c r="C1180" s="101">
        <v>4</v>
      </c>
      <c r="D1180" s="12" t="s">
        <v>44</v>
      </c>
      <c r="E1180" s="101">
        <v>4649933453</v>
      </c>
      <c r="F1180" s="101">
        <v>1135662422</v>
      </c>
      <c r="G1180" s="101">
        <v>160</v>
      </c>
      <c r="H1180" s="101">
        <v>19</v>
      </c>
      <c r="I1180" s="101">
        <v>179</v>
      </c>
      <c r="J1180" s="101">
        <v>1361</v>
      </c>
      <c r="K1180" s="101">
        <v>1540</v>
      </c>
      <c r="L1180" s="101">
        <v>-26</v>
      </c>
      <c r="M1180" s="101">
        <v>14</v>
      </c>
      <c r="N1180" s="101">
        <v>605</v>
      </c>
      <c r="O1180" s="101">
        <v>249</v>
      </c>
      <c r="P1180" s="101">
        <v>2394</v>
      </c>
      <c r="Q1180" s="101">
        <v>31381</v>
      </c>
      <c r="R1180" s="12" t="s">
        <v>223</v>
      </c>
      <c r="S1180" s="12" t="s">
        <v>25</v>
      </c>
      <c r="T1180" s="12" t="s">
        <v>25</v>
      </c>
    </row>
    <row r="1181" spans="1:20" x14ac:dyDescent="0.3">
      <c r="A1181" s="13">
        <v>43941.708333333336</v>
      </c>
      <c r="B1181" s="12" t="s">
        <v>22</v>
      </c>
      <c r="C1181" s="101">
        <v>18</v>
      </c>
      <c r="D1181" s="12" t="s">
        <v>45</v>
      </c>
      <c r="E1181" s="101">
        <v>3890597598</v>
      </c>
      <c r="F1181" s="101">
        <v>1659440194</v>
      </c>
      <c r="G1181" s="101">
        <v>140</v>
      </c>
      <c r="H1181" s="101">
        <v>7</v>
      </c>
      <c r="I1181" s="101">
        <v>147</v>
      </c>
      <c r="J1181" s="101">
        <v>681</v>
      </c>
      <c r="K1181" s="101">
        <v>828</v>
      </c>
      <c r="L1181" s="101">
        <v>-16</v>
      </c>
      <c r="M1181" s="101">
        <v>3</v>
      </c>
      <c r="N1181" s="101">
        <v>135</v>
      </c>
      <c r="O1181" s="101">
        <v>75</v>
      </c>
      <c r="P1181" s="101">
        <v>1038</v>
      </c>
      <c r="Q1181" s="101">
        <v>24373</v>
      </c>
      <c r="R1181" s="12" t="s">
        <v>224</v>
      </c>
      <c r="S1181" s="12" t="s">
        <v>25</v>
      </c>
      <c r="T1181" s="12" t="s">
        <v>25</v>
      </c>
    </row>
    <row r="1182" spans="1:20" x14ac:dyDescent="0.3">
      <c r="A1182" s="13">
        <v>43941.708333333336</v>
      </c>
      <c r="B1182" s="12" t="s">
        <v>22</v>
      </c>
      <c r="C1182" s="101">
        <v>15</v>
      </c>
      <c r="D1182" s="12" t="s">
        <v>46</v>
      </c>
      <c r="E1182" s="101">
        <v>4083956555</v>
      </c>
      <c r="F1182" s="101">
        <v>1425084984</v>
      </c>
      <c r="G1182" s="101">
        <v>586</v>
      </c>
      <c r="H1182" s="101">
        <v>61</v>
      </c>
      <c r="I1182" s="101">
        <v>647</v>
      </c>
      <c r="J1182" s="101">
        <v>2372</v>
      </c>
      <c r="K1182" s="101">
        <v>3019</v>
      </c>
      <c r="L1182" s="101">
        <v>-3</v>
      </c>
      <c r="M1182" s="101">
        <v>45</v>
      </c>
      <c r="N1182" s="101">
        <v>746</v>
      </c>
      <c r="O1182" s="101">
        <v>309</v>
      </c>
      <c r="P1182" s="101">
        <v>4074</v>
      </c>
      <c r="Q1182" s="101">
        <v>51090</v>
      </c>
      <c r="R1182" s="12" t="s">
        <v>225</v>
      </c>
      <c r="S1182" s="12" t="s">
        <v>25</v>
      </c>
      <c r="T1182" s="12" t="s">
        <v>25</v>
      </c>
    </row>
    <row r="1183" spans="1:20" x14ac:dyDescent="0.3">
      <c r="A1183" s="13">
        <v>43941.708333333336</v>
      </c>
      <c r="B1183" s="12" t="s">
        <v>22</v>
      </c>
      <c r="C1183" s="101">
        <v>8</v>
      </c>
      <c r="D1183" s="12" t="s">
        <v>96</v>
      </c>
      <c r="E1183" s="101">
        <v>4449436681</v>
      </c>
      <c r="F1183" s="101">
        <v>113417208</v>
      </c>
      <c r="G1183" s="101">
        <v>3144</v>
      </c>
      <c r="H1183" s="101">
        <v>283</v>
      </c>
      <c r="I1183" s="101">
        <v>3427</v>
      </c>
      <c r="J1183" s="101">
        <v>10095</v>
      </c>
      <c r="K1183" s="101">
        <v>13522</v>
      </c>
      <c r="L1183" s="101">
        <v>-30</v>
      </c>
      <c r="M1183" s="101">
        <v>307</v>
      </c>
      <c r="N1183" s="101">
        <v>6266</v>
      </c>
      <c r="O1183" s="101">
        <v>3079</v>
      </c>
      <c r="P1183" s="101">
        <v>22867</v>
      </c>
      <c r="Q1183" s="101">
        <v>129530</v>
      </c>
      <c r="R1183" s="12" t="s">
        <v>226</v>
      </c>
      <c r="S1183" s="12" t="s">
        <v>25</v>
      </c>
      <c r="T1183" s="12" t="s">
        <v>25</v>
      </c>
    </row>
    <row r="1184" spans="1:20" x14ac:dyDescent="0.3">
      <c r="A1184" s="13">
        <v>43941.708333333336</v>
      </c>
      <c r="B1184" s="12" t="s">
        <v>22</v>
      </c>
      <c r="C1184" s="101">
        <v>6</v>
      </c>
      <c r="D1184" s="12" t="s">
        <v>47</v>
      </c>
      <c r="E1184" s="101">
        <v>456494354</v>
      </c>
      <c r="F1184" s="101">
        <v>1376813649</v>
      </c>
      <c r="G1184" s="101">
        <v>140</v>
      </c>
      <c r="H1184" s="101">
        <v>22</v>
      </c>
      <c r="I1184" s="101">
        <v>162</v>
      </c>
      <c r="J1184" s="101">
        <v>1028</v>
      </c>
      <c r="K1184" s="101">
        <v>1190</v>
      </c>
      <c r="L1184" s="101">
        <v>-147</v>
      </c>
      <c r="M1184" s="101">
        <v>30</v>
      </c>
      <c r="N1184" s="101">
        <v>1346</v>
      </c>
      <c r="O1184" s="101">
        <v>239</v>
      </c>
      <c r="P1184" s="101">
        <v>2775</v>
      </c>
      <c r="Q1184" s="101">
        <v>45161</v>
      </c>
      <c r="R1184" s="12" t="s">
        <v>227</v>
      </c>
      <c r="S1184" s="12" t="s">
        <v>25</v>
      </c>
      <c r="T1184" s="12" t="s">
        <v>25</v>
      </c>
    </row>
    <row r="1185" spans="1:20" x14ac:dyDescent="0.3">
      <c r="A1185" s="13">
        <v>43941.708333333336</v>
      </c>
      <c r="B1185" s="12" t="s">
        <v>22</v>
      </c>
      <c r="C1185" s="101">
        <v>12</v>
      </c>
      <c r="D1185" s="12" t="s">
        <v>48</v>
      </c>
      <c r="E1185" s="101">
        <v>4189277044</v>
      </c>
      <c r="F1185" s="101">
        <v>1248366722</v>
      </c>
      <c r="G1185" s="101">
        <v>1388</v>
      </c>
      <c r="H1185" s="101">
        <v>185</v>
      </c>
      <c r="I1185" s="101">
        <v>1573</v>
      </c>
      <c r="J1185" s="101">
        <v>2792</v>
      </c>
      <c r="K1185" s="101">
        <v>4365</v>
      </c>
      <c r="L1185" s="101">
        <v>44</v>
      </c>
      <c r="M1185" s="101">
        <v>60</v>
      </c>
      <c r="N1185" s="101">
        <v>1101</v>
      </c>
      <c r="O1185" s="101">
        <v>349</v>
      </c>
      <c r="P1185" s="101">
        <v>5815</v>
      </c>
      <c r="Q1185" s="101">
        <v>97823</v>
      </c>
      <c r="R1185" s="12" t="s">
        <v>228</v>
      </c>
      <c r="S1185" s="12" t="s">
        <v>25</v>
      </c>
      <c r="T1185" s="12" t="s">
        <v>25</v>
      </c>
    </row>
    <row r="1186" spans="1:20" x14ac:dyDescent="0.3">
      <c r="A1186" s="13">
        <v>43941.708333333336</v>
      </c>
      <c r="B1186" s="12" t="s">
        <v>22</v>
      </c>
      <c r="C1186" s="101">
        <v>7</v>
      </c>
      <c r="D1186" s="12" t="s">
        <v>49</v>
      </c>
      <c r="E1186" s="101">
        <v>4441149315</v>
      </c>
      <c r="F1186" s="101">
        <v>89326992</v>
      </c>
      <c r="G1186" s="101">
        <v>878</v>
      </c>
      <c r="H1186" s="101">
        <v>102</v>
      </c>
      <c r="I1186" s="101">
        <v>980</v>
      </c>
      <c r="J1186" s="101">
        <v>2516</v>
      </c>
      <c r="K1186" s="101">
        <v>3496</v>
      </c>
      <c r="L1186" s="101">
        <v>6</v>
      </c>
      <c r="M1186" s="101">
        <v>141</v>
      </c>
      <c r="N1186" s="101">
        <v>2216</v>
      </c>
      <c r="O1186" s="101">
        <v>957</v>
      </c>
      <c r="P1186" s="101">
        <v>6669</v>
      </c>
      <c r="Q1186" s="101">
        <v>33007</v>
      </c>
      <c r="R1186" s="12" t="s">
        <v>229</v>
      </c>
      <c r="S1186" s="12" t="s">
        <v>25</v>
      </c>
      <c r="T1186" s="12" t="s">
        <v>25</v>
      </c>
    </row>
    <row r="1187" spans="1:20" x14ac:dyDescent="0.3">
      <c r="A1187" s="13">
        <v>43941.708333333336</v>
      </c>
      <c r="B1187" s="12" t="s">
        <v>22</v>
      </c>
      <c r="C1187" s="101">
        <v>3</v>
      </c>
      <c r="D1187" s="12" t="s">
        <v>50</v>
      </c>
      <c r="E1187" s="101">
        <v>4546679409</v>
      </c>
      <c r="F1187" s="101">
        <v>9190347404</v>
      </c>
      <c r="G1187" s="101">
        <v>10138</v>
      </c>
      <c r="H1187" s="101">
        <v>901</v>
      </c>
      <c r="I1187" s="101">
        <v>11039</v>
      </c>
      <c r="J1187" s="101">
        <v>23548</v>
      </c>
      <c r="K1187" s="101">
        <v>34587</v>
      </c>
      <c r="L1187" s="101">
        <v>90</v>
      </c>
      <c r="M1187" s="101">
        <v>735</v>
      </c>
      <c r="N1187" s="101">
        <v>20008</v>
      </c>
      <c r="O1187" s="101">
        <v>12376</v>
      </c>
      <c r="P1187" s="101">
        <v>66971</v>
      </c>
      <c r="Q1187" s="101">
        <v>270486</v>
      </c>
      <c r="R1187" s="12" t="s">
        <v>230</v>
      </c>
      <c r="S1187" s="12" t="s">
        <v>231</v>
      </c>
      <c r="T1187" s="12" t="s">
        <v>232</v>
      </c>
    </row>
    <row r="1188" spans="1:20" x14ac:dyDescent="0.3">
      <c r="A1188" s="13">
        <v>43941.708333333336</v>
      </c>
      <c r="B1188" s="12" t="s">
        <v>22</v>
      </c>
      <c r="C1188" s="101">
        <v>11</v>
      </c>
      <c r="D1188" s="12" t="s">
        <v>51</v>
      </c>
      <c r="E1188" s="101">
        <v>4361675973</v>
      </c>
      <c r="F1188" s="101">
        <v>135188753</v>
      </c>
      <c r="G1188" s="101">
        <v>792</v>
      </c>
      <c r="H1188" s="101">
        <v>80</v>
      </c>
      <c r="I1188" s="101">
        <v>872</v>
      </c>
      <c r="J1188" s="101">
        <v>2340</v>
      </c>
      <c r="K1188" s="101">
        <v>3212</v>
      </c>
      <c r="L1188" s="101">
        <v>30</v>
      </c>
      <c r="M1188" s="101">
        <v>57</v>
      </c>
      <c r="N1188" s="101">
        <v>1792</v>
      </c>
      <c r="O1188" s="101">
        <v>822</v>
      </c>
      <c r="P1188" s="101">
        <v>5826</v>
      </c>
      <c r="Q1188" s="101">
        <v>42782</v>
      </c>
      <c r="R1188" s="12" t="s">
        <v>233</v>
      </c>
      <c r="S1188" s="12" t="s">
        <v>25</v>
      </c>
      <c r="T1188" s="12" t="s">
        <v>25</v>
      </c>
    </row>
    <row r="1189" spans="1:20" x14ac:dyDescent="0.3">
      <c r="A1189" s="13">
        <v>43941.708333333336</v>
      </c>
      <c r="B1189" s="12" t="s">
        <v>22</v>
      </c>
      <c r="C1189" s="101">
        <v>14</v>
      </c>
      <c r="D1189" s="12" t="s">
        <v>52</v>
      </c>
      <c r="E1189" s="101">
        <v>4155774754</v>
      </c>
      <c r="F1189" s="101">
        <v>1465916051</v>
      </c>
      <c r="G1189" s="101">
        <v>27</v>
      </c>
      <c r="H1189" s="101">
        <v>2</v>
      </c>
      <c r="I1189" s="101">
        <v>29</v>
      </c>
      <c r="J1189" s="101">
        <v>184</v>
      </c>
      <c r="K1189" s="101">
        <v>213</v>
      </c>
      <c r="L1189" s="101">
        <v>-2</v>
      </c>
      <c r="M1189" s="101">
        <v>2</v>
      </c>
      <c r="N1189" s="101">
        <v>50</v>
      </c>
      <c r="O1189" s="101">
        <v>18</v>
      </c>
      <c r="P1189" s="101">
        <v>281</v>
      </c>
      <c r="Q1189" s="101">
        <v>3783</v>
      </c>
      <c r="R1189" s="12" t="s">
        <v>234</v>
      </c>
      <c r="S1189" s="12" t="s">
        <v>25</v>
      </c>
      <c r="T1189" s="12" t="s">
        <v>25</v>
      </c>
    </row>
    <row r="1190" spans="1:20" x14ac:dyDescent="0.3">
      <c r="A1190" s="13">
        <v>43941.708333333336</v>
      </c>
      <c r="B1190" s="12" t="s">
        <v>22</v>
      </c>
      <c r="C1190" s="101">
        <v>1</v>
      </c>
      <c r="D1190" s="12" t="s">
        <v>53</v>
      </c>
      <c r="E1190" s="101">
        <v>450732745</v>
      </c>
      <c r="F1190" s="101">
        <v>7680687483</v>
      </c>
      <c r="G1190" s="101">
        <v>3299</v>
      </c>
      <c r="H1190" s="101">
        <v>301</v>
      </c>
      <c r="I1190" s="101">
        <v>3600</v>
      </c>
      <c r="J1190" s="101">
        <v>10957</v>
      </c>
      <c r="K1190" s="101">
        <v>14557</v>
      </c>
      <c r="L1190" s="101">
        <v>87</v>
      </c>
      <c r="M1190" s="101">
        <v>292</v>
      </c>
      <c r="N1190" s="101">
        <v>4383</v>
      </c>
      <c r="O1190" s="101">
        <v>2409</v>
      </c>
      <c r="P1190" s="101">
        <v>21349</v>
      </c>
      <c r="Q1190" s="101">
        <v>99669</v>
      </c>
      <c r="R1190" s="12" t="s">
        <v>235</v>
      </c>
      <c r="S1190" s="12" t="s">
        <v>25</v>
      </c>
      <c r="T1190" s="12" t="s">
        <v>25</v>
      </c>
    </row>
    <row r="1191" spans="1:20" x14ac:dyDescent="0.3">
      <c r="A1191" s="13">
        <v>43941.708333333336</v>
      </c>
      <c r="B1191" s="12" t="s">
        <v>22</v>
      </c>
      <c r="C1191" s="101">
        <v>16</v>
      </c>
      <c r="D1191" s="12" t="s">
        <v>54</v>
      </c>
      <c r="E1191" s="101">
        <v>4112559576</v>
      </c>
      <c r="F1191" s="101">
        <v>1686736689</v>
      </c>
      <c r="G1191" s="101">
        <v>584</v>
      </c>
      <c r="H1191" s="101">
        <v>66</v>
      </c>
      <c r="I1191" s="101">
        <v>650</v>
      </c>
      <c r="J1191" s="101">
        <v>2160</v>
      </c>
      <c r="K1191" s="101">
        <v>2810</v>
      </c>
      <c r="L1191" s="101">
        <v>24</v>
      </c>
      <c r="M1191" s="101">
        <v>38</v>
      </c>
      <c r="N1191" s="101">
        <v>431</v>
      </c>
      <c r="O1191" s="101">
        <v>326</v>
      </c>
      <c r="P1191" s="101">
        <v>3567</v>
      </c>
      <c r="Q1191" s="101">
        <v>44189</v>
      </c>
      <c r="R1191" s="12" t="s">
        <v>236</v>
      </c>
      <c r="S1191" s="12" t="s">
        <v>25</v>
      </c>
      <c r="T1191" s="12" t="s">
        <v>25</v>
      </c>
    </row>
    <row r="1192" spans="1:20" x14ac:dyDescent="0.3">
      <c r="A1192" s="13">
        <v>43941.708333333336</v>
      </c>
      <c r="B1192" s="12" t="s">
        <v>22</v>
      </c>
      <c r="C1192" s="101">
        <v>20</v>
      </c>
      <c r="D1192" s="12" t="s">
        <v>55</v>
      </c>
      <c r="E1192" s="101">
        <v>3921531192</v>
      </c>
      <c r="F1192" s="101">
        <v>9110616306</v>
      </c>
      <c r="G1192" s="101">
        <v>115</v>
      </c>
      <c r="H1192" s="101">
        <v>21</v>
      </c>
      <c r="I1192" s="101">
        <v>136</v>
      </c>
      <c r="J1192" s="101">
        <v>718</v>
      </c>
      <c r="K1192" s="101">
        <v>854</v>
      </c>
      <c r="L1192" s="101">
        <v>-10</v>
      </c>
      <c r="M1192" s="101">
        <v>13</v>
      </c>
      <c r="N1192" s="101">
        <v>288</v>
      </c>
      <c r="O1192" s="101">
        <v>86</v>
      </c>
      <c r="P1192" s="101">
        <v>1228</v>
      </c>
      <c r="Q1192" s="101">
        <v>15328</v>
      </c>
      <c r="R1192" s="12" t="s">
        <v>237</v>
      </c>
      <c r="S1192" s="12" t="s">
        <v>25</v>
      </c>
      <c r="T1192" s="12" t="s">
        <v>25</v>
      </c>
    </row>
    <row r="1193" spans="1:20" x14ac:dyDescent="0.3">
      <c r="A1193" s="13">
        <v>43941.708333333336</v>
      </c>
      <c r="B1193" s="12" t="s">
        <v>22</v>
      </c>
      <c r="C1193" s="101">
        <v>19</v>
      </c>
      <c r="D1193" s="12" t="s">
        <v>56</v>
      </c>
      <c r="E1193" s="101">
        <v>3811569725</v>
      </c>
      <c r="F1193" s="101">
        <v>133623567</v>
      </c>
      <c r="G1193" s="101">
        <v>526</v>
      </c>
      <c r="H1193" s="101">
        <v>39</v>
      </c>
      <c r="I1193" s="101">
        <v>565</v>
      </c>
      <c r="J1193" s="101">
        <v>1645</v>
      </c>
      <c r="K1193" s="101">
        <v>2210</v>
      </c>
      <c r="L1193" s="101">
        <v>8</v>
      </c>
      <c r="M1193" s="101">
        <v>42</v>
      </c>
      <c r="N1193" s="101">
        <v>346</v>
      </c>
      <c r="O1193" s="101">
        <v>203</v>
      </c>
      <c r="P1193" s="101">
        <v>2759</v>
      </c>
      <c r="Q1193" s="101">
        <v>51373</v>
      </c>
      <c r="R1193" s="12" t="s">
        <v>238</v>
      </c>
      <c r="S1193" s="12" t="s">
        <v>25</v>
      </c>
      <c r="T1193" s="12" t="s">
        <v>25</v>
      </c>
    </row>
    <row r="1194" spans="1:20" x14ac:dyDescent="0.3">
      <c r="A1194" s="13">
        <v>43941.708333333336</v>
      </c>
      <c r="B1194" s="12" t="s">
        <v>22</v>
      </c>
      <c r="C1194" s="101">
        <v>9</v>
      </c>
      <c r="D1194" s="12" t="s">
        <v>57</v>
      </c>
      <c r="E1194" s="101">
        <v>4376923077</v>
      </c>
      <c r="F1194" s="101">
        <v>1125588885</v>
      </c>
      <c r="G1194" s="101">
        <v>850</v>
      </c>
      <c r="H1194" s="101">
        <v>182</v>
      </c>
      <c r="I1194" s="101">
        <v>1032</v>
      </c>
      <c r="J1194" s="101">
        <v>5536</v>
      </c>
      <c r="K1194" s="101">
        <v>6568</v>
      </c>
      <c r="L1194" s="101">
        <v>72</v>
      </c>
      <c r="M1194" s="101">
        <v>135</v>
      </c>
      <c r="N1194" s="101">
        <v>1272</v>
      </c>
      <c r="O1194" s="101">
        <v>667</v>
      </c>
      <c r="P1194" s="101">
        <v>8507</v>
      </c>
      <c r="Q1194" s="101">
        <v>105857</v>
      </c>
      <c r="R1194" s="12" t="s">
        <v>239</v>
      </c>
      <c r="S1194" s="12" t="s">
        <v>25</v>
      </c>
      <c r="T1194" s="12" t="s">
        <v>25</v>
      </c>
    </row>
    <row r="1195" spans="1:20" x14ac:dyDescent="0.3">
      <c r="A1195" s="13">
        <v>43941.708333333336</v>
      </c>
      <c r="B1195" s="12" t="s">
        <v>22</v>
      </c>
      <c r="C1195" s="101">
        <v>4</v>
      </c>
      <c r="D1195" s="12" t="s">
        <v>58</v>
      </c>
      <c r="E1195" s="101">
        <v>4606893511</v>
      </c>
      <c r="F1195" s="101">
        <v>1112123097</v>
      </c>
      <c r="G1195" s="101">
        <v>272</v>
      </c>
      <c r="H1195" s="101">
        <v>40</v>
      </c>
      <c r="I1195" s="101">
        <v>312</v>
      </c>
      <c r="J1195" s="101">
        <v>1617</v>
      </c>
      <c r="K1195" s="101">
        <v>1929</v>
      </c>
      <c r="L1195" s="101">
        <v>-42</v>
      </c>
      <c r="M1195" s="101">
        <v>58</v>
      </c>
      <c r="N1195" s="101">
        <v>1295</v>
      </c>
      <c r="O1195" s="101">
        <v>366</v>
      </c>
      <c r="P1195" s="101">
        <v>3590</v>
      </c>
      <c r="Q1195" s="101">
        <v>26211</v>
      </c>
      <c r="R1195" s="12" t="s">
        <v>240</v>
      </c>
      <c r="S1195" s="12" t="s">
        <v>25</v>
      </c>
      <c r="T1195" s="12" t="s">
        <v>25</v>
      </c>
    </row>
    <row r="1196" spans="1:20" x14ac:dyDescent="0.3">
      <c r="A1196" s="13">
        <v>43941.708333333336</v>
      </c>
      <c r="B1196" s="12" t="s">
        <v>22</v>
      </c>
      <c r="C1196" s="101">
        <v>10</v>
      </c>
      <c r="D1196" s="12" t="s">
        <v>59</v>
      </c>
      <c r="E1196" s="101">
        <v>4310675841</v>
      </c>
      <c r="F1196" s="101">
        <v>1238824698</v>
      </c>
      <c r="G1196" s="101">
        <v>113</v>
      </c>
      <c r="H1196" s="101">
        <v>29</v>
      </c>
      <c r="I1196" s="101">
        <v>142</v>
      </c>
      <c r="J1196" s="101">
        <v>282</v>
      </c>
      <c r="K1196" s="101">
        <v>424</v>
      </c>
      <c r="L1196" s="101">
        <v>-12</v>
      </c>
      <c r="M1196" s="101">
        <v>1</v>
      </c>
      <c r="N1196" s="101">
        <v>867</v>
      </c>
      <c r="O1196" s="101">
        <v>58</v>
      </c>
      <c r="P1196" s="101">
        <v>1349</v>
      </c>
      <c r="Q1196" s="101">
        <v>25562</v>
      </c>
      <c r="R1196" s="12" t="s">
        <v>241</v>
      </c>
      <c r="S1196" s="12" t="s">
        <v>25</v>
      </c>
      <c r="T1196" s="12" t="s">
        <v>25</v>
      </c>
    </row>
    <row r="1197" spans="1:20" x14ac:dyDescent="0.3">
      <c r="A1197" s="13">
        <v>43941.708333333336</v>
      </c>
      <c r="B1197" s="12" t="s">
        <v>22</v>
      </c>
      <c r="C1197" s="101">
        <v>2</v>
      </c>
      <c r="D1197" s="12" t="s">
        <v>60</v>
      </c>
      <c r="E1197" s="101">
        <v>4573750286</v>
      </c>
      <c r="F1197" s="101">
        <v>7320149366</v>
      </c>
      <c r="G1197" s="101">
        <v>102</v>
      </c>
      <c r="H1197" s="101">
        <v>8</v>
      </c>
      <c r="I1197" s="101">
        <v>110</v>
      </c>
      <c r="J1197" s="101">
        <v>438</v>
      </c>
      <c r="K1197" s="101">
        <v>548</v>
      </c>
      <c r="L1197" s="101">
        <v>-14</v>
      </c>
      <c r="M1197" s="101">
        <v>0</v>
      </c>
      <c r="N1197" s="101">
        <v>413</v>
      </c>
      <c r="O1197" s="101">
        <v>127</v>
      </c>
      <c r="P1197" s="101">
        <v>1088</v>
      </c>
      <c r="Q1197" s="101">
        <v>4799</v>
      </c>
      <c r="R1197" s="12" t="s">
        <v>242</v>
      </c>
      <c r="S1197" s="12" t="s">
        <v>25</v>
      </c>
      <c r="T1197" s="12" t="s">
        <v>25</v>
      </c>
    </row>
    <row r="1198" spans="1:20" x14ac:dyDescent="0.3">
      <c r="A1198" s="13">
        <v>43941.708333333336</v>
      </c>
      <c r="B1198" s="12" t="s">
        <v>22</v>
      </c>
      <c r="C1198" s="101">
        <v>5</v>
      </c>
      <c r="D1198" s="12" t="s">
        <v>61</v>
      </c>
      <c r="E1198" s="101">
        <v>4543490485</v>
      </c>
      <c r="F1198" s="101">
        <v>1233845213</v>
      </c>
      <c r="G1198" s="101">
        <v>1273</v>
      </c>
      <c r="H1198" s="101">
        <v>180</v>
      </c>
      <c r="I1198" s="101">
        <v>1453</v>
      </c>
      <c r="J1198" s="101">
        <v>8608</v>
      </c>
      <c r="K1198" s="101">
        <v>10061</v>
      </c>
      <c r="L1198" s="101">
        <v>-149</v>
      </c>
      <c r="M1198" s="101">
        <v>192</v>
      </c>
      <c r="N1198" s="101">
        <v>4954</v>
      </c>
      <c r="O1198" s="101">
        <v>1112</v>
      </c>
      <c r="P1198" s="101">
        <v>16127</v>
      </c>
      <c r="Q1198" s="101">
        <v>260810</v>
      </c>
      <c r="R1198" s="12" t="s">
        <v>243</v>
      </c>
      <c r="S1198" s="12" t="s">
        <v>25</v>
      </c>
      <c r="T1198" s="12" t="s">
        <v>25</v>
      </c>
    </row>
    <row r="1199" spans="1:20" x14ac:dyDescent="0.3">
      <c r="A1199" s="13">
        <v>43942.708333333336</v>
      </c>
      <c r="B1199" s="12" t="s">
        <v>22</v>
      </c>
      <c r="C1199" s="101">
        <v>13</v>
      </c>
      <c r="D1199" s="12" t="s">
        <v>42</v>
      </c>
      <c r="E1199" s="101">
        <v>4235122196</v>
      </c>
      <c r="F1199" s="101">
        <v>1339843823</v>
      </c>
      <c r="G1199" s="101">
        <v>318</v>
      </c>
      <c r="H1199" s="101">
        <v>35</v>
      </c>
      <c r="I1199" s="101">
        <v>353</v>
      </c>
      <c r="J1199" s="101">
        <v>1714</v>
      </c>
      <c r="K1199" s="101">
        <v>2067</v>
      </c>
      <c r="L1199" s="101">
        <v>5</v>
      </c>
      <c r="M1199" s="101">
        <v>55</v>
      </c>
      <c r="N1199" s="101">
        <v>329</v>
      </c>
      <c r="O1199" s="101">
        <v>271</v>
      </c>
      <c r="P1199" s="101">
        <v>2667</v>
      </c>
      <c r="Q1199" s="101">
        <v>29906</v>
      </c>
      <c r="R1199" s="12" t="s">
        <v>244</v>
      </c>
      <c r="S1199" s="12" t="s">
        <v>25</v>
      </c>
      <c r="T1199" s="12" t="s">
        <v>25</v>
      </c>
    </row>
    <row r="1200" spans="1:20" x14ac:dyDescent="0.3">
      <c r="A1200" s="13">
        <v>43942.708333333336</v>
      </c>
      <c r="B1200" s="12" t="s">
        <v>22</v>
      </c>
      <c r="C1200" s="101">
        <v>17</v>
      </c>
      <c r="D1200" s="12" t="s">
        <v>43</v>
      </c>
      <c r="E1200" s="101">
        <v>4063947052</v>
      </c>
      <c r="F1200" s="101">
        <v>1580514834</v>
      </c>
      <c r="G1200" s="101">
        <v>64</v>
      </c>
      <c r="H1200" s="101">
        <v>7</v>
      </c>
      <c r="I1200" s="101">
        <v>71</v>
      </c>
      <c r="J1200" s="101">
        <v>174</v>
      </c>
      <c r="K1200" s="101">
        <v>245</v>
      </c>
      <c r="L1200" s="101">
        <v>3</v>
      </c>
      <c r="M1200" s="101">
        <v>8</v>
      </c>
      <c r="N1200" s="101">
        <v>81</v>
      </c>
      <c r="O1200" s="101">
        <v>24</v>
      </c>
      <c r="P1200" s="101">
        <v>350</v>
      </c>
      <c r="Q1200" s="101">
        <v>7470</v>
      </c>
      <c r="R1200" s="12" t="s">
        <v>245</v>
      </c>
      <c r="S1200" s="12" t="s">
        <v>25</v>
      </c>
      <c r="T1200" s="12" t="s">
        <v>25</v>
      </c>
    </row>
    <row r="1201" spans="1:20" x14ac:dyDescent="0.3">
      <c r="A1201" s="13">
        <v>43942.708333333336</v>
      </c>
      <c r="B1201" s="12" t="s">
        <v>22</v>
      </c>
      <c r="C1201" s="101">
        <v>4</v>
      </c>
      <c r="D1201" s="12" t="s">
        <v>44</v>
      </c>
      <c r="E1201" s="101">
        <v>4649933453</v>
      </c>
      <c r="F1201" s="101">
        <v>1135662422</v>
      </c>
      <c r="G1201" s="101">
        <v>159</v>
      </c>
      <c r="H1201" s="101">
        <v>20</v>
      </c>
      <c r="I1201" s="101">
        <v>179</v>
      </c>
      <c r="J1201" s="101">
        <v>1357</v>
      </c>
      <c r="K1201" s="101">
        <v>1536</v>
      </c>
      <c r="L1201" s="101">
        <v>-4</v>
      </c>
      <c r="M1201" s="101">
        <v>16</v>
      </c>
      <c r="N1201" s="101">
        <v>623</v>
      </c>
      <c r="O1201" s="101">
        <v>251</v>
      </c>
      <c r="P1201" s="101">
        <v>2410</v>
      </c>
      <c r="Q1201" s="101">
        <v>31987</v>
      </c>
      <c r="R1201" s="12" t="s">
        <v>246</v>
      </c>
      <c r="S1201" s="12" t="s">
        <v>25</v>
      </c>
      <c r="T1201" s="12" t="s">
        <v>25</v>
      </c>
    </row>
    <row r="1202" spans="1:20" x14ac:dyDescent="0.3">
      <c r="A1202" s="13">
        <v>43942.708333333336</v>
      </c>
      <c r="B1202" s="12" t="s">
        <v>22</v>
      </c>
      <c r="C1202" s="101">
        <v>18</v>
      </c>
      <c r="D1202" s="12" t="s">
        <v>45</v>
      </c>
      <c r="E1202" s="101">
        <v>3890597598</v>
      </c>
      <c r="F1202" s="101">
        <v>1659440194</v>
      </c>
      <c r="G1202" s="101">
        <v>133</v>
      </c>
      <c r="H1202" s="101">
        <v>7</v>
      </c>
      <c r="I1202" s="101">
        <v>140</v>
      </c>
      <c r="J1202" s="101">
        <v>679</v>
      </c>
      <c r="K1202" s="101">
        <v>819</v>
      </c>
      <c r="L1202" s="101">
        <v>-9</v>
      </c>
      <c r="M1202" s="101">
        <v>9</v>
      </c>
      <c r="N1202" s="101">
        <v>152</v>
      </c>
      <c r="O1202" s="101">
        <v>76</v>
      </c>
      <c r="P1202" s="101">
        <v>1047</v>
      </c>
      <c r="Q1202" s="101">
        <v>25440</v>
      </c>
      <c r="R1202" s="12" t="s">
        <v>247</v>
      </c>
      <c r="S1202" s="12" t="s">
        <v>25</v>
      </c>
      <c r="T1202" s="12" t="s">
        <v>25</v>
      </c>
    </row>
    <row r="1203" spans="1:20" x14ac:dyDescent="0.3">
      <c r="A1203" s="13">
        <v>43942.708333333336</v>
      </c>
      <c r="B1203" s="12" t="s">
        <v>22</v>
      </c>
      <c r="C1203" s="101">
        <v>15</v>
      </c>
      <c r="D1203" s="12" t="s">
        <v>46</v>
      </c>
      <c r="E1203" s="101">
        <v>4083956555</v>
      </c>
      <c r="F1203" s="101">
        <v>1425084984</v>
      </c>
      <c r="G1203" s="101">
        <v>532</v>
      </c>
      <c r="H1203" s="101">
        <v>58</v>
      </c>
      <c r="I1203" s="101">
        <v>590</v>
      </c>
      <c r="J1203" s="101">
        <v>2356</v>
      </c>
      <c r="K1203" s="101">
        <v>2946</v>
      </c>
      <c r="L1203" s="101">
        <v>-73</v>
      </c>
      <c r="M1203" s="101">
        <v>61</v>
      </c>
      <c r="N1203" s="101">
        <v>872</v>
      </c>
      <c r="O1203" s="101">
        <v>317</v>
      </c>
      <c r="P1203" s="101">
        <v>4135</v>
      </c>
      <c r="Q1203" s="101">
        <v>53548</v>
      </c>
      <c r="R1203" s="12" t="s">
        <v>248</v>
      </c>
      <c r="S1203" s="12" t="s">
        <v>25</v>
      </c>
      <c r="T1203" s="12" t="s">
        <v>25</v>
      </c>
    </row>
    <row r="1204" spans="1:20" x14ac:dyDescent="0.3">
      <c r="A1204" s="13">
        <v>43942.708333333336</v>
      </c>
      <c r="B1204" s="12" t="s">
        <v>22</v>
      </c>
      <c r="C1204" s="101">
        <v>8</v>
      </c>
      <c r="D1204" s="12" t="s">
        <v>96</v>
      </c>
      <c r="E1204" s="101">
        <v>4449436681</v>
      </c>
      <c r="F1204" s="101">
        <v>113417208</v>
      </c>
      <c r="G1204" s="101">
        <v>3045</v>
      </c>
      <c r="H1204" s="101">
        <v>282</v>
      </c>
      <c r="I1204" s="101">
        <v>3327</v>
      </c>
      <c r="J1204" s="101">
        <v>9917</v>
      </c>
      <c r="K1204" s="101">
        <v>13244</v>
      </c>
      <c r="L1204" s="101">
        <v>-278</v>
      </c>
      <c r="M1204" s="101">
        <v>225</v>
      </c>
      <c r="N1204" s="101">
        <v>6701</v>
      </c>
      <c r="O1204" s="101">
        <v>3147</v>
      </c>
      <c r="P1204" s="101">
        <v>23092</v>
      </c>
      <c r="Q1204" s="101">
        <v>134878</v>
      </c>
      <c r="R1204" s="12" t="s">
        <v>249</v>
      </c>
      <c r="S1204" s="12" t="s">
        <v>25</v>
      </c>
      <c r="T1204" s="12" t="s">
        <v>25</v>
      </c>
    </row>
    <row r="1205" spans="1:20" x14ac:dyDescent="0.3">
      <c r="A1205" s="13">
        <v>43942.708333333336</v>
      </c>
      <c r="B1205" s="12" t="s">
        <v>22</v>
      </c>
      <c r="C1205" s="101">
        <v>6</v>
      </c>
      <c r="D1205" s="12" t="s">
        <v>47</v>
      </c>
      <c r="E1205" s="101">
        <v>456494354</v>
      </c>
      <c r="F1205" s="101">
        <v>1376813649</v>
      </c>
      <c r="G1205" s="101">
        <v>139</v>
      </c>
      <c r="H1205" s="101">
        <v>21</v>
      </c>
      <c r="I1205" s="101">
        <v>160</v>
      </c>
      <c r="J1205" s="101">
        <v>1162</v>
      </c>
      <c r="K1205" s="101">
        <v>1322</v>
      </c>
      <c r="L1205" s="101">
        <v>132</v>
      </c>
      <c r="M1205" s="101">
        <v>17</v>
      </c>
      <c r="N1205" s="101">
        <v>1229</v>
      </c>
      <c r="O1205" s="101">
        <v>241</v>
      </c>
      <c r="P1205" s="101">
        <v>2792</v>
      </c>
      <c r="Q1205" s="101">
        <v>48500</v>
      </c>
      <c r="R1205" s="12" t="s">
        <v>250</v>
      </c>
      <c r="S1205" s="12" t="s">
        <v>25</v>
      </c>
      <c r="T1205" s="12" t="s">
        <v>25</v>
      </c>
    </row>
    <row r="1206" spans="1:20" x14ac:dyDescent="0.3">
      <c r="A1206" s="13">
        <v>43942.708333333336</v>
      </c>
      <c r="B1206" s="12" t="s">
        <v>22</v>
      </c>
      <c r="C1206" s="101">
        <v>12</v>
      </c>
      <c r="D1206" s="12" t="s">
        <v>48</v>
      </c>
      <c r="E1206" s="101">
        <v>4189277044</v>
      </c>
      <c r="F1206" s="101">
        <v>1248366722</v>
      </c>
      <c r="G1206" s="101">
        <v>1380</v>
      </c>
      <c r="H1206" s="101">
        <v>184</v>
      </c>
      <c r="I1206" s="101">
        <v>1564</v>
      </c>
      <c r="J1206" s="101">
        <v>2838</v>
      </c>
      <c r="K1206" s="101">
        <v>4402</v>
      </c>
      <c r="L1206" s="101">
        <v>37</v>
      </c>
      <c r="M1206" s="101">
        <v>80</v>
      </c>
      <c r="N1206" s="101">
        <v>1130</v>
      </c>
      <c r="O1206" s="101">
        <v>363</v>
      </c>
      <c r="P1206" s="101">
        <v>5895</v>
      </c>
      <c r="Q1206" s="101">
        <v>100031</v>
      </c>
      <c r="R1206" s="12" t="s">
        <v>251</v>
      </c>
      <c r="S1206" s="12" t="s">
        <v>25</v>
      </c>
      <c r="T1206" s="12" t="s">
        <v>25</v>
      </c>
    </row>
    <row r="1207" spans="1:20" x14ac:dyDescent="0.3">
      <c r="A1207" s="13">
        <v>43942.708333333336</v>
      </c>
      <c r="B1207" s="12" t="s">
        <v>22</v>
      </c>
      <c r="C1207" s="101">
        <v>7</v>
      </c>
      <c r="D1207" s="12" t="s">
        <v>49</v>
      </c>
      <c r="E1207" s="101">
        <v>4441149315</v>
      </c>
      <c r="F1207" s="101">
        <v>89326992</v>
      </c>
      <c r="G1207" s="101">
        <v>914</v>
      </c>
      <c r="H1207" s="101">
        <v>94</v>
      </c>
      <c r="I1207" s="101">
        <v>1008</v>
      </c>
      <c r="J1207" s="101">
        <v>2455</v>
      </c>
      <c r="K1207" s="101">
        <v>3463</v>
      </c>
      <c r="L1207" s="101">
        <v>-33</v>
      </c>
      <c r="M1207" s="101">
        <v>95</v>
      </c>
      <c r="N1207" s="101">
        <v>2311</v>
      </c>
      <c r="O1207" s="101">
        <v>990</v>
      </c>
      <c r="P1207" s="101">
        <v>6764</v>
      </c>
      <c r="Q1207" s="101">
        <v>34186</v>
      </c>
      <c r="R1207" s="12" t="s">
        <v>252</v>
      </c>
      <c r="S1207" s="12" t="s">
        <v>25</v>
      </c>
      <c r="T1207" s="12" t="s">
        <v>25</v>
      </c>
    </row>
    <row r="1208" spans="1:20" x14ac:dyDescent="0.3">
      <c r="A1208" s="13">
        <v>43942.708333333336</v>
      </c>
      <c r="B1208" s="12" t="s">
        <v>22</v>
      </c>
      <c r="C1208" s="101">
        <v>3</v>
      </c>
      <c r="D1208" s="12" t="s">
        <v>50</v>
      </c>
      <c r="E1208" s="101">
        <v>4546679409</v>
      </c>
      <c r="F1208" s="101">
        <v>9190347404</v>
      </c>
      <c r="G1208" s="101">
        <v>9805</v>
      </c>
      <c r="H1208" s="101">
        <v>851</v>
      </c>
      <c r="I1208" s="101">
        <v>10656</v>
      </c>
      <c r="J1208" s="101">
        <v>23322</v>
      </c>
      <c r="K1208" s="101">
        <v>33978</v>
      </c>
      <c r="L1208" s="101">
        <v>-609</v>
      </c>
      <c r="M1208" s="101">
        <v>960</v>
      </c>
      <c r="N1208" s="101">
        <v>21374</v>
      </c>
      <c r="O1208" s="101">
        <v>12579</v>
      </c>
      <c r="P1208" s="101">
        <v>67931</v>
      </c>
      <c r="Q1208" s="101">
        <v>277197</v>
      </c>
      <c r="R1208" s="12" t="s">
        <v>230</v>
      </c>
      <c r="S1208" s="12" t="s">
        <v>253</v>
      </c>
      <c r="T1208" s="12" t="s">
        <v>254</v>
      </c>
    </row>
    <row r="1209" spans="1:20" x14ac:dyDescent="0.3">
      <c r="A1209" s="13">
        <v>43942.708333333336</v>
      </c>
      <c r="B1209" s="12" t="s">
        <v>22</v>
      </c>
      <c r="C1209" s="101">
        <v>11</v>
      </c>
      <c r="D1209" s="12" t="s">
        <v>51</v>
      </c>
      <c r="E1209" s="101">
        <v>4361675973</v>
      </c>
      <c r="F1209" s="101">
        <v>135188753</v>
      </c>
      <c r="G1209" s="101">
        <v>784</v>
      </c>
      <c r="H1209" s="101">
        <v>78</v>
      </c>
      <c r="I1209" s="101">
        <v>862</v>
      </c>
      <c r="J1209" s="101">
        <v>2356</v>
      </c>
      <c r="K1209" s="101">
        <v>3218</v>
      </c>
      <c r="L1209" s="101">
        <v>6</v>
      </c>
      <c r="M1209" s="101">
        <v>51</v>
      </c>
      <c r="N1209" s="101">
        <v>1825</v>
      </c>
      <c r="O1209" s="101">
        <v>834</v>
      </c>
      <c r="P1209" s="101">
        <v>5877</v>
      </c>
      <c r="Q1209" s="101">
        <v>44332</v>
      </c>
      <c r="R1209" s="12" t="s">
        <v>255</v>
      </c>
      <c r="S1209" s="12" t="s">
        <v>25</v>
      </c>
      <c r="T1209" s="12" t="s">
        <v>25</v>
      </c>
    </row>
    <row r="1210" spans="1:20" x14ac:dyDescent="0.3">
      <c r="A1210" s="13">
        <v>43942.708333333336</v>
      </c>
      <c r="B1210" s="12" t="s">
        <v>22</v>
      </c>
      <c r="C1210" s="101">
        <v>14</v>
      </c>
      <c r="D1210" s="12" t="s">
        <v>52</v>
      </c>
      <c r="E1210" s="101">
        <v>4155774754</v>
      </c>
      <c r="F1210" s="101">
        <v>1465916051</v>
      </c>
      <c r="G1210" s="101">
        <v>27</v>
      </c>
      <c r="H1210" s="101">
        <v>2</v>
      </c>
      <c r="I1210" s="101">
        <v>29</v>
      </c>
      <c r="J1210" s="101">
        <v>184</v>
      </c>
      <c r="K1210" s="101">
        <v>213</v>
      </c>
      <c r="L1210" s="101">
        <v>0</v>
      </c>
      <c r="M1210" s="101">
        <v>1</v>
      </c>
      <c r="N1210" s="101">
        <v>51</v>
      </c>
      <c r="O1210" s="101">
        <v>18</v>
      </c>
      <c r="P1210" s="101">
        <v>282</v>
      </c>
      <c r="Q1210" s="101">
        <v>4124</v>
      </c>
      <c r="R1210" s="12" t="s">
        <v>256</v>
      </c>
      <c r="S1210" s="12" t="s">
        <v>25</v>
      </c>
      <c r="T1210" s="12" t="s">
        <v>25</v>
      </c>
    </row>
    <row r="1211" spans="1:20" x14ac:dyDescent="0.3">
      <c r="A1211" s="13">
        <v>43942.708333333336</v>
      </c>
      <c r="B1211" s="12" t="s">
        <v>22</v>
      </c>
      <c r="C1211" s="101">
        <v>1</v>
      </c>
      <c r="D1211" s="12" t="s">
        <v>53</v>
      </c>
      <c r="E1211" s="101">
        <v>450732745</v>
      </c>
      <c r="F1211" s="101">
        <v>7680687483</v>
      </c>
      <c r="G1211" s="101">
        <v>3116</v>
      </c>
      <c r="H1211" s="101">
        <v>293</v>
      </c>
      <c r="I1211" s="101">
        <v>3409</v>
      </c>
      <c r="J1211" s="101">
        <v>11402</v>
      </c>
      <c r="K1211" s="101">
        <v>14811</v>
      </c>
      <c r="L1211" s="101">
        <v>254</v>
      </c>
      <c r="M1211" s="101">
        <v>606</v>
      </c>
      <c r="N1211" s="101">
        <v>4659</v>
      </c>
      <c r="O1211" s="101">
        <v>2485</v>
      </c>
      <c r="P1211" s="101">
        <v>21955</v>
      </c>
      <c r="Q1211" s="101">
        <v>105434</v>
      </c>
      <c r="R1211" s="12" t="s">
        <v>257</v>
      </c>
      <c r="S1211" s="12" t="s">
        <v>25</v>
      </c>
      <c r="T1211" s="12" t="s">
        <v>25</v>
      </c>
    </row>
    <row r="1212" spans="1:20" x14ac:dyDescent="0.3">
      <c r="A1212" s="13">
        <v>43942.708333333336</v>
      </c>
      <c r="B1212" s="12" t="s">
        <v>22</v>
      </c>
      <c r="C1212" s="101">
        <v>16</v>
      </c>
      <c r="D1212" s="12" t="s">
        <v>54</v>
      </c>
      <c r="E1212" s="101">
        <v>4112559576</v>
      </c>
      <c r="F1212" s="101">
        <v>1686736689</v>
      </c>
      <c r="G1212" s="101">
        <v>569</v>
      </c>
      <c r="H1212" s="101">
        <v>65</v>
      </c>
      <c r="I1212" s="101">
        <v>634</v>
      </c>
      <c r="J1212" s="101">
        <v>2178</v>
      </c>
      <c r="K1212" s="101">
        <v>2812</v>
      </c>
      <c r="L1212" s="101">
        <v>2</v>
      </c>
      <c r="M1212" s="101">
        <v>55</v>
      </c>
      <c r="N1212" s="101">
        <v>459</v>
      </c>
      <c r="O1212" s="101">
        <v>351</v>
      </c>
      <c r="P1212" s="101">
        <v>3622</v>
      </c>
      <c r="Q1212" s="101">
        <v>45984</v>
      </c>
      <c r="R1212" s="12" t="s">
        <v>258</v>
      </c>
      <c r="S1212" s="12" t="s">
        <v>25</v>
      </c>
      <c r="T1212" s="12" t="s">
        <v>25</v>
      </c>
    </row>
    <row r="1213" spans="1:20" x14ac:dyDescent="0.3">
      <c r="A1213" s="13">
        <v>43942.708333333336</v>
      </c>
      <c r="B1213" s="12" t="s">
        <v>22</v>
      </c>
      <c r="C1213" s="101">
        <v>20</v>
      </c>
      <c r="D1213" s="12" t="s">
        <v>55</v>
      </c>
      <c r="E1213" s="101">
        <v>3921531192</v>
      </c>
      <c r="F1213" s="101">
        <v>9110616306</v>
      </c>
      <c r="G1213" s="101">
        <v>112</v>
      </c>
      <c r="H1213" s="101">
        <v>21</v>
      </c>
      <c r="I1213" s="101">
        <v>133</v>
      </c>
      <c r="J1213" s="101">
        <v>704</v>
      </c>
      <c r="K1213" s="101">
        <v>837</v>
      </c>
      <c r="L1213" s="101">
        <v>-17</v>
      </c>
      <c r="M1213" s="101">
        <v>8</v>
      </c>
      <c r="N1213" s="101">
        <v>306</v>
      </c>
      <c r="O1213" s="101">
        <v>93</v>
      </c>
      <c r="P1213" s="101">
        <v>1236</v>
      </c>
      <c r="Q1213" s="101">
        <v>15886</v>
      </c>
      <c r="R1213" s="12" t="s">
        <v>259</v>
      </c>
      <c r="S1213" s="12" t="s">
        <v>25</v>
      </c>
      <c r="T1213" s="12" t="s">
        <v>25</v>
      </c>
    </row>
    <row r="1214" spans="1:20" x14ac:dyDescent="0.3">
      <c r="A1214" s="13">
        <v>43942.708333333336</v>
      </c>
      <c r="B1214" s="12" t="s">
        <v>22</v>
      </c>
      <c r="C1214" s="101">
        <v>19</v>
      </c>
      <c r="D1214" s="12" t="s">
        <v>56</v>
      </c>
      <c r="E1214" s="101">
        <v>3811569725</v>
      </c>
      <c r="F1214" s="101">
        <v>133623567</v>
      </c>
      <c r="G1214" s="101">
        <v>514</v>
      </c>
      <c r="H1214" s="101">
        <v>37</v>
      </c>
      <c r="I1214" s="101">
        <v>551</v>
      </c>
      <c r="J1214" s="101">
        <v>1708</v>
      </c>
      <c r="K1214" s="101">
        <v>2259</v>
      </c>
      <c r="L1214" s="101">
        <v>49</v>
      </c>
      <c r="M1214" s="101">
        <v>76</v>
      </c>
      <c r="N1214" s="101">
        <v>370</v>
      </c>
      <c r="O1214" s="101">
        <v>206</v>
      </c>
      <c r="P1214" s="101">
        <v>2835</v>
      </c>
      <c r="Q1214" s="101">
        <v>55093</v>
      </c>
      <c r="R1214" s="12" t="s">
        <v>260</v>
      </c>
      <c r="S1214" s="12" t="s">
        <v>25</v>
      </c>
      <c r="T1214" s="12" t="s">
        <v>25</v>
      </c>
    </row>
    <row r="1215" spans="1:20" x14ac:dyDescent="0.3">
      <c r="A1215" s="13">
        <v>43942.708333333336</v>
      </c>
      <c r="B1215" s="12" t="s">
        <v>22</v>
      </c>
      <c r="C1215" s="101">
        <v>9</v>
      </c>
      <c r="D1215" s="12" t="s">
        <v>57</v>
      </c>
      <c r="E1215" s="101">
        <v>4376923077</v>
      </c>
      <c r="F1215" s="101">
        <v>1125588885</v>
      </c>
      <c r="G1215" s="101">
        <v>833</v>
      </c>
      <c r="H1215" s="101">
        <v>171</v>
      </c>
      <c r="I1215" s="101">
        <v>1004</v>
      </c>
      <c r="J1215" s="101">
        <v>5618</v>
      </c>
      <c r="K1215" s="101">
        <v>6622</v>
      </c>
      <c r="L1215" s="101">
        <v>54</v>
      </c>
      <c r="M1215" s="101">
        <v>96</v>
      </c>
      <c r="N1215" s="101">
        <v>1295</v>
      </c>
      <c r="O1215" s="101">
        <v>686</v>
      </c>
      <c r="P1215" s="101">
        <v>8603</v>
      </c>
      <c r="Q1215" s="101">
        <v>109925</v>
      </c>
      <c r="R1215" s="12" t="s">
        <v>261</v>
      </c>
      <c r="S1215" s="12" t="s">
        <v>25</v>
      </c>
      <c r="T1215" s="12" t="s">
        <v>25</v>
      </c>
    </row>
    <row r="1216" spans="1:20" x14ac:dyDescent="0.3">
      <c r="A1216" s="13">
        <v>43942.708333333336</v>
      </c>
      <c r="B1216" s="12" t="s">
        <v>22</v>
      </c>
      <c r="C1216" s="101">
        <v>4</v>
      </c>
      <c r="D1216" s="12" t="s">
        <v>58</v>
      </c>
      <c r="E1216" s="101">
        <v>4606893511</v>
      </c>
      <c r="F1216" s="101">
        <v>1112123097</v>
      </c>
      <c r="G1216" s="101">
        <v>254</v>
      </c>
      <c r="H1216" s="101">
        <v>38</v>
      </c>
      <c r="I1216" s="101">
        <v>292</v>
      </c>
      <c r="J1216" s="101">
        <v>1617</v>
      </c>
      <c r="K1216" s="101">
        <v>1909</v>
      </c>
      <c r="L1216" s="101">
        <v>-20</v>
      </c>
      <c r="M1216" s="101">
        <v>24</v>
      </c>
      <c r="N1216" s="101">
        <v>1329</v>
      </c>
      <c r="O1216" s="101">
        <v>376</v>
      </c>
      <c r="P1216" s="101">
        <v>3614</v>
      </c>
      <c r="Q1216" s="101">
        <v>26610</v>
      </c>
      <c r="R1216" s="12" t="s">
        <v>262</v>
      </c>
      <c r="S1216" s="12" t="s">
        <v>25</v>
      </c>
      <c r="T1216" s="12" t="s">
        <v>25</v>
      </c>
    </row>
    <row r="1217" spans="1:20" x14ac:dyDescent="0.3">
      <c r="A1217" s="13">
        <v>43942.708333333336</v>
      </c>
      <c r="B1217" s="12" t="s">
        <v>22</v>
      </c>
      <c r="C1217" s="101">
        <v>10</v>
      </c>
      <c r="D1217" s="12" t="s">
        <v>59</v>
      </c>
      <c r="E1217" s="101">
        <v>4310675841</v>
      </c>
      <c r="F1217" s="101">
        <v>1238824698</v>
      </c>
      <c r="G1217" s="101">
        <v>107</v>
      </c>
      <c r="H1217" s="101">
        <v>22</v>
      </c>
      <c r="I1217" s="101">
        <v>129</v>
      </c>
      <c r="J1217" s="101">
        <v>278</v>
      </c>
      <c r="K1217" s="101">
        <v>407</v>
      </c>
      <c r="L1217" s="101">
        <v>-17</v>
      </c>
      <c r="M1217" s="101">
        <v>4</v>
      </c>
      <c r="N1217" s="101">
        <v>886</v>
      </c>
      <c r="O1217" s="101">
        <v>60</v>
      </c>
      <c r="P1217" s="101">
        <v>1353</v>
      </c>
      <c r="Q1217" s="101">
        <v>26639</v>
      </c>
      <c r="R1217" s="12" t="s">
        <v>263</v>
      </c>
      <c r="S1217" s="12" t="s">
        <v>25</v>
      </c>
      <c r="T1217" s="12" t="s">
        <v>25</v>
      </c>
    </row>
    <row r="1218" spans="1:20" x14ac:dyDescent="0.3">
      <c r="A1218" s="13">
        <v>43942.708333333336</v>
      </c>
      <c r="B1218" s="12" t="s">
        <v>22</v>
      </c>
      <c r="C1218" s="101">
        <v>2</v>
      </c>
      <c r="D1218" s="12" t="s">
        <v>60</v>
      </c>
      <c r="E1218" s="101">
        <v>4573750286</v>
      </c>
      <c r="F1218" s="101">
        <v>7320149366</v>
      </c>
      <c r="G1218" s="101">
        <v>99</v>
      </c>
      <c r="H1218" s="101">
        <v>8</v>
      </c>
      <c r="I1218" s="101">
        <v>107</v>
      </c>
      <c r="J1218" s="101">
        <v>415</v>
      </c>
      <c r="K1218" s="101">
        <v>522</v>
      </c>
      <c r="L1218" s="101">
        <v>-26</v>
      </c>
      <c r="M1218" s="101">
        <v>5</v>
      </c>
      <c r="N1218" s="101">
        <v>445</v>
      </c>
      <c r="O1218" s="101">
        <v>126</v>
      </c>
      <c r="P1218" s="101">
        <v>1093</v>
      </c>
      <c r="Q1218" s="101">
        <v>4911</v>
      </c>
      <c r="R1218" s="12" t="s">
        <v>264</v>
      </c>
      <c r="S1218" s="12" t="s">
        <v>25</v>
      </c>
      <c r="T1218" s="12" t="s">
        <v>25</v>
      </c>
    </row>
    <row r="1219" spans="1:20" x14ac:dyDescent="0.3">
      <c r="A1219" s="13">
        <v>43942.708333333336</v>
      </c>
      <c r="B1219" s="12" t="s">
        <v>22</v>
      </c>
      <c r="C1219" s="102">
        <v>5</v>
      </c>
      <c r="D1219" s="12" t="s">
        <v>61</v>
      </c>
      <c r="E1219" s="102">
        <v>4543490485</v>
      </c>
      <c r="F1219" s="102">
        <v>1233845213</v>
      </c>
      <c r="G1219" s="102">
        <v>1230</v>
      </c>
      <c r="H1219" s="102">
        <v>177</v>
      </c>
      <c r="I1219" s="102">
        <v>1407</v>
      </c>
      <c r="J1219" s="102">
        <v>8670</v>
      </c>
      <c r="K1219" s="102">
        <v>10077</v>
      </c>
      <c r="L1219" s="102">
        <v>16</v>
      </c>
      <c r="M1219" s="102">
        <v>277</v>
      </c>
      <c r="N1219" s="102">
        <v>5173</v>
      </c>
      <c r="O1219" s="102">
        <v>1154</v>
      </c>
      <c r="P1219" s="102">
        <v>16404</v>
      </c>
      <c r="Q1219" s="102">
        <v>268069</v>
      </c>
      <c r="R1219" s="12" t="s">
        <v>265</v>
      </c>
      <c r="S1219" s="12" t="s">
        <v>25</v>
      </c>
      <c r="T1219" s="12" t="s">
        <v>25</v>
      </c>
    </row>
    <row r="1220" spans="1:20" x14ac:dyDescent="0.3">
      <c r="A1220" s="13">
        <v>43943.708333333336</v>
      </c>
      <c r="B1220" s="12" t="s">
        <v>22</v>
      </c>
      <c r="C1220" s="102">
        <v>13</v>
      </c>
      <c r="D1220" s="12" t="s">
        <v>42</v>
      </c>
      <c r="E1220" s="102">
        <v>4235122196</v>
      </c>
      <c r="F1220" s="102">
        <v>1339843823</v>
      </c>
      <c r="G1220" s="102">
        <v>309</v>
      </c>
      <c r="H1220" s="102">
        <v>35</v>
      </c>
      <c r="I1220" s="102">
        <v>344</v>
      </c>
      <c r="J1220" s="102">
        <v>1764</v>
      </c>
      <c r="K1220" s="102">
        <v>2108</v>
      </c>
      <c r="L1220" s="102">
        <v>41</v>
      </c>
      <c r="M1220" s="102">
        <v>66</v>
      </c>
      <c r="N1220" s="102">
        <v>349</v>
      </c>
      <c r="O1220" s="102">
        <v>276</v>
      </c>
      <c r="P1220" s="102">
        <v>2733</v>
      </c>
      <c r="Q1220" s="102">
        <v>30348</v>
      </c>
      <c r="R1220" s="12" t="s">
        <v>269</v>
      </c>
      <c r="S1220" s="12" t="s">
        <v>25</v>
      </c>
      <c r="T1220" s="12" t="s">
        <v>25</v>
      </c>
    </row>
    <row r="1221" spans="1:20" x14ac:dyDescent="0.3">
      <c r="A1221" s="13">
        <v>43943.708333333336</v>
      </c>
      <c r="B1221" s="12" t="s">
        <v>22</v>
      </c>
      <c r="C1221" s="102">
        <v>17</v>
      </c>
      <c r="D1221" s="12" t="s">
        <v>43</v>
      </c>
      <c r="E1221" s="102">
        <v>4063947052</v>
      </c>
      <c r="F1221" s="102">
        <v>1580514834</v>
      </c>
      <c r="G1221" s="102">
        <v>65</v>
      </c>
      <c r="H1221" s="102">
        <v>7</v>
      </c>
      <c r="I1221" s="102">
        <v>72</v>
      </c>
      <c r="J1221" s="102">
        <v>160</v>
      </c>
      <c r="K1221" s="102">
        <v>232</v>
      </c>
      <c r="L1221" s="102">
        <v>-13</v>
      </c>
      <c r="M1221" s="102">
        <v>4</v>
      </c>
      <c r="N1221" s="102">
        <v>98</v>
      </c>
      <c r="O1221" s="102">
        <v>24</v>
      </c>
      <c r="P1221" s="102">
        <v>354</v>
      </c>
      <c r="Q1221" s="102">
        <v>8040</v>
      </c>
      <c r="R1221" s="12" t="s">
        <v>270</v>
      </c>
      <c r="S1221" s="12" t="s">
        <v>25</v>
      </c>
      <c r="T1221" s="12" t="s">
        <v>25</v>
      </c>
    </row>
    <row r="1222" spans="1:20" x14ac:dyDescent="0.3">
      <c r="A1222" s="13">
        <v>43943.708333333336</v>
      </c>
      <c r="B1222" s="12" t="s">
        <v>22</v>
      </c>
      <c r="C1222" s="102">
        <v>4</v>
      </c>
      <c r="D1222" s="12" t="s">
        <v>44</v>
      </c>
      <c r="E1222" s="102">
        <v>4649933453</v>
      </c>
      <c r="F1222" s="102">
        <v>1135662422</v>
      </c>
      <c r="G1222" s="102">
        <v>157</v>
      </c>
      <c r="H1222" s="102">
        <v>19</v>
      </c>
      <c r="I1222" s="102">
        <v>176</v>
      </c>
      <c r="J1222" s="102">
        <v>1336</v>
      </c>
      <c r="K1222" s="102">
        <v>1512</v>
      </c>
      <c r="L1222" s="102">
        <v>-24</v>
      </c>
      <c r="M1222" s="102">
        <v>6</v>
      </c>
      <c r="N1222" s="102">
        <v>648</v>
      </c>
      <c r="O1222" s="102">
        <v>256</v>
      </c>
      <c r="P1222" s="102">
        <v>2416</v>
      </c>
      <c r="Q1222" s="102">
        <v>32722</v>
      </c>
      <c r="R1222" s="12" t="s">
        <v>271</v>
      </c>
      <c r="S1222" s="12" t="s">
        <v>25</v>
      </c>
      <c r="T1222" s="12" t="s">
        <v>25</v>
      </c>
    </row>
    <row r="1223" spans="1:20" x14ac:dyDescent="0.3">
      <c r="A1223" s="13">
        <v>43943.708333333336</v>
      </c>
      <c r="B1223" s="12" t="s">
        <v>22</v>
      </c>
      <c r="C1223" s="102">
        <v>18</v>
      </c>
      <c r="D1223" s="12" t="s">
        <v>45</v>
      </c>
      <c r="E1223" s="102">
        <v>3890597598</v>
      </c>
      <c r="F1223" s="102">
        <v>1659440194</v>
      </c>
      <c r="G1223" s="102">
        <v>128</v>
      </c>
      <c r="H1223" s="102">
        <v>7</v>
      </c>
      <c r="I1223" s="102">
        <v>135</v>
      </c>
      <c r="J1223" s="102">
        <v>686</v>
      </c>
      <c r="K1223" s="102">
        <v>821</v>
      </c>
      <c r="L1223" s="102">
        <v>2</v>
      </c>
      <c r="M1223" s="102">
        <v>13</v>
      </c>
      <c r="N1223" s="102">
        <v>163</v>
      </c>
      <c r="O1223" s="102">
        <v>76</v>
      </c>
      <c r="P1223" s="102">
        <v>1060</v>
      </c>
      <c r="Q1223" s="102">
        <v>26560</v>
      </c>
      <c r="R1223" s="12" t="s">
        <v>272</v>
      </c>
      <c r="S1223" s="12" t="s">
        <v>25</v>
      </c>
      <c r="T1223" s="12" t="s">
        <v>25</v>
      </c>
    </row>
    <row r="1224" spans="1:20" x14ac:dyDescent="0.3">
      <c r="A1224" s="13">
        <v>43943.708333333336</v>
      </c>
      <c r="B1224" s="12" t="s">
        <v>22</v>
      </c>
      <c r="C1224" s="102">
        <v>15</v>
      </c>
      <c r="D1224" s="12" t="s">
        <v>46</v>
      </c>
      <c r="E1224" s="102">
        <v>4083956555</v>
      </c>
      <c r="F1224" s="102">
        <v>1425084984</v>
      </c>
      <c r="G1224" s="102">
        <v>523</v>
      </c>
      <c r="H1224" s="102">
        <v>53</v>
      </c>
      <c r="I1224" s="102">
        <v>576</v>
      </c>
      <c r="J1224" s="102">
        <v>2422</v>
      </c>
      <c r="K1224" s="102">
        <v>2998</v>
      </c>
      <c r="L1224" s="102">
        <v>52</v>
      </c>
      <c r="M1224" s="102">
        <v>50</v>
      </c>
      <c r="N1224" s="102">
        <v>860</v>
      </c>
      <c r="O1224" s="102">
        <v>327</v>
      </c>
      <c r="P1224" s="102">
        <v>4185</v>
      </c>
      <c r="Q1224" s="102">
        <v>55701</v>
      </c>
      <c r="R1224" s="12" t="s">
        <v>273</v>
      </c>
      <c r="S1224" s="12" t="s">
        <v>25</v>
      </c>
      <c r="T1224" s="12" t="s">
        <v>25</v>
      </c>
    </row>
    <row r="1225" spans="1:20" x14ac:dyDescent="0.3">
      <c r="A1225" s="13">
        <v>43943.708333333336</v>
      </c>
      <c r="B1225" s="12" t="s">
        <v>22</v>
      </c>
      <c r="C1225" s="102">
        <v>8</v>
      </c>
      <c r="D1225" s="12" t="s">
        <v>96</v>
      </c>
      <c r="E1225" s="102">
        <v>4449436681</v>
      </c>
      <c r="F1225" s="102">
        <v>113417208</v>
      </c>
      <c r="G1225" s="102">
        <v>2964</v>
      </c>
      <c r="H1225" s="102">
        <v>282</v>
      </c>
      <c r="I1225" s="102">
        <v>3246</v>
      </c>
      <c r="J1225" s="102">
        <v>9838</v>
      </c>
      <c r="K1225" s="102">
        <v>13084</v>
      </c>
      <c r="L1225" s="102">
        <v>-160</v>
      </c>
      <c r="M1225" s="102">
        <v>342</v>
      </c>
      <c r="N1225" s="102">
        <v>7146</v>
      </c>
      <c r="O1225" s="102">
        <v>3204</v>
      </c>
      <c r="P1225" s="102">
        <v>23434</v>
      </c>
      <c r="Q1225" s="102">
        <v>140874</v>
      </c>
      <c r="R1225" s="12" t="s">
        <v>274</v>
      </c>
      <c r="S1225" s="12" t="s">
        <v>25</v>
      </c>
      <c r="T1225" s="12" t="s">
        <v>25</v>
      </c>
    </row>
    <row r="1226" spans="1:20" x14ac:dyDescent="0.3">
      <c r="A1226" s="13">
        <v>43943.708333333336</v>
      </c>
      <c r="B1226" s="12" t="s">
        <v>22</v>
      </c>
      <c r="C1226" s="102">
        <v>6</v>
      </c>
      <c r="D1226" s="12" t="s">
        <v>47</v>
      </c>
      <c r="E1226" s="102">
        <v>456494354</v>
      </c>
      <c r="F1226" s="102">
        <v>1376813649</v>
      </c>
      <c r="G1226" s="102">
        <v>134</v>
      </c>
      <c r="H1226" s="102">
        <v>20</v>
      </c>
      <c r="I1226" s="102">
        <v>154</v>
      </c>
      <c r="J1226" s="102">
        <v>1154</v>
      </c>
      <c r="K1226" s="102">
        <v>1308</v>
      </c>
      <c r="L1226" s="102">
        <v>-14</v>
      </c>
      <c r="M1226" s="102">
        <v>25</v>
      </c>
      <c r="N1226" s="102">
        <v>1263</v>
      </c>
      <c r="O1226" s="102">
        <v>246</v>
      </c>
      <c r="P1226" s="102">
        <v>2817</v>
      </c>
      <c r="Q1226" s="102">
        <v>50869</v>
      </c>
      <c r="R1226" s="12" t="s">
        <v>275</v>
      </c>
      <c r="S1226" s="12" t="s">
        <v>25</v>
      </c>
      <c r="T1226" s="12" t="s">
        <v>25</v>
      </c>
    </row>
    <row r="1227" spans="1:20" x14ac:dyDescent="0.3">
      <c r="A1227" s="13">
        <v>43943.708333333336</v>
      </c>
      <c r="B1227" s="12" t="s">
        <v>22</v>
      </c>
      <c r="C1227" s="102">
        <v>12</v>
      </c>
      <c r="D1227" s="12" t="s">
        <v>48</v>
      </c>
      <c r="E1227" s="102">
        <v>4189277044</v>
      </c>
      <c r="F1227" s="102">
        <v>1248366722</v>
      </c>
      <c r="G1227" s="102">
        <v>1384</v>
      </c>
      <c r="H1227" s="102">
        <v>187</v>
      </c>
      <c r="I1227" s="102">
        <v>1571</v>
      </c>
      <c r="J1227" s="102">
        <v>2892</v>
      </c>
      <c r="K1227" s="102">
        <v>4463</v>
      </c>
      <c r="L1227" s="102">
        <v>61</v>
      </c>
      <c r="M1227" s="102">
        <v>80</v>
      </c>
      <c r="N1227" s="102">
        <v>1142</v>
      </c>
      <c r="O1227" s="102">
        <v>370</v>
      </c>
      <c r="P1227" s="102">
        <v>5975</v>
      </c>
      <c r="Q1227" s="102">
        <v>104062</v>
      </c>
      <c r="R1227" s="12" t="s">
        <v>276</v>
      </c>
      <c r="S1227" s="12" t="s">
        <v>25</v>
      </c>
      <c r="T1227" s="12" t="s">
        <v>25</v>
      </c>
    </row>
    <row r="1228" spans="1:20" x14ac:dyDescent="0.3">
      <c r="A1228" s="13">
        <v>43943.708333333336</v>
      </c>
      <c r="B1228" s="12" t="s">
        <v>22</v>
      </c>
      <c r="C1228" s="102">
        <v>7</v>
      </c>
      <c r="D1228" s="12" t="s">
        <v>49</v>
      </c>
      <c r="E1228" s="102">
        <v>4441149315</v>
      </c>
      <c r="F1228" s="102">
        <v>89326992</v>
      </c>
      <c r="G1228" s="102">
        <v>860</v>
      </c>
      <c r="H1228" s="102">
        <v>92</v>
      </c>
      <c r="I1228" s="102">
        <v>952</v>
      </c>
      <c r="J1228" s="102">
        <v>2524</v>
      </c>
      <c r="K1228" s="102">
        <v>3476</v>
      </c>
      <c r="L1228" s="102">
        <v>13</v>
      </c>
      <c r="M1228" s="102">
        <v>154</v>
      </c>
      <c r="N1228" s="102">
        <v>2420</v>
      </c>
      <c r="O1228" s="102">
        <v>1022</v>
      </c>
      <c r="P1228" s="102">
        <v>6918</v>
      </c>
      <c r="Q1228" s="102">
        <v>35990</v>
      </c>
      <c r="R1228" s="12" t="s">
        <v>277</v>
      </c>
      <c r="S1228" s="12" t="s">
        <v>25</v>
      </c>
      <c r="T1228" s="12" t="s">
        <v>25</v>
      </c>
    </row>
    <row r="1229" spans="1:20" x14ac:dyDescent="0.3">
      <c r="A1229" s="13">
        <v>43943.708333333336</v>
      </c>
      <c r="B1229" s="12" t="s">
        <v>22</v>
      </c>
      <c r="C1229" s="102">
        <v>3</v>
      </c>
      <c r="D1229" s="12" t="s">
        <v>50</v>
      </c>
      <c r="E1229" s="102">
        <v>4546679409</v>
      </c>
      <c r="F1229" s="102">
        <v>9190347404</v>
      </c>
      <c r="G1229" s="102">
        <v>9692</v>
      </c>
      <c r="H1229" s="102">
        <v>817</v>
      </c>
      <c r="I1229" s="102">
        <v>10509</v>
      </c>
      <c r="J1229" s="102">
        <v>23733</v>
      </c>
      <c r="K1229" s="102">
        <v>34242</v>
      </c>
      <c r="L1229" s="102">
        <v>264</v>
      </c>
      <c r="M1229" s="102">
        <v>1161</v>
      </c>
      <c r="N1229" s="102">
        <v>22110</v>
      </c>
      <c r="O1229" s="102">
        <v>12740</v>
      </c>
      <c r="P1229" s="102">
        <v>69092</v>
      </c>
      <c r="Q1229" s="102">
        <v>290699</v>
      </c>
      <c r="R1229" s="12" t="s">
        <v>278</v>
      </c>
      <c r="S1229" s="12" t="s">
        <v>25</v>
      </c>
      <c r="T1229" s="12" t="s">
        <v>25</v>
      </c>
    </row>
    <row r="1230" spans="1:20" x14ac:dyDescent="0.3">
      <c r="A1230" s="13">
        <v>43943.708333333336</v>
      </c>
      <c r="B1230" s="12" t="s">
        <v>22</v>
      </c>
      <c r="C1230" s="102">
        <v>11</v>
      </c>
      <c r="D1230" s="12" t="s">
        <v>51</v>
      </c>
      <c r="E1230" s="102">
        <v>4361675973</v>
      </c>
      <c r="F1230" s="102">
        <v>135188753</v>
      </c>
      <c r="G1230" s="102">
        <v>735</v>
      </c>
      <c r="H1230" s="102">
        <v>76</v>
      </c>
      <c r="I1230" s="102">
        <v>811</v>
      </c>
      <c r="J1230" s="102">
        <v>2419</v>
      </c>
      <c r="K1230" s="102">
        <v>3230</v>
      </c>
      <c r="L1230" s="102">
        <v>12</v>
      </c>
      <c r="M1230" s="102">
        <v>47</v>
      </c>
      <c r="N1230" s="102">
        <v>1849</v>
      </c>
      <c r="O1230" s="102">
        <v>845</v>
      </c>
      <c r="P1230" s="102">
        <v>5924</v>
      </c>
      <c r="Q1230" s="102">
        <v>46492</v>
      </c>
      <c r="R1230" s="12" t="s">
        <v>279</v>
      </c>
      <c r="S1230" s="12" t="s">
        <v>25</v>
      </c>
      <c r="T1230" s="12" t="s">
        <v>25</v>
      </c>
    </row>
    <row r="1231" spans="1:20" x14ac:dyDescent="0.3">
      <c r="A1231" s="13">
        <v>43943.708333333336</v>
      </c>
      <c r="B1231" s="12" t="s">
        <v>22</v>
      </c>
      <c r="C1231" s="102">
        <v>14</v>
      </c>
      <c r="D1231" s="12" t="s">
        <v>52</v>
      </c>
      <c r="E1231" s="102">
        <v>4155774754</v>
      </c>
      <c r="F1231" s="102">
        <v>1465916051</v>
      </c>
      <c r="G1231" s="102">
        <v>21</v>
      </c>
      <c r="H1231" s="102">
        <v>2</v>
      </c>
      <c r="I1231" s="102">
        <v>23</v>
      </c>
      <c r="J1231" s="102">
        <v>182</v>
      </c>
      <c r="K1231" s="102">
        <v>205</v>
      </c>
      <c r="L1231" s="102">
        <v>-8</v>
      </c>
      <c r="M1231" s="102">
        <v>2</v>
      </c>
      <c r="N1231" s="102">
        <v>60</v>
      </c>
      <c r="O1231" s="102">
        <v>19</v>
      </c>
      <c r="P1231" s="102">
        <v>284</v>
      </c>
      <c r="Q1231" s="102">
        <v>4425</v>
      </c>
      <c r="R1231" s="12" t="s">
        <v>280</v>
      </c>
      <c r="S1231" s="12" t="s">
        <v>25</v>
      </c>
      <c r="T1231" s="12" t="s">
        <v>25</v>
      </c>
    </row>
    <row r="1232" spans="1:20" x14ac:dyDescent="0.3">
      <c r="A1232" s="13">
        <v>43943.708333333336</v>
      </c>
      <c r="B1232" s="12" t="s">
        <v>22</v>
      </c>
      <c r="C1232" s="102">
        <v>1</v>
      </c>
      <c r="D1232" s="12" t="s">
        <v>53</v>
      </c>
      <c r="E1232" s="102">
        <v>450732745</v>
      </c>
      <c r="F1232" s="102">
        <v>7680687483</v>
      </c>
      <c r="G1232" s="102">
        <v>3213</v>
      </c>
      <c r="H1232" s="102">
        <v>273</v>
      </c>
      <c r="I1232" s="102">
        <v>3486</v>
      </c>
      <c r="J1232" s="102">
        <v>11636</v>
      </c>
      <c r="K1232" s="102">
        <v>15122</v>
      </c>
      <c r="L1232" s="102">
        <v>311</v>
      </c>
      <c r="M1232" s="102">
        <v>784</v>
      </c>
      <c r="N1232" s="102">
        <v>5058</v>
      </c>
      <c r="O1232" s="102">
        <v>2559</v>
      </c>
      <c r="P1232" s="102">
        <v>22739</v>
      </c>
      <c r="Q1232" s="102">
        <v>111513</v>
      </c>
      <c r="R1232" s="12" t="s">
        <v>281</v>
      </c>
      <c r="S1232" s="12" t="s">
        <v>25</v>
      </c>
      <c r="T1232" s="12" t="s">
        <v>25</v>
      </c>
    </row>
    <row r="1233" spans="1:20" x14ac:dyDescent="0.3">
      <c r="A1233" s="13">
        <v>43943.708333333336</v>
      </c>
      <c r="B1233" s="12" t="s">
        <v>22</v>
      </c>
      <c r="C1233" s="102">
        <v>16</v>
      </c>
      <c r="D1233" s="12" t="s">
        <v>54</v>
      </c>
      <c r="E1233" s="102">
        <v>4112559576</v>
      </c>
      <c r="F1233" s="102">
        <v>1686736689</v>
      </c>
      <c r="G1233" s="102">
        <v>564</v>
      </c>
      <c r="H1233" s="102">
        <v>60</v>
      </c>
      <c r="I1233" s="102">
        <v>624</v>
      </c>
      <c r="J1233" s="102">
        <v>2250</v>
      </c>
      <c r="K1233" s="102">
        <v>2874</v>
      </c>
      <c r="L1233" s="102">
        <v>62</v>
      </c>
      <c r="M1233" s="102">
        <v>108</v>
      </c>
      <c r="N1233" s="102">
        <v>494</v>
      </c>
      <c r="O1233" s="102">
        <v>362</v>
      </c>
      <c r="P1233" s="102">
        <v>3730</v>
      </c>
      <c r="Q1233" s="102">
        <v>48342</v>
      </c>
      <c r="R1233" s="12" t="s">
        <v>282</v>
      </c>
      <c r="S1233" s="12" t="s">
        <v>25</v>
      </c>
      <c r="T1233" s="12" t="s">
        <v>25</v>
      </c>
    </row>
    <row r="1234" spans="1:20" x14ac:dyDescent="0.3">
      <c r="A1234" s="13">
        <v>43943.708333333336</v>
      </c>
      <c r="B1234" s="12" t="s">
        <v>22</v>
      </c>
      <c r="C1234" s="102">
        <v>20</v>
      </c>
      <c r="D1234" s="12" t="s">
        <v>55</v>
      </c>
      <c r="E1234" s="102">
        <v>3921531192</v>
      </c>
      <c r="F1234" s="102">
        <v>9110616306</v>
      </c>
      <c r="G1234" s="102">
        <v>97</v>
      </c>
      <c r="H1234" s="102">
        <v>20</v>
      </c>
      <c r="I1234" s="102">
        <v>117</v>
      </c>
      <c r="J1234" s="102">
        <v>716</v>
      </c>
      <c r="K1234" s="102">
        <v>833</v>
      </c>
      <c r="L1234" s="102">
        <v>-4</v>
      </c>
      <c r="M1234" s="102">
        <v>11</v>
      </c>
      <c r="N1234" s="102">
        <v>318</v>
      </c>
      <c r="O1234" s="102">
        <v>96</v>
      </c>
      <c r="P1234" s="102">
        <v>1247</v>
      </c>
      <c r="Q1234" s="102">
        <v>16886</v>
      </c>
      <c r="R1234" s="12" t="s">
        <v>283</v>
      </c>
      <c r="S1234" s="12" t="s">
        <v>25</v>
      </c>
      <c r="T1234" s="12" t="s">
        <v>25</v>
      </c>
    </row>
    <row r="1235" spans="1:20" x14ac:dyDescent="0.3">
      <c r="A1235" s="13">
        <v>43943.708333333336</v>
      </c>
      <c r="B1235" s="12" t="s">
        <v>22</v>
      </c>
      <c r="C1235" s="102">
        <v>19</v>
      </c>
      <c r="D1235" s="12" t="s">
        <v>56</v>
      </c>
      <c r="E1235" s="102">
        <v>3811569725</v>
      </c>
      <c r="F1235" s="102">
        <v>133623567</v>
      </c>
      <c r="G1235" s="102">
        <v>500</v>
      </c>
      <c r="H1235" s="102">
        <v>35</v>
      </c>
      <c r="I1235" s="102">
        <v>535</v>
      </c>
      <c r="J1235" s="102">
        <v>1752</v>
      </c>
      <c r="K1235" s="102">
        <v>2287</v>
      </c>
      <c r="L1235" s="102">
        <v>28</v>
      </c>
      <c r="M1235" s="102">
        <v>48</v>
      </c>
      <c r="N1235" s="102">
        <v>388</v>
      </c>
      <c r="O1235" s="102">
        <v>208</v>
      </c>
      <c r="P1235" s="102">
        <v>2883</v>
      </c>
      <c r="Q1235" s="102">
        <v>58732</v>
      </c>
      <c r="R1235" s="12" t="s">
        <v>284</v>
      </c>
      <c r="S1235" s="12" t="s">
        <v>25</v>
      </c>
      <c r="T1235" s="12" t="s">
        <v>25</v>
      </c>
    </row>
    <row r="1236" spans="1:20" x14ac:dyDescent="0.3">
      <c r="A1236" s="13">
        <v>43943.708333333336</v>
      </c>
      <c r="B1236" s="12" t="s">
        <v>22</v>
      </c>
      <c r="C1236" s="102">
        <v>9</v>
      </c>
      <c r="D1236" s="12" t="s">
        <v>57</v>
      </c>
      <c r="E1236" s="102">
        <v>4376923077</v>
      </c>
      <c r="F1236" s="102">
        <v>1125588885</v>
      </c>
      <c r="G1236" s="102">
        <v>820</v>
      </c>
      <c r="H1236" s="102">
        <v>174</v>
      </c>
      <c r="I1236" s="102">
        <v>994</v>
      </c>
      <c r="J1236" s="102">
        <v>5173</v>
      </c>
      <c r="K1236" s="102">
        <v>6167</v>
      </c>
      <c r="L1236" s="102">
        <v>-455</v>
      </c>
      <c r="M1236" s="102">
        <v>97</v>
      </c>
      <c r="N1236" s="102">
        <v>1828</v>
      </c>
      <c r="O1236" s="102">
        <v>705</v>
      </c>
      <c r="P1236" s="102">
        <v>8700</v>
      </c>
      <c r="Q1236" s="102">
        <v>114100</v>
      </c>
      <c r="R1236" s="12" t="s">
        <v>285</v>
      </c>
      <c r="S1236" s="12" t="s">
        <v>25</v>
      </c>
      <c r="T1236" s="12" t="s">
        <v>25</v>
      </c>
    </row>
    <row r="1237" spans="1:20" x14ac:dyDescent="0.3">
      <c r="A1237" s="13">
        <v>43943.708333333336</v>
      </c>
      <c r="B1237" s="12" t="s">
        <v>22</v>
      </c>
      <c r="C1237" s="102">
        <v>4</v>
      </c>
      <c r="D1237" s="12" t="s">
        <v>58</v>
      </c>
      <c r="E1237" s="102">
        <v>4606893511</v>
      </c>
      <c r="F1237" s="102">
        <v>1112123097</v>
      </c>
      <c r="G1237" s="102">
        <v>245</v>
      </c>
      <c r="H1237" s="102">
        <v>34</v>
      </c>
      <c r="I1237" s="102">
        <v>279</v>
      </c>
      <c r="J1237" s="102">
        <v>1595</v>
      </c>
      <c r="K1237" s="102">
        <v>1874</v>
      </c>
      <c r="L1237" s="102">
        <v>-35</v>
      </c>
      <c r="M1237" s="102">
        <v>32</v>
      </c>
      <c r="N1237" s="102">
        <v>1391</v>
      </c>
      <c r="O1237" s="102">
        <v>381</v>
      </c>
      <c r="P1237" s="102">
        <v>3646</v>
      </c>
      <c r="Q1237" s="102">
        <v>26674</v>
      </c>
      <c r="R1237" s="12" t="s">
        <v>286</v>
      </c>
      <c r="S1237" s="12" t="s">
        <v>25</v>
      </c>
      <c r="T1237" s="12" t="s">
        <v>25</v>
      </c>
    </row>
    <row r="1238" spans="1:20" x14ac:dyDescent="0.3">
      <c r="A1238" s="13">
        <v>43943.708333333336</v>
      </c>
      <c r="B1238" s="12" t="s">
        <v>22</v>
      </c>
      <c r="C1238" s="102">
        <v>10</v>
      </c>
      <c r="D1238" s="12" t="s">
        <v>59</v>
      </c>
      <c r="E1238" s="102">
        <v>4310675841</v>
      </c>
      <c r="F1238" s="102">
        <v>1238824698</v>
      </c>
      <c r="G1238" s="102">
        <v>97</v>
      </c>
      <c r="H1238" s="102">
        <v>20</v>
      </c>
      <c r="I1238" s="102">
        <v>117</v>
      </c>
      <c r="J1238" s="102">
        <v>254</v>
      </c>
      <c r="K1238" s="102">
        <v>371</v>
      </c>
      <c r="L1238" s="102">
        <v>-36</v>
      </c>
      <c r="M1238" s="102">
        <v>4</v>
      </c>
      <c r="N1238" s="102">
        <v>925</v>
      </c>
      <c r="O1238" s="102">
        <v>61</v>
      </c>
      <c r="P1238" s="102">
        <v>1357</v>
      </c>
      <c r="Q1238" s="102">
        <v>27655</v>
      </c>
      <c r="R1238" s="12" t="s">
        <v>287</v>
      </c>
      <c r="S1238" s="12" t="s">
        <v>25</v>
      </c>
      <c r="T1238" s="12" t="s">
        <v>25</v>
      </c>
    </row>
    <row r="1239" spans="1:20" x14ac:dyDescent="0.3">
      <c r="A1239" s="13">
        <v>43943.708333333336</v>
      </c>
      <c r="B1239" s="12" t="s">
        <v>22</v>
      </c>
      <c r="C1239" s="102">
        <v>2</v>
      </c>
      <c r="D1239" s="12" t="s">
        <v>60</v>
      </c>
      <c r="E1239" s="102">
        <v>4573750286</v>
      </c>
      <c r="F1239" s="102">
        <v>7320149366</v>
      </c>
      <c r="G1239" s="102">
        <v>92</v>
      </c>
      <c r="H1239" s="102">
        <v>8</v>
      </c>
      <c r="I1239" s="102">
        <v>100</v>
      </c>
      <c r="J1239" s="102">
        <v>401</v>
      </c>
      <c r="K1239" s="102">
        <v>501</v>
      </c>
      <c r="L1239" s="102">
        <v>-21</v>
      </c>
      <c r="M1239" s="102">
        <v>2</v>
      </c>
      <c r="N1239" s="102">
        <v>467</v>
      </c>
      <c r="O1239" s="102">
        <v>127</v>
      </c>
      <c r="P1239" s="102">
        <v>1095</v>
      </c>
      <c r="Q1239" s="102">
        <v>5024</v>
      </c>
      <c r="R1239" s="12" t="s">
        <v>288</v>
      </c>
      <c r="S1239" s="12" t="s">
        <v>25</v>
      </c>
      <c r="T1239" s="12" t="s">
        <v>25</v>
      </c>
    </row>
    <row r="1240" spans="1:20" x14ac:dyDescent="0.3">
      <c r="A1240" s="13">
        <v>43943.708333333336</v>
      </c>
      <c r="B1240" s="12" t="s">
        <v>22</v>
      </c>
      <c r="C1240" s="105">
        <v>5</v>
      </c>
      <c r="D1240" s="12" t="s">
        <v>61</v>
      </c>
      <c r="E1240" s="105">
        <v>4543490485</v>
      </c>
      <c r="F1240" s="105">
        <v>1233845213</v>
      </c>
      <c r="G1240" s="105">
        <v>1205</v>
      </c>
      <c r="H1240" s="105">
        <v>163</v>
      </c>
      <c r="I1240" s="105">
        <v>1368</v>
      </c>
      <c r="J1240" s="105">
        <v>8623</v>
      </c>
      <c r="K1240" s="105">
        <v>9991</v>
      </c>
      <c r="L1240" s="105">
        <v>-86</v>
      </c>
      <c r="M1240" s="105">
        <v>334</v>
      </c>
      <c r="N1240" s="105">
        <v>5566</v>
      </c>
      <c r="O1240" s="105">
        <v>1181</v>
      </c>
      <c r="P1240" s="105">
        <v>16738</v>
      </c>
      <c r="Q1240" s="105">
        <v>277543</v>
      </c>
      <c r="R1240" s="12" t="s">
        <v>289</v>
      </c>
      <c r="S1240" s="12" t="s">
        <v>25</v>
      </c>
      <c r="T1240" s="12" t="s">
        <v>25</v>
      </c>
    </row>
    <row r="1241" spans="1:20" x14ac:dyDescent="0.3">
      <c r="A1241" s="13">
        <v>43944.708333333336</v>
      </c>
      <c r="B1241" s="12" t="s">
        <v>22</v>
      </c>
      <c r="C1241" s="105">
        <v>13</v>
      </c>
      <c r="D1241" s="12" t="s">
        <v>42</v>
      </c>
      <c r="E1241" s="105">
        <v>4235122196</v>
      </c>
      <c r="F1241" s="105">
        <v>1339843823</v>
      </c>
      <c r="G1241" s="105">
        <v>322</v>
      </c>
      <c r="H1241" s="105">
        <v>31</v>
      </c>
      <c r="I1241" s="105">
        <v>353</v>
      </c>
      <c r="J1241" s="105">
        <v>1747</v>
      </c>
      <c r="K1241" s="105">
        <v>2100</v>
      </c>
      <c r="L1241" s="105">
        <v>-8</v>
      </c>
      <c r="M1241" s="105">
        <v>52</v>
      </c>
      <c r="N1241" s="105">
        <v>405</v>
      </c>
      <c r="O1241" s="105">
        <v>280</v>
      </c>
      <c r="P1241" s="105">
        <v>2785</v>
      </c>
      <c r="Q1241" s="105">
        <v>31187</v>
      </c>
      <c r="R1241" s="12" t="s">
        <v>321</v>
      </c>
      <c r="S1241" s="12" t="s">
        <v>25</v>
      </c>
      <c r="T1241" s="12" t="s">
        <v>25</v>
      </c>
    </row>
    <row r="1242" spans="1:20" x14ac:dyDescent="0.3">
      <c r="A1242" s="13">
        <v>43944.708333333336</v>
      </c>
      <c r="B1242" s="12" t="s">
        <v>22</v>
      </c>
      <c r="C1242" s="105">
        <v>17</v>
      </c>
      <c r="D1242" s="12" t="s">
        <v>43</v>
      </c>
      <c r="E1242" s="105">
        <v>4063947052</v>
      </c>
      <c r="F1242" s="105">
        <v>1580514834</v>
      </c>
      <c r="G1242" s="105">
        <v>61</v>
      </c>
      <c r="H1242" s="105">
        <v>7</v>
      </c>
      <c r="I1242" s="105">
        <v>68</v>
      </c>
      <c r="J1242" s="105">
        <v>161</v>
      </c>
      <c r="K1242" s="105">
        <v>229</v>
      </c>
      <c r="L1242" s="105">
        <v>-3</v>
      </c>
      <c r="M1242" s="105">
        <v>2</v>
      </c>
      <c r="N1242" s="105">
        <v>103</v>
      </c>
      <c r="O1242" s="105">
        <v>24</v>
      </c>
      <c r="P1242" s="105">
        <v>356</v>
      </c>
      <c r="Q1242" s="105">
        <v>8511</v>
      </c>
      <c r="R1242" s="12" t="s">
        <v>322</v>
      </c>
      <c r="S1242" s="12" t="s">
        <v>25</v>
      </c>
      <c r="T1242" s="12" t="s">
        <v>25</v>
      </c>
    </row>
    <row r="1243" spans="1:20" x14ac:dyDescent="0.3">
      <c r="A1243" s="13">
        <v>43944.708333333336</v>
      </c>
      <c r="B1243" s="12" t="s">
        <v>22</v>
      </c>
      <c r="C1243" s="105">
        <v>4</v>
      </c>
      <c r="D1243" s="12" t="s">
        <v>44</v>
      </c>
      <c r="E1243" s="105">
        <v>4649933453</v>
      </c>
      <c r="F1243" s="105">
        <v>1135662422</v>
      </c>
      <c r="G1243" s="105">
        <v>141</v>
      </c>
      <c r="H1243" s="105">
        <v>17</v>
      </c>
      <c r="I1243" s="105">
        <v>158</v>
      </c>
      <c r="J1243" s="105">
        <v>1336</v>
      </c>
      <c r="K1243" s="105">
        <v>1494</v>
      </c>
      <c r="L1243" s="105">
        <v>-18</v>
      </c>
      <c r="M1243" s="105">
        <v>19</v>
      </c>
      <c r="N1243" s="105">
        <v>680</v>
      </c>
      <c r="O1243" s="105">
        <v>261</v>
      </c>
      <c r="P1243" s="105">
        <v>2435</v>
      </c>
      <c r="Q1243" s="105">
        <v>33994</v>
      </c>
      <c r="R1243" s="12" t="s">
        <v>323</v>
      </c>
      <c r="S1243" s="12" t="s">
        <v>25</v>
      </c>
      <c r="T1243" s="12" t="s">
        <v>25</v>
      </c>
    </row>
    <row r="1244" spans="1:20" x14ac:dyDescent="0.3">
      <c r="A1244" s="13">
        <v>43944.708333333336</v>
      </c>
      <c r="B1244" s="12" t="s">
        <v>22</v>
      </c>
      <c r="C1244" s="105">
        <v>18</v>
      </c>
      <c r="D1244" s="12" t="s">
        <v>45</v>
      </c>
      <c r="E1244" s="105">
        <v>3890597598</v>
      </c>
      <c r="F1244" s="105">
        <v>1659440194</v>
      </c>
      <c r="G1244" s="105">
        <v>129</v>
      </c>
      <c r="H1244" s="105">
        <v>7</v>
      </c>
      <c r="I1244" s="105">
        <v>136</v>
      </c>
      <c r="J1244" s="105">
        <v>687</v>
      </c>
      <c r="K1244" s="105">
        <v>823</v>
      </c>
      <c r="L1244" s="105">
        <v>2</v>
      </c>
      <c r="M1244" s="105">
        <v>9</v>
      </c>
      <c r="N1244" s="105">
        <v>170</v>
      </c>
      <c r="O1244" s="105">
        <v>76</v>
      </c>
      <c r="P1244" s="105">
        <v>1069</v>
      </c>
      <c r="Q1244" s="105">
        <v>27869</v>
      </c>
      <c r="R1244" s="12" t="s">
        <v>324</v>
      </c>
      <c r="S1244" s="12" t="s">
        <v>25</v>
      </c>
      <c r="T1244" s="12" t="s">
        <v>25</v>
      </c>
    </row>
    <row r="1245" spans="1:20" x14ac:dyDescent="0.3">
      <c r="A1245" s="13">
        <v>43944.708333333336</v>
      </c>
      <c r="B1245" s="12" t="s">
        <v>22</v>
      </c>
      <c r="C1245" s="105">
        <v>15</v>
      </c>
      <c r="D1245" s="12" t="s">
        <v>46</v>
      </c>
      <c r="E1245" s="105">
        <v>4083956555</v>
      </c>
      <c r="F1245" s="105">
        <v>1425084984</v>
      </c>
      <c r="G1245" s="105">
        <v>539</v>
      </c>
      <c r="H1245" s="105">
        <v>47</v>
      </c>
      <c r="I1245" s="105">
        <v>586</v>
      </c>
      <c r="J1245" s="105">
        <v>2392</v>
      </c>
      <c r="K1245" s="105">
        <v>2978</v>
      </c>
      <c r="L1245" s="105">
        <v>-20</v>
      </c>
      <c r="M1245" s="105">
        <v>53</v>
      </c>
      <c r="N1245" s="105">
        <v>928</v>
      </c>
      <c r="O1245" s="105">
        <v>332</v>
      </c>
      <c r="P1245" s="105">
        <v>4238</v>
      </c>
      <c r="Q1245" s="105">
        <v>58324</v>
      </c>
      <c r="R1245" s="12" t="s">
        <v>273</v>
      </c>
      <c r="S1245" s="12" t="s">
        <v>325</v>
      </c>
      <c r="T1245" s="12" t="s">
        <v>326</v>
      </c>
    </row>
    <row r="1246" spans="1:20" x14ac:dyDescent="0.3">
      <c r="A1246" s="13">
        <v>43944.708333333336</v>
      </c>
      <c r="B1246" s="12" t="s">
        <v>22</v>
      </c>
      <c r="C1246" s="105">
        <v>8</v>
      </c>
      <c r="D1246" s="12" t="s">
        <v>96</v>
      </c>
      <c r="E1246" s="105">
        <v>4449436681</v>
      </c>
      <c r="F1246" s="105">
        <v>113417208</v>
      </c>
      <c r="G1246" s="105">
        <v>2889</v>
      </c>
      <c r="H1246" s="105">
        <v>266</v>
      </c>
      <c r="I1246" s="105">
        <v>3155</v>
      </c>
      <c r="J1246" s="105">
        <v>9690</v>
      </c>
      <c r="K1246" s="105">
        <v>12845</v>
      </c>
      <c r="L1246" s="105">
        <v>-239</v>
      </c>
      <c r="M1246" s="105">
        <v>289</v>
      </c>
      <c r="N1246" s="105">
        <v>7609</v>
      </c>
      <c r="O1246" s="105">
        <v>3269</v>
      </c>
      <c r="P1246" s="105">
        <v>23723</v>
      </c>
      <c r="Q1246" s="105">
        <v>146146</v>
      </c>
      <c r="R1246" s="12" t="s">
        <v>327</v>
      </c>
      <c r="S1246" s="12" t="s">
        <v>25</v>
      </c>
      <c r="T1246" s="12" t="s">
        <v>25</v>
      </c>
    </row>
    <row r="1247" spans="1:20" x14ac:dyDescent="0.3">
      <c r="A1247" s="13">
        <v>43944.708333333336</v>
      </c>
      <c r="B1247" s="12" t="s">
        <v>22</v>
      </c>
      <c r="C1247" s="105">
        <v>6</v>
      </c>
      <c r="D1247" s="12" t="s">
        <v>47</v>
      </c>
      <c r="E1247" s="105">
        <v>456494354</v>
      </c>
      <c r="F1247" s="105">
        <v>1376813649</v>
      </c>
      <c r="G1247" s="105">
        <v>138</v>
      </c>
      <c r="H1247" s="105">
        <v>18</v>
      </c>
      <c r="I1247" s="105">
        <v>156</v>
      </c>
      <c r="J1247" s="105">
        <v>979</v>
      </c>
      <c r="K1247" s="105">
        <v>1135</v>
      </c>
      <c r="L1247" s="105">
        <v>-173</v>
      </c>
      <c r="M1247" s="105">
        <v>41</v>
      </c>
      <c r="N1247" s="105">
        <v>1467</v>
      </c>
      <c r="O1247" s="105">
        <v>256</v>
      </c>
      <c r="P1247" s="105">
        <v>2858</v>
      </c>
      <c r="Q1247" s="105">
        <v>52918</v>
      </c>
      <c r="R1247" s="12" t="s">
        <v>328</v>
      </c>
      <c r="S1247" s="12" t="s">
        <v>25</v>
      </c>
      <c r="T1247" s="12" t="s">
        <v>25</v>
      </c>
    </row>
    <row r="1248" spans="1:20" x14ac:dyDescent="0.3">
      <c r="A1248" s="13">
        <v>43944.708333333336</v>
      </c>
      <c r="B1248" s="12" t="s">
        <v>22</v>
      </c>
      <c r="C1248" s="105">
        <v>12</v>
      </c>
      <c r="D1248" s="12" t="s">
        <v>48</v>
      </c>
      <c r="E1248" s="105">
        <v>4189277044</v>
      </c>
      <c r="F1248" s="105">
        <v>1248366722</v>
      </c>
      <c r="G1248" s="105">
        <v>1385</v>
      </c>
      <c r="H1248" s="105">
        <v>186</v>
      </c>
      <c r="I1248" s="105">
        <v>1571</v>
      </c>
      <c r="J1248" s="105">
        <v>2915</v>
      </c>
      <c r="K1248" s="105">
        <v>4486</v>
      </c>
      <c r="L1248" s="105">
        <v>23</v>
      </c>
      <c r="M1248" s="105">
        <v>79</v>
      </c>
      <c r="N1248" s="105">
        <v>1193</v>
      </c>
      <c r="O1248" s="105">
        <v>375</v>
      </c>
      <c r="P1248" s="105">
        <v>6054</v>
      </c>
      <c r="Q1248" s="105">
        <v>111073</v>
      </c>
      <c r="R1248" s="12" t="s">
        <v>329</v>
      </c>
      <c r="S1248" s="12" t="s">
        <v>330</v>
      </c>
      <c r="T1248" s="12" t="s">
        <v>331</v>
      </c>
    </row>
    <row r="1249" spans="1:20" x14ac:dyDescent="0.3">
      <c r="A1249" s="13">
        <v>43944.708333333336</v>
      </c>
      <c r="B1249" s="12" t="s">
        <v>22</v>
      </c>
      <c r="C1249" s="105">
        <v>7</v>
      </c>
      <c r="D1249" s="12" t="s">
        <v>49</v>
      </c>
      <c r="E1249" s="105">
        <v>4441149315</v>
      </c>
      <c r="F1249" s="105">
        <v>89326992</v>
      </c>
      <c r="G1249" s="105">
        <v>783</v>
      </c>
      <c r="H1249" s="105">
        <v>91</v>
      </c>
      <c r="I1249" s="105">
        <v>874</v>
      </c>
      <c r="J1249" s="105">
        <v>2592</v>
      </c>
      <c r="K1249" s="105">
        <v>3466</v>
      </c>
      <c r="L1249" s="105">
        <v>-10</v>
      </c>
      <c r="M1249" s="105">
        <v>131</v>
      </c>
      <c r="N1249" s="105">
        <v>2536</v>
      </c>
      <c r="O1249" s="105">
        <v>1047</v>
      </c>
      <c r="P1249" s="105">
        <v>7049</v>
      </c>
      <c r="Q1249" s="105">
        <v>37842</v>
      </c>
      <c r="R1249" s="12" t="s">
        <v>332</v>
      </c>
      <c r="S1249" s="12" t="s">
        <v>25</v>
      </c>
      <c r="T1249" s="12" t="s">
        <v>25</v>
      </c>
    </row>
    <row r="1250" spans="1:20" x14ac:dyDescent="0.3">
      <c r="A1250" s="13">
        <v>43944.708333333336</v>
      </c>
      <c r="B1250" s="12" t="s">
        <v>22</v>
      </c>
      <c r="C1250" s="105">
        <v>3</v>
      </c>
      <c r="D1250" s="12" t="s">
        <v>50</v>
      </c>
      <c r="E1250" s="105">
        <v>4546679409</v>
      </c>
      <c r="F1250" s="105">
        <v>9190347404</v>
      </c>
      <c r="G1250" s="105">
        <v>9192</v>
      </c>
      <c r="H1250" s="105">
        <v>790</v>
      </c>
      <c r="I1250" s="105">
        <v>9982</v>
      </c>
      <c r="J1250" s="105">
        <v>23891</v>
      </c>
      <c r="K1250" s="105">
        <v>33873</v>
      </c>
      <c r="L1250" s="105">
        <v>-369</v>
      </c>
      <c r="M1250" s="105">
        <v>1073</v>
      </c>
      <c r="N1250" s="105">
        <v>23352</v>
      </c>
      <c r="O1250" s="105">
        <v>12940</v>
      </c>
      <c r="P1250" s="105">
        <v>70165</v>
      </c>
      <c r="Q1250" s="105">
        <v>302715</v>
      </c>
      <c r="R1250" s="12" t="s">
        <v>333</v>
      </c>
      <c r="S1250" s="12" t="s">
        <v>25</v>
      </c>
      <c r="T1250" s="12" t="s">
        <v>25</v>
      </c>
    </row>
    <row r="1251" spans="1:20" x14ac:dyDescent="0.3">
      <c r="A1251" s="13">
        <v>43944.708333333336</v>
      </c>
      <c r="B1251" s="12" t="s">
        <v>22</v>
      </c>
      <c r="C1251" s="105">
        <v>11</v>
      </c>
      <c r="D1251" s="12" t="s">
        <v>51</v>
      </c>
      <c r="E1251" s="105">
        <v>4361675973</v>
      </c>
      <c r="F1251" s="105">
        <v>135188753</v>
      </c>
      <c r="G1251" s="105">
        <v>727</v>
      </c>
      <c r="H1251" s="105">
        <v>71</v>
      </c>
      <c r="I1251" s="105">
        <v>798</v>
      </c>
      <c r="J1251" s="105">
        <v>2432</v>
      </c>
      <c r="K1251" s="105">
        <v>3230</v>
      </c>
      <c r="L1251" s="105">
        <v>0</v>
      </c>
      <c r="M1251" s="105">
        <v>28</v>
      </c>
      <c r="N1251" s="105">
        <v>1865</v>
      </c>
      <c r="O1251" s="105">
        <v>857</v>
      </c>
      <c r="P1251" s="105">
        <v>5952</v>
      </c>
      <c r="Q1251" s="105">
        <v>47662</v>
      </c>
      <c r="R1251" s="12" t="s">
        <v>334</v>
      </c>
      <c r="S1251" s="12" t="s">
        <v>25</v>
      </c>
      <c r="T1251" s="12" t="s">
        <v>25</v>
      </c>
    </row>
    <row r="1252" spans="1:20" x14ac:dyDescent="0.3">
      <c r="A1252" s="13">
        <v>43944.708333333336</v>
      </c>
      <c r="B1252" s="12" t="s">
        <v>22</v>
      </c>
      <c r="C1252" s="105">
        <v>14</v>
      </c>
      <c r="D1252" s="12" t="s">
        <v>52</v>
      </c>
      <c r="E1252" s="105">
        <v>4155774754</v>
      </c>
      <c r="F1252" s="105">
        <v>1465916051</v>
      </c>
      <c r="G1252" s="105">
        <v>19</v>
      </c>
      <c r="H1252" s="105">
        <v>1</v>
      </c>
      <c r="I1252" s="105">
        <v>20</v>
      </c>
      <c r="J1252" s="105">
        <v>178</v>
      </c>
      <c r="K1252" s="105">
        <v>198</v>
      </c>
      <c r="L1252" s="105">
        <v>-7</v>
      </c>
      <c r="M1252" s="105">
        <v>0</v>
      </c>
      <c r="N1252" s="105">
        <v>66</v>
      </c>
      <c r="O1252" s="105">
        <v>20</v>
      </c>
      <c r="P1252" s="105">
        <v>284</v>
      </c>
      <c r="Q1252" s="105">
        <v>4564</v>
      </c>
      <c r="R1252" s="12" t="s">
        <v>335</v>
      </c>
      <c r="S1252" s="12" t="s">
        <v>25</v>
      </c>
      <c r="T1252" s="12" t="s">
        <v>25</v>
      </c>
    </row>
    <row r="1253" spans="1:20" x14ac:dyDescent="0.3">
      <c r="A1253" s="13">
        <v>43944.708333333336</v>
      </c>
      <c r="B1253" s="12" t="s">
        <v>22</v>
      </c>
      <c r="C1253" s="105">
        <v>1</v>
      </c>
      <c r="D1253" s="12" t="s">
        <v>53</v>
      </c>
      <c r="E1253" s="105">
        <v>450732745</v>
      </c>
      <c r="F1253" s="105">
        <v>7680687483</v>
      </c>
      <c r="G1253" s="105">
        <v>3039</v>
      </c>
      <c r="H1253" s="105">
        <v>261</v>
      </c>
      <c r="I1253" s="105">
        <v>3300</v>
      </c>
      <c r="J1253" s="105">
        <v>11852</v>
      </c>
      <c r="K1253" s="105">
        <v>15152</v>
      </c>
      <c r="L1253" s="105">
        <v>30</v>
      </c>
      <c r="M1253" s="105">
        <v>401</v>
      </c>
      <c r="N1253" s="105">
        <v>5358</v>
      </c>
      <c r="O1253" s="105">
        <v>2630</v>
      </c>
      <c r="P1253" s="105">
        <v>23140</v>
      </c>
      <c r="Q1253" s="105">
        <v>117970</v>
      </c>
      <c r="R1253" s="12" t="s">
        <v>336</v>
      </c>
      <c r="S1253" s="12" t="s">
        <v>25</v>
      </c>
      <c r="T1253" s="12" t="s">
        <v>25</v>
      </c>
    </row>
    <row r="1254" spans="1:20" x14ac:dyDescent="0.3">
      <c r="A1254" s="13">
        <v>43944.708333333336</v>
      </c>
      <c r="B1254" s="12" t="s">
        <v>22</v>
      </c>
      <c r="C1254" s="105">
        <v>16</v>
      </c>
      <c r="D1254" s="12" t="s">
        <v>54</v>
      </c>
      <c r="E1254" s="105">
        <v>4112559576</v>
      </c>
      <c r="F1254" s="105">
        <v>1686736689</v>
      </c>
      <c r="G1254" s="105">
        <v>536</v>
      </c>
      <c r="H1254" s="105">
        <v>55</v>
      </c>
      <c r="I1254" s="105">
        <v>591</v>
      </c>
      <c r="J1254" s="105">
        <v>2345</v>
      </c>
      <c r="K1254" s="105">
        <v>2936</v>
      </c>
      <c r="L1254" s="105">
        <v>62</v>
      </c>
      <c r="M1254" s="105">
        <v>109</v>
      </c>
      <c r="N1254" s="105">
        <v>531</v>
      </c>
      <c r="O1254" s="105">
        <v>372</v>
      </c>
      <c r="P1254" s="105">
        <v>3839</v>
      </c>
      <c r="Q1254" s="105">
        <v>50410</v>
      </c>
      <c r="R1254" s="12" t="s">
        <v>337</v>
      </c>
      <c r="S1254" s="12" t="s">
        <v>25</v>
      </c>
      <c r="T1254" s="12" t="s">
        <v>25</v>
      </c>
    </row>
    <row r="1255" spans="1:20" x14ac:dyDescent="0.3">
      <c r="A1255" s="13">
        <v>43944.708333333336</v>
      </c>
      <c r="B1255" s="12" t="s">
        <v>22</v>
      </c>
      <c r="C1255" s="105">
        <v>20</v>
      </c>
      <c r="D1255" s="12" t="s">
        <v>55</v>
      </c>
      <c r="E1255" s="105">
        <v>3921531192</v>
      </c>
      <c r="F1255" s="105">
        <v>9110616306</v>
      </c>
      <c r="G1255" s="105">
        <v>90</v>
      </c>
      <c r="H1255" s="105">
        <v>20</v>
      </c>
      <c r="I1255" s="105">
        <v>110</v>
      </c>
      <c r="J1255" s="105">
        <v>707</v>
      </c>
      <c r="K1255" s="105">
        <v>817</v>
      </c>
      <c r="L1255" s="105">
        <v>-16</v>
      </c>
      <c r="M1255" s="105">
        <v>7</v>
      </c>
      <c r="N1255" s="105">
        <v>339</v>
      </c>
      <c r="O1255" s="105">
        <v>98</v>
      </c>
      <c r="P1255" s="105">
        <v>1254</v>
      </c>
      <c r="Q1255" s="105">
        <v>17844</v>
      </c>
      <c r="R1255" s="12" t="s">
        <v>338</v>
      </c>
      <c r="S1255" s="12" t="s">
        <v>25</v>
      </c>
      <c r="T1255" s="12" t="s">
        <v>25</v>
      </c>
    </row>
    <row r="1256" spans="1:20" x14ac:dyDescent="0.3">
      <c r="A1256" s="13">
        <v>43944.708333333336</v>
      </c>
      <c r="B1256" s="12" t="s">
        <v>22</v>
      </c>
      <c r="C1256" s="105">
        <v>19</v>
      </c>
      <c r="D1256" s="12" t="s">
        <v>56</v>
      </c>
      <c r="E1256" s="105">
        <v>3811569725</v>
      </c>
      <c r="F1256" s="105">
        <v>133623567</v>
      </c>
      <c r="G1256" s="105">
        <v>476</v>
      </c>
      <c r="H1256" s="105">
        <v>34</v>
      </c>
      <c r="I1256" s="105">
        <v>510</v>
      </c>
      <c r="J1256" s="105">
        <v>1791</v>
      </c>
      <c r="K1256" s="105">
        <v>2301</v>
      </c>
      <c r="L1256" s="105">
        <v>14</v>
      </c>
      <c r="M1256" s="105">
        <v>43</v>
      </c>
      <c r="N1256" s="105">
        <v>412</v>
      </c>
      <c r="O1256" s="105">
        <v>213</v>
      </c>
      <c r="P1256" s="105">
        <v>2926</v>
      </c>
      <c r="Q1256" s="105">
        <v>62150</v>
      </c>
      <c r="R1256" s="12" t="s">
        <v>339</v>
      </c>
      <c r="S1256" s="12" t="s">
        <v>25</v>
      </c>
      <c r="T1256" s="12" t="s">
        <v>25</v>
      </c>
    </row>
    <row r="1257" spans="1:20" x14ac:dyDescent="0.3">
      <c r="A1257" s="13">
        <v>43944.708333333336</v>
      </c>
      <c r="B1257" s="12" t="s">
        <v>22</v>
      </c>
      <c r="C1257" s="105">
        <v>9</v>
      </c>
      <c r="D1257" s="12" t="s">
        <v>57</v>
      </c>
      <c r="E1257" s="105">
        <v>4376923077</v>
      </c>
      <c r="F1257" s="105">
        <v>1125588885</v>
      </c>
      <c r="G1257" s="105">
        <v>791</v>
      </c>
      <c r="H1257" s="105">
        <v>168</v>
      </c>
      <c r="I1257" s="105">
        <v>959</v>
      </c>
      <c r="J1257" s="105">
        <v>5212</v>
      </c>
      <c r="K1257" s="105">
        <v>6171</v>
      </c>
      <c r="L1257" s="105">
        <v>4</v>
      </c>
      <c r="M1257" s="105">
        <v>80</v>
      </c>
      <c r="N1257" s="105">
        <v>1886</v>
      </c>
      <c r="O1257" s="105">
        <v>723</v>
      </c>
      <c r="P1257" s="105">
        <v>8780</v>
      </c>
      <c r="Q1257" s="105">
        <v>118177</v>
      </c>
      <c r="R1257" s="12" t="s">
        <v>340</v>
      </c>
      <c r="S1257" s="12" t="s">
        <v>25</v>
      </c>
      <c r="T1257" s="12" t="s">
        <v>25</v>
      </c>
    </row>
    <row r="1258" spans="1:20" x14ac:dyDescent="0.3">
      <c r="A1258" s="13">
        <v>43944.708333333336</v>
      </c>
      <c r="B1258" s="12" t="s">
        <v>22</v>
      </c>
      <c r="C1258" s="105">
        <v>4</v>
      </c>
      <c r="D1258" s="12" t="s">
        <v>58</v>
      </c>
      <c r="E1258" s="105">
        <v>4606893511</v>
      </c>
      <c r="F1258" s="105">
        <v>1112123097</v>
      </c>
      <c r="G1258" s="105">
        <v>234</v>
      </c>
      <c r="H1258" s="105">
        <v>29</v>
      </c>
      <c r="I1258" s="105">
        <v>263</v>
      </c>
      <c r="J1258" s="105">
        <v>1608</v>
      </c>
      <c r="K1258" s="105">
        <v>1871</v>
      </c>
      <c r="L1258" s="105">
        <v>-3</v>
      </c>
      <c r="M1258" s="105">
        <v>81</v>
      </c>
      <c r="N1258" s="105">
        <v>1474</v>
      </c>
      <c r="O1258" s="105">
        <v>382</v>
      </c>
      <c r="P1258" s="105">
        <v>3727</v>
      </c>
      <c r="Q1258" s="105">
        <v>28240</v>
      </c>
      <c r="R1258" s="12" t="s">
        <v>341</v>
      </c>
      <c r="S1258" s="12" t="s">
        <v>25</v>
      </c>
      <c r="T1258" s="12" t="s">
        <v>25</v>
      </c>
    </row>
    <row r="1259" spans="1:20" x14ac:dyDescent="0.3">
      <c r="A1259" s="13">
        <v>43944.708333333336</v>
      </c>
      <c r="B1259" s="12" t="s">
        <v>22</v>
      </c>
      <c r="C1259" s="105">
        <v>10</v>
      </c>
      <c r="D1259" s="12" t="s">
        <v>59</v>
      </c>
      <c r="E1259" s="105">
        <v>4310675841</v>
      </c>
      <c r="F1259" s="105">
        <v>1238824698</v>
      </c>
      <c r="G1259" s="105">
        <v>100</v>
      </c>
      <c r="H1259" s="105">
        <v>19</v>
      </c>
      <c r="I1259" s="105">
        <v>119</v>
      </c>
      <c r="J1259" s="105">
        <v>236</v>
      </c>
      <c r="K1259" s="105">
        <v>355</v>
      </c>
      <c r="L1259" s="105">
        <v>-16</v>
      </c>
      <c r="M1259" s="105">
        <v>5</v>
      </c>
      <c r="N1259" s="105">
        <v>946</v>
      </c>
      <c r="O1259" s="105">
        <v>61</v>
      </c>
      <c r="P1259" s="105">
        <v>1362</v>
      </c>
      <c r="Q1259" s="105">
        <v>29011</v>
      </c>
      <c r="R1259" s="12" t="s">
        <v>342</v>
      </c>
      <c r="S1259" s="12" t="s">
        <v>25</v>
      </c>
      <c r="T1259" s="12" t="s">
        <v>25</v>
      </c>
    </row>
    <row r="1260" spans="1:20" x14ac:dyDescent="0.3">
      <c r="A1260" s="13">
        <v>43944.708333333336</v>
      </c>
      <c r="B1260" s="12" t="s">
        <v>22</v>
      </c>
      <c r="C1260" s="105">
        <v>2</v>
      </c>
      <c r="D1260" s="12" t="s">
        <v>60</v>
      </c>
      <c r="E1260" s="105">
        <v>4573750286</v>
      </c>
      <c r="F1260" s="105">
        <v>7320149366</v>
      </c>
      <c r="G1260" s="105">
        <v>91</v>
      </c>
      <c r="H1260" s="105">
        <v>9</v>
      </c>
      <c r="I1260" s="105">
        <v>100</v>
      </c>
      <c r="J1260" s="105">
        <v>363</v>
      </c>
      <c r="K1260" s="105">
        <v>463</v>
      </c>
      <c r="L1260" s="105">
        <v>-38</v>
      </c>
      <c r="M1260" s="105">
        <v>1</v>
      </c>
      <c r="N1260" s="105">
        <v>506</v>
      </c>
      <c r="O1260" s="105">
        <v>127</v>
      </c>
      <c r="P1260" s="105">
        <v>1096</v>
      </c>
      <c r="Q1260" s="105">
        <v>5227</v>
      </c>
      <c r="R1260" s="12" t="s">
        <v>343</v>
      </c>
      <c r="S1260" s="12" t="s">
        <v>25</v>
      </c>
      <c r="T1260" s="12" t="s">
        <v>25</v>
      </c>
    </row>
    <row r="1261" spans="1:20" x14ac:dyDescent="0.3">
      <c r="A1261" s="13">
        <v>43944.708333333336</v>
      </c>
      <c r="B1261" s="12" t="s">
        <v>22</v>
      </c>
      <c r="C1261" s="123">
        <v>5</v>
      </c>
      <c r="D1261" s="12" t="s">
        <v>61</v>
      </c>
      <c r="E1261" s="123">
        <v>4543490485</v>
      </c>
      <c r="F1261" s="123">
        <v>1233845213</v>
      </c>
      <c r="G1261" s="123">
        <v>1189</v>
      </c>
      <c r="H1261" s="123">
        <v>140</v>
      </c>
      <c r="I1261" s="123">
        <v>1329</v>
      </c>
      <c r="J1261" s="123">
        <v>8596</v>
      </c>
      <c r="K1261" s="123">
        <v>9925</v>
      </c>
      <c r="L1261" s="123">
        <v>-66</v>
      </c>
      <c r="M1261" s="123">
        <v>143</v>
      </c>
      <c r="N1261" s="123">
        <v>5750</v>
      </c>
      <c r="O1261" s="123">
        <v>1206</v>
      </c>
      <c r="P1261" s="123">
        <v>16881</v>
      </c>
      <c r="Q1261" s="123">
        <v>288075</v>
      </c>
      <c r="R1261" s="12" t="s">
        <v>344</v>
      </c>
      <c r="S1261" s="12" t="s">
        <v>25</v>
      </c>
      <c r="T1261" s="12" t="s">
        <v>25</v>
      </c>
    </row>
    <row r="1262" spans="1:20" x14ac:dyDescent="0.3">
      <c r="A1262" s="13">
        <v>43945.708333333336</v>
      </c>
      <c r="B1262" s="12" t="s">
        <v>22</v>
      </c>
      <c r="C1262" s="123">
        <v>13</v>
      </c>
      <c r="D1262" s="12" t="s">
        <v>42</v>
      </c>
      <c r="E1262" s="123">
        <v>4235122196</v>
      </c>
      <c r="F1262" s="123">
        <v>1339843823</v>
      </c>
      <c r="G1262" s="123">
        <v>327</v>
      </c>
      <c r="H1262" s="123">
        <v>28</v>
      </c>
      <c r="I1262" s="123">
        <v>355</v>
      </c>
      <c r="J1262" s="123">
        <v>1724</v>
      </c>
      <c r="K1262" s="123">
        <v>2079</v>
      </c>
      <c r="L1262" s="123">
        <v>-21</v>
      </c>
      <c r="M1262" s="123">
        <v>18</v>
      </c>
      <c r="N1262" s="123">
        <v>438</v>
      </c>
      <c r="O1262" s="123">
        <v>286</v>
      </c>
      <c r="P1262" s="123">
        <v>2803</v>
      </c>
      <c r="Q1262" s="123">
        <v>32397</v>
      </c>
      <c r="R1262" s="12" t="s">
        <v>348</v>
      </c>
      <c r="S1262" s="12" t="s">
        <v>25</v>
      </c>
      <c r="T1262" s="12" t="s">
        <v>25</v>
      </c>
    </row>
    <row r="1263" spans="1:20" x14ac:dyDescent="0.3">
      <c r="A1263" s="13">
        <v>43945.708333333336</v>
      </c>
      <c r="B1263" s="12" t="s">
        <v>22</v>
      </c>
      <c r="C1263" s="123">
        <v>17</v>
      </c>
      <c r="D1263" s="12" t="s">
        <v>43</v>
      </c>
      <c r="E1263" s="123">
        <v>4063947052</v>
      </c>
      <c r="F1263" s="123">
        <v>1580514834</v>
      </c>
      <c r="G1263" s="123">
        <v>59</v>
      </c>
      <c r="H1263" s="123">
        <v>7</v>
      </c>
      <c r="I1263" s="123">
        <v>66</v>
      </c>
      <c r="J1263" s="123">
        <v>163</v>
      </c>
      <c r="K1263" s="123">
        <v>229</v>
      </c>
      <c r="L1263" s="123">
        <v>0</v>
      </c>
      <c r="M1263" s="123">
        <v>4</v>
      </c>
      <c r="N1263" s="123">
        <v>107</v>
      </c>
      <c r="O1263" s="123">
        <v>24</v>
      </c>
      <c r="P1263" s="123">
        <v>360</v>
      </c>
      <c r="Q1263" s="123">
        <v>9026</v>
      </c>
      <c r="R1263" s="12" t="s">
        <v>349</v>
      </c>
      <c r="S1263" s="12" t="s">
        <v>25</v>
      </c>
      <c r="T1263" s="12" t="s">
        <v>25</v>
      </c>
    </row>
    <row r="1264" spans="1:20" x14ac:dyDescent="0.3">
      <c r="A1264" s="13">
        <v>43945.708333333336</v>
      </c>
      <c r="B1264" s="12" t="s">
        <v>22</v>
      </c>
      <c r="C1264" s="123">
        <v>4</v>
      </c>
      <c r="D1264" s="12" t="s">
        <v>44</v>
      </c>
      <c r="E1264" s="123">
        <v>4649933453</v>
      </c>
      <c r="F1264" s="123">
        <v>1135662422</v>
      </c>
      <c r="G1264" s="123">
        <v>148</v>
      </c>
      <c r="H1264" s="123">
        <v>16</v>
      </c>
      <c r="I1264" s="123">
        <v>164</v>
      </c>
      <c r="J1264" s="123">
        <v>929</v>
      </c>
      <c r="K1264" s="123">
        <v>1093</v>
      </c>
      <c r="L1264" s="123">
        <v>-401</v>
      </c>
      <c r="M1264" s="123">
        <v>21</v>
      </c>
      <c r="N1264" s="123">
        <v>1100</v>
      </c>
      <c r="O1264" s="123">
        <v>263</v>
      </c>
      <c r="P1264" s="123">
        <v>2456</v>
      </c>
      <c r="Q1264" s="123">
        <v>35062</v>
      </c>
      <c r="R1264" s="12" t="s">
        <v>350</v>
      </c>
      <c r="S1264" s="12" t="s">
        <v>25</v>
      </c>
      <c r="T1264" s="12" t="s">
        <v>25</v>
      </c>
    </row>
    <row r="1265" spans="1:20" x14ac:dyDescent="0.3">
      <c r="A1265" s="13">
        <v>43945.708333333336</v>
      </c>
      <c r="B1265" s="12" t="s">
        <v>22</v>
      </c>
      <c r="C1265" s="123">
        <v>18</v>
      </c>
      <c r="D1265" s="12" t="s">
        <v>45</v>
      </c>
      <c r="E1265" s="123">
        <v>3890597598</v>
      </c>
      <c r="F1265" s="123">
        <v>1659440194</v>
      </c>
      <c r="G1265" s="123">
        <v>123</v>
      </c>
      <c r="H1265" s="123">
        <v>7</v>
      </c>
      <c r="I1265" s="123">
        <v>130</v>
      </c>
      <c r="J1265" s="123">
        <v>691</v>
      </c>
      <c r="K1265" s="123">
        <v>821</v>
      </c>
      <c r="L1265" s="123">
        <v>-2</v>
      </c>
      <c r="M1265" s="123">
        <v>10</v>
      </c>
      <c r="N1265" s="123">
        <v>178</v>
      </c>
      <c r="O1265" s="123">
        <v>80</v>
      </c>
      <c r="P1265" s="123">
        <v>1079</v>
      </c>
      <c r="Q1265" s="123">
        <v>28764</v>
      </c>
      <c r="R1265" s="12" t="s">
        <v>351</v>
      </c>
      <c r="S1265" s="12" t="s">
        <v>25</v>
      </c>
      <c r="T1265" s="12" t="s">
        <v>25</v>
      </c>
    </row>
    <row r="1266" spans="1:20" x14ac:dyDescent="0.3">
      <c r="A1266" s="13">
        <v>43945.708333333336</v>
      </c>
      <c r="B1266" s="12" t="s">
        <v>22</v>
      </c>
      <c r="C1266" s="123">
        <v>15</v>
      </c>
      <c r="D1266" s="12" t="s">
        <v>46</v>
      </c>
      <c r="E1266" s="123">
        <v>4083956555</v>
      </c>
      <c r="F1266" s="123">
        <v>1425084984</v>
      </c>
      <c r="G1266" s="123">
        <v>524</v>
      </c>
      <c r="H1266" s="123">
        <v>44</v>
      </c>
      <c r="I1266" s="123">
        <v>568</v>
      </c>
      <c r="J1266" s="123">
        <v>2375</v>
      </c>
      <c r="K1266" s="123">
        <v>2943</v>
      </c>
      <c r="L1266" s="123">
        <v>-35</v>
      </c>
      <c r="M1266" s="123">
        <v>44</v>
      </c>
      <c r="N1266" s="123">
        <v>1003</v>
      </c>
      <c r="O1266" s="123">
        <v>336</v>
      </c>
      <c r="P1266" s="123">
        <v>4282</v>
      </c>
      <c r="Q1266" s="123">
        <v>61331</v>
      </c>
      <c r="R1266" s="12" t="s">
        <v>352</v>
      </c>
      <c r="S1266" s="12" t="s">
        <v>25</v>
      </c>
      <c r="T1266" s="12" t="s">
        <v>25</v>
      </c>
    </row>
    <row r="1267" spans="1:20" x14ac:dyDescent="0.3">
      <c r="A1267" s="13">
        <v>43945.708333333336</v>
      </c>
      <c r="B1267" s="12" t="s">
        <v>22</v>
      </c>
      <c r="C1267" s="123">
        <v>8</v>
      </c>
      <c r="D1267" s="12" t="s">
        <v>96</v>
      </c>
      <c r="E1267" s="123">
        <v>4449436681</v>
      </c>
      <c r="F1267" s="123">
        <v>113417208</v>
      </c>
      <c r="G1267" s="123">
        <v>2807</v>
      </c>
      <c r="H1267" s="123">
        <v>264</v>
      </c>
      <c r="I1267" s="123">
        <v>3071</v>
      </c>
      <c r="J1267" s="123">
        <v>9438</v>
      </c>
      <c r="K1267" s="123">
        <v>12509</v>
      </c>
      <c r="L1267" s="123">
        <v>-336</v>
      </c>
      <c r="M1267" s="123">
        <v>247</v>
      </c>
      <c r="N1267" s="123">
        <v>8158</v>
      </c>
      <c r="O1267" s="123">
        <v>3303</v>
      </c>
      <c r="P1267" s="123">
        <v>23970</v>
      </c>
      <c r="Q1267" s="123">
        <v>151505</v>
      </c>
      <c r="R1267" s="12" t="s">
        <v>353</v>
      </c>
      <c r="S1267" s="12" t="s">
        <v>25</v>
      </c>
      <c r="T1267" s="12" t="s">
        <v>25</v>
      </c>
    </row>
    <row r="1268" spans="1:20" x14ac:dyDescent="0.3">
      <c r="A1268" s="13">
        <v>43945.708333333336</v>
      </c>
      <c r="B1268" s="12" t="s">
        <v>22</v>
      </c>
      <c r="C1268" s="123">
        <v>6</v>
      </c>
      <c r="D1268" s="12" t="s">
        <v>47</v>
      </c>
      <c r="E1268" s="123">
        <v>456494354</v>
      </c>
      <c r="F1268" s="123">
        <v>1376813649</v>
      </c>
      <c r="G1268" s="123">
        <v>136</v>
      </c>
      <c r="H1268" s="123">
        <v>16</v>
      </c>
      <c r="I1268" s="123">
        <v>152</v>
      </c>
      <c r="J1268" s="123">
        <v>1168</v>
      </c>
      <c r="K1268" s="123">
        <v>1320</v>
      </c>
      <c r="L1268" s="123">
        <v>185</v>
      </c>
      <c r="M1268" s="123">
        <v>24</v>
      </c>
      <c r="N1268" s="123">
        <v>1304</v>
      </c>
      <c r="O1268" s="123">
        <v>258</v>
      </c>
      <c r="P1268" s="123">
        <v>2882</v>
      </c>
      <c r="Q1268" s="123">
        <v>55502</v>
      </c>
      <c r="R1268" s="12" t="s">
        <v>354</v>
      </c>
      <c r="S1268" s="12" t="s">
        <v>4336</v>
      </c>
      <c r="T1268" s="12" t="s">
        <v>4337</v>
      </c>
    </row>
    <row r="1269" spans="1:20" x14ac:dyDescent="0.3">
      <c r="A1269" s="13">
        <v>43945.708333333336</v>
      </c>
      <c r="B1269" s="12" t="s">
        <v>22</v>
      </c>
      <c r="C1269" s="123">
        <v>12</v>
      </c>
      <c r="D1269" s="12" t="s">
        <v>48</v>
      </c>
      <c r="E1269" s="123">
        <v>4189277044</v>
      </c>
      <c r="F1269" s="123">
        <v>1248366722</v>
      </c>
      <c r="G1269" s="123">
        <v>1396</v>
      </c>
      <c r="H1269" s="123">
        <v>184</v>
      </c>
      <c r="I1269" s="123">
        <v>1580</v>
      </c>
      <c r="J1269" s="123">
        <v>2912</v>
      </c>
      <c r="K1269" s="123">
        <v>4492</v>
      </c>
      <c r="L1269" s="123">
        <v>6</v>
      </c>
      <c r="M1269" s="123">
        <v>78</v>
      </c>
      <c r="N1269" s="123">
        <v>1256</v>
      </c>
      <c r="O1269" s="123">
        <v>384</v>
      </c>
      <c r="P1269" s="123">
        <v>6132</v>
      </c>
      <c r="Q1269" s="123">
        <v>114317</v>
      </c>
      <c r="R1269" s="12" t="s">
        <v>355</v>
      </c>
      <c r="S1269" s="12" t="s">
        <v>25</v>
      </c>
      <c r="T1269" s="12" t="s">
        <v>25</v>
      </c>
    </row>
    <row r="1270" spans="1:20" x14ac:dyDescent="0.3">
      <c r="A1270" s="13">
        <v>43945.708333333336</v>
      </c>
      <c r="B1270" s="12" t="s">
        <v>22</v>
      </c>
      <c r="C1270" s="123">
        <v>7</v>
      </c>
      <c r="D1270" s="12" t="s">
        <v>49</v>
      </c>
      <c r="E1270" s="123">
        <v>4441149315</v>
      </c>
      <c r="F1270" s="123">
        <v>89326992</v>
      </c>
      <c r="G1270" s="123">
        <v>760</v>
      </c>
      <c r="H1270" s="123">
        <v>87</v>
      </c>
      <c r="I1270" s="123">
        <v>847</v>
      </c>
      <c r="J1270" s="123">
        <v>2590</v>
      </c>
      <c r="K1270" s="123">
        <v>3437</v>
      </c>
      <c r="L1270" s="123">
        <v>-29</v>
      </c>
      <c r="M1270" s="123">
        <v>124</v>
      </c>
      <c r="N1270" s="123">
        <v>2660</v>
      </c>
      <c r="O1270" s="123">
        <v>1076</v>
      </c>
      <c r="P1270" s="123">
        <v>7173</v>
      </c>
      <c r="Q1270" s="123">
        <v>39563</v>
      </c>
      <c r="R1270" s="12" t="s">
        <v>356</v>
      </c>
      <c r="S1270" s="12" t="s">
        <v>25</v>
      </c>
      <c r="T1270" s="12" t="s">
        <v>25</v>
      </c>
    </row>
    <row r="1271" spans="1:20" x14ac:dyDescent="0.3">
      <c r="A1271" s="13">
        <v>43945.708333333336</v>
      </c>
      <c r="B1271" s="12" t="s">
        <v>22</v>
      </c>
      <c r="C1271" s="123">
        <v>3</v>
      </c>
      <c r="D1271" s="12" t="s">
        <v>50</v>
      </c>
      <c r="E1271" s="123">
        <v>4546679409</v>
      </c>
      <c r="F1271" s="123">
        <v>9190347404</v>
      </c>
      <c r="G1271" s="123">
        <v>8791</v>
      </c>
      <c r="H1271" s="123">
        <v>756</v>
      </c>
      <c r="I1271" s="123">
        <v>9547</v>
      </c>
      <c r="J1271" s="123">
        <v>24821</v>
      </c>
      <c r="K1271" s="123">
        <v>34368</v>
      </c>
      <c r="L1271" s="123">
        <v>495</v>
      </c>
      <c r="M1271" s="123">
        <v>1091</v>
      </c>
      <c r="N1271" s="123">
        <v>23782</v>
      </c>
      <c r="O1271" s="123">
        <v>13106</v>
      </c>
      <c r="P1271" s="123">
        <v>71256</v>
      </c>
      <c r="Q1271" s="123">
        <v>314298</v>
      </c>
      <c r="R1271" s="12" t="s">
        <v>357</v>
      </c>
      <c r="S1271" s="12" t="s">
        <v>25</v>
      </c>
      <c r="T1271" s="12" t="s">
        <v>25</v>
      </c>
    </row>
    <row r="1272" spans="1:20" x14ac:dyDescent="0.3">
      <c r="A1272" s="13">
        <v>43945.708333333336</v>
      </c>
      <c r="B1272" s="12" t="s">
        <v>22</v>
      </c>
      <c r="C1272" s="123">
        <v>11</v>
      </c>
      <c r="D1272" s="12" t="s">
        <v>51</v>
      </c>
      <c r="E1272" s="123">
        <v>4361675973</v>
      </c>
      <c r="F1272" s="123">
        <v>135188753</v>
      </c>
      <c r="G1272" s="123">
        <v>705</v>
      </c>
      <c r="H1272" s="123">
        <v>61</v>
      </c>
      <c r="I1272" s="123">
        <v>766</v>
      </c>
      <c r="J1272" s="123">
        <v>2507</v>
      </c>
      <c r="K1272" s="123">
        <v>3273</v>
      </c>
      <c r="L1272" s="123">
        <v>43</v>
      </c>
      <c r="M1272" s="123">
        <v>76</v>
      </c>
      <c r="N1272" s="123">
        <v>1890</v>
      </c>
      <c r="O1272" s="123">
        <v>865</v>
      </c>
      <c r="P1272" s="123">
        <v>6028</v>
      </c>
      <c r="Q1272" s="123">
        <v>49163</v>
      </c>
      <c r="R1272" s="12" t="s">
        <v>358</v>
      </c>
      <c r="S1272" s="12" t="s">
        <v>25</v>
      </c>
      <c r="T1272" s="12" t="s">
        <v>25</v>
      </c>
    </row>
    <row r="1273" spans="1:20" x14ac:dyDescent="0.3">
      <c r="A1273" s="13">
        <v>43945.708333333336</v>
      </c>
      <c r="B1273" s="12" t="s">
        <v>22</v>
      </c>
      <c r="C1273" s="123">
        <v>14</v>
      </c>
      <c r="D1273" s="12" t="s">
        <v>52</v>
      </c>
      <c r="E1273" s="123">
        <v>4155774754</v>
      </c>
      <c r="F1273" s="123">
        <v>1465916051</v>
      </c>
      <c r="G1273" s="123">
        <v>19</v>
      </c>
      <c r="H1273" s="123">
        <v>1</v>
      </c>
      <c r="I1273" s="123">
        <v>20</v>
      </c>
      <c r="J1273" s="123">
        <v>180</v>
      </c>
      <c r="K1273" s="123">
        <v>200</v>
      </c>
      <c r="L1273" s="123">
        <v>2</v>
      </c>
      <c r="M1273" s="123">
        <v>3</v>
      </c>
      <c r="N1273" s="123">
        <v>67</v>
      </c>
      <c r="O1273" s="123">
        <v>20</v>
      </c>
      <c r="P1273" s="123">
        <v>287</v>
      </c>
      <c r="Q1273" s="123">
        <v>4805</v>
      </c>
      <c r="R1273" s="12" t="s">
        <v>359</v>
      </c>
      <c r="S1273" s="12" t="s">
        <v>25</v>
      </c>
      <c r="T1273" s="12" t="s">
        <v>25</v>
      </c>
    </row>
    <row r="1274" spans="1:20" x14ac:dyDescent="0.3">
      <c r="A1274" s="13">
        <v>43945.708333333336</v>
      </c>
      <c r="B1274" s="12" t="s">
        <v>22</v>
      </c>
      <c r="C1274" s="123">
        <v>1</v>
      </c>
      <c r="D1274" s="12" t="s">
        <v>53</v>
      </c>
      <c r="E1274" s="123">
        <v>450732745</v>
      </c>
      <c r="F1274" s="123">
        <v>7680687483</v>
      </c>
      <c r="G1274" s="123">
        <v>2918</v>
      </c>
      <c r="H1274" s="123">
        <v>257</v>
      </c>
      <c r="I1274" s="123">
        <v>3175</v>
      </c>
      <c r="J1274" s="123">
        <v>12216</v>
      </c>
      <c r="K1274" s="123">
        <v>15391</v>
      </c>
      <c r="L1274" s="123">
        <v>239</v>
      </c>
      <c r="M1274" s="123">
        <v>682</v>
      </c>
      <c r="N1274" s="123">
        <v>5732</v>
      </c>
      <c r="O1274" s="123">
        <v>2699</v>
      </c>
      <c r="P1274" s="123">
        <v>23822</v>
      </c>
      <c r="Q1274" s="123">
        <v>125300</v>
      </c>
      <c r="R1274" s="12" t="s">
        <v>360</v>
      </c>
      <c r="S1274" s="12" t="s">
        <v>25</v>
      </c>
      <c r="T1274" s="12" t="s">
        <v>25</v>
      </c>
    </row>
    <row r="1275" spans="1:20" x14ac:dyDescent="0.3">
      <c r="A1275" s="13">
        <v>43945.708333333336</v>
      </c>
      <c r="B1275" s="12" t="s">
        <v>22</v>
      </c>
      <c r="C1275" s="123">
        <v>16</v>
      </c>
      <c r="D1275" s="12" t="s">
        <v>54</v>
      </c>
      <c r="E1275" s="123">
        <v>4112559576</v>
      </c>
      <c r="F1275" s="123">
        <v>1686736689</v>
      </c>
      <c r="G1275" s="123">
        <v>496</v>
      </c>
      <c r="H1275" s="123">
        <v>51</v>
      </c>
      <c r="I1275" s="123">
        <v>547</v>
      </c>
      <c r="J1275" s="123">
        <v>2386</v>
      </c>
      <c r="K1275" s="123">
        <v>2933</v>
      </c>
      <c r="L1275" s="123">
        <v>-3</v>
      </c>
      <c r="M1275" s="123">
        <v>42</v>
      </c>
      <c r="N1275" s="123">
        <v>565</v>
      </c>
      <c r="O1275" s="123">
        <v>383</v>
      </c>
      <c r="P1275" s="123">
        <v>3881</v>
      </c>
      <c r="Q1275" s="123">
        <v>52472</v>
      </c>
      <c r="R1275" s="12" t="s">
        <v>361</v>
      </c>
      <c r="S1275" s="12" t="s">
        <v>25</v>
      </c>
      <c r="T1275" s="12" t="s">
        <v>25</v>
      </c>
    </row>
    <row r="1276" spans="1:20" x14ac:dyDescent="0.3">
      <c r="A1276" s="13">
        <v>43945.708333333336</v>
      </c>
      <c r="B1276" s="12" t="s">
        <v>22</v>
      </c>
      <c r="C1276" s="123">
        <v>20</v>
      </c>
      <c r="D1276" s="12" t="s">
        <v>55</v>
      </c>
      <c r="E1276" s="123">
        <v>3921531192</v>
      </c>
      <c r="F1276" s="123">
        <v>9110616306</v>
      </c>
      <c r="G1276" s="123">
        <v>95</v>
      </c>
      <c r="H1276" s="123">
        <v>19</v>
      </c>
      <c r="I1276" s="123">
        <v>114</v>
      </c>
      <c r="J1276" s="123">
        <v>690</v>
      </c>
      <c r="K1276" s="123">
        <v>804</v>
      </c>
      <c r="L1276" s="123">
        <v>-13</v>
      </c>
      <c r="M1276" s="123">
        <v>3</v>
      </c>
      <c r="N1276" s="123">
        <v>351</v>
      </c>
      <c r="O1276" s="123">
        <v>102</v>
      </c>
      <c r="P1276" s="123">
        <v>1257</v>
      </c>
      <c r="Q1276" s="123">
        <v>19889</v>
      </c>
      <c r="R1276" s="12" t="s">
        <v>362</v>
      </c>
      <c r="S1276" s="12" t="s">
        <v>4338</v>
      </c>
      <c r="T1276" s="12" t="s">
        <v>4339</v>
      </c>
    </row>
    <row r="1277" spans="1:20" x14ac:dyDescent="0.3">
      <c r="A1277" s="13">
        <v>43945.708333333336</v>
      </c>
      <c r="B1277" s="12" t="s">
        <v>22</v>
      </c>
      <c r="C1277" s="123">
        <v>19</v>
      </c>
      <c r="D1277" s="12" t="s">
        <v>56</v>
      </c>
      <c r="E1277" s="123">
        <v>3811569725</v>
      </c>
      <c r="F1277" s="123">
        <v>133623567</v>
      </c>
      <c r="G1277" s="123">
        <v>461</v>
      </c>
      <c r="H1277" s="123">
        <v>32</v>
      </c>
      <c r="I1277" s="123">
        <v>493</v>
      </c>
      <c r="J1277" s="123">
        <v>1827</v>
      </c>
      <c r="K1277" s="123">
        <v>2320</v>
      </c>
      <c r="L1277" s="123">
        <v>19</v>
      </c>
      <c r="M1277" s="123">
        <v>55</v>
      </c>
      <c r="N1277" s="123">
        <v>443</v>
      </c>
      <c r="O1277" s="123">
        <v>218</v>
      </c>
      <c r="P1277" s="123">
        <v>2981</v>
      </c>
      <c r="Q1277" s="123">
        <v>65165</v>
      </c>
      <c r="R1277" s="12" t="s">
        <v>363</v>
      </c>
      <c r="S1277" s="12" t="s">
        <v>25</v>
      </c>
      <c r="T1277" s="12" t="s">
        <v>25</v>
      </c>
    </row>
    <row r="1278" spans="1:20" x14ac:dyDescent="0.3">
      <c r="A1278" s="13">
        <v>43945.708333333336</v>
      </c>
      <c r="B1278" s="12" t="s">
        <v>22</v>
      </c>
      <c r="C1278" s="123">
        <v>9</v>
      </c>
      <c r="D1278" s="12" t="s">
        <v>57</v>
      </c>
      <c r="E1278" s="123">
        <v>4376923077</v>
      </c>
      <c r="F1278" s="123">
        <v>1125588885</v>
      </c>
      <c r="G1278" s="123">
        <v>738</v>
      </c>
      <c r="H1278" s="123">
        <v>159</v>
      </c>
      <c r="I1278" s="123">
        <v>897</v>
      </c>
      <c r="J1278" s="123">
        <v>5236</v>
      </c>
      <c r="K1278" s="123">
        <v>6133</v>
      </c>
      <c r="L1278" s="123">
        <v>-38</v>
      </c>
      <c r="M1278" s="123">
        <v>97</v>
      </c>
      <c r="N1278" s="123">
        <v>2002</v>
      </c>
      <c r="O1278" s="123">
        <v>742</v>
      </c>
      <c r="P1278" s="123">
        <v>8877</v>
      </c>
      <c r="Q1278" s="123">
        <v>121336</v>
      </c>
      <c r="R1278" s="12" t="s">
        <v>364</v>
      </c>
      <c r="S1278" s="12" t="s">
        <v>25</v>
      </c>
      <c r="T1278" s="12" t="s">
        <v>25</v>
      </c>
    </row>
    <row r="1279" spans="1:20" x14ac:dyDescent="0.3">
      <c r="A1279" s="13">
        <v>43945.708333333336</v>
      </c>
      <c r="B1279" s="12" t="s">
        <v>22</v>
      </c>
      <c r="C1279" s="123">
        <v>4</v>
      </c>
      <c r="D1279" s="12" t="s">
        <v>58</v>
      </c>
      <c r="E1279" s="123">
        <v>4606893511</v>
      </c>
      <c r="F1279" s="123">
        <v>1112123097</v>
      </c>
      <c r="G1279" s="123">
        <v>224</v>
      </c>
      <c r="H1279" s="123">
        <v>28</v>
      </c>
      <c r="I1279" s="123">
        <v>252</v>
      </c>
      <c r="J1279" s="123">
        <v>1575</v>
      </c>
      <c r="K1279" s="123">
        <v>1827</v>
      </c>
      <c r="L1279" s="123">
        <v>-44</v>
      </c>
      <c r="M1279" s="123">
        <v>49</v>
      </c>
      <c r="N1279" s="123">
        <v>1560</v>
      </c>
      <c r="O1279" s="123">
        <v>389</v>
      </c>
      <c r="P1279" s="123">
        <v>3776</v>
      </c>
      <c r="Q1279" s="123">
        <v>29779</v>
      </c>
      <c r="R1279" s="12" t="s">
        <v>365</v>
      </c>
      <c r="S1279" s="12" t="s">
        <v>25</v>
      </c>
      <c r="T1279" s="12" t="s">
        <v>25</v>
      </c>
    </row>
    <row r="1280" spans="1:20" x14ac:dyDescent="0.3">
      <c r="A1280" s="13">
        <v>43945.708333333336</v>
      </c>
      <c r="B1280" s="12" t="s">
        <v>22</v>
      </c>
      <c r="C1280" s="123">
        <v>10</v>
      </c>
      <c r="D1280" s="12" t="s">
        <v>59</v>
      </c>
      <c r="E1280" s="123">
        <v>4310675841</v>
      </c>
      <c r="F1280" s="123">
        <v>1238824698</v>
      </c>
      <c r="G1280" s="123">
        <v>94</v>
      </c>
      <c r="H1280" s="123">
        <v>19</v>
      </c>
      <c r="I1280" s="123">
        <v>113</v>
      </c>
      <c r="J1280" s="123">
        <v>209</v>
      </c>
      <c r="K1280" s="123">
        <v>322</v>
      </c>
      <c r="L1280" s="123">
        <v>-33</v>
      </c>
      <c r="M1280" s="123">
        <v>1</v>
      </c>
      <c r="N1280" s="123">
        <v>979</v>
      </c>
      <c r="O1280" s="123">
        <v>62</v>
      </c>
      <c r="P1280" s="123">
        <v>1363</v>
      </c>
      <c r="Q1280" s="123">
        <v>30524</v>
      </c>
      <c r="R1280" s="12" t="s">
        <v>366</v>
      </c>
      <c r="S1280" s="12" t="s">
        <v>25</v>
      </c>
      <c r="T1280" s="12" t="s">
        <v>25</v>
      </c>
    </row>
    <row r="1281" spans="1:20" x14ac:dyDescent="0.3">
      <c r="A1281" s="13">
        <v>43945.708333333336</v>
      </c>
      <c r="B1281" s="12" t="s">
        <v>22</v>
      </c>
      <c r="C1281" s="123">
        <v>2</v>
      </c>
      <c r="D1281" s="12" t="s">
        <v>60</v>
      </c>
      <c r="E1281" s="123">
        <v>4573750286</v>
      </c>
      <c r="F1281" s="123">
        <v>7320149366</v>
      </c>
      <c r="G1281" s="123">
        <v>88</v>
      </c>
      <c r="H1281" s="123">
        <v>7</v>
      </c>
      <c r="I1281" s="123">
        <v>95</v>
      </c>
      <c r="J1281" s="123">
        <v>259</v>
      </c>
      <c r="K1281" s="123">
        <v>354</v>
      </c>
      <c r="L1281" s="123">
        <v>-109</v>
      </c>
      <c r="M1281" s="123">
        <v>4</v>
      </c>
      <c r="N1281" s="123">
        <v>617</v>
      </c>
      <c r="O1281" s="123">
        <v>129</v>
      </c>
      <c r="P1281" s="123">
        <v>1100</v>
      </c>
      <c r="Q1281" s="123">
        <v>5262</v>
      </c>
      <c r="R1281" s="12" t="s">
        <v>367</v>
      </c>
      <c r="S1281" s="12" t="s">
        <v>25</v>
      </c>
      <c r="T1281" s="12" t="s">
        <v>25</v>
      </c>
    </row>
    <row r="1282" spans="1:20" x14ac:dyDescent="0.3">
      <c r="A1282" s="13">
        <v>43945.708333333336</v>
      </c>
      <c r="B1282" s="12" t="s">
        <v>22</v>
      </c>
      <c r="C1282" s="150">
        <v>5</v>
      </c>
      <c r="D1282" s="12" t="s">
        <v>61</v>
      </c>
      <c r="E1282" s="150">
        <v>4543490485</v>
      </c>
      <c r="F1282" s="150">
        <v>1233845213</v>
      </c>
      <c r="G1282" s="150">
        <v>1159</v>
      </c>
      <c r="H1282" s="150">
        <v>130</v>
      </c>
      <c r="I1282" s="150">
        <v>1289</v>
      </c>
      <c r="J1282" s="150">
        <v>8390</v>
      </c>
      <c r="K1282" s="150">
        <v>9679</v>
      </c>
      <c r="L1282" s="150">
        <v>-246</v>
      </c>
      <c r="M1282" s="150">
        <v>348</v>
      </c>
      <c r="N1282" s="150">
        <v>6306</v>
      </c>
      <c r="O1282" s="150">
        <v>1244</v>
      </c>
      <c r="P1282" s="150">
        <v>17229</v>
      </c>
      <c r="Q1282" s="150">
        <v>296896</v>
      </c>
      <c r="R1282" s="12" t="s">
        <v>368</v>
      </c>
      <c r="S1282" s="12" t="s">
        <v>25</v>
      </c>
      <c r="T1282" s="12" t="s">
        <v>25</v>
      </c>
    </row>
    <row r="1283" spans="1:20" x14ac:dyDescent="0.3">
      <c r="A1283" s="13">
        <v>43946.708333333336</v>
      </c>
      <c r="B1283" s="12" t="s">
        <v>22</v>
      </c>
      <c r="C1283" s="150">
        <v>13</v>
      </c>
      <c r="D1283" s="12" t="s">
        <v>42</v>
      </c>
      <c r="E1283" s="150">
        <v>4235122196</v>
      </c>
      <c r="F1283" s="150">
        <v>1339843823</v>
      </c>
      <c r="G1283" s="150">
        <v>323</v>
      </c>
      <c r="H1283" s="150">
        <v>26</v>
      </c>
      <c r="I1283" s="150">
        <v>349</v>
      </c>
      <c r="J1283" s="150">
        <v>1712</v>
      </c>
      <c r="K1283" s="150">
        <v>2061</v>
      </c>
      <c r="L1283" s="150">
        <v>-18</v>
      </c>
      <c r="M1283" s="150">
        <v>29</v>
      </c>
      <c r="N1283" s="150">
        <v>478</v>
      </c>
      <c r="O1283" s="150">
        <v>293</v>
      </c>
      <c r="P1283" s="150">
        <v>2832</v>
      </c>
      <c r="Q1283" s="150">
        <v>33624</v>
      </c>
      <c r="R1283" s="12" t="s">
        <v>376</v>
      </c>
      <c r="S1283" s="12" t="s">
        <v>25</v>
      </c>
      <c r="T1283" s="12" t="s">
        <v>25</v>
      </c>
    </row>
    <row r="1284" spans="1:20" x14ac:dyDescent="0.3">
      <c r="A1284" s="13">
        <v>43946.708333333336</v>
      </c>
      <c r="B1284" s="12" t="s">
        <v>22</v>
      </c>
      <c r="C1284" s="150">
        <v>17</v>
      </c>
      <c r="D1284" s="12" t="s">
        <v>43</v>
      </c>
      <c r="E1284" s="150">
        <v>4063947052</v>
      </c>
      <c r="F1284" s="150">
        <v>1580514834</v>
      </c>
      <c r="G1284" s="150">
        <v>58</v>
      </c>
      <c r="H1284" s="150">
        <v>7</v>
      </c>
      <c r="I1284" s="150">
        <v>65</v>
      </c>
      <c r="J1284" s="150">
        <v>153</v>
      </c>
      <c r="K1284" s="150">
        <v>218</v>
      </c>
      <c r="L1284" s="150">
        <v>-11</v>
      </c>
      <c r="M1284" s="150">
        <v>1</v>
      </c>
      <c r="N1284" s="150">
        <v>118</v>
      </c>
      <c r="O1284" s="150">
        <v>25</v>
      </c>
      <c r="P1284" s="150">
        <v>361</v>
      </c>
      <c r="Q1284" s="150">
        <v>9792</v>
      </c>
      <c r="R1284" s="12" t="s">
        <v>377</v>
      </c>
      <c r="S1284" s="12" t="s">
        <v>25</v>
      </c>
      <c r="T1284" s="12" t="s">
        <v>25</v>
      </c>
    </row>
    <row r="1285" spans="1:20" x14ac:dyDescent="0.3">
      <c r="A1285" s="13">
        <v>43946.708333333336</v>
      </c>
      <c r="B1285" s="12" t="s">
        <v>22</v>
      </c>
      <c r="C1285" s="150">
        <v>4</v>
      </c>
      <c r="D1285" s="12" t="s">
        <v>44</v>
      </c>
      <c r="E1285" s="150">
        <v>4649933453</v>
      </c>
      <c r="F1285" s="150">
        <v>1135662422</v>
      </c>
      <c r="G1285" s="150">
        <v>141</v>
      </c>
      <c r="H1285" s="150">
        <v>14</v>
      </c>
      <c r="I1285" s="150">
        <v>155</v>
      </c>
      <c r="J1285" s="150">
        <v>880</v>
      </c>
      <c r="K1285" s="150">
        <v>1035</v>
      </c>
      <c r="L1285" s="150">
        <v>-58</v>
      </c>
      <c r="M1285" s="150">
        <v>20</v>
      </c>
      <c r="N1285" s="150">
        <v>1176</v>
      </c>
      <c r="O1285" s="150">
        <v>265</v>
      </c>
      <c r="P1285" s="150">
        <v>2476</v>
      </c>
      <c r="Q1285" s="150">
        <v>36608</v>
      </c>
      <c r="R1285" s="12" t="s">
        <v>378</v>
      </c>
      <c r="S1285" s="12" t="s">
        <v>25</v>
      </c>
      <c r="T1285" s="12" t="s">
        <v>25</v>
      </c>
    </row>
    <row r="1286" spans="1:20" x14ac:dyDescent="0.3">
      <c r="A1286" s="13">
        <v>43946.708333333336</v>
      </c>
      <c r="B1286" s="12" t="s">
        <v>22</v>
      </c>
      <c r="C1286" s="150">
        <v>18</v>
      </c>
      <c r="D1286" s="12" t="s">
        <v>45</v>
      </c>
      <c r="E1286" s="150">
        <v>3890597598</v>
      </c>
      <c r="F1286" s="150">
        <v>1659440194</v>
      </c>
      <c r="G1286" s="150">
        <v>125</v>
      </c>
      <c r="H1286" s="150">
        <v>7</v>
      </c>
      <c r="I1286" s="150">
        <v>132</v>
      </c>
      <c r="J1286" s="150">
        <v>679</v>
      </c>
      <c r="K1286" s="150">
        <v>811</v>
      </c>
      <c r="L1286" s="150">
        <v>-10</v>
      </c>
      <c r="M1286" s="150">
        <v>9</v>
      </c>
      <c r="N1286" s="150">
        <v>197</v>
      </c>
      <c r="O1286" s="150">
        <v>80</v>
      </c>
      <c r="P1286" s="150">
        <v>1088</v>
      </c>
      <c r="Q1286" s="150">
        <v>29959</v>
      </c>
      <c r="R1286" s="12" t="s">
        <v>233</v>
      </c>
      <c r="S1286" s="12" t="s">
        <v>25</v>
      </c>
      <c r="T1286" s="12" t="s">
        <v>25</v>
      </c>
    </row>
    <row r="1287" spans="1:20" x14ac:dyDescent="0.3">
      <c r="A1287" s="13">
        <v>43946.708333333336</v>
      </c>
      <c r="B1287" s="12" t="s">
        <v>22</v>
      </c>
      <c r="C1287" s="150">
        <v>15</v>
      </c>
      <c r="D1287" s="12" t="s">
        <v>46</v>
      </c>
      <c r="E1287" s="150">
        <v>4083956555</v>
      </c>
      <c r="F1287" s="150">
        <v>1425084984</v>
      </c>
      <c r="G1287" s="150">
        <v>543</v>
      </c>
      <c r="H1287" s="150">
        <v>55</v>
      </c>
      <c r="I1287" s="150">
        <v>598</v>
      </c>
      <c r="J1287" s="150">
        <v>2337</v>
      </c>
      <c r="K1287" s="150">
        <v>2935</v>
      </c>
      <c r="L1287" s="150">
        <v>-8</v>
      </c>
      <c r="M1287" s="150">
        <v>17</v>
      </c>
      <c r="N1287" s="150">
        <v>1023</v>
      </c>
      <c r="O1287" s="150">
        <v>341</v>
      </c>
      <c r="P1287" s="150">
        <v>4299</v>
      </c>
      <c r="Q1287" s="150">
        <v>64521</v>
      </c>
      <c r="R1287" s="12" t="s">
        <v>379</v>
      </c>
      <c r="S1287" s="12" t="s">
        <v>25</v>
      </c>
      <c r="T1287" s="12" t="s">
        <v>25</v>
      </c>
    </row>
    <row r="1288" spans="1:20" x14ac:dyDescent="0.3">
      <c r="A1288" s="13">
        <v>43946.708333333336</v>
      </c>
      <c r="B1288" s="12" t="s">
        <v>22</v>
      </c>
      <c r="C1288" s="150">
        <v>8</v>
      </c>
      <c r="D1288" s="12" t="s">
        <v>96</v>
      </c>
      <c r="E1288" s="150">
        <v>4449436681</v>
      </c>
      <c r="F1288" s="150">
        <v>113417208</v>
      </c>
      <c r="G1288" s="150">
        <v>2718</v>
      </c>
      <c r="H1288" s="150">
        <v>246</v>
      </c>
      <c r="I1288" s="150">
        <v>2964</v>
      </c>
      <c r="J1288" s="150">
        <v>9383</v>
      </c>
      <c r="K1288" s="150">
        <v>12347</v>
      </c>
      <c r="L1288" s="150">
        <v>-162</v>
      </c>
      <c r="M1288" s="150">
        <v>239</v>
      </c>
      <c r="N1288" s="150">
        <v>8515</v>
      </c>
      <c r="O1288" s="150">
        <v>3347</v>
      </c>
      <c r="P1288" s="150">
        <v>24209</v>
      </c>
      <c r="Q1288" s="150">
        <v>156883</v>
      </c>
      <c r="R1288" s="12" t="s">
        <v>380</v>
      </c>
      <c r="S1288" s="12" t="s">
        <v>25</v>
      </c>
      <c r="T1288" s="12" t="s">
        <v>25</v>
      </c>
    </row>
    <row r="1289" spans="1:20" x14ac:dyDescent="0.3">
      <c r="A1289" s="13">
        <v>43946.708333333336</v>
      </c>
      <c r="B1289" s="12" t="s">
        <v>22</v>
      </c>
      <c r="C1289" s="150">
        <v>6</v>
      </c>
      <c r="D1289" s="12" t="s">
        <v>47</v>
      </c>
      <c r="E1289" s="150">
        <v>456494354</v>
      </c>
      <c r="F1289" s="150">
        <v>1376813649</v>
      </c>
      <c r="G1289" s="150">
        <v>122</v>
      </c>
      <c r="H1289" s="150">
        <v>15</v>
      </c>
      <c r="I1289" s="150">
        <v>137</v>
      </c>
      <c r="J1289" s="150">
        <v>947</v>
      </c>
      <c r="K1289" s="150">
        <v>1084</v>
      </c>
      <c r="L1289" s="150">
        <v>-236</v>
      </c>
      <c r="M1289" s="150">
        <v>21</v>
      </c>
      <c r="N1289" s="150">
        <v>1556</v>
      </c>
      <c r="O1289" s="150">
        <v>263</v>
      </c>
      <c r="P1289" s="150">
        <v>2903</v>
      </c>
      <c r="Q1289" s="150">
        <v>58375</v>
      </c>
      <c r="R1289" s="12" t="s">
        <v>381</v>
      </c>
      <c r="S1289" s="12" t="s">
        <v>25</v>
      </c>
      <c r="T1289" s="12" t="s">
        <v>25</v>
      </c>
    </row>
    <row r="1290" spans="1:20" x14ac:dyDescent="0.3">
      <c r="A1290" s="13">
        <v>43946.708333333336</v>
      </c>
      <c r="B1290" s="12" t="s">
        <v>22</v>
      </c>
      <c r="C1290" s="150">
        <v>12</v>
      </c>
      <c r="D1290" s="12" t="s">
        <v>48</v>
      </c>
      <c r="E1290" s="150">
        <v>4189277044</v>
      </c>
      <c r="F1290" s="150">
        <v>1248366722</v>
      </c>
      <c r="G1290" s="150">
        <v>1421</v>
      </c>
      <c r="H1290" s="150">
        <v>183</v>
      </c>
      <c r="I1290" s="150">
        <v>1604</v>
      </c>
      <c r="J1290" s="150">
        <v>2957</v>
      </c>
      <c r="K1290" s="150">
        <v>4561</v>
      </c>
      <c r="L1290" s="150">
        <v>69</v>
      </c>
      <c r="M1290" s="150">
        <v>92</v>
      </c>
      <c r="N1290" s="150">
        <v>1276</v>
      </c>
      <c r="O1290" s="150">
        <v>387</v>
      </c>
      <c r="P1290" s="150">
        <v>6224</v>
      </c>
      <c r="Q1290" s="150">
        <v>118354</v>
      </c>
      <c r="R1290" s="12" t="s">
        <v>382</v>
      </c>
      <c r="S1290" s="12" t="s">
        <v>25</v>
      </c>
      <c r="T1290" s="12" t="s">
        <v>25</v>
      </c>
    </row>
    <row r="1291" spans="1:20" x14ac:dyDescent="0.3">
      <c r="A1291" s="13">
        <v>43946.708333333336</v>
      </c>
      <c r="B1291" s="12" t="s">
        <v>22</v>
      </c>
      <c r="C1291" s="150">
        <v>7</v>
      </c>
      <c r="D1291" s="12" t="s">
        <v>49</v>
      </c>
      <c r="E1291" s="150">
        <v>4441149315</v>
      </c>
      <c r="F1291" s="150">
        <v>89326992</v>
      </c>
      <c r="G1291" s="150">
        <v>759</v>
      </c>
      <c r="H1291" s="150">
        <v>83</v>
      </c>
      <c r="I1291" s="150">
        <v>842</v>
      </c>
      <c r="J1291" s="150">
        <v>2591</v>
      </c>
      <c r="K1291" s="150">
        <v>3433</v>
      </c>
      <c r="L1291" s="150">
        <v>-4</v>
      </c>
      <c r="M1291" s="150">
        <v>128</v>
      </c>
      <c r="N1291" s="150">
        <v>2775</v>
      </c>
      <c r="O1291" s="150">
        <v>1093</v>
      </c>
      <c r="P1291" s="150">
        <v>7301</v>
      </c>
      <c r="Q1291" s="150">
        <v>41125</v>
      </c>
      <c r="R1291" s="12" t="s">
        <v>383</v>
      </c>
      <c r="S1291" s="12" t="s">
        <v>25</v>
      </c>
      <c r="T1291" s="12" t="s">
        <v>25</v>
      </c>
    </row>
    <row r="1292" spans="1:20" x14ac:dyDescent="0.3">
      <c r="A1292" s="13">
        <v>43946.708333333336</v>
      </c>
      <c r="B1292" s="12" t="s">
        <v>22</v>
      </c>
      <c r="C1292" s="150">
        <v>3</v>
      </c>
      <c r="D1292" s="12" t="s">
        <v>50</v>
      </c>
      <c r="E1292" s="150">
        <v>4546679409</v>
      </c>
      <c r="F1292" s="150">
        <v>9190347404</v>
      </c>
      <c r="G1292" s="150">
        <v>8489</v>
      </c>
      <c r="H1292" s="150">
        <v>724</v>
      </c>
      <c r="I1292" s="150">
        <v>9213</v>
      </c>
      <c r="J1292" s="150">
        <v>25260</v>
      </c>
      <c r="K1292" s="150">
        <v>34473</v>
      </c>
      <c r="L1292" s="150">
        <v>105</v>
      </c>
      <c r="M1292" s="150">
        <v>713</v>
      </c>
      <c r="N1292" s="150">
        <v>24227</v>
      </c>
      <c r="O1292" s="150">
        <v>13269</v>
      </c>
      <c r="P1292" s="150">
        <v>71969</v>
      </c>
      <c r="Q1292" s="150">
        <v>326940</v>
      </c>
      <c r="R1292" s="12" t="s">
        <v>384</v>
      </c>
      <c r="S1292" s="12" t="s">
        <v>25</v>
      </c>
      <c r="T1292" s="12" t="s">
        <v>25</v>
      </c>
    </row>
    <row r="1293" spans="1:20" x14ac:dyDescent="0.3">
      <c r="A1293" s="13">
        <v>43946.708333333336</v>
      </c>
      <c r="B1293" s="12" t="s">
        <v>22</v>
      </c>
      <c r="C1293" s="150">
        <v>11</v>
      </c>
      <c r="D1293" s="12" t="s">
        <v>51</v>
      </c>
      <c r="E1293" s="150">
        <v>4361675973</v>
      </c>
      <c r="F1293" s="150">
        <v>135188753</v>
      </c>
      <c r="G1293" s="150">
        <v>689</v>
      </c>
      <c r="H1293" s="150">
        <v>58</v>
      </c>
      <c r="I1293" s="150">
        <v>747</v>
      </c>
      <c r="J1293" s="150">
        <v>2525</v>
      </c>
      <c r="K1293" s="150">
        <v>3272</v>
      </c>
      <c r="L1293" s="150">
        <v>-1</v>
      </c>
      <c r="M1293" s="150">
        <v>30</v>
      </c>
      <c r="N1293" s="150">
        <v>1912</v>
      </c>
      <c r="O1293" s="150">
        <v>874</v>
      </c>
      <c r="P1293" s="150">
        <v>6058</v>
      </c>
      <c r="Q1293" s="150">
        <v>50996</v>
      </c>
      <c r="R1293" s="12" t="s">
        <v>385</v>
      </c>
      <c r="S1293" s="12" t="s">
        <v>25</v>
      </c>
      <c r="T1293" s="12" t="s">
        <v>25</v>
      </c>
    </row>
    <row r="1294" spans="1:20" x14ac:dyDescent="0.3">
      <c r="A1294" s="13">
        <v>43946.708333333336</v>
      </c>
      <c r="B1294" s="12" t="s">
        <v>22</v>
      </c>
      <c r="C1294" s="150">
        <v>14</v>
      </c>
      <c r="D1294" s="12" t="s">
        <v>52</v>
      </c>
      <c r="E1294" s="150">
        <v>4155774754</v>
      </c>
      <c r="F1294" s="150">
        <v>1465916051</v>
      </c>
      <c r="G1294" s="150">
        <v>19</v>
      </c>
      <c r="H1294" s="150">
        <v>1</v>
      </c>
      <c r="I1294" s="150">
        <v>20</v>
      </c>
      <c r="J1294" s="150">
        <v>178</v>
      </c>
      <c r="K1294" s="150">
        <v>198</v>
      </c>
      <c r="L1294" s="150">
        <v>-2</v>
      </c>
      <c r="M1294" s="150">
        <v>5</v>
      </c>
      <c r="N1294" s="150">
        <v>73</v>
      </c>
      <c r="O1294" s="150">
        <v>21</v>
      </c>
      <c r="P1294" s="150">
        <v>292</v>
      </c>
      <c r="Q1294" s="150">
        <v>5191</v>
      </c>
      <c r="R1294" s="12" t="s">
        <v>386</v>
      </c>
      <c r="S1294" s="12" t="s">
        <v>25</v>
      </c>
      <c r="T1294" s="12" t="s">
        <v>25</v>
      </c>
    </row>
    <row r="1295" spans="1:20" x14ac:dyDescent="0.3">
      <c r="A1295" s="13">
        <v>43946.708333333336</v>
      </c>
      <c r="B1295" s="12" t="s">
        <v>22</v>
      </c>
      <c r="C1295" s="150">
        <v>1</v>
      </c>
      <c r="D1295" s="12" t="s">
        <v>53</v>
      </c>
      <c r="E1295" s="150">
        <v>450732745</v>
      </c>
      <c r="F1295" s="150">
        <v>7680687483</v>
      </c>
      <c r="G1295" s="150">
        <v>2937</v>
      </c>
      <c r="H1295" s="150">
        <v>238</v>
      </c>
      <c r="I1295" s="150">
        <v>3175</v>
      </c>
      <c r="J1295" s="150">
        <v>12327</v>
      </c>
      <c r="K1295" s="150">
        <v>15502</v>
      </c>
      <c r="L1295" s="150">
        <v>111</v>
      </c>
      <c r="M1295" s="150">
        <v>604</v>
      </c>
      <c r="N1295" s="150">
        <v>6157</v>
      </c>
      <c r="O1295" s="150">
        <v>2767</v>
      </c>
      <c r="P1295" s="150">
        <v>24426</v>
      </c>
      <c r="Q1295" s="150">
        <v>131107</v>
      </c>
      <c r="R1295" s="12" t="s">
        <v>387</v>
      </c>
      <c r="S1295" s="12" t="s">
        <v>25</v>
      </c>
      <c r="T1295" s="12" t="s">
        <v>25</v>
      </c>
    </row>
    <row r="1296" spans="1:20" x14ac:dyDescent="0.3">
      <c r="A1296" s="13">
        <v>43946.708333333336</v>
      </c>
      <c r="B1296" s="12" t="s">
        <v>22</v>
      </c>
      <c r="C1296" s="150">
        <v>16</v>
      </c>
      <c r="D1296" s="12" t="s">
        <v>54</v>
      </c>
      <c r="E1296" s="150">
        <v>4112559576</v>
      </c>
      <c r="F1296" s="150">
        <v>1686736689</v>
      </c>
      <c r="G1296" s="150">
        <v>469</v>
      </c>
      <c r="H1296" s="150">
        <v>48</v>
      </c>
      <c r="I1296" s="150">
        <v>517</v>
      </c>
      <c r="J1296" s="150">
        <v>2402</v>
      </c>
      <c r="K1296" s="150">
        <v>2919</v>
      </c>
      <c r="L1296" s="150">
        <v>-14</v>
      </c>
      <c r="M1296" s="150">
        <v>31</v>
      </c>
      <c r="N1296" s="150">
        <v>602</v>
      </c>
      <c r="O1296" s="150">
        <v>391</v>
      </c>
      <c r="P1296" s="150">
        <v>3912</v>
      </c>
      <c r="Q1296" s="150">
        <v>54628</v>
      </c>
      <c r="R1296" s="12" t="s">
        <v>388</v>
      </c>
      <c r="S1296" s="12" t="s">
        <v>25</v>
      </c>
      <c r="T1296" s="12" t="s">
        <v>25</v>
      </c>
    </row>
    <row r="1297" spans="1:20" x14ac:dyDescent="0.3">
      <c r="A1297" s="13">
        <v>43946.708333333336</v>
      </c>
      <c r="B1297" s="12" t="s">
        <v>22</v>
      </c>
      <c r="C1297" s="150">
        <v>20</v>
      </c>
      <c r="D1297" s="12" t="s">
        <v>55</v>
      </c>
      <c r="E1297" s="150">
        <v>3921531192</v>
      </c>
      <c r="F1297" s="150">
        <v>9110616306</v>
      </c>
      <c r="G1297" s="150">
        <v>96</v>
      </c>
      <c r="H1297" s="150">
        <v>18</v>
      </c>
      <c r="I1297" s="150">
        <v>114</v>
      </c>
      <c r="J1297" s="150">
        <v>680</v>
      </c>
      <c r="K1297" s="150">
        <v>794</v>
      </c>
      <c r="L1297" s="150">
        <v>-10</v>
      </c>
      <c r="M1297" s="150">
        <v>14</v>
      </c>
      <c r="N1297" s="150">
        <v>374</v>
      </c>
      <c r="O1297" s="150">
        <v>103</v>
      </c>
      <c r="P1297" s="150">
        <v>1271</v>
      </c>
      <c r="Q1297" s="150">
        <v>20351</v>
      </c>
      <c r="R1297" s="12" t="s">
        <v>389</v>
      </c>
      <c r="S1297" s="12" t="s">
        <v>25</v>
      </c>
      <c r="T1297" s="12" t="s">
        <v>25</v>
      </c>
    </row>
    <row r="1298" spans="1:20" x14ac:dyDescent="0.3">
      <c r="A1298" s="13">
        <v>43946.708333333336</v>
      </c>
      <c r="B1298" s="12" t="s">
        <v>22</v>
      </c>
      <c r="C1298" s="150">
        <v>19</v>
      </c>
      <c r="D1298" s="12" t="s">
        <v>56</v>
      </c>
      <c r="E1298" s="150">
        <v>3811569725</v>
      </c>
      <c r="F1298" s="150">
        <v>133623567</v>
      </c>
      <c r="G1298" s="150">
        <v>452</v>
      </c>
      <c r="H1298" s="150">
        <v>33</v>
      </c>
      <c r="I1298" s="150">
        <v>485</v>
      </c>
      <c r="J1298" s="150">
        <v>1787</v>
      </c>
      <c r="K1298" s="150">
        <v>2272</v>
      </c>
      <c r="L1298" s="150">
        <v>-48</v>
      </c>
      <c r="M1298" s="150">
        <v>39</v>
      </c>
      <c r="N1298" s="150">
        <v>524</v>
      </c>
      <c r="O1298" s="150">
        <v>224</v>
      </c>
      <c r="P1298" s="150">
        <v>3020</v>
      </c>
      <c r="Q1298" s="150">
        <v>68251</v>
      </c>
      <c r="R1298" s="12" t="s">
        <v>390</v>
      </c>
      <c r="S1298" s="12" t="s">
        <v>25</v>
      </c>
      <c r="T1298" s="12" t="s">
        <v>25</v>
      </c>
    </row>
    <row r="1299" spans="1:20" x14ac:dyDescent="0.3">
      <c r="A1299" s="13">
        <v>43946.708333333336</v>
      </c>
      <c r="B1299" s="12" t="s">
        <v>22</v>
      </c>
      <c r="C1299" s="150">
        <v>9</v>
      </c>
      <c r="D1299" s="12" t="s">
        <v>57</v>
      </c>
      <c r="E1299" s="150">
        <v>4376923077</v>
      </c>
      <c r="F1299" s="150">
        <v>1125588885</v>
      </c>
      <c r="G1299" s="150">
        <v>687</v>
      </c>
      <c r="H1299" s="150">
        <v>166</v>
      </c>
      <c r="I1299" s="150">
        <v>853</v>
      </c>
      <c r="J1299" s="150">
        <v>5293</v>
      </c>
      <c r="K1299" s="150">
        <v>6146</v>
      </c>
      <c r="L1299" s="150">
        <v>13</v>
      </c>
      <c r="M1299" s="150">
        <v>138</v>
      </c>
      <c r="N1299" s="150">
        <v>2109</v>
      </c>
      <c r="O1299" s="150">
        <v>760</v>
      </c>
      <c r="P1299" s="150">
        <v>9015</v>
      </c>
      <c r="Q1299" s="150">
        <v>125495</v>
      </c>
      <c r="R1299" s="12" t="s">
        <v>391</v>
      </c>
      <c r="S1299" s="12" t="s">
        <v>25</v>
      </c>
      <c r="T1299" s="12" t="s">
        <v>25</v>
      </c>
    </row>
    <row r="1300" spans="1:20" x14ac:dyDescent="0.3">
      <c r="A1300" s="13">
        <v>43946.708333333336</v>
      </c>
      <c r="B1300" s="12" t="s">
        <v>22</v>
      </c>
      <c r="C1300" s="150">
        <v>4</v>
      </c>
      <c r="D1300" s="12" t="s">
        <v>58</v>
      </c>
      <c r="E1300" s="150">
        <v>4606893511</v>
      </c>
      <c r="F1300" s="150">
        <v>1112123097</v>
      </c>
      <c r="G1300" s="150">
        <v>202</v>
      </c>
      <c r="H1300" s="150">
        <v>27</v>
      </c>
      <c r="I1300" s="150">
        <v>229</v>
      </c>
      <c r="J1300" s="150">
        <v>1515</v>
      </c>
      <c r="K1300" s="150">
        <v>1744</v>
      </c>
      <c r="L1300" s="150">
        <v>-83</v>
      </c>
      <c r="M1300" s="150">
        <v>62</v>
      </c>
      <c r="N1300" s="150">
        <v>1694</v>
      </c>
      <c r="O1300" s="150">
        <v>400</v>
      </c>
      <c r="P1300" s="150">
        <v>3838</v>
      </c>
      <c r="Q1300" s="150">
        <v>30661</v>
      </c>
      <c r="R1300" s="12" t="s">
        <v>392</v>
      </c>
      <c r="S1300" s="12" t="s">
        <v>25</v>
      </c>
      <c r="T1300" s="12" t="s">
        <v>25</v>
      </c>
    </row>
    <row r="1301" spans="1:20" x14ac:dyDescent="0.3">
      <c r="A1301" s="13">
        <v>43946.708333333336</v>
      </c>
      <c r="B1301" s="12" t="s">
        <v>22</v>
      </c>
      <c r="C1301" s="150">
        <v>10</v>
      </c>
      <c r="D1301" s="12" t="s">
        <v>59</v>
      </c>
      <c r="E1301" s="150">
        <v>4310675841</v>
      </c>
      <c r="F1301" s="150">
        <v>1238824698</v>
      </c>
      <c r="G1301" s="150">
        <v>95</v>
      </c>
      <c r="H1301" s="150">
        <v>18</v>
      </c>
      <c r="I1301" s="150">
        <v>113</v>
      </c>
      <c r="J1301" s="150">
        <v>184</v>
      </c>
      <c r="K1301" s="150">
        <v>297</v>
      </c>
      <c r="L1301" s="150">
        <v>-25</v>
      </c>
      <c r="M1301" s="150">
        <v>3</v>
      </c>
      <c r="N1301" s="150">
        <v>1006</v>
      </c>
      <c r="O1301" s="150">
        <v>63</v>
      </c>
      <c r="P1301" s="150">
        <v>1366</v>
      </c>
      <c r="Q1301" s="150">
        <v>31939</v>
      </c>
      <c r="R1301" s="12" t="s">
        <v>393</v>
      </c>
      <c r="S1301" s="12" t="s">
        <v>25</v>
      </c>
      <c r="T1301" s="12" t="s">
        <v>25</v>
      </c>
    </row>
    <row r="1302" spans="1:20" x14ac:dyDescent="0.3">
      <c r="A1302" s="13">
        <v>43946.708333333336</v>
      </c>
      <c r="B1302" s="12" t="s">
        <v>22</v>
      </c>
      <c r="C1302" s="150">
        <v>2</v>
      </c>
      <c r="D1302" s="12" t="s">
        <v>60</v>
      </c>
      <c r="E1302" s="150">
        <v>4573750286</v>
      </c>
      <c r="F1302" s="150">
        <v>7320149366</v>
      </c>
      <c r="G1302" s="150">
        <v>83</v>
      </c>
      <c r="H1302" s="150">
        <v>6</v>
      </c>
      <c r="I1302" s="150">
        <v>89</v>
      </c>
      <c r="J1302" s="150">
        <v>224</v>
      </c>
      <c r="K1302" s="150">
        <v>313</v>
      </c>
      <c r="L1302" s="150">
        <v>-41</v>
      </c>
      <c r="M1302" s="150">
        <v>0</v>
      </c>
      <c r="N1302" s="150">
        <v>657</v>
      </c>
      <c r="O1302" s="150">
        <v>130</v>
      </c>
      <c r="P1302" s="150">
        <v>1100</v>
      </c>
      <c r="Q1302" s="150">
        <v>5966</v>
      </c>
      <c r="R1302" s="12" t="s">
        <v>394</v>
      </c>
      <c r="S1302" s="12" t="s">
        <v>25</v>
      </c>
      <c r="T1302" s="12" t="s">
        <v>25</v>
      </c>
    </row>
    <row r="1303" spans="1:20" x14ac:dyDescent="0.3">
      <c r="A1303" s="13">
        <v>43946.708333333336</v>
      </c>
      <c r="B1303" s="12" t="s">
        <v>22</v>
      </c>
      <c r="C1303" s="151">
        <v>5</v>
      </c>
      <c r="D1303" s="12" t="s">
        <v>61</v>
      </c>
      <c r="E1303" s="151">
        <v>4543490485</v>
      </c>
      <c r="F1303" s="151">
        <v>1233845213</v>
      </c>
      <c r="G1303" s="151">
        <v>1105</v>
      </c>
      <c r="H1303" s="151">
        <v>129</v>
      </c>
      <c r="I1303" s="151">
        <v>1234</v>
      </c>
      <c r="J1303" s="151">
        <v>8198</v>
      </c>
      <c r="K1303" s="151">
        <v>9432</v>
      </c>
      <c r="L1303" s="151">
        <v>-247</v>
      </c>
      <c r="M1303" s="151">
        <v>162</v>
      </c>
      <c r="N1303" s="151">
        <v>6671</v>
      </c>
      <c r="O1303" s="151">
        <v>1288</v>
      </c>
      <c r="P1303" s="151">
        <v>17391</v>
      </c>
      <c r="Q1303" s="151">
        <v>306977</v>
      </c>
      <c r="R1303" s="12" t="s">
        <v>395</v>
      </c>
      <c r="S1303" s="12" t="s">
        <v>25</v>
      </c>
      <c r="T1303" s="12" t="s">
        <v>25</v>
      </c>
    </row>
    <row r="1304" spans="1:20" x14ac:dyDescent="0.3">
      <c r="A1304" s="13">
        <v>43947.708333333336</v>
      </c>
      <c r="B1304" s="12" t="s">
        <v>22</v>
      </c>
      <c r="C1304" s="151">
        <v>13</v>
      </c>
      <c r="D1304" s="12" t="s">
        <v>42</v>
      </c>
      <c r="E1304" s="151">
        <v>4235122196</v>
      </c>
      <c r="F1304" s="151">
        <v>1339843823</v>
      </c>
      <c r="G1304" s="151">
        <v>324</v>
      </c>
      <c r="H1304" s="151">
        <v>24</v>
      </c>
      <c r="I1304" s="151">
        <v>348</v>
      </c>
      <c r="J1304" s="151">
        <v>1720</v>
      </c>
      <c r="K1304" s="151">
        <v>2068</v>
      </c>
      <c r="L1304" s="151">
        <v>7</v>
      </c>
      <c r="M1304" s="151">
        <v>27</v>
      </c>
      <c r="N1304" s="151">
        <v>496</v>
      </c>
      <c r="O1304" s="151">
        <v>295</v>
      </c>
      <c r="P1304" s="151">
        <v>2859</v>
      </c>
      <c r="Q1304" s="151">
        <v>33820</v>
      </c>
      <c r="R1304" s="12" t="s">
        <v>4340</v>
      </c>
      <c r="S1304" s="12" t="s">
        <v>25</v>
      </c>
      <c r="T1304" s="12" t="s">
        <v>25</v>
      </c>
    </row>
    <row r="1305" spans="1:20" x14ac:dyDescent="0.3">
      <c r="A1305" s="13">
        <v>43947.708333333336</v>
      </c>
      <c r="B1305" s="12" t="s">
        <v>22</v>
      </c>
      <c r="C1305" s="151">
        <v>17</v>
      </c>
      <c r="D1305" s="12" t="s">
        <v>43</v>
      </c>
      <c r="E1305" s="151">
        <v>4063947052</v>
      </c>
      <c r="F1305" s="151">
        <v>1580514834</v>
      </c>
      <c r="G1305" s="151">
        <v>57</v>
      </c>
      <c r="H1305" s="151">
        <v>7</v>
      </c>
      <c r="I1305" s="151">
        <v>64</v>
      </c>
      <c r="J1305" s="151">
        <v>155</v>
      </c>
      <c r="K1305" s="151">
        <v>219</v>
      </c>
      <c r="L1305" s="151">
        <v>1</v>
      </c>
      <c r="M1305" s="151">
        <v>5</v>
      </c>
      <c r="N1305" s="151">
        <v>122</v>
      </c>
      <c r="O1305" s="151">
        <v>25</v>
      </c>
      <c r="P1305" s="151">
        <v>366</v>
      </c>
      <c r="Q1305" s="151">
        <v>10077</v>
      </c>
      <c r="R1305" s="12" t="s">
        <v>4341</v>
      </c>
      <c r="S1305" s="12" t="s">
        <v>25</v>
      </c>
      <c r="T1305" s="12" t="s">
        <v>25</v>
      </c>
    </row>
    <row r="1306" spans="1:20" x14ac:dyDescent="0.3">
      <c r="A1306" s="13">
        <v>43947.708333333336</v>
      </c>
      <c r="B1306" s="12" t="s">
        <v>22</v>
      </c>
      <c r="C1306" s="151">
        <v>4</v>
      </c>
      <c r="D1306" s="12" t="s">
        <v>44</v>
      </c>
      <c r="E1306" s="151">
        <v>4649933453</v>
      </c>
      <c r="F1306" s="151">
        <v>1135662422</v>
      </c>
      <c r="G1306" s="151">
        <v>138</v>
      </c>
      <c r="H1306" s="151">
        <v>14</v>
      </c>
      <c r="I1306" s="151">
        <v>152</v>
      </c>
      <c r="J1306" s="151">
        <v>842</v>
      </c>
      <c r="K1306" s="151">
        <v>994</v>
      </c>
      <c r="L1306" s="151">
        <v>-41</v>
      </c>
      <c r="M1306" s="151">
        <v>5</v>
      </c>
      <c r="N1306" s="151">
        <v>1218</v>
      </c>
      <c r="O1306" s="151">
        <v>269</v>
      </c>
      <c r="P1306" s="151">
        <v>2481</v>
      </c>
      <c r="Q1306" s="151">
        <v>37431</v>
      </c>
      <c r="R1306" s="12" t="s">
        <v>4342</v>
      </c>
      <c r="S1306" s="12" t="s">
        <v>25</v>
      </c>
      <c r="T1306" s="12" t="s">
        <v>25</v>
      </c>
    </row>
    <row r="1307" spans="1:20" x14ac:dyDescent="0.3">
      <c r="A1307" s="13">
        <v>43947.708333333336</v>
      </c>
      <c r="B1307" s="12" t="s">
        <v>22</v>
      </c>
      <c r="C1307" s="151">
        <v>18</v>
      </c>
      <c r="D1307" s="12" t="s">
        <v>45</v>
      </c>
      <c r="E1307" s="151">
        <v>3890597598</v>
      </c>
      <c r="F1307" s="151">
        <v>1659440194</v>
      </c>
      <c r="G1307" s="151">
        <v>118</v>
      </c>
      <c r="H1307" s="151">
        <v>8</v>
      </c>
      <c r="I1307" s="151">
        <v>126</v>
      </c>
      <c r="J1307" s="151">
        <v>671</v>
      </c>
      <c r="K1307" s="151">
        <v>797</v>
      </c>
      <c r="L1307" s="151">
        <v>-14</v>
      </c>
      <c r="M1307" s="151">
        <v>1</v>
      </c>
      <c r="N1307" s="151">
        <v>212</v>
      </c>
      <c r="O1307" s="151">
        <v>80</v>
      </c>
      <c r="P1307" s="151">
        <v>1089</v>
      </c>
      <c r="Q1307" s="151">
        <v>30853</v>
      </c>
      <c r="R1307" s="12" t="s">
        <v>4343</v>
      </c>
      <c r="S1307" s="12" t="s">
        <v>25</v>
      </c>
      <c r="T1307" s="12" t="s">
        <v>25</v>
      </c>
    </row>
    <row r="1308" spans="1:20" x14ac:dyDescent="0.3">
      <c r="A1308" s="13">
        <v>43947.708333333336</v>
      </c>
      <c r="B1308" s="12" t="s">
        <v>22</v>
      </c>
      <c r="C1308" s="151">
        <v>15</v>
      </c>
      <c r="D1308" s="12" t="s">
        <v>46</v>
      </c>
      <c r="E1308" s="151">
        <v>4083956555</v>
      </c>
      <c r="F1308" s="151">
        <v>1425084984</v>
      </c>
      <c r="G1308" s="151">
        <v>536</v>
      </c>
      <c r="H1308" s="151">
        <v>45</v>
      </c>
      <c r="I1308" s="151">
        <v>581</v>
      </c>
      <c r="J1308" s="151">
        <v>2343</v>
      </c>
      <c r="K1308" s="151">
        <v>2924</v>
      </c>
      <c r="L1308" s="151">
        <v>-11</v>
      </c>
      <c r="M1308" s="151">
        <v>32</v>
      </c>
      <c r="N1308" s="151">
        <v>1062</v>
      </c>
      <c r="O1308" s="151">
        <v>345</v>
      </c>
      <c r="P1308" s="151">
        <v>4331</v>
      </c>
      <c r="Q1308" s="151">
        <v>67218</v>
      </c>
      <c r="R1308" s="12" t="s">
        <v>4344</v>
      </c>
      <c r="S1308" s="12" t="s">
        <v>25</v>
      </c>
      <c r="T1308" s="12" t="s">
        <v>25</v>
      </c>
    </row>
    <row r="1309" spans="1:20" x14ac:dyDescent="0.3">
      <c r="A1309" s="13">
        <v>43947.708333333336</v>
      </c>
      <c r="B1309" s="12" t="s">
        <v>22</v>
      </c>
      <c r="C1309" s="151">
        <v>8</v>
      </c>
      <c r="D1309" s="12" t="s">
        <v>96</v>
      </c>
      <c r="E1309" s="151">
        <v>4449436681</v>
      </c>
      <c r="F1309" s="151">
        <v>113417208</v>
      </c>
      <c r="G1309" s="151">
        <v>2695</v>
      </c>
      <c r="H1309" s="151">
        <v>245</v>
      </c>
      <c r="I1309" s="151">
        <v>2940</v>
      </c>
      <c r="J1309" s="151">
        <v>9401</v>
      </c>
      <c r="K1309" s="151">
        <v>12341</v>
      </c>
      <c r="L1309" s="151">
        <v>-6</v>
      </c>
      <c r="M1309" s="151">
        <v>241</v>
      </c>
      <c r="N1309" s="151">
        <v>8723</v>
      </c>
      <c r="O1309" s="151">
        <v>3386</v>
      </c>
      <c r="P1309" s="151">
        <v>24450</v>
      </c>
      <c r="Q1309" s="151">
        <v>161928</v>
      </c>
      <c r="R1309" s="12" t="s">
        <v>4345</v>
      </c>
      <c r="S1309" s="12" t="s">
        <v>25</v>
      </c>
      <c r="T1309" s="12" t="s">
        <v>25</v>
      </c>
    </row>
    <row r="1310" spans="1:20" x14ac:dyDescent="0.3">
      <c r="A1310" s="13">
        <v>43947.708333333336</v>
      </c>
      <c r="B1310" s="12" t="s">
        <v>22</v>
      </c>
      <c r="C1310" s="151">
        <v>6</v>
      </c>
      <c r="D1310" s="12" t="s">
        <v>47</v>
      </c>
      <c r="E1310" s="151">
        <v>456494354</v>
      </c>
      <c r="F1310" s="151">
        <v>1376813649</v>
      </c>
      <c r="G1310" s="151">
        <v>129</v>
      </c>
      <c r="H1310" s="151">
        <v>13</v>
      </c>
      <c r="I1310" s="151">
        <v>142</v>
      </c>
      <c r="J1310" s="151">
        <v>1106</v>
      </c>
      <c r="K1310" s="151">
        <v>1248</v>
      </c>
      <c r="L1310" s="151">
        <v>164</v>
      </c>
      <c r="M1310" s="151">
        <v>14</v>
      </c>
      <c r="N1310" s="151">
        <v>1405</v>
      </c>
      <c r="O1310" s="151">
        <v>264</v>
      </c>
      <c r="P1310" s="151">
        <v>2917</v>
      </c>
      <c r="Q1310" s="151">
        <v>59681</v>
      </c>
      <c r="R1310" s="12" t="s">
        <v>4346</v>
      </c>
      <c r="S1310" s="12" t="s">
        <v>25</v>
      </c>
      <c r="T1310" s="12" t="s">
        <v>25</v>
      </c>
    </row>
    <row r="1311" spans="1:20" x14ac:dyDescent="0.3">
      <c r="A1311" s="13">
        <v>43947.708333333336</v>
      </c>
      <c r="B1311" s="12" t="s">
        <v>22</v>
      </c>
      <c r="C1311" s="151">
        <v>12</v>
      </c>
      <c r="D1311" s="12" t="s">
        <v>48</v>
      </c>
      <c r="E1311" s="151">
        <v>4189277044</v>
      </c>
      <c r="F1311" s="151">
        <v>1248366722</v>
      </c>
      <c r="G1311" s="151">
        <v>1442</v>
      </c>
      <c r="H1311" s="151">
        <v>161</v>
      </c>
      <c r="I1311" s="151">
        <v>1603</v>
      </c>
      <c r="J1311" s="151">
        <v>2970</v>
      </c>
      <c r="K1311" s="151">
        <v>4573</v>
      </c>
      <c r="L1311" s="151">
        <v>12</v>
      </c>
      <c r="M1311" s="151">
        <v>85</v>
      </c>
      <c r="N1311" s="151">
        <v>1347</v>
      </c>
      <c r="O1311" s="151">
        <v>389</v>
      </c>
      <c r="P1311" s="151">
        <v>6309</v>
      </c>
      <c r="Q1311" s="151">
        <v>121677</v>
      </c>
      <c r="R1311" s="12" t="s">
        <v>4347</v>
      </c>
      <c r="S1311" s="12" t="s">
        <v>25</v>
      </c>
      <c r="T1311" s="12" t="s">
        <v>25</v>
      </c>
    </row>
    <row r="1312" spans="1:20" x14ac:dyDescent="0.3">
      <c r="A1312" s="13">
        <v>43947.708333333336</v>
      </c>
      <c r="B1312" s="12" t="s">
        <v>22</v>
      </c>
      <c r="C1312" s="151">
        <v>7</v>
      </c>
      <c r="D1312" s="12" t="s">
        <v>49</v>
      </c>
      <c r="E1312" s="151">
        <v>4441149315</v>
      </c>
      <c r="F1312" s="151">
        <v>89326992</v>
      </c>
      <c r="G1312" s="151">
        <v>748</v>
      </c>
      <c r="H1312" s="151">
        <v>82</v>
      </c>
      <c r="I1312" s="151">
        <v>830</v>
      </c>
      <c r="J1312" s="151">
        <v>2650</v>
      </c>
      <c r="K1312" s="151">
        <v>3480</v>
      </c>
      <c r="L1312" s="151">
        <v>47</v>
      </c>
      <c r="M1312" s="151">
        <v>187</v>
      </c>
      <c r="N1312" s="151">
        <v>2894</v>
      </c>
      <c r="O1312" s="151">
        <v>1114</v>
      </c>
      <c r="P1312" s="151">
        <v>7488</v>
      </c>
      <c r="Q1312" s="151">
        <v>42607</v>
      </c>
      <c r="R1312" s="12" t="s">
        <v>4348</v>
      </c>
      <c r="S1312" s="12" t="s">
        <v>25</v>
      </c>
      <c r="T1312" s="12" t="s">
        <v>25</v>
      </c>
    </row>
    <row r="1313" spans="1:20" x14ac:dyDescent="0.3">
      <c r="A1313" s="13">
        <v>43947.708333333336</v>
      </c>
      <c r="B1313" s="12" t="s">
        <v>22</v>
      </c>
      <c r="C1313" s="151">
        <v>3</v>
      </c>
      <c r="D1313" s="12" t="s">
        <v>50</v>
      </c>
      <c r="E1313" s="151">
        <v>4546679409</v>
      </c>
      <c r="F1313" s="151">
        <v>9190347404</v>
      </c>
      <c r="G1313" s="151">
        <v>8481</v>
      </c>
      <c r="H1313" s="151">
        <v>706</v>
      </c>
      <c r="I1313" s="151">
        <v>9187</v>
      </c>
      <c r="J1313" s="151">
        <v>25979</v>
      </c>
      <c r="K1313" s="151">
        <v>35166</v>
      </c>
      <c r="L1313" s="151">
        <v>693</v>
      </c>
      <c r="M1313" s="151">
        <v>920</v>
      </c>
      <c r="N1313" s="151">
        <v>24398</v>
      </c>
      <c r="O1313" s="151">
        <v>13325</v>
      </c>
      <c r="P1313" s="151">
        <v>72889</v>
      </c>
      <c r="Q1313" s="151">
        <v>337797</v>
      </c>
      <c r="R1313" s="12" t="s">
        <v>4349</v>
      </c>
      <c r="S1313" s="12" t="s">
        <v>25</v>
      </c>
      <c r="T1313" s="12" t="s">
        <v>25</v>
      </c>
    </row>
    <row r="1314" spans="1:20" x14ac:dyDescent="0.3">
      <c r="A1314" s="13">
        <v>43947.708333333336</v>
      </c>
      <c r="B1314" s="12" t="s">
        <v>22</v>
      </c>
      <c r="C1314" s="151">
        <v>11</v>
      </c>
      <c r="D1314" s="12" t="s">
        <v>51</v>
      </c>
      <c r="E1314" s="151">
        <v>4361675973</v>
      </c>
      <c r="F1314" s="151">
        <v>135188753</v>
      </c>
      <c r="G1314" s="151">
        <v>668</v>
      </c>
      <c r="H1314" s="151">
        <v>58</v>
      </c>
      <c r="I1314" s="151">
        <v>726</v>
      </c>
      <c r="J1314" s="151">
        <v>2582</v>
      </c>
      <c r="K1314" s="151">
        <v>3308</v>
      </c>
      <c r="L1314" s="151">
        <v>36</v>
      </c>
      <c r="M1314" s="151">
        <v>53</v>
      </c>
      <c r="N1314" s="151">
        <v>1924</v>
      </c>
      <c r="O1314" s="151">
        <v>879</v>
      </c>
      <c r="P1314" s="151">
        <v>6111</v>
      </c>
      <c r="Q1314" s="151">
        <v>52063</v>
      </c>
      <c r="R1314" s="12" t="s">
        <v>4350</v>
      </c>
      <c r="S1314" s="12" t="s">
        <v>25</v>
      </c>
      <c r="T1314" s="12" t="s">
        <v>25</v>
      </c>
    </row>
    <row r="1315" spans="1:20" x14ac:dyDescent="0.3">
      <c r="A1315" s="13">
        <v>43947.708333333336</v>
      </c>
      <c r="B1315" s="12" t="s">
        <v>22</v>
      </c>
      <c r="C1315" s="151">
        <v>14</v>
      </c>
      <c r="D1315" s="12" t="s">
        <v>52</v>
      </c>
      <c r="E1315" s="151">
        <v>4155774754</v>
      </c>
      <c r="F1315" s="151">
        <v>1465916051</v>
      </c>
      <c r="G1315" s="151">
        <v>20</v>
      </c>
      <c r="H1315" s="151">
        <v>1</v>
      </c>
      <c r="I1315" s="151">
        <v>21</v>
      </c>
      <c r="J1315" s="151">
        <v>179</v>
      </c>
      <c r="K1315" s="151">
        <v>200</v>
      </c>
      <c r="L1315" s="151">
        <v>2</v>
      </c>
      <c r="M1315" s="151">
        <v>4</v>
      </c>
      <c r="N1315" s="151">
        <v>75</v>
      </c>
      <c r="O1315" s="151">
        <v>21</v>
      </c>
      <c r="P1315" s="151">
        <v>296</v>
      </c>
      <c r="Q1315" s="151">
        <v>5567</v>
      </c>
      <c r="R1315" s="12" t="s">
        <v>4351</v>
      </c>
      <c r="S1315" s="12" t="s">
        <v>25</v>
      </c>
      <c r="T1315" s="12" t="s">
        <v>25</v>
      </c>
    </row>
    <row r="1316" spans="1:20" x14ac:dyDescent="0.3">
      <c r="A1316" s="13">
        <v>43947.708333333336</v>
      </c>
      <c r="B1316" s="12" t="s">
        <v>22</v>
      </c>
      <c r="C1316" s="151">
        <v>1</v>
      </c>
      <c r="D1316" s="12" t="s">
        <v>53</v>
      </c>
      <c r="E1316" s="151">
        <v>450732745</v>
      </c>
      <c r="F1316" s="151">
        <v>7680687483</v>
      </c>
      <c r="G1316" s="151">
        <v>2866</v>
      </c>
      <c r="H1316" s="151">
        <v>214</v>
      </c>
      <c r="I1316" s="151">
        <v>3080</v>
      </c>
      <c r="J1316" s="151">
        <v>12439</v>
      </c>
      <c r="K1316" s="151">
        <v>15519</v>
      </c>
      <c r="L1316" s="151">
        <v>17</v>
      </c>
      <c r="M1316" s="151">
        <v>394</v>
      </c>
      <c r="N1316" s="151">
        <v>6478</v>
      </c>
      <c r="O1316" s="151">
        <v>2823</v>
      </c>
      <c r="P1316" s="151">
        <v>24820</v>
      </c>
      <c r="Q1316" s="151">
        <v>135142</v>
      </c>
      <c r="R1316" s="12" t="s">
        <v>4352</v>
      </c>
      <c r="S1316" s="12" t="s">
        <v>25</v>
      </c>
      <c r="T1316" s="12" t="s">
        <v>25</v>
      </c>
    </row>
    <row r="1317" spans="1:20" x14ac:dyDescent="0.3">
      <c r="A1317" s="13">
        <v>43947.708333333336</v>
      </c>
      <c r="B1317" s="12" t="s">
        <v>22</v>
      </c>
      <c r="C1317" s="151">
        <v>16</v>
      </c>
      <c r="D1317" s="12" t="s">
        <v>54</v>
      </c>
      <c r="E1317" s="151">
        <v>4112559576</v>
      </c>
      <c r="F1317" s="151">
        <v>1686736689</v>
      </c>
      <c r="G1317" s="151">
        <v>464</v>
      </c>
      <c r="H1317" s="151">
        <v>48</v>
      </c>
      <c r="I1317" s="151">
        <v>512</v>
      </c>
      <c r="J1317" s="151">
        <v>2425</v>
      </c>
      <c r="K1317" s="151">
        <v>2937</v>
      </c>
      <c r="L1317" s="151">
        <v>18</v>
      </c>
      <c r="M1317" s="151">
        <v>36</v>
      </c>
      <c r="N1317" s="151">
        <v>612</v>
      </c>
      <c r="O1317" s="151">
        <v>399</v>
      </c>
      <c r="P1317" s="151">
        <v>3948</v>
      </c>
      <c r="Q1317" s="151">
        <v>55992</v>
      </c>
      <c r="R1317" s="12" t="s">
        <v>4353</v>
      </c>
      <c r="S1317" s="12" t="s">
        <v>25</v>
      </c>
      <c r="T1317" s="12" t="s">
        <v>25</v>
      </c>
    </row>
    <row r="1318" spans="1:20" x14ac:dyDescent="0.3">
      <c r="A1318" s="13">
        <v>43947.708333333336</v>
      </c>
      <c r="B1318" s="12" t="s">
        <v>22</v>
      </c>
      <c r="C1318" s="151">
        <v>20</v>
      </c>
      <c r="D1318" s="12" t="s">
        <v>55</v>
      </c>
      <c r="E1318" s="151">
        <v>3921531192</v>
      </c>
      <c r="F1318" s="151">
        <v>9110616306</v>
      </c>
      <c r="G1318" s="151">
        <v>95</v>
      </c>
      <c r="H1318" s="151">
        <v>20</v>
      </c>
      <c r="I1318" s="151">
        <v>115</v>
      </c>
      <c r="J1318" s="151">
        <v>668</v>
      </c>
      <c r="K1318" s="151">
        <v>783</v>
      </c>
      <c r="L1318" s="151">
        <v>-11</v>
      </c>
      <c r="M1318" s="151">
        <v>9</v>
      </c>
      <c r="N1318" s="151">
        <v>388</v>
      </c>
      <c r="O1318" s="151">
        <v>109</v>
      </c>
      <c r="P1318" s="151">
        <v>1280</v>
      </c>
      <c r="Q1318" s="151">
        <v>21101</v>
      </c>
      <c r="R1318" s="12" t="s">
        <v>4354</v>
      </c>
      <c r="S1318" s="12" t="s">
        <v>25</v>
      </c>
      <c r="T1318" s="12" t="s">
        <v>25</v>
      </c>
    </row>
    <row r="1319" spans="1:20" x14ac:dyDescent="0.3">
      <c r="A1319" s="13">
        <v>43947.708333333336</v>
      </c>
      <c r="B1319" s="12" t="s">
        <v>22</v>
      </c>
      <c r="C1319" s="151">
        <v>19</v>
      </c>
      <c r="D1319" s="12" t="s">
        <v>56</v>
      </c>
      <c r="E1319" s="151">
        <v>3811569725</v>
      </c>
      <c r="F1319" s="151">
        <v>133623567</v>
      </c>
      <c r="G1319" s="151">
        <v>445</v>
      </c>
      <c r="H1319" s="151">
        <v>33</v>
      </c>
      <c r="I1319" s="151">
        <v>478</v>
      </c>
      <c r="J1319" s="151">
        <v>1629</v>
      </c>
      <c r="K1319" s="151">
        <v>2107</v>
      </c>
      <c r="L1319" s="151">
        <v>-165</v>
      </c>
      <c r="M1319" s="151">
        <v>35</v>
      </c>
      <c r="N1319" s="151">
        <v>720</v>
      </c>
      <c r="O1319" s="151">
        <v>228</v>
      </c>
      <c r="P1319" s="151">
        <v>3055</v>
      </c>
      <c r="Q1319" s="151">
        <v>70104</v>
      </c>
      <c r="R1319" s="12" t="s">
        <v>4355</v>
      </c>
      <c r="S1319" s="12" t="s">
        <v>25</v>
      </c>
      <c r="T1319" s="12" t="s">
        <v>25</v>
      </c>
    </row>
    <row r="1320" spans="1:20" x14ac:dyDescent="0.3">
      <c r="A1320" s="13">
        <v>43947.708333333336</v>
      </c>
      <c r="B1320" s="12" t="s">
        <v>22</v>
      </c>
      <c r="C1320" s="151">
        <v>9</v>
      </c>
      <c r="D1320" s="12" t="s">
        <v>57</v>
      </c>
      <c r="E1320" s="151">
        <v>4376923077</v>
      </c>
      <c r="F1320" s="151">
        <v>1125588885</v>
      </c>
      <c r="G1320" s="151">
        <v>677</v>
      </c>
      <c r="H1320" s="151">
        <v>158</v>
      </c>
      <c r="I1320" s="151">
        <v>835</v>
      </c>
      <c r="J1320" s="151">
        <v>5234</v>
      </c>
      <c r="K1320" s="151">
        <v>6069</v>
      </c>
      <c r="L1320" s="151">
        <v>-77</v>
      </c>
      <c r="M1320" s="151">
        <v>132</v>
      </c>
      <c r="N1320" s="151">
        <v>2300</v>
      </c>
      <c r="O1320" s="151">
        <v>778</v>
      </c>
      <c r="P1320" s="151">
        <v>9147</v>
      </c>
      <c r="Q1320" s="151">
        <v>127394</v>
      </c>
      <c r="R1320" s="12" t="s">
        <v>4356</v>
      </c>
      <c r="S1320" s="12" t="s">
        <v>25</v>
      </c>
      <c r="T1320" s="12" t="s">
        <v>25</v>
      </c>
    </row>
    <row r="1321" spans="1:20" x14ac:dyDescent="0.3">
      <c r="A1321" s="13">
        <v>43947.708333333336</v>
      </c>
      <c r="B1321" s="12" t="s">
        <v>22</v>
      </c>
      <c r="C1321" s="151">
        <v>4</v>
      </c>
      <c r="D1321" s="12" t="s">
        <v>58</v>
      </c>
      <c r="E1321" s="151">
        <v>4606893511</v>
      </c>
      <c r="F1321" s="151">
        <v>1112123097</v>
      </c>
      <c r="G1321" s="151">
        <v>199</v>
      </c>
      <c r="H1321" s="151">
        <v>24</v>
      </c>
      <c r="I1321" s="151">
        <v>223</v>
      </c>
      <c r="J1321" s="151">
        <v>1459</v>
      </c>
      <c r="K1321" s="151">
        <v>1682</v>
      </c>
      <c r="L1321" s="151">
        <v>-62</v>
      </c>
      <c r="M1321" s="151">
        <v>56</v>
      </c>
      <c r="N1321" s="151">
        <v>1807</v>
      </c>
      <c r="O1321" s="151">
        <v>405</v>
      </c>
      <c r="P1321" s="151">
        <v>3894</v>
      </c>
      <c r="Q1321" s="151">
        <v>32142</v>
      </c>
      <c r="R1321" s="12" t="s">
        <v>4357</v>
      </c>
      <c r="S1321" s="12" t="s">
        <v>25</v>
      </c>
      <c r="T1321" s="12" t="s">
        <v>25</v>
      </c>
    </row>
    <row r="1322" spans="1:20" x14ac:dyDescent="0.3">
      <c r="A1322" s="13">
        <v>43947.708333333336</v>
      </c>
      <c r="B1322" s="12" t="s">
        <v>22</v>
      </c>
      <c r="C1322" s="151">
        <v>10</v>
      </c>
      <c r="D1322" s="12" t="s">
        <v>59</v>
      </c>
      <c r="E1322" s="151">
        <v>4310675841</v>
      </c>
      <c r="F1322" s="151">
        <v>1238824698</v>
      </c>
      <c r="G1322" s="151">
        <v>91</v>
      </c>
      <c r="H1322" s="151">
        <v>17</v>
      </c>
      <c r="I1322" s="151">
        <v>108</v>
      </c>
      <c r="J1322" s="151">
        <v>188</v>
      </c>
      <c r="K1322" s="151">
        <v>296</v>
      </c>
      <c r="L1322" s="151">
        <v>-1</v>
      </c>
      <c r="M1322" s="151">
        <v>2</v>
      </c>
      <c r="N1322" s="151">
        <v>1008</v>
      </c>
      <c r="O1322" s="151">
        <v>64</v>
      </c>
      <c r="P1322" s="151">
        <v>1368</v>
      </c>
      <c r="Q1322" s="151">
        <v>32569</v>
      </c>
      <c r="R1322" s="12" t="s">
        <v>4358</v>
      </c>
      <c r="S1322" s="12" t="s">
        <v>25</v>
      </c>
      <c r="T1322" s="12" t="s">
        <v>25</v>
      </c>
    </row>
    <row r="1323" spans="1:20" x14ac:dyDescent="0.3">
      <c r="A1323" s="13">
        <v>43947.708333333336</v>
      </c>
      <c r="B1323" s="12" t="s">
        <v>22</v>
      </c>
      <c r="C1323" s="151">
        <v>2</v>
      </c>
      <c r="D1323" s="12" t="s">
        <v>60</v>
      </c>
      <c r="E1323" s="151">
        <v>4573750286</v>
      </c>
      <c r="F1323" s="151">
        <v>7320149366</v>
      </c>
      <c r="G1323" s="151">
        <v>82</v>
      </c>
      <c r="H1323" s="151">
        <v>7</v>
      </c>
      <c r="I1323" s="151">
        <v>89</v>
      </c>
      <c r="J1323" s="151">
        <v>165</v>
      </c>
      <c r="K1323" s="151">
        <v>254</v>
      </c>
      <c r="L1323" s="151">
        <v>-59</v>
      </c>
      <c r="M1323" s="151">
        <v>6</v>
      </c>
      <c r="N1323" s="151">
        <v>721</v>
      </c>
      <c r="O1323" s="151">
        <v>131</v>
      </c>
      <c r="P1323" s="151">
        <v>1106</v>
      </c>
      <c r="Q1323" s="151">
        <v>6135</v>
      </c>
      <c r="R1323" s="12" t="s">
        <v>4359</v>
      </c>
      <c r="S1323" s="12" t="s">
        <v>4360</v>
      </c>
      <c r="T1323" s="12" t="s">
        <v>4361</v>
      </c>
    </row>
    <row r="1324" spans="1:20" x14ac:dyDescent="0.3">
      <c r="A1324" s="13">
        <v>43947.708333333336</v>
      </c>
      <c r="B1324" s="12" t="s">
        <v>22</v>
      </c>
      <c r="C1324" s="178">
        <v>5</v>
      </c>
      <c r="D1324" s="12" t="s">
        <v>61</v>
      </c>
      <c r="E1324" s="178">
        <v>4543490485</v>
      </c>
      <c r="F1324" s="178">
        <v>1233845213</v>
      </c>
      <c r="G1324" s="178">
        <v>1097</v>
      </c>
      <c r="H1324" s="178">
        <v>124</v>
      </c>
      <c r="I1324" s="178">
        <v>1221</v>
      </c>
      <c r="J1324" s="178">
        <v>7917</v>
      </c>
      <c r="K1324" s="178">
        <v>9138</v>
      </c>
      <c r="L1324" s="178">
        <v>-294</v>
      </c>
      <c r="M1324" s="178">
        <v>80</v>
      </c>
      <c r="N1324" s="178">
        <v>7018</v>
      </c>
      <c r="O1324" s="178">
        <v>1315</v>
      </c>
      <c r="P1324" s="178">
        <v>17471</v>
      </c>
      <c r="Q1324" s="178">
        <v>316361</v>
      </c>
      <c r="R1324" s="12" t="s">
        <v>4362</v>
      </c>
      <c r="S1324" s="12" t="s">
        <v>25</v>
      </c>
      <c r="T1324" s="12" t="s">
        <v>25</v>
      </c>
    </row>
    <row r="1325" spans="1:20" x14ac:dyDescent="0.3">
      <c r="A1325" s="13">
        <v>43948.708333333336</v>
      </c>
      <c r="B1325" s="12" t="s">
        <v>22</v>
      </c>
      <c r="C1325" s="178">
        <v>13</v>
      </c>
      <c r="D1325" s="12" t="s">
        <v>42</v>
      </c>
      <c r="E1325" s="178">
        <v>4235122196</v>
      </c>
      <c r="F1325" s="178">
        <v>1339843823</v>
      </c>
      <c r="G1325" s="178">
        <v>328</v>
      </c>
      <c r="H1325" s="178">
        <v>23</v>
      </c>
      <c r="I1325" s="178">
        <v>351</v>
      </c>
      <c r="J1325" s="178">
        <v>1679</v>
      </c>
      <c r="K1325" s="178">
        <v>2030</v>
      </c>
      <c r="L1325" s="178">
        <v>-38</v>
      </c>
      <c r="M1325" s="178">
        <v>15</v>
      </c>
      <c r="N1325" s="178">
        <v>545</v>
      </c>
      <c r="O1325" s="178">
        <v>299</v>
      </c>
      <c r="P1325" s="178">
        <v>2874</v>
      </c>
      <c r="Q1325" s="178">
        <v>34176</v>
      </c>
      <c r="R1325" s="12" t="s">
        <v>4381</v>
      </c>
      <c r="S1325" s="12" t="s">
        <v>25</v>
      </c>
      <c r="T1325" s="12" t="s">
        <v>25</v>
      </c>
    </row>
    <row r="1326" spans="1:20" x14ac:dyDescent="0.3">
      <c r="A1326" s="13">
        <v>43948.708333333336</v>
      </c>
      <c r="B1326" s="12" t="s">
        <v>22</v>
      </c>
      <c r="C1326" s="178">
        <v>17</v>
      </c>
      <c r="D1326" s="12" t="s">
        <v>43</v>
      </c>
      <c r="E1326" s="178">
        <v>4063947052</v>
      </c>
      <c r="F1326" s="178">
        <v>1580514834</v>
      </c>
      <c r="G1326" s="178">
        <v>57</v>
      </c>
      <c r="H1326" s="178">
        <v>7</v>
      </c>
      <c r="I1326" s="178">
        <v>64</v>
      </c>
      <c r="J1326" s="178">
        <v>153</v>
      </c>
      <c r="K1326" s="178">
        <v>217</v>
      </c>
      <c r="L1326" s="178">
        <v>-2</v>
      </c>
      <c r="M1326" s="178">
        <v>0</v>
      </c>
      <c r="N1326" s="178">
        <v>124</v>
      </c>
      <c r="O1326" s="178">
        <v>25</v>
      </c>
      <c r="P1326" s="178">
        <v>366</v>
      </c>
      <c r="Q1326" s="178">
        <v>10364</v>
      </c>
      <c r="R1326" s="12" t="s">
        <v>4382</v>
      </c>
      <c r="S1326" s="12" t="s">
        <v>25</v>
      </c>
      <c r="T1326" s="12" t="s">
        <v>25</v>
      </c>
    </row>
    <row r="1327" spans="1:20" x14ac:dyDescent="0.3">
      <c r="A1327" s="13">
        <v>43948.708333333336</v>
      </c>
      <c r="B1327" s="12" t="s">
        <v>22</v>
      </c>
      <c r="C1327" s="178">
        <v>4</v>
      </c>
      <c r="D1327" s="12" t="s">
        <v>44</v>
      </c>
      <c r="E1327" s="178">
        <v>4649933453</v>
      </c>
      <c r="F1327" s="178">
        <v>1135662422</v>
      </c>
      <c r="G1327" s="178">
        <v>150</v>
      </c>
      <c r="H1327" s="178">
        <v>16</v>
      </c>
      <c r="I1327" s="178">
        <v>166</v>
      </c>
      <c r="J1327" s="178">
        <v>774</v>
      </c>
      <c r="K1327" s="178">
        <v>940</v>
      </c>
      <c r="L1327" s="178">
        <v>-54</v>
      </c>
      <c r="M1327" s="178">
        <v>15</v>
      </c>
      <c r="N1327" s="178">
        <v>1286</v>
      </c>
      <c r="O1327" s="178">
        <v>270</v>
      </c>
      <c r="P1327" s="178">
        <v>2496</v>
      </c>
      <c r="Q1327" s="178">
        <v>38640</v>
      </c>
      <c r="R1327" s="12" t="s">
        <v>4383</v>
      </c>
      <c r="S1327" s="12" t="s">
        <v>25</v>
      </c>
      <c r="T1327" s="12" t="s">
        <v>25</v>
      </c>
    </row>
    <row r="1328" spans="1:20" x14ac:dyDescent="0.3">
      <c r="A1328" s="13">
        <v>43948.708333333336</v>
      </c>
      <c r="B1328" s="12" t="s">
        <v>22</v>
      </c>
      <c r="C1328" s="178">
        <v>18</v>
      </c>
      <c r="D1328" s="12" t="s">
        <v>45</v>
      </c>
      <c r="E1328" s="178">
        <v>3890597598</v>
      </c>
      <c r="F1328" s="178">
        <v>1659440194</v>
      </c>
      <c r="G1328" s="178">
        <v>114</v>
      </c>
      <c r="H1328" s="178">
        <v>6</v>
      </c>
      <c r="I1328" s="178">
        <v>120</v>
      </c>
      <c r="J1328" s="178">
        <v>662</v>
      </c>
      <c r="K1328" s="178">
        <v>782</v>
      </c>
      <c r="L1328" s="178">
        <v>-15</v>
      </c>
      <c r="M1328" s="178">
        <v>7</v>
      </c>
      <c r="N1328" s="178">
        <v>231</v>
      </c>
      <c r="O1328" s="178">
        <v>83</v>
      </c>
      <c r="P1328" s="178">
        <v>1096</v>
      </c>
      <c r="Q1328" s="178">
        <v>31787</v>
      </c>
      <c r="R1328" s="12" t="s">
        <v>4384</v>
      </c>
      <c r="S1328" s="12" t="s">
        <v>25</v>
      </c>
      <c r="T1328" s="12" t="s">
        <v>25</v>
      </c>
    </row>
    <row r="1329" spans="1:20" x14ac:dyDescent="0.3">
      <c r="A1329" s="13">
        <v>43948.708333333336</v>
      </c>
      <c r="B1329" s="12" t="s">
        <v>22</v>
      </c>
      <c r="C1329" s="178">
        <v>15</v>
      </c>
      <c r="D1329" s="12" t="s">
        <v>46</v>
      </c>
      <c r="E1329" s="178">
        <v>4083956555</v>
      </c>
      <c r="F1329" s="178">
        <v>1425084984</v>
      </c>
      <c r="G1329" s="178">
        <v>541</v>
      </c>
      <c r="H1329" s="178">
        <v>37</v>
      </c>
      <c r="I1329" s="178">
        <v>578</v>
      </c>
      <c r="J1329" s="178">
        <v>2299</v>
      </c>
      <c r="K1329" s="178">
        <v>2877</v>
      </c>
      <c r="L1329" s="178">
        <v>-47</v>
      </c>
      <c r="M1329" s="178">
        <v>18</v>
      </c>
      <c r="N1329" s="178">
        <v>1120</v>
      </c>
      <c r="O1329" s="178">
        <v>352</v>
      </c>
      <c r="P1329" s="178">
        <v>4349</v>
      </c>
      <c r="Q1329" s="178">
        <v>68727</v>
      </c>
      <c r="R1329" s="12" t="s">
        <v>4385</v>
      </c>
      <c r="S1329" s="12" t="s">
        <v>25</v>
      </c>
      <c r="T1329" s="12" t="s">
        <v>25</v>
      </c>
    </row>
    <row r="1330" spans="1:20" x14ac:dyDescent="0.3">
      <c r="A1330" s="13">
        <v>43948.708333333336</v>
      </c>
      <c r="B1330" s="12" t="s">
        <v>22</v>
      </c>
      <c r="C1330" s="178">
        <v>8</v>
      </c>
      <c r="D1330" s="12" t="s">
        <v>96</v>
      </c>
      <c r="E1330" s="178">
        <v>4449436681</v>
      </c>
      <c r="F1330" s="178">
        <v>113417208</v>
      </c>
      <c r="G1330" s="178">
        <v>2640</v>
      </c>
      <c r="H1330" s="178">
        <v>247</v>
      </c>
      <c r="I1330" s="178">
        <v>2887</v>
      </c>
      <c r="J1330" s="178">
        <v>9338</v>
      </c>
      <c r="K1330" s="178">
        <v>12225</v>
      </c>
      <c r="L1330" s="178">
        <v>-116</v>
      </c>
      <c r="M1330" s="178">
        <v>212</v>
      </c>
      <c r="N1330" s="178">
        <v>9006</v>
      </c>
      <c r="O1330" s="178">
        <v>3431</v>
      </c>
      <c r="P1330" s="178">
        <v>24662</v>
      </c>
      <c r="Q1330" s="178">
        <v>164979</v>
      </c>
      <c r="R1330" s="12" t="s">
        <v>4386</v>
      </c>
      <c r="S1330" s="12" t="s">
        <v>25</v>
      </c>
      <c r="T1330" s="12" t="s">
        <v>25</v>
      </c>
    </row>
    <row r="1331" spans="1:20" x14ac:dyDescent="0.3">
      <c r="A1331" s="13">
        <v>43948.708333333336</v>
      </c>
      <c r="B1331" s="12" t="s">
        <v>22</v>
      </c>
      <c r="C1331" s="178">
        <v>6</v>
      </c>
      <c r="D1331" s="12" t="s">
        <v>47</v>
      </c>
      <c r="E1331" s="178">
        <v>456494354</v>
      </c>
      <c r="F1331" s="178">
        <v>1376813649</v>
      </c>
      <c r="G1331" s="178">
        <v>130</v>
      </c>
      <c r="H1331" s="178">
        <v>13</v>
      </c>
      <c r="I1331" s="178">
        <v>143</v>
      </c>
      <c r="J1331" s="178">
        <v>1115</v>
      </c>
      <c r="K1331" s="178">
        <v>1258</v>
      </c>
      <c r="L1331" s="178">
        <v>10</v>
      </c>
      <c r="M1331" s="178">
        <v>60</v>
      </c>
      <c r="N1331" s="178">
        <v>1448</v>
      </c>
      <c r="O1331" s="178">
        <v>271</v>
      </c>
      <c r="P1331" s="178">
        <v>2977</v>
      </c>
      <c r="Q1331" s="178">
        <v>60940</v>
      </c>
      <c r="R1331" s="12" t="s">
        <v>4387</v>
      </c>
      <c r="S1331" s="12" t="s">
        <v>25</v>
      </c>
      <c r="T1331" s="12" t="s">
        <v>25</v>
      </c>
    </row>
    <row r="1332" spans="1:20" x14ac:dyDescent="0.3">
      <c r="A1332" s="13">
        <v>43948.708333333336</v>
      </c>
      <c r="B1332" s="12" t="s">
        <v>22</v>
      </c>
      <c r="C1332" s="178">
        <v>12</v>
      </c>
      <c r="D1332" s="12" t="s">
        <v>48</v>
      </c>
      <c r="E1332" s="178">
        <v>4189277044</v>
      </c>
      <c r="F1332" s="178">
        <v>1248366722</v>
      </c>
      <c r="G1332" s="178">
        <v>1464</v>
      </c>
      <c r="H1332" s="178">
        <v>143</v>
      </c>
      <c r="I1332" s="178">
        <v>1607</v>
      </c>
      <c r="J1332" s="178">
        <v>2955</v>
      </c>
      <c r="K1332" s="178">
        <v>4562</v>
      </c>
      <c r="L1332" s="178">
        <v>-11</v>
      </c>
      <c r="M1332" s="178">
        <v>83</v>
      </c>
      <c r="N1332" s="178">
        <v>1433</v>
      </c>
      <c r="O1332" s="178">
        <v>397</v>
      </c>
      <c r="P1332" s="178">
        <v>6392</v>
      </c>
      <c r="Q1332" s="178">
        <v>124769</v>
      </c>
      <c r="R1332" s="12" t="s">
        <v>4388</v>
      </c>
      <c r="S1332" s="12" t="s">
        <v>25</v>
      </c>
      <c r="T1332" s="12" t="s">
        <v>25</v>
      </c>
    </row>
    <row r="1333" spans="1:20" x14ac:dyDescent="0.3">
      <c r="A1333" s="13">
        <v>43948.708333333336</v>
      </c>
      <c r="B1333" s="12" t="s">
        <v>22</v>
      </c>
      <c r="C1333" s="178">
        <v>7</v>
      </c>
      <c r="D1333" s="12" t="s">
        <v>49</v>
      </c>
      <c r="E1333" s="178">
        <v>4441149315</v>
      </c>
      <c r="F1333" s="178">
        <v>89326992</v>
      </c>
      <c r="G1333" s="178">
        <v>754</v>
      </c>
      <c r="H1333" s="178">
        <v>83</v>
      </c>
      <c r="I1333" s="178">
        <v>837</v>
      </c>
      <c r="J1333" s="178">
        <v>2743</v>
      </c>
      <c r="K1333" s="178">
        <v>3580</v>
      </c>
      <c r="L1333" s="178">
        <v>100</v>
      </c>
      <c r="M1333" s="178">
        <v>154</v>
      </c>
      <c r="N1333" s="178">
        <v>2934</v>
      </c>
      <c r="O1333" s="178">
        <v>1128</v>
      </c>
      <c r="P1333" s="178">
        <v>7642</v>
      </c>
      <c r="Q1333" s="178">
        <v>44039</v>
      </c>
      <c r="R1333" s="12" t="s">
        <v>4389</v>
      </c>
      <c r="S1333" s="12" t="s">
        <v>25</v>
      </c>
      <c r="T1333" s="12" t="s">
        <v>25</v>
      </c>
    </row>
    <row r="1334" spans="1:20" x14ac:dyDescent="0.3">
      <c r="A1334" s="13">
        <v>43948.708333333336</v>
      </c>
      <c r="B1334" s="12" t="s">
        <v>22</v>
      </c>
      <c r="C1334" s="178">
        <v>3</v>
      </c>
      <c r="D1334" s="12" t="s">
        <v>50</v>
      </c>
      <c r="E1334" s="178">
        <v>4546679409</v>
      </c>
      <c r="F1334" s="178">
        <v>9190347404</v>
      </c>
      <c r="G1334" s="178">
        <v>7525</v>
      </c>
      <c r="H1334" s="178">
        <v>680</v>
      </c>
      <c r="I1334" s="178">
        <v>8205</v>
      </c>
      <c r="J1334" s="178">
        <v>27236</v>
      </c>
      <c r="K1334" s="178">
        <v>35441</v>
      </c>
      <c r="L1334" s="178">
        <v>275</v>
      </c>
      <c r="M1334" s="178">
        <v>590</v>
      </c>
      <c r="N1334" s="178">
        <v>24589</v>
      </c>
      <c r="O1334" s="178">
        <v>13449</v>
      </c>
      <c r="P1334" s="178">
        <v>73479</v>
      </c>
      <c r="Q1334" s="178">
        <v>342850</v>
      </c>
      <c r="R1334" s="12" t="s">
        <v>4390</v>
      </c>
      <c r="S1334" s="12" t="s">
        <v>25</v>
      </c>
      <c r="T1334" s="12" t="s">
        <v>25</v>
      </c>
    </row>
    <row r="1335" spans="1:20" x14ac:dyDescent="0.3">
      <c r="A1335" s="13">
        <v>43948.708333333336</v>
      </c>
      <c r="B1335" s="12" t="s">
        <v>22</v>
      </c>
      <c r="C1335" s="178">
        <v>11</v>
      </c>
      <c r="D1335" s="12" t="s">
        <v>51</v>
      </c>
      <c r="E1335" s="178">
        <v>4361675973</v>
      </c>
      <c r="F1335" s="178">
        <v>135188753</v>
      </c>
      <c r="G1335" s="178">
        <v>667</v>
      </c>
      <c r="H1335" s="178">
        <v>58</v>
      </c>
      <c r="I1335" s="178">
        <v>725</v>
      </c>
      <c r="J1335" s="178">
        <v>2585</v>
      </c>
      <c r="K1335" s="178">
        <v>3310</v>
      </c>
      <c r="L1335" s="178">
        <v>2</v>
      </c>
      <c r="M1335" s="178">
        <v>16</v>
      </c>
      <c r="N1335" s="178">
        <v>1933</v>
      </c>
      <c r="O1335" s="178">
        <v>884</v>
      </c>
      <c r="P1335" s="178">
        <v>6127</v>
      </c>
      <c r="Q1335" s="178">
        <v>52765</v>
      </c>
      <c r="R1335" s="12" t="s">
        <v>4391</v>
      </c>
      <c r="S1335" s="12" t="s">
        <v>25</v>
      </c>
      <c r="T1335" s="12" t="s">
        <v>25</v>
      </c>
    </row>
    <row r="1336" spans="1:20" x14ac:dyDescent="0.3">
      <c r="A1336" s="13">
        <v>43948.708333333336</v>
      </c>
      <c r="B1336" s="12" t="s">
        <v>22</v>
      </c>
      <c r="C1336" s="178">
        <v>14</v>
      </c>
      <c r="D1336" s="12" t="s">
        <v>52</v>
      </c>
      <c r="E1336" s="178">
        <v>4155774754</v>
      </c>
      <c r="F1336" s="178">
        <v>1465916051</v>
      </c>
      <c r="G1336" s="178">
        <v>20</v>
      </c>
      <c r="H1336" s="178">
        <v>1</v>
      </c>
      <c r="I1336" s="178">
        <v>21</v>
      </c>
      <c r="J1336" s="178">
        <v>179</v>
      </c>
      <c r="K1336" s="178">
        <v>200</v>
      </c>
      <c r="L1336" s="178">
        <v>0</v>
      </c>
      <c r="M1336" s="178">
        <v>0</v>
      </c>
      <c r="N1336" s="178">
        <v>75</v>
      </c>
      <c r="O1336" s="178">
        <v>21</v>
      </c>
      <c r="P1336" s="178">
        <v>296</v>
      </c>
      <c r="Q1336" s="178">
        <v>5656</v>
      </c>
      <c r="R1336" s="12" t="s">
        <v>4392</v>
      </c>
      <c r="S1336" s="12" t="s">
        <v>25</v>
      </c>
      <c r="T1336" s="12" t="s">
        <v>25</v>
      </c>
    </row>
    <row r="1337" spans="1:20" x14ac:dyDescent="0.3">
      <c r="A1337" s="13">
        <v>43948.708333333336</v>
      </c>
      <c r="B1337" s="12" t="s">
        <v>22</v>
      </c>
      <c r="C1337" s="178">
        <v>1</v>
      </c>
      <c r="D1337" s="12" t="s">
        <v>53</v>
      </c>
      <c r="E1337" s="178">
        <v>450732745</v>
      </c>
      <c r="F1337" s="178">
        <v>7680687483</v>
      </c>
      <c r="G1337" s="178">
        <v>2830</v>
      </c>
      <c r="H1337" s="178">
        <v>214</v>
      </c>
      <c r="I1337" s="178">
        <v>3044</v>
      </c>
      <c r="J1337" s="178">
        <v>12464</v>
      </c>
      <c r="K1337" s="178">
        <v>15508</v>
      </c>
      <c r="L1337" s="178">
        <v>-11</v>
      </c>
      <c r="M1337" s="178">
        <v>278</v>
      </c>
      <c r="N1337" s="178">
        <v>6712</v>
      </c>
      <c r="O1337" s="178">
        <v>2878</v>
      </c>
      <c r="P1337" s="178">
        <v>25098</v>
      </c>
      <c r="Q1337" s="178">
        <v>139348</v>
      </c>
      <c r="R1337" s="12" t="s">
        <v>4393</v>
      </c>
      <c r="S1337" s="12" t="s">
        <v>25</v>
      </c>
      <c r="T1337" s="12" t="s">
        <v>25</v>
      </c>
    </row>
    <row r="1338" spans="1:20" x14ac:dyDescent="0.3">
      <c r="A1338" s="13">
        <v>43948.708333333336</v>
      </c>
      <c r="B1338" s="12" t="s">
        <v>22</v>
      </c>
      <c r="C1338" s="178">
        <v>16</v>
      </c>
      <c r="D1338" s="12" t="s">
        <v>54</v>
      </c>
      <c r="E1338" s="178">
        <v>4112559576</v>
      </c>
      <c r="F1338" s="178">
        <v>1686736689</v>
      </c>
      <c r="G1338" s="178">
        <v>449</v>
      </c>
      <c r="H1338" s="178">
        <v>51</v>
      </c>
      <c r="I1338" s="178">
        <v>500</v>
      </c>
      <c r="J1338" s="178">
        <v>2412</v>
      </c>
      <c r="K1338" s="178">
        <v>2912</v>
      </c>
      <c r="L1338" s="178">
        <v>-25</v>
      </c>
      <c r="M1338" s="178">
        <v>10</v>
      </c>
      <c r="N1338" s="178">
        <v>641</v>
      </c>
      <c r="O1338" s="178">
        <v>405</v>
      </c>
      <c r="P1338" s="178">
        <v>3958</v>
      </c>
      <c r="Q1338" s="178">
        <v>56976</v>
      </c>
      <c r="R1338" s="12" t="s">
        <v>4394</v>
      </c>
      <c r="S1338" s="12" t="s">
        <v>25</v>
      </c>
      <c r="T1338" s="12" t="s">
        <v>25</v>
      </c>
    </row>
    <row r="1339" spans="1:20" x14ac:dyDescent="0.3">
      <c r="A1339" s="13">
        <v>43948.708333333336</v>
      </c>
      <c r="B1339" s="12" t="s">
        <v>22</v>
      </c>
      <c r="C1339" s="178">
        <v>20</v>
      </c>
      <c r="D1339" s="12" t="s">
        <v>55</v>
      </c>
      <c r="E1339" s="178">
        <v>3921531192</v>
      </c>
      <c r="F1339" s="178">
        <v>9110616306</v>
      </c>
      <c r="G1339" s="178">
        <v>97</v>
      </c>
      <c r="H1339" s="178">
        <v>19</v>
      </c>
      <c r="I1339" s="178">
        <v>116</v>
      </c>
      <c r="J1339" s="178">
        <v>660</v>
      </c>
      <c r="K1339" s="178">
        <v>776</v>
      </c>
      <c r="L1339" s="178">
        <v>-7</v>
      </c>
      <c r="M1339" s="178">
        <v>3</v>
      </c>
      <c r="N1339" s="178">
        <v>398</v>
      </c>
      <c r="O1339" s="178">
        <v>109</v>
      </c>
      <c r="P1339" s="178">
        <v>1283</v>
      </c>
      <c r="Q1339" s="178">
        <v>21395</v>
      </c>
      <c r="R1339" s="12" t="s">
        <v>4395</v>
      </c>
      <c r="S1339" s="12" t="s">
        <v>25</v>
      </c>
      <c r="T1339" s="12" t="s">
        <v>25</v>
      </c>
    </row>
    <row r="1340" spans="1:20" x14ac:dyDescent="0.3">
      <c r="A1340" s="13">
        <v>43948.708333333336</v>
      </c>
      <c r="B1340" s="12" t="s">
        <v>22</v>
      </c>
      <c r="C1340" s="178">
        <v>19</v>
      </c>
      <c r="D1340" s="12" t="s">
        <v>56</v>
      </c>
      <c r="E1340" s="178">
        <v>3811569725</v>
      </c>
      <c r="F1340" s="178">
        <v>133623567</v>
      </c>
      <c r="G1340" s="178">
        <v>440</v>
      </c>
      <c r="H1340" s="178">
        <v>35</v>
      </c>
      <c r="I1340" s="178">
        <v>475</v>
      </c>
      <c r="J1340" s="178">
        <v>1648</v>
      </c>
      <c r="K1340" s="178">
        <v>2123</v>
      </c>
      <c r="L1340" s="178">
        <v>16</v>
      </c>
      <c r="M1340" s="178">
        <v>30</v>
      </c>
      <c r="N1340" s="178">
        <v>731</v>
      </c>
      <c r="O1340" s="178">
        <v>231</v>
      </c>
      <c r="P1340" s="178">
        <v>3085</v>
      </c>
      <c r="Q1340" s="178">
        <v>70650</v>
      </c>
      <c r="R1340" s="12" t="s">
        <v>4396</v>
      </c>
      <c r="S1340" s="12" t="s">
        <v>25</v>
      </c>
      <c r="T1340" s="12" t="s">
        <v>25</v>
      </c>
    </row>
    <row r="1341" spans="1:20" x14ac:dyDescent="0.3">
      <c r="A1341" s="13">
        <v>43948.708333333336</v>
      </c>
      <c r="B1341" s="12" t="s">
        <v>22</v>
      </c>
      <c r="C1341" s="178">
        <v>9</v>
      </c>
      <c r="D1341" s="12" t="s">
        <v>57</v>
      </c>
      <c r="E1341" s="178">
        <v>4376923077</v>
      </c>
      <c r="F1341" s="178">
        <v>1125588885</v>
      </c>
      <c r="G1341" s="178">
        <v>671</v>
      </c>
      <c r="H1341" s="178">
        <v>154</v>
      </c>
      <c r="I1341" s="178">
        <v>825</v>
      </c>
      <c r="J1341" s="178">
        <v>5158</v>
      </c>
      <c r="K1341" s="178">
        <v>5983</v>
      </c>
      <c r="L1341" s="178">
        <v>-86</v>
      </c>
      <c r="M1341" s="178">
        <v>32</v>
      </c>
      <c r="N1341" s="178">
        <v>2401</v>
      </c>
      <c r="O1341" s="178">
        <v>795</v>
      </c>
      <c r="P1341" s="178">
        <v>9179</v>
      </c>
      <c r="Q1341" s="178">
        <v>129048</v>
      </c>
      <c r="R1341" s="12" t="s">
        <v>4397</v>
      </c>
      <c r="S1341" s="12" t="s">
        <v>25</v>
      </c>
      <c r="T1341" s="12" t="s">
        <v>25</v>
      </c>
    </row>
    <row r="1342" spans="1:20" x14ac:dyDescent="0.3">
      <c r="A1342" s="13">
        <v>43948.708333333336</v>
      </c>
      <c r="B1342" s="12" t="s">
        <v>22</v>
      </c>
      <c r="C1342" s="178">
        <v>4</v>
      </c>
      <c r="D1342" s="12" t="s">
        <v>58</v>
      </c>
      <c r="E1342" s="178">
        <v>4606893511</v>
      </c>
      <c r="F1342" s="178">
        <v>1112123097</v>
      </c>
      <c r="G1342" s="178">
        <v>201</v>
      </c>
      <c r="H1342" s="178">
        <v>23</v>
      </c>
      <c r="I1342" s="178">
        <v>224</v>
      </c>
      <c r="J1342" s="178">
        <v>1483</v>
      </c>
      <c r="K1342" s="178">
        <v>1707</v>
      </c>
      <c r="L1342" s="178">
        <v>25</v>
      </c>
      <c r="M1342" s="178">
        <v>101</v>
      </c>
      <c r="N1342" s="178">
        <v>1881</v>
      </c>
      <c r="O1342" s="178">
        <v>407</v>
      </c>
      <c r="P1342" s="178">
        <v>3995</v>
      </c>
      <c r="Q1342" s="178">
        <v>33152</v>
      </c>
      <c r="R1342" s="12" t="s">
        <v>4398</v>
      </c>
      <c r="S1342" s="12" t="s">
        <v>25</v>
      </c>
      <c r="T1342" s="12" t="s">
        <v>25</v>
      </c>
    </row>
    <row r="1343" spans="1:20" x14ac:dyDescent="0.3">
      <c r="A1343" s="13">
        <v>43948.708333333336</v>
      </c>
      <c r="B1343" s="12" t="s">
        <v>22</v>
      </c>
      <c r="C1343" s="178">
        <v>10</v>
      </c>
      <c r="D1343" s="12" t="s">
        <v>59</v>
      </c>
      <c r="E1343" s="178">
        <v>4310675841</v>
      </c>
      <c r="F1343" s="178">
        <v>1238824698</v>
      </c>
      <c r="G1343" s="178">
        <v>90</v>
      </c>
      <c r="H1343" s="178">
        <v>16</v>
      </c>
      <c r="I1343" s="178">
        <v>106</v>
      </c>
      <c r="J1343" s="178">
        <v>181</v>
      </c>
      <c r="K1343" s="178">
        <v>287</v>
      </c>
      <c r="L1343" s="178">
        <v>-9</v>
      </c>
      <c r="M1343" s="178">
        <v>2</v>
      </c>
      <c r="N1343" s="178">
        <v>1018</v>
      </c>
      <c r="O1343" s="178">
        <v>65</v>
      </c>
      <c r="P1343" s="178">
        <v>1370</v>
      </c>
      <c r="Q1343" s="178">
        <v>32823</v>
      </c>
      <c r="R1343" s="12" t="s">
        <v>4399</v>
      </c>
      <c r="S1343" s="12" t="s">
        <v>25</v>
      </c>
      <c r="T1343" s="12" t="s">
        <v>25</v>
      </c>
    </row>
    <row r="1344" spans="1:20" x14ac:dyDescent="0.3">
      <c r="A1344" s="13">
        <v>43948.708333333336</v>
      </c>
      <c r="B1344" s="12" t="s">
        <v>22</v>
      </c>
      <c r="C1344" s="178">
        <v>2</v>
      </c>
      <c r="D1344" s="12" t="s">
        <v>60</v>
      </c>
      <c r="E1344" s="178">
        <v>4573750286</v>
      </c>
      <c r="F1344" s="178">
        <v>7320149366</v>
      </c>
      <c r="G1344" s="178">
        <v>86</v>
      </c>
      <c r="H1344" s="178">
        <v>7</v>
      </c>
      <c r="I1344" s="178">
        <v>93</v>
      </c>
      <c r="J1344" s="178">
        <v>142</v>
      </c>
      <c r="K1344" s="178">
        <v>235</v>
      </c>
      <c r="L1344" s="178">
        <v>-19</v>
      </c>
      <c r="M1344" s="178">
        <v>5</v>
      </c>
      <c r="N1344" s="178">
        <v>743</v>
      </c>
      <c r="O1344" s="178">
        <v>133</v>
      </c>
      <c r="P1344" s="178">
        <v>1111</v>
      </c>
      <c r="Q1344" s="178">
        <v>6551</v>
      </c>
      <c r="R1344" s="12" t="s">
        <v>3773</v>
      </c>
      <c r="S1344" s="12" t="s">
        <v>25</v>
      </c>
      <c r="T1344" s="12" t="s">
        <v>25</v>
      </c>
    </row>
    <row r="1345" spans="1:20" x14ac:dyDescent="0.3">
      <c r="A1345" s="13">
        <v>43948.708333333336</v>
      </c>
      <c r="B1345" s="12" t="s">
        <v>22</v>
      </c>
      <c r="C1345" s="260">
        <v>5</v>
      </c>
      <c r="D1345" s="12" t="s">
        <v>61</v>
      </c>
      <c r="E1345" s="260">
        <v>4543490485</v>
      </c>
      <c r="F1345" s="260">
        <v>1233845213</v>
      </c>
      <c r="G1345" s="260">
        <v>1099</v>
      </c>
      <c r="H1345" s="260">
        <v>123</v>
      </c>
      <c r="I1345" s="260">
        <v>1222</v>
      </c>
      <c r="J1345" s="260">
        <v>7638</v>
      </c>
      <c r="K1345" s="260">
        <v>8860</v>
      </c>
      <c r="L1345" s="260">
        <v>-278</v>
      </c>
      <c r="M1345" s="260">
        <v>108</v>
      </c>
      <c r="N1345" s="260">
        <v>7375</v>
      </c>
      <c r="O1345" s="260">
        <v>1344</v>
      </c>
      <c r="P1345" s="260">
        <v>17579</v>
      </c>
      <c r="Q1345" s="260">
        <v>320027</v>
      </c>
      <c r="R1345" s="12" t="s">
        <v>4400</v>
      </c>
      <c r="S1345" s="12" t="s">
        <v>25</v>
      </c>
      <c r="T1345" s="12" t="s">
        <v>25</v>
      </c>
    </row>
    <row r="1346" spans="1:20" x14ac:dyDescent="0.3">
      <c r="A1346" s="13">
        <v>43949.708333333336</v>
      </c>
      <c r="B1346" s="12" t="s">
        <v>22</v>
      </c>
      <c r="C1346" s="260">
        <v>13</v>
      </c>
      <c r="D1346" s="12" t="s">
        <v>42</v>
      </c>
      <c r="E1346" s="260">
        <v>4235122196</v>
      </c>
      <c r="F1346" s="260">
        <v>1339843823</v>
      </c>
      <c r="G1346" s="260">
        <v>312</v>
      </c>
      <c r="H1346" s="260">
        <v>21</v>
      </c>
      <c r="I1346" s="260">
        <v>333</v>
      </c>
      <c r="J1346" s="260">
        <v>1657</v>
      </c>
      <c r="K1346" s="260">
        <v>1990</v>
      </c>
      <c r="L1346" s="260">
        <v>-40</v>
      </c>
      <c r="M1346" s="260">
        <v>25</v>
      </c>
      <c r="N1346" s="260">
        <v>599</v>
      </c>
      <c r="O1346" s="260">
        <v>310</v>
      </c>
      <c r="P1346" s="260">
        <v>2899</v>
      </c>
      <c r="Q1346" s="260">
        <v>35356</v>
      </c>
      <c r="R1346" s="12" t="s">
        <v>4431</v>
      </c>
      <c r="S1346" s="12" t="s">
        <v>25</v>
      </c>
      <c r="T1346" s="12" t="s">
        <v>25</v>
      </c>
    </row>
    <row r="1347" spans="1:20" x14ac:dyDescent="0.3">
      <c r="A1347" s="13">
        <v>43949.708333333336</v>
      </c>
      <c r="B1347" s="12" t="s">
        <v>22</v>
      </c>
      <c r="C1347" s="260">
        <v>17</v>
      </c>
      <c r="D1347" s="12" t="s">
        <v>43</v>
      </c>
      <c r="E1347" s="260">
        <v>4063947052</v>
      </c>
      <c r="F1347" s="260">
        <v>1580514834</v>
      </c>
      <c r="G1347" s="260">
        <v>56</v>
      </c>
      <c r="H1347" s="260">
        <v>7</v>
      </c>
      <c r="I1347" s="260">
        <v>63</v>
      </c>
      <c r="J1347" s="260">
        <v>142</v>
      </c>
      <c r="K1347" s="260">
        <v>205</v>
      </c>
      <c r="L1347" s="260">
        <v>-12</v>
      </c>
      <c r="M1347" s="260">
        <v>0</v>
      </c>
      <c r="N1347" s="260">
        <v>136</v>
      </c>
      <c r="O1347" s="260">
        <v>25</v>
      </c>
      <c r="P1347" s="260">
        <v>366</v>
      </c>
      <c r="Q1347" s="260">
        <v>10889</v>
      </c>
      <c r="R1347" s="12" t="s">
        <v>4432</v>
      </c>
      <c r="S1347" s="12" t="s">
        <v>25</v>
      </c>
      <c r="T1347" s="12" t="s">
        <v>25</v>
      </c>
    </row>
    <row r="1348" spans="1:20" x14ac:dyDescent="0.3">
      <c r="A1348" s="13">
        <v>43949.708333333336</v>
      </c>
      <c r="B1348" s="12" t="s">
        <v>22</v>
      </c>
      <c r="C1348" s="260">
        <v>4</v>
      </c>
      <c r="D1348" s="12" t="s">
        <v>44</v>
      </c>
      <c r="E1348" s="260">
        <v>4649933453</v>
      </c>
      <c r="F1348" s="260">
        <v>1135662422</v>
      </c>
      <c r="G1348" s="260">
        <v>136</v>
      </c>
      <c r="H1348" s="260">
        <v>15</v>
      </c>
      <c r="I1348" s="260">
        <v>151</v>
      </c>
      <c r="J1348" s="260">
        <v>759</v>
      </c>
      <c r="K1348" s="260">
        <v>910</v>
      </c>
      <c r="L1348" s="260">
        <v>-30</v>
      </c>
      <c r="M1348" s="260">
        <v>2</v>
      </c>
      <c r="N1348" s="260">
        <v>1316</v>
      </c>
      <c r="O1348" s="260">
        <v>272</v>
      </c>
      <c r="P1348" s="260">
        <v>2498</v>
      </c>
      <c r="Q1348" s="260">
        <v>39130</v>
      </c>
      <c r="R1348" s="12" t="s">
        <v>4433</v>
      </c>
      <c r="S1348" s="12" t="s">
        <v>25</v>
      </c>
      <c r="T1348" s="12" t="s">
        <v>25</v>
      </c>
    </row>
    <row r="1349" spans="1:20" x14ac:dyDescent="0.3">
      <c r="A1349" s="13">
        <v>43949.708333333336</v>
      </c>
      <c r="B1349" s="12" t="s">
        <v>22</v>
      </c>
      <c r="C1349" s="260">
        <v>18</v>
      </c>
      <c r="D1349" s="12" t="s">
        <v>45</v>
      </c>
      <c r="E1349" s="260">
        <v>3890597598</v>
      </c>
      <c r="F1349" s="260">
        <v>1659440194</v>
      </c>
      <c r="G1349" s="260">
        <v>113</v>
      </c>
      <c r="H1349" s="260">
        <v>6</v>
      </c>
      <c r="I1349" s="260">
        <v>119</v>
      </c>
      <c r="J1349" s="260">
        <v>645</v>
      </c>
      <c r="K1349" s="260">
        <v>764</v>
      </c>
      <c r="L1349" s="260">
        <v>-18</v>
      </c>
      <c r="M1349" s="260">
        <v>1</v>
      </c>
      <c r="N1349" s="260">
        <v>248</v>
      </c>
      <c r="O1349" s="260">
        <v>85</v>
      </c>
      <c r="P1349" s="260">
        <v>1097</v>
      </c>
      <c r="Q1349" s="260">
        <v>33755</v>
      </c>
      <c r="R1349" s="12" t="s">
        <v>4434</v>
      </c>
      <c r="S1349" s="12" t="s">
        <v>25</v>
      </c>
      <c r="T1349" s="12" t="s">
        <v>25</v>
      </c>
    </row>
    <row r="1350" spans="1:20" x14ac:dyDescent="0.3">
      <c r="A1350" s="13">
        <v>43949.708333333336</v>
      </c>
      <c r="B1350" s="12" t="s">
        <v>22</v>
      </c>
      <c r="C1350" s="260">
        <v>15</v>
      </c>
      <c r="D1350" s="12" t="s">
        <v>46</v>
      </c>
      <c r="E1350" s="260">
        <v>4083956555</v>
      </c>
      <c r="F1350" s="260">
        <v>1425084984</v>
      </c>
      <c r="G1350" s="260">
        <v>544</v>
      </c>
      <c r="H1350" s="260">
        <v>33</v>
      </c>
      <c r="I1350" s="260">
        <v>577</v>
      </c>
      <c r="J1350" s="260">
        <v>2225</v>
      </c>
      <c r="K1350" s="260">
        <v>2802</v>
      </c>
      <c r="L1350" s="260">
        <v>-75</v>
      </c>
      <c r="M1350" s="260">
        <v>31</v>
      </c>
      <c r="N1350" s="260">
        <v>1220</v>
      </c>
      <c r="O1350" s="260">
        <v>358</v>
      </c>
      <c r="P1350" s="260">
        <v>4380</v>
      </c>
      <c r="Q1350" s="260">
        <v>70566</v>
      </c>
      <c r="R1350" s="12" t="s">
        <v>4435</v>
      </c>
      <c r="S1350" s="12" t="s">
        <v>25</v>
      </c>
      <c r="T1350" s="12" t="s">
        <v>25</v>
      </c>
    </row>
    <row r="1351" spans="1:20" x14ac:dyDescent="0.3">
      <c r="A1351" s="13">
        <v>43949.708333333336</v>
      </c>
      <c r="B1351" s="12" t="s">
        <v>22</v>
      </c>
      <c r="C1351" s="260">
        <v>8</v>
      </c>
      <c r="D1351" s="12" t="s">
        <v>96</v>
      </c>
      <c r="E1351" s="260">
        <v>4449436681</v>
      </c>
      <c r="F1351" s="260">
        <v>113417208</v>
      </c>
      <c r="G1351" s="260">
        <v>2574</v>
      </c>
      <c r="H1351" s="260">
        <v>228</v>
      </c>
      <c r="I1351" s="260">
        <v>2802</v>
      </c>
      <c r="J1351" s="260">
        <v>9201</v>
      </c>
      <c r="K1351" s="260">
        <v>12003</v>
      </c>
      <c r="L1351" s="260">
        <v>-222</v>
      </c>
      <c r="M1351" s="260">
        <v>252</v>
      </c>
      <c r="N1351" s="260">
        <v>9439</v>
      </c>
      <c r="O1351" s="260">
        <v>3472</v>
      </c>
      <c r="P1351" s="260">
        <v>24914</v>
      </c>
      <c r="Q1351" s="260">
        <v>172589</v>
      </c>
      <c r="R1351" s="12" t="s">
        <v>4436</v>
      </c>
      <c r="S1351" s="12" t="s">
        <v>25</v>
      </c>
      <c r="T1351" s="12" t="s">
        <v>25</v>
      </c>
    </row>
    <row r="1352" spans="1:20" x14ac:dyDescent="0.3">
      <c r="A1352" s="13">
        <v>43949.708333333336</v>
      </c>
      <c r="B1352" s="12" t="s">
        <v>22</v>
      </c>
      <c r="C1352" s="260">
        <v>6</v>
      </c>
      <c r="D1352" s="12" t="s">
        <v>47</v>
      </c>
      <c r="E1352" s="260">
        <v>456494354</v>
      </c>
      <c r="F1352" s="260">
        <v>1376813649</v>
      </c>
      <c r="G1352" s="260">
        <v>136</v>
      </c>
      <c r="H1352" s="260">
        <v>13</v>
      </c>
      <c r="I1352" s="260">
        <v>149</v>
      </c>
      <c r="J1352" s="260">
        <v>1090</v>
      </c>
      <c r="K1352" s="260">
        <v>1239</v>
      </c>
      <c r="L1352" s="260">
        <v>-19</v>
      </c>
      <c r="M1352" s="260">
        <v>18</v>
      </c>
      <c r="N1352" s="260">
        <v>1478</v>
      </c>
      <c r="O1352" s="260">
        <v>278</v>
      </c>
      <c r="P1352" s="260">
        <v>2995</v>
      </c>
      <c r="Q1352" s="260">
        <v>64151</v>
      </c>
      <c r="R1352" s="12" t="s">
        <v>4437</v>
      </c>
      <c r="S1352" s="12" t="s">
        <v>25</v>
      </c>
      <c r="T1352" s="12" t="s">
        <v>25</v>
      </c>
    </row>
    <row r="1353" spans="1:20" x14ac:dyDescent="0.3">
      <c r="A1353" s="13">
        <v>43949.708333333336</v>
      </c>
      <c r="B1353" s="12" t="s">
        <v>22</v>
      </c>
      <c r="C1353" s="260">
        <v>12</v>
      </c>
      <c r="D1353" s="12" t="s">
        <v>48</v>
      </c>
      <c r="E1353" s="260">
        <v>4189277044</v>
      </c>
      <c r="F1353" s="260">
        <v>1248366722</v>
      </c>
      <c r="G1353" s="260">
        <v>1468</v>
      </c>
      <c r="H1353" s="260">
        <v>132</v>
      </c>
      <c r="I1353" s="260">
        <v>1600</v>
      </c>
      <c r="J1353" s="260">
        <v>2962</v>
      </c>
      <c r="K1353" s="260">
        <v>4562</v>
      </c>
      <c r="L1353" s="260">
        <v>0</v>
      </c>
      <c r="M1353" s="260">
        <v>75</v>
      </c>
      <c r="N1353" s="260">
        <v>1491</v>
      </c>
      <c r="O1353" s="260">
        <v>414</v>
      </c>
      <c r="P1353" s="260">
        <v>6467</v>
      </c>
      <c r="Q1353" s="260">
        <v>128664</v>
      </c>
      <c r="R1353" s="12" t="s">
        <v>4438</v>
      </c>
      <c r="S1353" s="12" t="s">
        <v>25</v>
      </c>
      <c r="T1353" s="12" t="s">
        <v>25</v>
      </c>
    </row>
    <row r="1354" spans="1:20" x14ac:dyDescent="0.3">
      <c r="A1354" s="13">
        <v>43949.708333333336</v>
      </c>
      <c r="B1354" s="12" t="s">
        <v>22</v>
      </c>
      <c r="C1354" s="260">
        <v>7</v>
      </c>
      <c r="D1354" s="12" t="s">
        <v>49</v>
      </c>
      <c r="E1354" s="260">
        <v>4441149315</v>
      </c>
      <c r="F1354" s="260">
        <v>89326992</v>
      </c>
      <c r="G1354" s="260">
        <v>718</v>
      </c>
      <c r="H1354" s="260">
        <v>81</v>
      </c>
      <c r="I1354" s="260">
        <v>799</v>
      </c>
      <c r="J1354" s="260">
        <v>2772</v>
      </c>
      <c r="K1354" s="260">
        <v>3571</v>
      </c>
      <c r="L1354" s="260">
        <v>-9</v>
      </c>
      <c r="M1354" s="260">
        <v>130</v>
      </c>
      <c r="N1354" s="260">
        <v>3060</v>
      </c>
      <c r="O1354" s="260">
        <v>1141</v>
      </c>
      <c r="P1354" s="260">
        <v>7772</v>
      </c>
      <c r="Q1354" s="260">
        <v>45719</v>
      </c>
      <c r="R1354" s="12" t="s">
        <v>4439</v>
      </c>
      <c r="S1354" s="12" t="s">
        <v>25</v>
      </c>
      <c r="T1354" s="12" t="s">
        <v>25</v>
      </c>
    </row>
    <row r="1355" spans="1:20" x14ac:dyDescent="0.3">
      <c r="A1355" s="13">
        <v>43949.708333333336</v>
      </c>
      <c r="B1355" s="12" t="s">
        <v>22</v>
      </c>
      <c r="C1355" s="260">
        <v>3</v>
      </c>
      <c r="D1355" s="12" t="s">
        <v>50</v>
      </c>
      <c r="E1355" s="260">
        <v>4546679409</v>
      </c>
      <c r="F1355" s="260">
        <v>9190347404</v>
      </c>
      <c r="G1355" s="260">
        <v>7280</v>
      </c>
      <c r="H1355" s="260">
        <v>655</v>
      </c>
      <c r="I1355" s="260">
        <v>7935</v>
      </c>
      <c r="J1355" s="260">
        <v>27809</v>
      </c>
      <c r="K1355" s="260">
        <v>35744</v>
      </c>
      <c r="L1355" s="260">
        <v>303</v>
      </c>
      <c r="M1355" s="260">
        <v>869</v>
      </c>
      <c r="N1355" s="260">
        <v>25029</v>
      </c>
      <c r="O1355" s="260">
        <v>13575</v>
      </c>
      <c r="P1355" s="260">
        <v>74348</v>
      </c>
      <c r="Q1355" s="260">
        <v>351423</v>
      </c>
      <c r="R1355" s="12" t="s">
        <v>4440</v>
      </c>
      <c r="S1355" s="12" t="s">
        <v>25</v>
      </c>
      <c r="T1355" s="12" t="s">
        <v>25</v>
      </c>
    </row>
    <row r="1356" spans="1:20" x14ac:dyDescent="0.3">
      <c r="A1356" s="13">
        <v>43949.708333333336</v>
      </c>
      <c r="B1356" s="12" t="s">
        <v>22</v>
      </c>
      <c r="C1356" s="260">
        <v>11</v>
      </c>
      <c r="D1356" s="12" t="s">
        <v>51</v>
      </c>
      <c r="E1356" s="260">
        <v>4361675973</v>
      </c>
      <c r="F1356" s="260">
        <v>135188753</v>
      </c>
      <c r="G1356" s="260">
        <v>666</v>
      </c>
      <c r="H1356" s="260">
        <v>58</v>
      </c>
      <c r="I1356" s="260">
        <v>724</v>
      </c>
      <c r="J1356" s="260">
        <v>2610</v>
      </c>
      <c r="K1356" s="260">
        <v>3334</v>
      </c>
      <c r="L1356" s="260">
        <v>24</v>
      </c>
      <c r="M1356" s="260">
        <v>48</v>
      </c>
      <c r="N1356" s="260">
        <v>1948</v>
      </c>
      <c r="O1356" s="260">
        <v>893</v>
      </c>
      <c r="P1356" s="260">
        <v>6175</v>
      </c>
      <c r="Q1356" s="260">
        <v>54313</v>
      </c>
      <c r="R1356" s="12" t="s">
        <v>4441</v>
      </c>
      <c r="S1356" s="12" t="s">
        <v>25</v>
      </c>
      <c r="T1356" s="12" t="s">
        <v>25</v>
      </c>
    </row>
    <row r="1357" spans="1:20" x14ac:dyDescent="0.3">
      <c r="A1357" s="13">
        <v>43949.708333333336</v>
      </c>
      <c r="B1357" s="12" t="s">
        <v>22</v>
      </c>
      <c r="C1357" s="260">
        <v>14</v>
      </c>
      <c r="D1357" s="12" t="s">
        <v>52</v>
      </c>
      <c r="E1357" s="260">
        <v>4155774754</v>
      </c>
      <c r="F1357" s="260">
        <v>1465916051</v>
      </c>
      <c r="G1357" s="260">
        <v>18</v>
      </c>
      <c r="H1357" s="260">
        <v>1</v>
      </c>
      <c r="I1357" s="260">
        <v>19</v>
      </c>
      <c r="J1357" s="260">
        <v>176</v>
      </c>
      <c r="K1357" s="260">
        <v>195</v>
      </c>
      <c r="L1357" s="260">
        <v>-5</v>
      </c>
      <c r="M1357" s="260">
        <v>1</v>
      </c>
      <c r="N1357" s="260">
        <v>81</v>
      </c>
      <c r="O1357" s="260">
        <v>21</v>
      </c>
      <c r="P1357" s="260">
        <v>297</v>
      </c>
      <c r="Q1357" s="260">
        <v>5776</v>
      </c>
      <c r="R1357" s="12" t="s">
        <v>4442</v>
      </c>
      <c r="S1357" s="12" t="s">
        <v>25</v>
      </c>
      <c r="T1357" s="12" t="s">
        <v>25</v>
      </c>
    </row>
    <row r="1358" spans="1:20" x14ac:dyDescent="0.3">
      <c r="A1358" s="13">
        <v>43949.708333333336</v>
      </c>
      <c r="B1358" s="12" t="s">
        <v>22</v>
      </c>
      <c r="C1358" s="260">
        <v>1</v>
      </c>
      <c r="D1358" s="12" t="s">
        <v>53</v>
      </c>
      <c r="E1358" s="260">
        <v>450732745</v>
      </c>
      <c r="F1358" s="260">
        <v>7680687483</v>
      </c>
      <c r="G1358" s="260">
        <v>2701</v>
      </c>
      <c r="H1358" s="260">
        <v>202</v>
      </c>
      <c r="I1358" s="260">
        <v>2903</v>
      </c>
      <c r="J1358" s="260">
        <v>12603</v>
      </c>
      <c r="K1358" s="260">
        <v>15506</v>
      </c>
      <c r="L1358" s="260">
        <v>-2</v>
      </c>
      <c r="M1358" s="260">
        <v>352</v>
      </c>
      <c r="N1358" s="260">
        <v>7008</v>
      </c>
      <c r="O1358" s="260">
        <v>2936</v>
      </c>
      <c r="P1358" s="260">
        <v>25450</v>
      </c>
      <c r="Q1358" s="260">
        <v>144531</v>
      </c>
      <c r="R1358" s="12" t="s">
        <v>4443</v>
      </c>
      <c r="S1358" s="12" t="s">
        <v>25</v>
      </c>
      <c r="T1358" s="12" t="s">
        <v>25</v>
      </c>
    </row>
    <row r="1359" spans="1:20" x14ac:dyDescent="0.3">
      <c r="A1359" s="13">
        <v>43949.708333333336</v>
      </c>
      <c r="B1359" s="12" t="s">
        <v>22</v>
      </c>
      <c r="C1359" s="260">
        <v>16</v>
      </c>
      <c r="D1359" s="12" t="s">
        <v>54</v>
      </c>
      <c r="E1359" s="260">
        <v>4112559576</v>
      </c>
      <c r="F1359" s="260">
        <v>1686736689</v>
      </c>
      <c r="G1359" s="260">
        <v>448</v>
      </c>
      <c r="H1359" s="260">
        <v>51</v>
      </c>
      <c r="I1359" s="260">
        <v>499</v>
      </c>
      <c r="J1359" s="260">
        <v>2420</v>
      </c>
      <c r="K1359" s="260">
        <v>2919</v>
      </c>
      <c r="L1359" s="260">
        <v>7</v>
      </c>
      <c r="M1359" s="260">
        <v>22</v>
      </c>
      <c r="N1359" s="260">
        <v>654</v>
      </c>
      <c r="O1359" s="260">
        <v>407</v>
      </c>
      <c r="P1359" s="260">
        <v>3980</v>
      </c>
      <c r="Q1359" s="260">
        <v>58496</v>
      </c>
      <c r="R1359" s="12" t="s">
        <v>4444</v>
      </c>
      <c r="S1359" s="12" t="s">
        <v>25</v>
      </c>
      <c r="T1359" s="12" t="s">
        <v>25</v>
      </c>
    </row>
    <row r="1360" spans="1:20" x14ac:dyDescent="0.3">
      <c r="A1360" s="13">
        <v>43949.708333333336</v>
      </c>
      <c r="B1360" s="12" t="s">
        <v>22</v>
      </c>
      <c r="C1360" s="260">
        <v>20</v>
      </c>
      <c r="D1360" s="12" t="s">
        <v>55</v>
      </c>
      <c r="E1360" s="260">
        <v>3921531192</v>
      </c>
      <c r="F1360" s="260">
        <v>9110616306</v>
      </c>
      <c r="G1360" s="260">
        <v>96</v>
      </c>
      <c r="H1360" s="260">
        <v>18</v>
      </c>
      <c r="I1360" s="260">
        <v>114</v>
      </c>
      <c r="J1360" s="260">
        <v>658</v>
      </c>
      <c r="K1360" s="260">
        <v>772</v>
      </c>
      <c r="L1360" s="260">
        <v>-4</v>
      </c>
      <c r="M1360" s="260">
        <v>2</v>
      </c>
      <c r="N1360" s="260">
        <v>404</v>
      </c>
      <c r="O1360" s="260">
        <v>109</v>
      </c>
      <c r="P1360" s="260">
        <v>1285</v>
      </c>
      <c r="Q1360" s="260">
        <v>22116</v>
      </c>
      <c r="R1360" s="12" t="s">
        <v>4445</v>
      </c>
      <c r="S1360" s="12" t="s">
        <v>25</v>
      </c>
      <c r="T1360" s="12" t="s">
        <v>25</v>
      </c>
    </row>
    <row r="1361" spans="1:20" x14ac:dyDescent="0.3">
      <c r="A1361" s="13">
        <v>43949.708333333336</v>
      </c>
      <c r="B1361" s="12" t="s">
        <v>22</v>
      </c>
      <c r="C1361" s="260">
        <v>19</v>
      </c>
      <c r="D1361" s="12" t="s">
        <v>56</v>
      </c>
      <c r="E1361" s="260">
        <v>3811569725</v>
      </c>
      <c r="F1361" s="260">
        <v>133623567</v>
      </c>
      <c r="G1361" s="260">
        <v>428</v>
      </c>
      <c r="H1361" s="260">
        <v>34</v>
      </c>
      <c r="I1361" s="260">
        <v>462</v>
      </c>
      <c r="J1361" s="260">
        <v>1681</v>
      </c>
      <c r="K1361" s="260">
        <v>2143</v>
      </c>
      <c r="L1361" s="260">
        <v>20</v>
      </c>
      <c r="M1361" s="260">
        <v>35</v>
      </c>
      <c r="N1361" s="260">
        <v>745</v>
      </c>
      <c r="O1361" s="260">
        <v>232</v>
      </c>
      <c r="P1361" s="260">
        <v>3120</v>
      </c>
      <c r="Q1361" s="260">
        <v>73008</v>
      </c>
      <c r="R1361" s="12" t="s">
        <v>4446</v>
      </c>
      <c r="S1361" s="12" t="s">
        <v>25</v>
      </c>
      <c r="T1361" s="12" t="s">
        <v>25</v>
      </c>
    </row>
    <row r="1362" spans="1:20" x14ac:dyDescent="0.3">
      <c r="A1362" s="13">
        <v>43949.708333333336</v>
      </c>
      <c r="B1362" s="12" t="s">
        <v>22</v>
      </c>
      <c r="C1362" s="260">
        <v>9</v>
      </c>
      <c r="D1362" s="12" t="s">
        <v>57</v>
      </c>
      <c r="E1362" s="260">
        <v>4376923077</v>
      </c>
      <c r="F1362" s="260">
        <v>1125588885</v>
      </c>
      <c r="G1362" s="260">
        <v>619</v>
      </c>
      <c r="H1362" s="260">
        <v>144</v>
      </c>
      <c r="I1362" s="260">
        <v>763</v>
      </c>
      <c r="J1362" s="260">
        <v>5133</v>
      </c>
      <c r="K1362" s="260">
        <v>5896</v>
      </c>
      <c r="L1362" s="260">
        <v>-87</v>
      </c>
      <c r="M1362" s="260">
        <v>52</v>
      </c>
      <c r="N1362" s="260">
        <v>2524</v>
      </c>
      <c r="O1362" s="260">
        <v>811</v>
      </c>
      <c r="P1362" s="260">
        <v>9231</v>
      </c>
      <c r="Q1362" s="260">
        <v>133617</v>
      </c>
      <c r="R1362" s="12" t="s">
        <v>4447</v>
      </c>
      <c r="S1362" s="12" t="s">
        <v>25</v>
      </c>
      <c r="T1362" s="12" t="s">
        <v>25</v>
      </c>
    </row>
    <row r="1363" spans="1:20" x14ac:dyDescent="0.3">
      <c r="A1363" s="13">
        <v>43949.708333333336</v>
      </c>
      <c r="B1363" s="12" t="s">
        <v>22</v>
      </c>
      <c r="C1363" s="260">
        <v>4</v>
      </c>
      <c r="D1363" s="12" t="s">
        <v>58</v>
      </c>
      <c r="E1363" s="260">
        <v>4606893511</v>
      </c>
      <c r="F1363" s="260">
        <v>1112123097</v>
      </c>
      <c r="G1363" s="260">
        <v>182</v>
      </c>
      <c r="H1363" s="260">
        <v>22</v>
      </c>
      <c r="I1363" s="260">
        <v>204</v>
      </c>
      <c r="J1363" s="260">
        <v>1361</v>
      </c>
      <c r="K1363" s="260">
        <v>1565</v>
      </c>
      <c r="L1363" s="260">
        <v>-142</v>
      </c>
      <c r="M1363" s="260">
        <v>30</v>
      </c>
      <c r="N1363" s="260">
        <v>2048</v>
      </c>
      <c r="O1363" s="260">
        <v>412</v>
      </c>
      <c r="P1363" s="260">
        <v>4025</v>
      </c>
      <c r="Q1363" s="260">
        <v>33839</v>
      </c>
      <c r="R1363" s="12" t="s">
        <v>4448</v>
      </c>
      <c r="S1363" s="12" t="s">
        <v>25</v>
      </c>
      <c r="T1363" s="12" t="s">
        <v>25</v>
      </c>
    </row>
    <row r="1364" spans="1:20" x14ac:dyDescent="0.3">
      <c r="A1364" s="13">
        <v>43949.708333333336</v>
      </c>
      <c r="B1364" s="12" t="s">
        <v>22</v>
      </c>
      <c r="C1364" s="260">
        <v>10</v>
      </c>
      <c r="D1364" s="12" t="s">
        <v>59</v>
      </c>
      <c r="E1364" s="260">
        <v>4310675841</v>
      </c>
      <c r="F1364" s="260">
        <v>1238824698</v>
      </c>
      <c r="G1364" s="260">
        <v>80</v>
      </c>
      <c r="H1364" s="260">
        <v>17</v>
      </c>
      <c r="I1364" s="260">
        <v>97</v>
      </c>
      <c r="J1364" s="260">
        <v>178</v>
      </c>
      <c r="K1364" s="260">
        <v>275</v>
      </c>
      <c r="L1364" s="260">
        <v>-12</v>
      </c>
      <c r="M1364" s="260">
        <v>9</v>
      </c>
      <c r="N1364" s="260">
        <v>1039</v>
      </c>
      <c r="O1364" s="260">
        <v>65</v>
      </c>
      <c r="P1364" s="260">
        <v>1379</v>
      </c>
      <c r="Q1364" s="260">
        <v>33881</v>
      </c>
      <c r="R1364" s="12" t="s">
        <v>4449</v>
      </c>
      <c r="S1364" s="12" t="s">
        <v>25</v>
      </c>
      <c r="T1364" s="12" t="s">
        <v>25</v>
      </c>
    </row>
    <row r="1365" spans="1:20" x14ac:dyDescent="0.3">
      <c r="A1365" s="13">
        <v>43949.708333333336</v>
      </c>
      <c r="B1365" s="12" t="s">
        <v>22</v>
      </c>
      <c r="C1365" s="260">
        <v>2</v>
      </c>
      <c r="D1365" s="12" t="s">
        <v>60</v>
      </c>
      <c r="E1365" s="260">
        <v>4573750286</v>
      </c>
      <c r="F1365" s="260">
        <v>7320149366</v>
      </c>
      <c r="G1365" s="260">
        <v>81</v>
      </c>
      <c r="H1365" s="260">
        <v>5</v>
      </c>
      <c r="I1365" s="260">
        <v>86</v>
      </c>
      <c r="J1365" s="260">
        <v>123</v>
      </c>
      <c r="K1365" s="260">
        <v>209</v>
      </c>
      <c r="L1365" s="260">
        <v>-26</v>
      </c>
      <c r="M1365" s="260">
        <v>8</v>
      </c>
      <c r="N1365" s="260">
        <v>775</v>
      </c>
      <c r="O1365" s="260">
        <v>135</v>
      </c>
      <c r="P1365" s="260">
        <v>1119</v>
      </c>
      <c r="Q1365" s="260">
        <v>6897</v>
      </c>
      <c r="R1365" s="12" t="s">
        <v>4450</v>
      </c>
      <c r="S1365" s="12" t="s">
        <v>25</v>
      </c>
      <c r="T1365" s="12" t="s">
        <v>25</v>
      </c>
    </row>
    <row r="1366" spans="1:20" x14ac:dyDescent="0.3">
      <c r="A1366" s="13">
        <v>43949.708333333336</v>
      </c>
      <c r="B1366" s="12" t="s">
        <v>22</v>
      </c>
      <c r="C1366" s="260">
        <v>5</v>
      </c>
      <c r="D1366" s="12" t="s">
        <v>61</v>
      </c>
      <c r="E1366" s="260">
        <v>4543490485</v>
      </c>
      <c r="F1366" s="260">
        <v>1233845213</v>
      </c>
      <c r="G1366" s="260">
        <v>1067</v>
      </c>
      <c r="H1366" s="260">
        <v>120</v>
      </c>
      <c r="I1366" s="260">
        <v>1187</v>
      </c>
      <c r="J1366" s="260">
        <v>7414</v>
      </c>
      <c r="K1366" s="260">
        <v>8601</v>
      </c>
      <c r="L1366" s="260">
        <v>-259</v>
      </c>
      <c r="M1366" s="260">
        <v>129</v>
      </c>
      <c r="N1366" s="260">
        <v>7699</v>
      </c>
      <c r="O1366" s="260">
        <v>1408</v>
      </c>
      <c r="P1366" s="260">
        <v>17708</v>
      </c>
      <c r="Q1366" s="260">
        <v>328218</v>
      </c>
      <c r="R1366" s="12" t="s">
        <v>4451</v>
      </c>
      <c r="S1366" s="12" t="s">
        <v>25</v>
      </c>
      <c r="T1366" s="12" t="s">
        <v>25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23BE1-A73A-4B3E-A39D-9FF5F0128F57}">
  <dimension ref="B1:NN186"/>
  <sheetViews>
    <sheetView tabSelected="1" zoomScale="25" zoomScaleNormal="25" workbookViewId="0">
      <selection activeCell="Z125" sqref="Z125:AA126"/>
    </sheetView>
  </sheetViews>
  <sheetFormatPr defaultRowHeight="14.4" x14ac:dyDescent="0.3"/>
  <cols>
    <col min="1" max="1" width="2.77734375" style="2" customWidth="1"/>
    <col min="2" max="2" width="15.109375" style="2" bestFit="1" customWidth="1"/>
    <col min="3" max="3" width="14" style="2" bestFit="1" customWidth="1"/>
    <col min="4" max="4" width="11.88671875" style="2" customWidth="1"/>
    <col min="5" max="5" width="15.5546875" style="2" bestFit="1" customWidth="1"/>
    <col min="6" max="6" width="14.44140625" style="2" bestFit="1" customWidth="1"/>
    <col min="7" max="7" width="10.5546875" style="105" customWidth="1"/>
    <col min="8" max="8" width="16.21875" style="2" bestFit="1" customWidth="1"/>
    <col min="9" max="9" width="9.33203125" style="2" customWidth="1"/>
    <col min="10" max="10" width="9.33203125" style="105" customWidth="1"/>
    <col min="11" max="11" width="16.21875" style="2" bestFit="1" customWidth="1"/>
    <col min="12" max="12" width="16.44140625" style="2" bestFit="1" customWidth="1"/>
    <col min="13" max="13" width="10.33203125" style="2" customWidth="1"/>
    <col min="14" max="14" width="11.5546875" style="2" customWidth="1"/>
    <col min="15" max="15" width="15.5546875" style="2" bestFit="1" customWidth="1"/>
    <col min="16" max="16" width="12.88671875" style="2" customWidth="1"/>
    <col min="17" max="17" width="12" style="105" customWidth="1"/>
    <col min="18" max="18" width="15.5546875" style="2" bestFit="1" customWidth="1"/>
    <col min="19" max="19" width="12.21875" style="2" customWidth="1"/>
    <col min="20" max="20" width="12.109375" style="2" customWidth="1"/>
    <col min="21" max="22" width="10" style="2" customWidth="1"/>
    <col min="23" max="23" width="13.6640625" style="2" customWidth="1"/>
    <col min="24" max="24" width="13.6640625" style="105" customWidth="1"/>
    <col min="25" max="25" width="16.109375" style="2" customWidth="1"/>
    <col min="26" max="26" width="13.77734375" style="2" customWidth="1"/>
    <col min="27" max="27" width="13.6640625" style="2" customWidth="1"/>
    <col min="28" max="28" width="1.77734375" style="2" customWidth="1"/>
    <col min="29" max="29" width="24.33203125" style="2" bestFit="1" customWidth="1"/>
    <col min="30" max="30" width="26" style="2" bestFit="1" customWidth="1"/>
    <col min="31" max="39" width="12.44140625" style="2" customWidth="1"/>
    <col min="40" max="41" width="3.5546875" style="2" customWidth="1"/>
    <col min="42" max="42" width="3.77734375" style="2" customWidth="1"/>
    <col min="43" max="43" width="4.33203125" style="2" customWidth="1"/>
    <col min="44" max="44" width="12.44140625" style="2" customWidth="1"/>
    <col min="45" max="49" width="4.5546875" style="2" bestFit="1" customWidth="1"/>
    <col min="50" max="50" width="17.109375" style="2" customWidth="1"/>
    <col min="51" max="52" width="4.5546875" style="2" bestFit="1" customWidth="1"/>
    <col min="53" max="53" width="17.109375" style="77" customWidth="1"/>
    <col min="54" max="54" width="4.5546875" style="77" bestFit="1" customWidth="1"/>
    <col min="55" max="55" width="4.5546875" style="2" bestFit="1" customWidth="1"/>
    <col min="56" max="56" width="17.109375" style="77" customWidth="1"/>
    <col min="57" max="57" width="4.5546875" style="77" bestFit="1" customWidth="1"/>
    <col min="58" max="60" width="4.5546875" style="2" bestFit="1" customWidth="1"/>
    <col min="61" max="61" width="2.109375" style="2" customWidth="1"/>
    <col min="62" max="64" width="4.5546875" style="2" hidden="1" customWidth="1"/>
    <col min="65" max="65" width="37.33203125" style="2" customWidth="1"/>
    <col min="66" max="120" width="4.5546875" style="2" bestFit="1" customWidth="1"/>
    <col min="121" max="315" width="6" style="2" bestFit="1" customWidth="1"/>
    <col min="316" max="371" width="7.33203125" style="2" bestFit="1" customWidth="1"/>
    <col min="372" max="376" width="8.77734375" style="2" bestFit="1" customWidth="1"/>
    <col min="377" max="377" width="9.5546875" style="2" bestFit="1" customWidth="1"/>
    <col min="378" max="378" width="23.5546875" style="2" bestFit="1" customWidth="1"/>
    <col min="379" max="16384" width="8.88671875" style="2"/>
  </cols>
  <sheetData>
    <row r="1" spans="2:65" x14ac:dyDescent="0.3">
      <c r="P1" s="151"/>
      <c r="W1" s="151"/>
      <c r="AX1" s="293"/>
      <c r="AY1" s="293"/>
      <c r="BA1" s="290"/>
      <c r="BB1" s="290"/>
      <c r="BD1" s="297"/>
      <c r="BE1" s="297"/>
    </row>
    <row r="2" spans="2:65" ht="24" thickBot="1" x14ac:dyDescent="0.5">
      <c r="B2" s="299" t="s">
        <v>11</v>
      </c>
      <c r="C2" s="299"/>
      <c r="D2" s="299"/>
      <c r="E2" s="299"/>
      <c r="F2" s="299"/>
      <c r="G2" s="299"/>
      <c r="H2" s="299"/>
      <c r="I2" s="299"/>
      <c r="J2" s="299"/>
      <c r="K2" s="299"/>
      <c r="P2" s="151"/>
      <c r="S2" s="71"/>
      <c r="W2" s="151"/>
      <c r="AE2" s="74"/>
      <c r="AF2" s="303"/>
      <c r="AG2" s="303"/>
      <c r="AH2" s="303"/>
      <c r="AI2" s="303"/>
      <c r="AJ2" s="303"/>
      <c r="AX2" s="293"/>
      <c r="AY2" s="293"/>
      <c r="BA2" s="290"/>
      <c r="BB2" s="290"/>
      <c r="BD2" s="297"/>
      <c r="BE2" s="297"/>
    </row>
    <row r="3" spans="2:65" ht="17.399999999999999" customHeight="1" thickBot="1" x14ac:dyDescent="0.65">
      <c r="B3" s="11"/>
      <c r="I3" s="304"/>
      <c r="J3" s="304"/>
      <c r="K3" s="304"/>
      <c r="L3" s="304"/>
      <c r="O3" s="89"/>
      <c r="P3" s="151"/>
      <c r="Q3" s="88"/>
      <c r="S3" s="71"/>
      <c r="W3" s="151"/>
      <c r="Y3" s="20"/>
      <c r="AC3" s="20"/>
      <c r="AD3" s="30"/>
      <c r="AE3" s="103" t="s">
        <v>0</v>
      </c>
      <c r="AF3" s="300" t="s">
        <v>116</v>
      </c>
      <c r="AG3" s="300"/>
      <c r="AH3" s="300"/>
      <c r="AI3" s="300"/>
      <c r="AJ3" s="300"/>
      <c r="AX3" s="296"/>
      <c r="AY3" s="296"/>
      <c r="BA3" s="294"/>
      <c r="BB3" s="294"/>
      <c r="BD3" s="298"/>
      <c r="BE3" s="298"/>
    </row>
    <row r="4" spans="2:65" ht="20.399999999999999" thickBot="1" x14ac:dyDescent="0.45">
      <c r="B4" s="301" t="s">
        <v>310</v>
      </c>
      <c r="C4" s="301"/>
      <c r="D4" s="301"/>
      <c r="E4" s="301"/>
      <c r="F4" s="301"/>
      <c r="G4" s="301"/>
      <c r="H4" s="301"/>
      <c r="I4" s="304"/>
      <c r="J4" s="304"/>
      <c r="K4" s="304"/>
      <c r="L4" s="304"/>
      <c r="P4" s="151"/>
      <c r="S4" s="71"/>
      <c r="W4" s="151"/>
      <c r="Y4" s="38"/>
      <c r="AC4" s="38"/>
      <c r="AD4" s="82"/>
      <c r="AE4" s="103" t="s">
        <v>307</v>
      </c>
      <c r="AF4" s="300" t="s">
        <v>116</v>
      </c>
      <c r="AG4" s="300"/>
      <c r="AH4" s="300"/>
      <c r="AI4" s="300"/>
      <c r="AJ4" s="300"/>
      <c r="AX4" s="293"/>
      <c r="AY4" s="293"/>
      <c r="BA4" s="290"/>
      <c r="BB4" s="290"/>
      <c r="BD4" s="297"/>
      <c r="BE4" s="297"/>
    </row>
    <row r="5" spans="2:65" ht="18.600000000000001" thickTop="1" thickBot="1" x14ac:dyDescent="0.4">
      <c r="B5" s="306" t="s">
        <v>133</v>
      </c>
      <c r="C5" s="306"/>
      <c r="D5" s="306"/>
      <c r="E5" s="306"/>
      <c r="F5" s="306"/>
      <c r="G5" s="306"/>
      <c r="H5" s="138">
        <f>Start_data+pt</f>
        <v>43862.495272685614</v>
      </c>
      <c r="I5" s="304"/>
      <c r="J5" s="304"/>
      <c r="K5" s="304"/>
      <c r="L5" s="304"/>
      <c r="M5" s="307" t="s">
        <v>372</v>
      </c>
      <c r="N5" s="307"/>
      <c r="O5" s="307"/>
      <c r="P5" s="307"/>
      <c r="Q5" s="308"/>
      <c r="R5" s="138">
        <f>Start_data+pr</f>
        <v>43862.222215734975</v>
      </c>
      <c r="S5" s="309" t="s">
        <v>372</v>
      </c>
      <c r="T5" s="307"/>
      <c r="U5" s="307"/>
      <c r="V5" s="307"/>
      <c r="W5" s="307"/>
      <c r="X5" s="308"/>
      <c r="Y5" s="138">
        <f>Start_data+po</f>
        <v>43868.717425443399</v>
      </c>
      <c r="AC5" s="80"/>
      <c r="AD5" s="81"/>
      <c r="AE5" s="103" t="s">
        <v>308</v>
      </c>
      <c r="AF5" s="302" t="s">
        <v>116</v>
      </c>
      <c r="AG5" s="302"/>
      <c r="AH5" s="302"/>
      <c r="AI5" s="302"/>
      <c r="AJ5" s="302"/>
      <c r="AX5" s="293"/>
      <c r="AY5" s="293"/>
      <c r="BA5" s="290"/>
      <c r="BB5" s="290"/>
      <c r="BD5" s="297"/>
      <c r="BE5" s="297"/>
    </row>
    <row r="6" spans="2:65" ht="19.2" thickTop="1" thickBot="1" x14ac:dyDescent="0.4">
      <c r="B6" s="130">
        <f ca="1">TODAY()</f>
        <v>43950</v>
      </c>
      <c r="C6" s="131">
        <f ca="1">Oggi-Start_data+1</f>
        <v>120</v>
      </c>
      <c r="D6" s="305" t="s">
        <v>315</v>
      </c>
      <c r="E6" s="305"/>
      <c r="F6" s="131">
        <v>0</v>
      </c>
      <c r="G6" s="131">
        <v>1</v>
      </c>
      <c r="H6" s="139">
        <f>pt</f>
        <v>31.495272685616236</v>
      </c>
      <c r="I6" s="304"/>
      <c r="J6" s="304"/>
      <c r="K6" s="304"/>
      <c r="L6" s="304"/>
      <c r="M6" s="307" t="s">
        <v>373</v>
      </c>
      <c r="N6" s="307"/>
      <c r="O6" s="307"/>
      <c r="P6" s="307"/>
      <c r="Q6" s="307"/>
      <c r="R6" s="139">
        <f>pr</f>
        <v>31.22221573497708</v>
      </c>
      <c r="S6" s="307" t="s">
        <v>373</v>
      </c>
      <c r="T6" s="307"/>
      <c r="U6" s="307"/>
      <c r="V6" s="307"/>
      <c r="W6" s="307"/>
      <c r="X6" s="307"/>
      <c r="Y6" s="139">
        <f>po</f>
        <v>37.717425443399762</v>
      </c>
      <c r="AE6" s="14" t="s">
        <v>371</v>
      </c>
      <c r="AF6" s="302" t="s">
        <v>370</v>
      </c>
      <c r="AG6" s="302"/>
      <c r="AH6" s="302"/>
      <c r="AI6" s="302"/>
      <c r="AJ6" s="302"/>
      <c r="AX6" s="295"/>
      <c r="AY6" s="295"/>
      <c r="BA6" s="291"/>
      <c r="BB6" s="291"/>
      <c r="BD6" s="292"/>
      <c r="BE6" s="292"/>
      <c r="BM6" s="99"/>
    </row>
    <row r="7" spans="2:65" ht="43.2" x14ac:dyDescent="0.3">
      <c r="B7" s="4" t="s">
        <v>9</v>
      </c>
      <c r="C7" s="4" t="s">
        <v>10</v>
      </c>
      <c r="D7" s="4" t="s">
        <v>85</v>
      </c>
      <c r="E7" s="4" t="s">
        <v>101</v>
      </c>
      <c r="F7" s="8" t="s">
        <v>293</v>
      </c>
      <c r="G7" s="8" t="s">
        <v>311</v>
      </c>
      <c r="H7" s="8" t="s">
        <v>102</v>
      </c>
      <c r="I7" s="8" t="s">
        <v>86</v>
      </c>
      <c r="J7" s="8" t="s">
        <v>312</v>
      </c>
      <c r="K7" s="8" t="s">
        <v>103</v>
      </c>
      <c r="L7" s="8" t="s">
        <v>7</v>
      </c>
      <c r="M7" s="8" t="s">
        <v>8</v>
      </c>
      <c r="N7" s="4" t="s">
        <v>84</v>
      </c>
      <c r="O7" s="4" t="s">
        <v>104</v>
      </c>
      <c r="P7" s="8" t="s">
        <v>118</v>
      </c>
      <c r="Q7" s="8" t="s">
        <v>313</v>
      </c>
      <c r="R7" s="8" t="s">
        <v>105</v>
      </c>
      <c r="S7" s="8" t="s">
        <v>79</v>
      </c>
      <c r="T7" s="8" t="s">
        <v>80</v>
      </c>
      <c r="U7" s="4" t="s">
        <v>119</v>
      </c>
      <c r="V7" s="4" t="s">
        <v>106</v>
      </c>
      <c r="W7" s="8" t="s">
        <v>120</v>
      </c>
      <c r="X7" s="8" t="s">
        <v>314</v>
      </c>
      <c r="Y7" s="8" t="s">
        <v>107</v>
      </c>
      <c r="Z7" s="8" t="s">
        <v>81</v>
      </c>
      <c r="AA7" s="8" t="s">
        <v>82</v>
      </c>
      <c r="AB7" s="8"/>
      <c r="AC7" s="21" t="s">
        <v>121</v>
      </c>
      <c r="AD7" s="22" t="s">
        <v>117</v>
      </c>
      <c r="AE7" s="3"/>
      <c r="AR7" s="41" t="s">
        <v>100</v>
      </c>
      <c r="AX7" s="83"/>
      <c r="AY7" s="83"/>
      <c r="BA7" s="85"/>
      <c r="BB7" s="85"/>
      <c r="BD7" s="86"/>
      <c r="BE7" s="86"/>
      <c r="BM7" s="99"/>
    </row>
    <row r="8" spans="2:65" x14ac:dyDescent="0.3">
      <c r="B8" s="155">
        <v>43831</v>
      </c>
      <c r="C8" s="4">
        <v>1</v>
      </c>
      <c r="D8" s="161"/>
      <c r="E8" s="10">
        <f>Tabella8[[#This Row],[Italy cumulative]]*NOT(ISBLANK(Tabella8[[#This Row],[Italy cumulative]]))</f>
        <v>0</v>
      </c>
      <c r="F8" s="10">
        <f>Tabella8[[#This Row],[Lombardy fit]]+Tabella8[[#This Row],[rest of Italy fit]]</f>
        <v>0</v>
      </c>
      <c r="G8" s="91">
        <f>Tabella8[[#This Row],[Italy sum of regions]]/K_sum</f>
        <v>0</v>
      </c>
      <c r="H8" s="10">
        <f>Tabella8[[#This Row],[Italy sum of regions]]*NOT(ISBLANK(Tabella8[[#This Row],[Italy cumulative]]))</f>
        <v>0</v>
      </c>
      <c r="I8" s="152">
        <f>IFERROR(Kt*_xlfn.LOGNORM.DIST((Tabella8[[#This Row],[Day]]-Days_back),mu_t,sigma_t,TRUE),0)</f>
        <v>0</v>
      </c>
      <c r="J8" s="153">
        <f>Tabella8[[#This Row],[Italy fit]]/Kt</f>
        <v>0</v>
      </c>
      <c r="K8" s="23">
        <f>Tabella8[[#This Row],[Italy fit]]*NOT(ISBLANK(Tabella8[[#This Row],[Italy cumulative]]))</f>
        <v>0</v>
      </c>
      <c r="L8" s="10">
        <f>Tabella8[[#This Row],[Italy sum of regions]]+CI</f>
        <v>4889.6421789935675</v>
      </c>
      <c r="M8" s="10">
        <f>MAX(Tabella8[[#This Row],[Italy sum of regions]]-CI,0)</f>
        <v>0</v>
      </c>
      <c r="N8" s="159"/>
      <c r="O8" s="10">
        <f>Tabella8[[#This Row],[Lombardy]]*NOT(ISBLANK(Tabella8[[#This Row],[Lombardy]]))</f>
        <v>0</v>
      </c>
      <c r="P8" s="127">
        <f>IFERROR(Kr*_xlfn.LOGNORM.DIST((Tabella8[[#This Row],[Day]]-pr),mu_r,sigma_r,TRUE),0)</f>
        <v>0</v>
      </c>
      <c r="Q8" s="127">
        <f>Tabella8[[#This Row],[Lombardy fit]]/Kr</f>
        <v>0</v>
      </c>
      <c r="R8" s="10">
        <f>Tabella8[[#This Row],[Lombardy fit]]*NOT(ISBLANK(Tabella8[[#This Row],[Lombardy]]))</f>
        <v>0</v>
      </c>
      <c r="S8" s="10">
        <f>Tabella8[[#This Row],[Lombardy fit]]+CIr</f>
        <v>2975.4614235634544</v>
      </c>
      <c r="T8" s="10">
        <f>MAX(Tabella8[[#This Row],[Lombardy fit]]-CIr,0)</f>
        <v>0</v>
      </c>
      <c r="U8" s="161"/>
      <c r="V8" s="10">
        <f>Tabella8[[#This Row],[rest of Italy ]]*NOT(ISBLANK(Tabella8[[#This Row],[rest of Italy ]]))</f>
        <v>0</v>
      </c>
      <c r="W8" s="128">
        <f>IFERROR(Ko*_xlfn.LOGNORM.DIST((Tabella8[[#This Row],[Day]]-po),mu_o,sigma_o,TRUE),0)</f>
        <v>0</v>
      </c>
      <c r="X8" s="128">
        <f>Tabella8[[#This Row],[rest of Italy fit]]/Ko</f>
        <v>0</v>
      </c>
      <c r="Y8" s="23">
        <f>Tabella8[[#This Row],[rest of Italy fit]]*NOT(ISBLANK(Tabella8[[#This Row],[rest of Italy ]]))</f>
        <v>0</v>
      </c>
      <c r="Z8" s="10">
        <f>Tabella8[[#This Row],[rest of Italy fit]]+CIo</f>
        <v>2432.9562065854871</v>
      </c>
      <c r="AA8" s="10">
        <f>MAX(Tabella8[[#This Row],[rest of Italy fit]]-CIo,0)</f>
        <v>0</v>
      </c>
      <c r="AB8" s="1"/>
      <c r="AC8" s="24"/>
      <c r="AD8" s="25"/>
      <c r="AR8" s="69"/>
      <c r="AX8" s="84"/>
      <c r="AY8" s="84"/>
      <c r="BA8" s="33"/>
      <c r="BB8" s="33"/>
      <c r="BD8" s="87"/>
      <c r="BE8" s="87"/>
    </row>
    <row r="9" spans="2:65" x14ac:dyDescent="0.3">
      <c r="B9" s="155">
        <v>43832</v>
      </c>
      <c r="C9" s="4">
        <v>2</v>
      </c>
      <c r="D9" s="161"/>
      <c r="E9" s="10">
        <f>Tabella8[[#This Row],[Italy cumulative]]*NOT(ISBLANK(Tabella8[[#This Row],[Italy cumulative]]))</f>
        <v>0</v>
      </c>
      <c r="F9" s="10">
        <f>Tabella8[[#This Row],[Lombardy fit]]+Tabella8[[#This Row],[rest of Italy fit]]</f>
        <v>0</v>
      </c>
      <c r="G9" s="91">
        <f>Tabella8[[#This Row],[Italy sum of regions]]/K_sum</f>
        <v>0</v>
      </c>
      <c r="H9" s="10">
        <f>Tabella8[[#This Row],[Italy sum of regions]]*NOT(ISBLANK(Tabella8[[#This Row],[Italy cumulative]]))</f>
        <v>0</v>
      </c>
      <c r="I9" s="152">
        <f>IFERROR(Kt*_xlfn.LOGNORM.DIST((Tabella8[[#This Row],[Day]]-Days_back),mu_t,sigma_t,TRUE),0)</f>
        <v>0</v>
      </c>
      <c r="J9" s="153">
        <f>Tabella8[[#This Row],[Italy fit]]/Kt</f>
        <v>0</v>
      </c>
      <c r="K9" s="23">
        <f>Tabella8[[#This Row],[Italy fit]]*NOT(ISBLANK(Tabella8[[#This Row],[Italy cumulative]]))</f>
        <v>0</v>
      </c>
      <c r="L9" s="10">
        <f>Tabella8[[#This Row],[Italy sum of regions]]+CI</f>
        <v>4889.6421789935675</v>
      </c>
      <c r="M9" s="10">
        <f>MAX(Tabella8[[#This Row],[Italy sum of regions]]-CI,0)</f>
        <v>0</v>
      </c>
      <c r="N9" s="159"/>
      <c r="O9" s="10">
        <f>Tabella8[[#This Row],[Lombardy]]*NOT(ISBLANK(Tabella8[[#This Row],[Lombardy]]))</f>
        <v>0</v>
      </c>
      <c r="P9" s="127">
        <f>IFERROR(Kr*_xlfn.LOGNORM.DIST((Tabella8[[#This Row],[Day]]-pr),mu_r,sigma_r,TRUE),0)</f>
        <v>0</v>
      </c>
      <c r="Q9" s="127">
        <f>Tabella8[[#This Row],[Lombardy fit]]/Kr</f>
        <v>0</v>
      </c>
      <c r="R9" s="10">
        <f>Tabella8[[#This Row],[Lombardy fit]]*NOT(ISBLANK(Tabella8[[#This Row],[Lombardy]]))</f>
        <v>0</v>
      </c>
      <c r="S9" s="10">
        <f>Tabella8[[#This Row],[Lombardy fit]]+CIr</f>
        <v>2975.4614235634544</v>
      </c>
      <c r="T9" s="10">
        <f>MAX(Tabella8[[#This Row],[Lombardy fit]]-CIr,0)</f>
        <v>0</v>
      </c>
      <c r="U9" s="161"/>
      <c r="V9" s="10">
        <f>Tabella8[[#This Row],[rest of Italy ]]*NOT(ISBLANK(Tabella8[[#This Row],[rest of Italy ]]))</f>
        <v>0</v>
      </c>
      <c r="W9" s="128">
        <f>IFERROR(Ko*_xlfn.LOGNORM.DIST((Tabella8[[#This Row],[Day]]-po),mu_o,sigma_o,TRUE),0)</f>
        <v>0</v>
      </c>
      <c r="X9" s="128">
        <f>Tabella8[[#This Row],[rest of Italy fit]]/Ko</f>
        <v>0</v>
      </c>
      <c r="Y9" s="23">
        <f>Tabella8[[#This Row],[rest of Italy fit]]*NOT(ISBLANK(Tabella8[[#This Row],[rest of Italy ]]))</f>
        <v>0</v>
      </c>
      <c r="Z9" s="10">
        <f>Tabella8[[#This Row],[rest of Italy fit]]+CIo</f>
        <v>2432.9562065854871</v>
      </c>
      <c r="AA9" s="10">
        <f>MAX(Tabella8[[#This Row],[rest of Italy fit]]-CIo,0)</f>
        <v>0</v>
      </c>
      <c r="AB9" s="1"/>
      <c r="AC9" s="24"/>
      <c r="AD9" s="25"/>
      <c r="AR9" s="54"/>
      <c r="AX9" s="84"/>
      <c r="AY9" s="84"/>
      <c r="BA9" s="33"/>
      <c r="BB9" s="33"/>
      <c r="BD9" s="87"/>
      <c r="BE9" s="87"/>
    </row>
    <row r="10" spans="2:65" x14ac:dyDescent="0.3">
      <c r="B10" s="155">
        <v>43833</v>
      </c>
      <c r="C10" s="4">
        <v>3</v>
      </c>
      <c r="D10" s="161"/>
      <c r="E10" s="10">
        <f>Tabella8[[#This Row],[Italy cumulative]]*NOT(ISBLANK(Tabella8[[#This Row],[Italy cumulative]]))</f>
        <v>0</v>
      </c>
      <c r="F10" s="10">
        <f>Tabella8[[#This Row],[Lombardy fit]]+Tabella8[[#This Row],[rest of Italy fit]]</f>
        <v>0</v>
      </c>
      <c r="G10" s="91">
        <f>Tabella8[[#This Row],[Italy sum of regions]]/K_sum</f>
        <v>0</v>
      </c>
      <c r="H10" s="10">
        <f>Tabella8[[#This Row],[Italy sum of regions]]*NOT(ISBLANK(Tabella8[[#This Row],[Italy cumulative]]))</f>
        <v>0</v>
      </c>
      <c r="I10" s="152">
        <f>IFERROR(Kt*_xlfn.LOGNORM.DIST((Tabella8[[#This Row],[Day]]-Days_back),mu_t,sigma_t,TRUE),0)</f>
        <v>0</v>
      </c>
      <c r="J10" s="153">
        <f>Tabella8[[#This Row],[Italy fit]]/Kt</f>
        <v>0</v>
      </c>
      <c r="K10" s="23">
        <f>Tabella8[[#This Row],[Italy fit]]*NOT(ISBLANK(Tabella8[[#This Row],[Italy cumulative]]))</f>
        <v>0</v>
      </c>
      <c r="L10" s="10">
        <f>Tabella8[[#This Row],[Italy sum of regions]]+CI</f>
        <v>4889.6421789935675</v>
      </c>
      <c r="M10" s="10">
        <f>MAX(Tabella8[[#This Row],[Italy sum of regions]]-CI,0)</f>
        <v>0</v>
      </c>
      <c r="N10" s="159"/>
      <c r="O10" s="10">
        <f>Tabella8[[#This Row],[Lombardy]]*NOT(ISBLANK(Tabella8[[#This Row],[Lombardy]]))</f>
        <v>0</v>
      </c>
      <c r="P10" s="127">
        <f>IFERROR(Kr*_xlfn.LOGNORM.DIST((Tabella8[[#This Row],[Day]]-pr),mu_r,sigma_r,TRUE),0)</f>
        <v>0</v>
      </c>
      <c r="Q10" s="127">
        <f>Tabella8[[#This Row],[Lombardy fit]]/Kr</f>
        <v>0</v>
      </c>
      <c r="R10" s="10">
        <f>Tabella8[[#This Row],[Lombardy fit]]*NOT(ISBLANK(Tabella8[[#This Row],[Lombardy]]))</f>
        <v>0</v>
      </c>
      <c r="S10" s="10">
        <f>Tabella8[[#This Row],[Lombardy fit]]+CIr</f>
        <v>2975.4614235634544</v>
      </c>
      <c r="T10" s="10">
        <f>MAX(Tabella8[[#This Row],[Lombardy fit]]-CIr,0)</f>
        <v>0</v>
      </c>
      <c r="U10" s="161"/>
      <c r="V10" s="10">
        <f>Tabella8[[#This Row],[rest of Italy ]]*NOT(ISBLANK(Tabella8[[#This Row],[rest of Italy ]]))</f>
        <v>0</v>
      </c>
      <c r="W10" s="128">
        <f>IFERROR(Ko*_xlfn.LOGNORM.DIST((Tabella8[[#This Row],[Day]]-po),mu_o,sigma_o,TRUE),0)</f>
        <v>0</v>
      </c>
      <c r="X10" s="128">
        <f>Tabella8[[#This Row],[rest of Italy fit]]/Ko</f>
        <v>0</v>
      </c>
      <c r="Y10" s="23">
        <f>Tabella8[[#This Row],[rest of Italy fit]]*NOT(ISBLANK(Tabella8[[#This Row],[rest of Italy ]]))</f>
        <v>0</v>
      </c>
      <c r="Z10" s="10">
        <f>Tabella8[[#This Row],[rest of Italy fit]]+CIo</f>
        <v>2432.9562065854871</v>
      </c>
      <c r="AA10" s="10">
        <f>MAX(Tabella8[[#This Row],[rest of Italy fit]]-CIo,0)</f>
        <v>0</v>
      </c>
      <c r="AB10" s="1"/>
      <c r="AC10" s="24"/>
      <c r="AD10" s="25"/>
      <c r="AR10" s="54"/>
      <c r="AX10" s="84"/>
      <c r="AY10" s="84"/>
      <c r="BA10" s="33"/>
      <c r="BB10" s="33"/>
      <c r="BD10" s="87"/>
      <c r="BE10" s="87"/>
    </row>
    <row r="11" spans="2:65" x14ac:dyDescent="0.3">
      <c r="B11" s="155">
        <v>43834</v>
      </c>
      <c r="C11" s="4">
        <v>4</v>
      </c>
      <c r="D11" s="161"/>
      <c r="E11" s="10">
        <f>Tabella8[[#This Row],[Italy cumulative]]*NOT(ISBLANK(Tabella8[[#This Row],[Italy cumulative]]))</f>
        <v>0</v>
      </c>
      <c r="F11" s="10">
        <f>Tabella8[[#This Row],[Lombardy fit]]+Tabella8[[#This Row],[rest of Italy fit]]</f>
        <v>0</v>
      </c>
      <c r="G11" s="91">
        <f>Tabella8[[#This Row],[Italy sum of regions]]/K_sum</f>
        <v>0</v>
      </c>
      <c r="H11" s="10">
        <f>Tabella8[[#This Row],[Italy sum of regions]]*NOT(ISBLANK(Tabella8[[#This Row],[Italy cumulative]]))</f>
        <v>0</v>
      </c>
      <c r="I11" s="152">
        <f>IFERROR(Kt*_xlfn.LOGNORM.DIST((Tabella8[[#This Row],[Day]]-Days_back),mu_t,sigma_t,TRUE),0)</f>
        <v>0</v>
      </c>
      <c r="J11" s="153">
        <f>Tabella8[[#This Row],[Italy fit]]/Kt</f>
        <v>0</v>
      </c>
      <c r="K11" s="23">
        <f>Tabella8[[#This Row],[Italy fit]]*NOT(ISBLANK(Tabella8[[#This Row],[Italy cumulative]]))</f>
        <v>0</v>
      </c>
      <c r="L11" s="10">
        <f>Tabella8[[#This Row],[Italy sum of regions]]+CI</f>
        <v>4889.6421789935675</v>
      </c>
      <c r="M11" s="10">
        <f>MAX(Tabella8[[#This Row],[Italy sum of regions]]-CI,0)</f>
        <v>0</v>
      </c>
      <c r="N11" s="159"/>
      <c r="O11" s="10">
        <f>Tabella8[[#This Row],[Lombardy]]*NOT(ISBLANK(Tabella8[[#This Row],[Lombardy]]))</f>
        <v>0</v>
      </c>
      <c r="P11" s="127">
        <f>IFERROR(Kr*_xlfn.LOGNORM.DIST((Tabella8[[#This Row],[Day]]-pr),mu_r,sigma_r,TRUE),0)</f>
        <v>0</v>
      </c>
      <c r="Q11" s="127">
        <f>Tabella8[[#This Row],[Lombardy fit]]/Kr</f>
        <v>0</v>
      </c>
      <c r="R11" s="10">
        <f>Tabella8[[#This Row],[Lombardy fit]]*NOT(ISBLANK(Tabella8[[#This Row],[Lombardy]]))</f>
        <v>0</v>
      </c>
      <c r="S11" s="10">
        <f>Tabella8[[#This Row],[Lombardy fit]]+CIr</f>
        <v>2975.4614235634544</v>
      </c>
      <c r="T11" s="10">
        <f>MAX(Tabella8[[#This Row],[Lombardy fit]]-CIr,0)</f>
        <v>0</v>
      </c>
      <c r="U11" s="161"/>
      <c r="V11" s="10">
        <f>Tabella8[[#This Row],[rest of Italy ]]*NOT(ISBLANK(Tabella8[[#This Row],[rest of Italy ]]))</f>
        <v>0</v>
      </c>
      <c r="W11" s="128">
        <f>IFERROR(Ko*_xlfn.LOGNORM.DIST((Tabella8[[#This Row],[Day]]-po),mu_o,sigma_o,TRUE),0)</f>
        <v>0</v>
      </c>
      <c r="X11" s="128">
        <f>Tabella8[[#This Row],[rest of Italy fit]]/Ko</f>
        <v>0</v>
      </c>
      <c r="Y11" s="23">
        <f>Tabella8[[#This Row],[rest of Italy fit]]*NOT(ISBLANK(Tabella8[[#This Row],[rest of Italy ]]))</f>
        <v>0</v>
      </c>
      <c r="Z11" s="10">
        <f>Tabella8[[#This Row],[rest of Italy fit]]+CIo</f>
        <v>2432.9562065854871</v>
      </c>
      <c r="AA11" s="10">
        <f>MAX(Tabella8[[#This Row],[rest of Italy fit]]-CIo,0)</f>
        <v>0</v>
      </c>
      <c r="AB11" s="1"/>
      <c r="AC11" s="26" t="s">
        <v>1</v>
      </c>
      <c r="AD11" s="27">
        <f>AVERAGE(Tabella8[Italy cumulative])</f>
        <v>88197.061538461538</v>
      </c>
      <c r="AR11" s="54"/>
      <c r="AX11" s="84"/>
      <c r="AY11" s="84"/>
      <c r="BA11" s="33"/>
      <c r="BB11" s="33"/>
      <c r="BD11" s="87"/>
      <c r="BE11" s="87"/>
    </row>
    <row r="12" spans="2:65" x14ac:dyDescent="0.3">
      <c r="B12" s="155">
        <v>43835</v>
      </c>
      <c r="C12" s="4">
        <v>5</v>
      </c>
      <c r="D12" s="161"/>
      <c r="E12" s="10">
        <f>Tabella8[[#This Row],[Italy cumulative]]*NOT(ISBLANK(Tabella8[[#This Row],[Italy cumulative]]))</f>
        <v>0</v>
      </c>
      <c r="F12" s="10">
        <f>Tabella8[[#This Row],[Lombardy fit]]+Tabella8[[#This Row],[rest of Italy fit]]</f>
        <v>0</v>
      </c>
      <c r="G12" s="91">
        <f>Tabella8[[#This Row],[Italy sum of regions]]/K_sum</f>
        <v>0</v>
      </c>
      <c r="H12" s="10">
        <f>Tabella8[[#This Row],[Italy sum of regions]]*NOT(ISBLANK(Tabella8[[#This Row],[Italy cumulative]]))</f>
        <v>0</v>
      </c>
      <c r="I12" s="152">
        <f>IFERROR(Kt*_xlfn.LOGNORM.DIST((Tabella8[[#This Row],[Day]]-Days_back),mu_t,sigma_t,TRUE),0)</f>
        <v>0</v>
      </c>
      <c r="J12" s="153">
        <f>Tabella8[[#This Row],[Italy fit]]/Kt</f>
        <v>0</v>
      </c>
      <c r="K12" s="23">
        <f>Tabella8[[#This Row],[Italy fit]]*NOT(ISBLANK(Tabella8[[#This Row],[Italy cumulative]]))</f>
        <v>0</v>
      </c>
      <c r="L12" s="10">
        <f>Tabella8[[#This Row],[Italy sum of regions]]+CI</f>
        <v>4889.6421789935675</v>
      </c>
      <c r="M12" s="10">
        <f>MAX(Tabella8[[#This Row],[Italy sum of regions]]-CI,0)</f>
        <v>0</v>
      </c>
      <c r="N12" s="159"/>
      <c r="O12" s="10">
        <f>Tabella8[[#This Row],[Lombardy]]*NOT(ISBLANK(Tabella8[[#This Row],[Lombardy]]))</f>
        <v>0</v>
      </c>
      <c r="P12" s="127">
        <f>IFERROR(Kr*_xlfn.LOGNORM.DIST((Tabella8[[#This Row],[Day]]-pr),mu_r,sigma_r,TRUE),0)</f>
        <v>0</v>
      </c>
      <c r="Q12" s="127">
        <f>Tabella8[[#This Row],[Lombardy fit]]/Kr</f>
        <v>0</v>
      </c>
      <c r="R12" s="10">
        <f>Tabella8[[#This Row],[Lombardy fit]]*NOT(ISBLANK(Tabella8[[#This Row],[Lombardy]]))</f>
        <v>0</v>
      </c>
      <c r="S12" s="10">
        <f>Tabella8[[#This Row],[Lombardy fit]]+CIr</f>
        <v>2975.4614235634544</v>
      </c>
      <c r="T12" s="10">
        <f>MAX(Tabella8[[#This Row],[Lombardy fit]]-CIr,0)</f>
        <v>0</v>
      </c>
      <c r="U12" s="161"/>
      <c r="V12" s="10">
        <f>Tabella8[[#This Row],[rest of Italy ]]*NOT(ISBLANK(Tabella8[[#This Row],[rest of Italy ]]))</f>
        <v>0</v>
      </c>
      <c r="W12" s="128">
        <f>IFERROR(Ko*_xlfn.LOGNORM.DIST((Tabella8[[#This Row],[Day]]-po),mu_o,sigma_o,TRUE),0)</f>
        <v>0</v>
      </c>
      <c r="X12" s="128">
        <f>Tabella8[[#This Row],[rest of Italy fit]]/Ko</f>
        <v>0</v>
      </c>
      <c r="Y12" s="23">
        <f>Tabella8[[#This Row],[rest of Italy fit]]*NOT(ISBLANK(Tabella8[[#This Row],[rest of Italy ]]))</f>
        <v>0</v>
      </c>
      <c r="Z12" s="10">
        <f>Tabella8[[#This Row],[rest of Italy fit]]+CIo</f>
        <v>2432.9562065854871</v>
      </c>
      <c r="AA12" s="10">
        <f>MAX(Tabella8[[#This Row],[rest of Italy fit]]-CIo,0)</f>
        <v>0</v>
      </c>
      <c r="AB12" s="1"/>
      <c r="AC12" s="26" t="s">
        <v>2</v>
      </c>
      <c r="AD12" s="27">
        <f>COUNT(Tabella8[Italy cumulative])-COUNT(AD8:AD10)</f>
        <v>65</v>
      </c>
      <c r="AR12" s="54"/>
      <c r="AX12" s="84"/>
      <c r="AY12" s="84"/>
      <c r="BA12" s="33"/>
      <c r="BB12" s="33"/>
      <c r="BD12" s="87"/>
      <c r="BE12" s="87"/>
    </row>
    <row r="13" spans="2:65" x14ac:dyDescent="0.3">
      <c r="B13" s="155">
        <v>43836</v>
      </c>
      <c r="C13" s="4">
        <v>6</v>
      </c>
      <c r="D13" s="161"/>
      <c r="E13" s="10">
        <f>Tabella8[[#This Row],[Italy cumulative]]*NOT(ISBLANK(Tabella8[[#This Row],[Italy cumulative]]))</f>
        <v>0</v>
      </c>
      <c r="F13" s="10">
        <f>Tabella8[[#This Row],[Lombardy fit]]+Tabella8[[#This Row],[rest of Italy fit]]</f>
        <v>0</v>
      </c>
      <c r="G13" s="91">
        <f>Tabella8[[#This Row],[Italy sum of regions]]/K_sum</f>
        <v>0</v>
      </c>
      <c r="H13" s="10">
        <f>Tabella8[[#This Row],[Italy sum of regions]]*NOT(ISBLANK(Tabella8[[#This Row],[Italy cumulative]]))</f>
        <v>0</v>
      </c>
      <c r="I13" s="152">
        <f>IFERROR(Kt*_xlfn.LOGNORM.DIST((Tabella8[[#This Row],[Day]]-Days_back),mu_t,sigma_t,TRUE),0)</f>
        <v>0</v>
      </c>
      <c r="J13" s="153">
        <f>Tabella8[[#This Row],[Italy fit]]/Kt</f>
        <v>0</v>
      </c>
      <c r="K13" s="23">
        <f>Tabella8[[#This Row],[Italy fit]]*NOT(ISBLANK(Tabella8[[#This Row],[Italy cumulative]]))</f>
        <v>0</v>
      </c>
      <c r="L13" s="10">
        <f>Tabella8[[#This Row],[Italy sum of regions]]+CI</f>
        <v>4889.6421789935675</v>
      </c>
      <c r="M13" s="10">
        <f>MAX(Tabella8[[#This Row],[Italy sum of regions]]-CI,0)</f>
        <v>0</v>
      </c>
      <c r="N13" s="159"/>
      <c r="O13" s="10">
        <f>Tabella8[[#This Row],[Lombardy]]*NOT(ISBLANK(Tabella8[[#This Row],[Lombardy]]))</f>
        <v>0</v>
      </c>
      <c r="P13" s="127">
        <f>IFERROR(Kr*_xlfn.LOGNORM.DIST((Tabella8[[#This Row],[Day]]-pr),mu_r,sigma_r,TRUE),0)</f>
        <v>0</v>
      </c>
      <c r="Q13" s="127">
        <f>Tabella8[[#This Row],[Lombardy fit]]/Kr</f>
        <v>0</v>
      </c>
      <c r="R13" s="10">
        <f>Tabella8[[#This Row],[Lombardy fit]]*NOT(ISBLANK(Tabella8[[#This Row],[Lombardy]]))</f>
        <v>0</v>
      </c>
      <c r="S13" s="10">
        <f>Tabella8[[#This Row],[Lombardy fit]]+CIr</f>
        <v>2975.4614235634544</v>
      </c>
      <c r="T13" s="10">
        <f>MAX(Tabella8[[#This Row],[Lombardy fit]]-CIr,0)</f>
        <v>0</v>
      </c>
      <c r="U13" s="161"/>
      <c r="V13" s="10">
        <f>Tabella8[[#This Row],[rest of Italy ]]*NOT(ISBLANK(Tabella8[[#This Row],[rest of Italy ]]))</f>
        <v>0</v>
      </c>
      <c r="W13" s="128">
        <f>IFERROR(Ko*_xlfn.LOGNORM.DIST((Tabella8[[#This Row],[Day]]-po),mu_o,sigma_o,TRUE),0)</f>
        <v>0</v>
      </c>
      <c r="X13" s="128">
        <f>Tabella8[[#This Row],[rest of Italy fit]]/Ko</f>
        <v>0</v>
      </c>
      <c r="Y13" s="23">
        <f>Tabella8[[#This Row],[rest of Italy fit]]*NOT(ISBLANK(Tabella8[[#This Row],[rest of Italy ]]))</f>
        <v>0</v>
      </c>
      <c r="Z13" s="10">
        <f>Tabella8[[#This Row],[rest of Italy fit]]+CIo</f>
        <v>2432.9562065854871</v>
      </c>
      <c r="AA13" s="10">
        <f>MAX(Tabella8[[#This Row],[rest of Italy fit]]-CIo,0)</f>
        <v>0</v>
      </c>
      <c r="AB13" s="1"/>
      <c r="AC13" s="26" t="s">
        <v>3</v>
      </c>
      <c r="AD13" s="28" cm="1">
        <f t="array" ref="AD13">SQRT(SUM((Tabella8[Colonna1]-Tabella8[Colonna2])^2)/df)</f>
        <v>2448.3247543633383</v>
      </c>
      <c r="AR13" s="54"/>
      <c r="AX13" s="84"/>
      <c r="AY13" s="84"/>
      <c r="BA13" s="33"/>
      <c r="BB13" s="33"/>
      <c r="BD13" s="87"/>
      <c r="BE13" s="87"/>
    </row>
    <row r="14" spans="2:65" ht="16.2" x14ac:dyDescent="0.3">
      <c r="B14" s="155">
        <v>43837</v>
      </c>
      <c r="C14" s="4">
        <v>7</v>
      </c>
      <c r="D14" s="161"/>
      <c r="E14" s="10">
        <f>Tabella8[[#This Row],[Italy cumulative]]*NOT(ISBLANK(Tabella8[[#This Row],[Italy cumulative]]))</f>
        <v>0</v>
      </c>
      <c r="F14" s="10">
        <f>Tabella8[[#This Row],[Lombardy fit]]+Tabella8[[#This Row],[rest of Italy fit]]</f>
        <v>0</v>
      </c>
      <c r="G14" s="91">
        <f>Tabella8[[#This Row],[Italy sum of regions]]/K_sum</f>
        <v>0</v>
      </c>
      <c r="H14" s="10">
        <f>Tabella8[[#This Row],[Italy sum of regions]]*NOT(ISBLANK(Tabella8[[#This Row],[Italy cumulative]]))</f>
        <v>0</v>
      </c>
      <c r="I14" s="152">
        <f>IFERROR(Kt*_xlfn.LOGNORM.DIST((Tabella8[[#This Row],[Day]]-Days_back),mu_t,sigma_t,TRUE),0)</f>
        <v>0</v>
      </c>
      <c r="J14" s="153">
        <f>Tabella8[[#This Row],[Italy fit]]/Kt</f>
        <v>0</v>
      </c>
      <c r="K14" s="23">
        <f>Tabella8[[#This Row],[Italy fit]]*NOT(ISBLANK(Tabella8[[#This Row],[Italy cumulative]]))</f>
        <v>0</v>
      </c>
      <c r="L14" s="10">
        <f>Tabella8[[#This Row],[Italy sum of regions]]+CI</f>
        <v>4889.6421789935675</v>
      </c>
      <c r="M14" s="10">
        <f>MAX(Tabella8[[#This Row],[Italy sum of regions]]-CI,0)</f>
        <v>0</v>
      </c>
      <c r="N14" s="159"/>
      <c r="O14" s="10">
        <f>Tabella8[[#This Row],[Lombardy]]*NOT(ISBLANK(Tabella8[[#This Row],[Lombardy]]))</f>
        <v>0</v>
      </c>
      <c r="P14" s="127">
        <f>IFERROR(Kr*_xlfn.LOGNORM.DIST((Tabella8[[#This Row],[Day]]-pr),mu_r,sigma_r,TRUE),0)</f>
        <v>0</v>
      </c>
      <c r="Q14" s="127">
        <f>Tabella8[[#This Row],[Lombardy fit]]/Kr</f>
        <v>0</v>
      </c>
      <c r="R14" s="10">
        <f>Tabella8[[#This Row],[Lombardy fit]]*NOT(ISBLANK(Tabella8[[#This Row],[Lombardy]]))</f>
        <v>0</v>
      </c>
      <c r="S14" s="10">
        <f>Tabella8[[#This Row],[Lombardy fit]]+CIr</f>
        <v>2975.4614235634544</v>
      </c>
      <c r="T14" s="10">
        <f>MAX(Tabella8[[#This Row],[Lombardy fit]]-CIr,0)</f>
        <v>0</v>
      </c>
      <c r="U14" s="161"/>
      <c r="V14" s="10">
        <f>Tabella8[[#This Row],[rest of Italy ]]*NOT(ISBLANK(Tabella8[[#This Row],[rest of Italy ]]))</f>
        <v>0</v>
      </c>
      <c r="W14" s="128">
        <f>IFERROR(Ko*_xlfn.LOGNORM.DIST((Tabella8[[#This Row],[Day]]-po),mu_o,sigma_o,TRUE),0)</f>
        <v>0</v>
      </c>
      <c r="X14" s="128">
        <f>Tabella8[[#This Row],[rest of Italy fit]]/Ko</f>
        <v>0</v>
      </c>
      <c r="Y14" s="23">
        <f>Tabella8[[#This Row],[rest of Italy fit]]*NOT(ISBLANK(Tabella8[[#This Row],[rest of Italy ]]))</f>
        <v>0</v>
      </c>
      <c r="Z14" s="10">
        <f>Tabella8[[#This Row],[rest of Italy fit]]+CIo</f>
        <v>2432.9562065854871</v>
      </c>
      <c r="AA14" s="10">
        <f>MAX(Tabella8[[#This Row],[rest of Italy fit]]-CIo,0)</f>
        <v>0</v>
      </c>
      <c r="AB14" s="1"/>
      <c r="AC14" s="26" t="s">
        <v>122</v>
      </c>
      <c r="AD14" s="29" cm="1">
        <f t="array" ref="AD14">1-SUM((Tabella8[Colonna1]-Tabella8[Colonna2])^2)/SUM((Tabella8[Colonna1]-Mean_of_y)^2)</f>
        <v>0.99967518053494497</v>
      </c>
      <c r="AR14" s="54"/>
      <c r="AX14" s="84"/>
      <c r="AY14" s="84"/>
      <c r="BA14" s="33"/>
      <c r="BB14" s="33"/>
      <c r="BD14" s="87"/>
      <c r="BE14" s="87"/>
    </row>
    <row r="15" spans="2:65" x14ac:dyDescent="0.3">
      <c r="B15" s="155">
        <v>43838</v>
      </c>
      <c r="C15" s="4">
        <v>8</v>
      </c>
      <c r="D15" s="161"/>
      <c r="E15" s="10">
        <f>Tabella8[[#This Row],[Italy cumulative]]*NOT(ISBLANK(Tabella8[[#This Row],[Italy cumulative]]))</f>
        <v>0</v>
      </c>
      <c r="F15" s="10">
        <f>Tabella8[[#This Row],[Lombardy fit]]+Tabella8[[#This Row],[rest of Italy fit]]</f>
        <v>0</v>
      </c>
      <c r="G15" s="91">
        <f>Tabella8[[#This Row],[Italy sum of regions]]/K_sum</f>
        <v>0</v>
      </c>
      <c r="H15" s="10">
        <f>Tabella8[[#This Row],[Italy sum of regions]]*NOT(ISBLANK(Tabella8[[#This Row],[Italy cumulative]]))</f>
        <v>0</v>
      </c>
      <c r="I15" s="152">
        <f>IFERROR(Kt*_xlfn.LOGNORM.DIST((Tabella8[[#This Row],[Day]]-Days_back),mu_t,sigma_t,TRUE),0)</f>
        <v>0</v>
      </c>
      <c r="J15" s="153">
        <f>Tabella8[[#This Row],[Italy fit]]/Kt</f>
        <v>0</v>
      </c>
      <c r="K15" s="23">
        <f>Tabella8[[#This Row],[Italy fit]]*NOT(ISBLANK(Tabella8[[#This Row],[Italy cumulative]]))</f>
        <v>0</v>
      </c>
      <c r="L15" s="10">
        <f>Tabella8[[#This Row],[Italy sum of regions]]+CI</f>
        <v>4889.6421789935675</v>
      </c>
      <c r="M15" s="10">
        <f>MAX(Tabella8[[#This Row],[Italy sum of regions]]-CI,0)</f>
        <v>0</v>
      </c>
      <c r="N15" s="159"/>
      <c r="O15" s="10">
        <f>Tabella8[[#This Row],[Lombardy]]*NOT(ISBLANK(Tabella8[[#This Row],[Lombardy]]))</f>
        <v>0</v>
      </c>
      <c r="P15" s="127">
        <f>IFERROR(Kr*_xlfn.LOGNORM.DIST((Tabella8[[#This Row],[Day]]-pr),mu_r,sigma_r,TRUE),0)</f>
        <v>0</v>
      </c>
      <c r="Q15" s="127">
        <f>Tabella8[[#This Row],[Lombardy fit]]/Kr</f>
        <v>0</v>
      </c>
      <c r="R15" s="10">
        <f>Tabella8[[#This Row],[Lombardy fit]]*NOT(ISBLANK(Tabella8[[#This Row],[Lombardy]]))</f>
        <v>0</v>
      </c>
      <c r="S15" s="10">
        <f>Tabella8[[#This Row],[Lombardy fit]]+CIr</f>
        <v>2975.4614235634544</v>
      </c>
      <c r="T15" s="10">
        <f>MAX(Tabella8[[#This Row],[Lombardy fit]]-CIr,0)</f>
        <v>0</v>
      </c>
      <c r="U15" s="161"/>
      <c r="V15" s="10">
        <f>Tabella8[[#This Row],[rest of Italy ]]*NOT(ISBLANK(Tabella8[[#This Row],[rest of Italy ]]))</f>
        <v>0</v>
      </c>
      <c r="W15" s="128">
        <f>IFERROR(Ko*_xlfn.LOGNORM.DIST((Tabella8[[#This Row],[Day]]-po),mu_o,sigma_o,TRUE),0)</f>
        <v>0</v>
      </c>
      <c r="X15" s="128">
        <f>Tabella8[[#This Row],[rest of Italy fit]]/Ko</f>
        <v>0</v>
      </c>
      <c r="Y15" s="23">
        <f>Tabella8[[#This Row],[rest of Italy fit]]*NOT(ISBLANK(Tabella8[[#This Row],[rest of Italy ]]))</f>
        <v>0</v>
      </c>
      <c r="Z15" s="10">
        <f>Tabella8[[#This Row],[rest of Italy fit]]+CIo</f>
        <v>2432.9562065854871</v>
      </c>
      <c r="AA15" s="10">
        <f>MAX(Tabella8[[#This Row],[rest of Italy fit]]-CIo,0)</f>
        <v>0</v>
      </c>
      <c r="AB15" s="1"/>
      <c r="AC15" s="26" t="s">
        <v>5</v>
      </c>
      <c r="AD15" s="29">
        <f>TINV(0.05,df)</f>
        <v>1.9971379083920051</v>
      </c>
      <c r="AR15" s="54"/>
      <c r="AX15" s="84"/>
      <c r="AY15" s="84"/>
      <c r="BA15" s="33"/>
      <c r="BB15" s="33"/>
      <c r="BD15" s="87"/>
      <c r="BE15" s="87"/>
    </row>
    <row r="16" spans="2:65" x14ac:dyDescent="0.3">
      <c r="B16" s="155">
        <v>43839</v>
      </c>
      <c r="C16" s="4">
        <v>9</v>
      </c>
      <c r="D16" s="161"/>
      <c r="E16" s="10">
        <f>Tabella8[[#This Row],[Italy cumulative]]*NOT(ISBLANK(Tabella8[[#This Row],[Italy cumulative]]))</f>
        <v>0</v>
      </c>
      <c r="F16" s="10">
        <f>Tabella8[[#This Row],[Lombardy fit]]+Tabella8[[#This Row],[rest of Italy fit]]</f>
        <v>0</v>
      </c>
      <c r="G16" s="91">
        <f>Tabella8[[#This Row],[Italy sum of regions]]/K_sum</f>
        <v>0</v>
      </c>
      <c r="H16" s="10">
        <f>Tabella8[[#This Row],[Italy sum of regions]]*NOT(ISBLANK(Tabella8[[#This Row],[Italy cumulative]]))</f>
        <v>0</v>
      </c>
      <c r="I16" s="152">
        <f>IFERROR(Kt*_xlfn.LOGNORM.DIST((Tabella8[[#This Row],[Day]]-Days_back),mu_t,sigma_t,TRUE),0)</f>
        <v>0</v>
      </c>
      <c r="J16" s="153">
        <f>Tabella8[[#This Row],[Italy fit]]/Kt</f>
        <v>0</v>
      </c>
      <c r="K16" s="23">
        <f>Tabella8[[#This Row],[Italy fit]]*NOT(ISBLANK(Tabella8[[#This Row],[Italy cumulative]]))</f>
        <v>0</v>
      </c>
      <c r="L16" s="10">
        <f>Tabella8[[#This Row],[Italy sum of regions]]+CI</f>
        <v>4889.6421789935675</v>
      </c>
      <c r="M16" s="10">
        <f>MAX(Tabella8[[#This Row],[Italy sum of regions]]-CI,0)</f>
        <v>0</v>
      </c>
      <c r="N16" s="159"/>
      <c r="O16" s="10">
        <f>Tabella8[[#This Row],[Lombardy]]*NOT(ISBLANK(Tabella8[[#This Row],[Lombardy]]))</f>
        <v>0</v>
      </c>
      <c r="P16" s="127">
        <f>IFERROR(Kr*_xlfn.LOGNORM.DIST((Tabella8[[#This Row],[Day]]-pr),mu_r,sigma_r,TRUE),0)</f>
        <v>0</v>
      </c>
      <c r="Q16" s="127">
        <f>Tabella8[[#This Row],[Lombardy fit]]/Kr</f>
        <v>0</v>
      </c>
      <c r="R16" s="10">
        <f>Tabella8[[#This Row],[Lombardy fit]]*NOT(ISBLANK(Tabella8[[#This Row],[Lombardy]]))</f>
        <v>0</v>
      </c>
      <c r="S16" s="10">
        <f>Tabella8[[#This Row],[Lombardy fit]]+CIr</f>
        <v>2975.4614235634544</v>
      </c>
      <c r="T16" s="10">
        <f>MAX(Tabella8[[#This Row],[Lombardy fit]]-CIr,0)</f>
        <v>0</v>
      </c>
      <c r="U16" s="161"/>
      <c r="V16" s="10">
        <f>Tabella8[[#This Row],[rest of Italy ]]*NOT(ISBLANK(Tabella8[[#This Row],[rest of Italy ]]))</f>
        <v>0</v>
      </c>
      <c r="W16" s="128">
        <f>IFERROR(Ko*_xlfn.LOGNORM.DIST((Tabella8[[#This Row],[Day]]-po),mu_o,sigma_o,TRUE),0)</f>
        <v>0</v>
      </c>
      <c r="X16" s="128">
        <f>Tabella8[[#This Row],[rest of Italy fit]]/Ko</f>
        <v>0</v>
      </c>
      <c r="Y16" s="23">
        <f>Tabella8[[#This Row],[rest of Italy fit]]*NOT(ISBLANK(Tabella8[[#This Row],[rest of Italy ]]))</f>
        <v>0</v>
      </c>
      <c r="Z16" s="10">
        <f>Tabella8[[#This Row],[rest of Italy fit]]+CIo</f>
        <v>2432.9562065854871</v>
      </c>
      <c r="AA16" s="10">
        <f>MAX(Tabella8[[#This Row],[rest of Italy fit]]-CIo,0)</f>
        <v>0</v>
      </c>
      <c r="AB16" s="1"/>
      <c r="AC16" s="26" t="s">
        <v>6</v>
      </c>
      <c r="AD16" s="27">
        <f>Critical_t*SE_of_y</f>
        <v>4889.6421789935675</v>
      </c>
      <c r="AR16" s="54"/>
      <c r="AX16" s="84"/>
      <c r="AY16" s="84"/>
      <c r="BA16" s="33"/>
      <c r="BB16" s="33"/>
      <c r="BD16" s="87"/>
      <c r="BE16" s="87"/>
    </row>
    <row r="17" spans="2:57" ht="15" thickBot="1" x14ac:dyDescent="0.35">
      <c r="B17" s="155">
        <v>43840</v>
      </c>
      <c r="C17" s="4">
        <v>10</v>
      </c>
      <c r="D17" s="161"/>
      <c r="E17" s="10">
        <f>Tabella8[[#This Row],[Italy cumulative]]*NOT(ISBLANK(Tabella8[[#This Row],[Italy cumulative]]))</f>
        <v>0</v>
      </c>
      <c r="F17" s="10">
        <f>Tabella8[[#This Row],[Lombardy fit]]+Tabella8[[#This Row],[rest of Italy fit]]</f>
        <v>0</v>
      </c>
      <c r="G17" s="91">
        <f>Tabella8[[#This Row],[Italy sum of regions]]/K_sum</f>
        <v>0</v>
      </c>
      <c r="H17" s="10">
        <f>Tabella8[[#This Row],[Italy sum of regions]]*NOT(ISBLANK(Tabella8[[#This Row],[Italy cumulative]]))</f>
        <v>0</v>
      </c>
      <c r="I17" s="152">
        <f>IFERROR(Kt*_xlfn.LOGNORM.DIST((Tabella8[[#This Row],[Day]]-Days_back),mu_t,sigma_t,TRUE),0)</f>
        <v>0</v>
      </c>
      <c r="J17" s="153">
        <f>Tabella8[[#This Row],[Italy fit]]/Kt</f>
        <v>0</v>
      </c>
      <c r="K17" s="23">
        <f>Tabella8[[#This Row],[Italy fit]]*NOT(ISBLANK(Tabella8[[#This Row],[Italy cumulative]]))</f>
        <v>0</v>
      </c>
      <c r="L17" s="10">
        <f>Tabella8[[#This Row],[Italy sum of regions]]+CI</f>
        <v>4889.6421789935675</v>
      </c>
      <c r="M17" s="10">
        <f>MAX(Tabella8[[#This Row],[Italy sum of regions]]-CI,0)</f>
        <v>0</v>
      </c>
      <c r="N17" s="159"/>
      <c r="O17" s="10">
        <f>Tabella8[[#This Row],[Lombardy]]*NOT(ISBLANK(Tabella8[[#This Row],[Lombardy]]))</f>
        <v>0</v>
      </c>
      <c r="P17" s="127">
        <f>IFERROR(Kr*_xlfn.LOGNORM.DIST((Tabella8[[#This Row],[Day]]-pr),mu_r,sigma_r,TRUE),0)</f>
        <v>0</v>
      </c>
      <c r="Q17" s="127">
        <f>Tabella8[[#This Row],[Lombardy fit]]/Kr</f>
        <v>0</v>
      </c>
      <c r="R17" s="10">
        <f>Tabella8[[#This Row],[Lombardy fit]]*NOT(ISBLANK(Tabella8[[#This Row],[Lombardy]]))</f>
        <v>0</v>
      </c>
      <c r="S17" s="10">
        <f>Tabella8[[#This Row],[Lombardy fit]]+CIr</f>
        <v>2975.4614235634544</v>
      </c>
      <c r="T17" s="10">
        <f>MAX(Tabella8[[#This Row],[Lombardy fit]]-CIr,0)</f>
        <v>0</v>
      </c>
      <c r="U17" s="161"/>
      <c r="V17" s="10">
        <f>Tabella8[[#This Row],[rest of Italy ]]*NOT(ISBLANK(Tabella8[[#This Row],[rest of Italy ]]))</f>
        <v>0</v>
      </c>
      <c r="W17" s="128">
        <f>IFERROR(Ko*_xlfn.LOGNORM.DIST((Tabella8[[#This Row],[Day]]-po),mu_o,sigma_o,TRUE),0)</f>
        <v>0</v>
      </c>
      <c r="X17" s="128">
        <f>Tabella8[[#This Row],[rest of Italy fit]]/Ko</f>
        <v>0</v>
      </c>
      <c r="Y17" s="23">
        <f>Tabella8[[#This Row],[rest of Italy fit]]*NOT(ISBLANK(Tabella8[[#This Row],[rest of Italy ]]))</f>
        <v>0</v>
      </c>
      <c r="Z17" s="10">
        <f>Tabella8[[#This Row],[rest of Italy fit]]+CIo</f>
        <v>2432.9562065854871</v>
      </c>
      <c r="AA17" s="10">
        <f>MAX(Tabella8[[#This Row],[rest of Italy fit]]-CIo,0)</f>
        <v>0</v>
      </c>
      <c r="AB17" s="1"/>
      <c r="AC17" s="26" t="s">
        <v>131</v>
      </c>
      <c r="AD17" s="27">
        <f>Kr+Ko</f>
        <v>234999.98277109722</v>
      </c>
      <c r="AR17" s="70"/>
      <c r="AX17" s="84"/>
      <c r="AY17" s="84"/>
      <c r="BA17" s="33"/>
      <c r="BB17" s="33"/>
      <c r="BD17" s="87"/>
      <c r="BE17" s="87"/>
    </row>
    <row r="18" spans="2:57" x14ac:dyDescent="0.3">
      <c r="B18" s="155">
        <v>43841</v>
      </c>
      <c r="C18" s="4">
        <v>11</v>
      </c>
      <c r="D18" s="161"/>
      <c r="E18" s="10">
        <f>Tabella8[[#This Row],[Italy cumulative]]*NOT(ISBLANK(Tabella8[[#This Row],[Italy cumulative]]))</f>
        <v>0</v>
      </c>
      <c r="F18" s="10">
        <f>Tabella8[[#This Row],[Lombardy fit]]+Tabella8[[#This Row],[rest of Italy fit]]</f>
        <v>0</v>
      </c>
      <c r="G18" s="91">
        <f>Tabella8[[#This Row],[Italy sum of regions]]/K_sum</f>
        <v>0</v>
      </c>
      <c r="H18" s="10">
        <f>Tabella8[[#This Row],[Italy sum of regions]]*NOT(ISBLANK(Tabella8[[#This Row],[Italy cumulative]]))</f>
        <v>0</v>
      </c>
      <c r="I18" s="152">
        <f>IFERROR(Kt*_xlfn.LOGNORM.DIST((Tabella8[[#This Row],[Day]]-Days_back),mu_t,sigma_t,TRUE),0)</f>
        <v>0</v>
      </c>
      <c r="J18" s="153">
        <f>Tabella8[[#This Row],[Italy fit]]/Kt</f>
        <v>0</v>
      </c>
      <c r="K18" s="23">
        <f>Tabella8[[#This Row],[Italy fit]]*NOT(ISBLANK(Tabella8[[#This Row],[Italy cumulative]]))</f>
        <v>0</v>
      </c>
      <c r="L18" s="10">
        <f>Tabella8[[#This Row],[Italy sum of regions]]+CI</f>
        <v>4889.6421789935675</v>
      </c>
      <c r="M18" s="10">
        <f>MAX(Tabella8[[#This Row],[Italy sum of regions]]-CI,0)</f>
        <v>0</v>
      </c>
      <c r="N18" s="159"/>
      <c r="O18" s="10">
        <f>Tabella8[[#This Row],[Lombardy]]*NOT(ISBLANK(Tabella8[[#This Row],[Lombardy]]))</f>
        <v>0</v>
      </c>
      <c r="P18" s="127">
        <f>IFERROR(Kr*_xlfn.LOGNORM.DIST((Tabella8[[#This Row],[Day]]-pr),mu_r,sigma_r,TRUE),0)</f>
        <v>0</v>
      </c>
      <c r="Q18" s="127">
        <f>Tabella8[[#This Row],[Lombardy fit]]/Kr</f>
        <v>0</v>
      </c>
      <c r="R18" s="10">
        <f>Tabella8[[#This Row],[Lombardy fit]]*NOT(ISBLANK(Tabella8[[#This Row],[Lombardy]]))</f>
        <v>0</v>
      </c>
      <c r="S18" s="10">
        <f>Tabella8[[#This Row],[Lombardy fit]]+CIr</f>
        <v>2975.4614235634544</v>
      </c>
      <c r="T18" s="10">
        <f>MAX(Tabella8[[#This Row],[Lombardy fit]]-CIr,0)</f>
        <v>0</v>
      </c>
      <c r="U18" s="161"/>
      <c r="V18" s="10">
        <f>Tabella8[[#This Row],[rest of Italy ]]*NOT(ISBLANK(Tabella8[[#This Row],[rest of Italy ]]))</f>
        <v>0</v>
      </c>
      <c r="W18" s="128">
        <f>IFERROR(Ko*_xlfn.LOGNORM.DIST((Tabella8[[#This Row],[Day]]-po),mu_o,sigma_o,TRUE),0)</f>
        <v>0</v>
      </c>
      <c r="X18" s="128">
        <f>Tabella8[[#This Row],[rest of Italy fit]]/Ko</f>
        <v>0</v>
      </c>
      <c r="Y18" s="23">
        <f>Tabella8[[#This Row],[rest of Italy fit]]*NOT(ISBLANK(Tabella8[[#This Row],[rest of Italy ]]))</f>
        <v>0</v>
      </c>
      <c r="Z18" s="10">
        <f>Tabella8[[#This Row],[rest of Italy fit]]+CIo</f>
        <v>2432.9562065854871</v>
      </c>
      <c r="AA18" s="10">
        <f>MAX(Tabella8[[#This Row],[rest of Italy fit]]-CIo,0)</f>
        <v>0</v>
      </c>
      <c r="AB18" s="1"/>
      <c r="AC18" s="30" t="s">
        <v>78</v>
      </c>
      <c r="AD18" s="2" t="s">
        <v>118</v>
      </c>
      <c r="AR18" s="42">
        <f>MAX($AD$25)</f>
        <v>0.99923105871915807</v>
      </c>
      <c r="AX18" s="84"/>
      <c r="AY18" s="84"/>
      <c r="BA18" s="33"/>
      <c r="BB18" s="33"/>
      <c r="BD18" s="87"/>
      <c r="BE18" s="87"/>
    </row>
    <row r="19" spans="2:57" x14ac:dyDescent="0.3">
      <c r="B19" s="155">
        <v>43842</v>
      </c>
      <c r="C19" s="4">
        <v>12</v>
      </c>
      <c r="D19" s="161"/>
      <c r="E19" s="10">
        <f>Tabella8[[#This Row],[Italy cumulative]]*NOT(ISBLANK(Tabella8[[#This Row],[Italy cumulative]]))</f>
        <v>0</v>
      </c>
      <c r="F19" s="10">
        <f>Tabella8[[#This Row],[Lombardy fit]]+Tabella8[[#This Row],[rest of Italy fit]]</f>
        <v>0</v>
      </c>
      <c r="G19" s="91">
        <f>Tabella8[[#This Row],[Italy sum of regions]]/K_sum</f>
        <v>0</v>
      </c>
      <c r="H19" s="10">
        <f>Tabella8[[#This Row],[Italy sum of regions]]*NOT(ISBLANK(Tabella8[[#This Row],[Italy cumulative]]))</f>
        <v>0</v>
      </c>
      <c r="I19" s="152">
        <f>IFERROR(Kt*_xlfn.LOGNORM.DIST((Tabella8[[#This Row],[Day]]-Days_back),mu_t,sigma_t,TRUE),0)</f>
        <v>0</v>
      </c>
      <c r="J19" s="153">
        <f>Tabella8[[#This Row],[Italy fit]]/Kt</f>
        <v>0</v>
      </c>
      <c r="K19" s="23">
        <f>Tabella8[[#This Row],[Italy fit]]*NOT(ISBLANK(Tabella8[[#This Row],[Italy cumulative]]))</f>
        <v>0</v>
      </c>
      <c r="L19" s="10">
        <f>Tabella8[[#This Row],[Italy sum of regions]]+CI</f>
        <v>4889.6421789935675</v>
      </c>
      <c r="M19" s="10">
        <f>MAX(Tabella8[[#This Row],[Italy sum of regions]]-CI,0)</f>
        <v>0</v>
      </c>
      <c r="N19" s="159"/>
      <c r="O19" s="10">
        <f>Tabella8[[#This Row],[Lombardy]]*NOT(ISBLANK(Tabella8[[#This Row],[Lombardy]]))</f>
        <v>0</v>
      </c>
      <c r="P19" s="127">
        <f>IFERROR(Kr*_xlfn.LOGNORM.DIST((Tabella8[[#This Row],[Day]]-pr),mu_r,sigma_r,TRUE),0)</f>
        <v>0</v>
      </c>
      <c r="Q19" s="127">
        <f>Tabella8[[#This Row],[Lombardy fit]]/Kr</f>
        <v>0</v>
      </c>
      <c r="R19" s="10">
        <f>Tabella8[[#This Row],[Lombardy fit]]*NOT(ISBLANK(Tabella8[[#This Row],[Lombardy]]))</f>
        <v>0</v>
      </c>
      <c r="S19" s="10">
        <f>Tabella8[[#This Row],[Lombardy fit]]+CIr</f>
        <v>2975.4614235634544</v>
      </c>
      <c r="T19" s="10">
        <f>MAX(Tabella8[[#This Row],[Lombardy fit]]-CIr,0)</f>
        <v>0</v>
      </c>
      <c r="U19" s="161"/>
      <c r="V19" s="10">
        <f>Tabella8[[#This Row],[rest of Italy ]]*NOT(ISBLANK(Tabella8[[#This Row],[rest of Italy ]]))</f>
        <v>0</v>
      </c>
      <c r="W19" s="128">
        <f>IFERROR(Ko*_xlfn.LOGNORM.DIST((Tabella8[[#This Row],[Day]]-po),mu_o,sigma_o,TRUE),0)</f>
        <v>0</v>
      </c>
      <c r="X19" s="128">
        <f>Tabella8[[#This Row],[rest of Italy fit]]/Ko</f>
        <v>0</v>
      </c>
      <c r="Y19" s="23">
        <f>Tabella8[[#This Row],[rest of Italy fit]]*NOT(ISBLANK(Tabella8[[#This Row],[rest of Italy ]]))</f>
        <v>0</v>
      </c>
      <c r="Z19" s="10">
        <f>Tabella8[[#This Row],[rest of Italy fit]]+CIo</f>
        <v>2432.9562065854871</v>
      </c>
      <c r="AA19" s="10">
        <f>MAX(Tabella8[[#This Row],[rest of Italy fit]]-CIo,0)</f>
        <v>0</v>
      </c>
      <c r="AB19" s="1"/>
      <c r="AC19" s="15" t="s">
        <v>0</v>
      </c>
      <c r="AD19" s="5">
        <v>87000</v>
      </c>
      <c r="AR19" s="43">
        <f>COUNT($AD$19,$AD$20,$AD$21,$AD$28)</f>
        <v>4</v>
      </c>
      <c r="AX19" s="84"/>
      <c r="AY19" s="84"/>
      <c r="BA19" s="33"/>
      <c r="BB19" s="33"/>
      <c r="BD19" s="87"/>
      <c r="BE19" s="87"/>
    </row>
    <row r="20" spans="2:57" x14ac:dyDescent="0.3">
      <c r="B20" s="155">
        <v>43843</v>
      </c>
      <c r="C20" s="4">
        <v>13</v>
      </c>
      <c r="D20" s="161"/>
      <c r="E20" s="10">
        <f>Tabella8[[#This Row],[Italy cumulative]]*NOT(ISBLANK(Tabella8[[#This Row],[Italy cumulative]]))</f>
        <v>0</v>
      </c>
      <c r="F20" s="10">
        <f>Tabella8[[#This Row],[Lombardy fit]]+Tabella8[[#This Row],[rest of Italy fit]]</f>
        <v>0</v>
      </c>
      <c r="G20" s="91">
        <f>Tabella8[[#This Row],[Italy sum of regions]]/K_sum</f>
        <v>0</v>
      </c>
      <c r="H20" s="10">
        <f>Tabella8[[#This Row],[Italy sum of regions]]*NOT(ISBLANK(Tabella8[[#This Row],[Italy cumulative]]))</f>
        <v>0</v>
      </c>
      <c r="I20" s="152">
        <f>IFERROR(Kt*_xlfn.LOGNORM.DIST((Tabella8[[#This Row],[Day]]-Days_back),mu_t,sigma_t,TRUE),0)</f>
        <v>0</v>
      </c>
      <c r="J20" s="153">
        <f>Tabella8[[#This Row],[Italy fit]]/Kt</f>
        <v>0</v>
      </c>
      <c r="K20" s="23">
        <f>Tabella8[[#This Row],[Italy fit]]*NOT(ISBLANK(Tabella8[[#This Row],[Italy cumulative]]))</f>
        <v>0</v>
      </c>
      <c r="L20" s="10">
        <f>Tabella8[[#This Row],[Italy sum of regions]]+CI</f>
        <v>4889.6421789935675</v>
      </c>
      <c r="M20" s="10">
        <f>MAX(Tabella8[[#This Row],[Italy sum of regions]]-CI,0)</f>
        <v>0</v>
      </c>
      <c r="N20" s="159"/>
      <c r="O20" s="10">
        <f>Tabella8[[#This Row],[Lombardy]]*NOT(ISBLANK(Tabella8[[#This Row],[Lombardy]]))</f>
        <v>0</v>
      </c>
      <c r="P20" s="127">
        <f>IFERROR(Kr*_xlfn.LOGNORM.DIST((Tabella8[[#This Row],[Day]]-pr),mu_r,sigma_r,TRUE),0)</f>
        <v>0</v>
      </c>
      <c r="Q20" s="127">
        <f>Tabella8[[#This Row],[Lombardy fit]]/Kr</f>
        <v>0</v>
      </c>
      <c r="R20" s="10">
        <f>Tabella8[[#This Row],[Lombardy fit]]*NOT(ISBLANK(Tabella8[[#This Row],[Lombardy]]))</f>
        <v>0</v>
      </c>
      <c r="S20" s="10">
        <f>Tabella8[[#This Row],[Lombardy fit]]+CIr</f>
        <v>2975.4614235634544</v>
      </c>
      <c r="T20" s="10">
        <f>MAX(Tabella8[[#This Row],[Lombardy fit]]-CIr,0)</f>
        <v>0</v>
      </c>
      <c r="U20" s="161"/>
      <c r="V20" s="10">
        <f>Tabella8[[#This Row],[rest of Italy ]]*NOT(ISBLANK(Tabella8[[#This Row],[rest of Italy ]]))</f>
        <v>0</v>
      </c>
      <c r="W20" s="128">
        <f>IFERROR(Ko*_xlfn.LOGNORM.DIST((Tabella8[[#This Row],[Day]]-po),mu_o,sigma_o,TRUE),0)</f>
        <v>0</v>
      </c>
      <c r="X20" s="128">
        <f>Tabella8[[#This Row],[rest of Italy fit]]/Ko</f>
        <v>0</v>
      </c>
      <c r="Y20" s="23">
        <f>Tabella8[[#This Row],[rest of Italy fit]]*NOT(ISBLANK(Tabella8[[#This Row],[rest of Italy ]]))</f>
        <v>0</v>
      </c>
      <c r="Z20" s="10">
        <f>Tabella8[[#This Row],[rest of Italy fit]]+CIo</f>
        <v>2432.9562065854871</v>
      </c>
      <c r="AA20" s="10">
        <f>MAX(Tabella8[[#This Row],[rest of Italy fit]]-CIo,0)</f>
        <v>0</v>
      </c>
      <c r="AB20" s="1"/>
      <c r="AC20" s="104" t="s">
        <v>307</v>
      </c>
      <c r="AD20" s="31">
        <v>4.1183177467413179</v>
      </c>
      <c r="AR20" s="43" t="b">
        <f>sigma_r&gt;=0.000001</f>
        <v>1</v>
      </c>
      <c r="AX20" s="84"/>
      <c r="AY20" s="84"/>
      <c r="BA20" s="33"/>
      <c r="BB20" s="33"/>
      <c r="BD20" s="87"/>
      <c r="BE20" s="87"/>
    </row>
    <row r="21" spans="2:57" x14ac:dyDescent="0.3">
      <c r="B21" s="155">
        <v>43844</v>
      </c>
      <c r="C21" s="4">
        <v>14</v>
      </c>
      <c r="D21" s="161"/>
      <c r="E21" s="10">
        <f>Tabella8[[#This Row],[Italy cumulative]]*NOT(ISBLANK(Tabella8[[#This Row],[Italy cumulative]]))</f>
        <v>0</v>
      </c>
      <c r="F21" s="10">
        <f>Tabella8[[#This Row],[Lombardy fit]]+Tabella8[[#This Row],[rest of Italy fit]]</f>
        <v>0</v>
      </c>
      <c r="G21" s="91">
        <f>Tabella8[[#This Row],[Italy sum of regions]]/K_sum</f>
        <v>0</v>
      </c>
      <c r="H21" s="10">
        <f>Tabella8[[#This Row],[Italy sum of regions]]*NOT(ISBLANK(Tabella8[[#This Row],[Italy cumulative]]))</f>
        <v>0</v>
      </c>
      <c r="I21" s="152">
        <f>IFERROR(Kt*_xlfn.LOGNORM.DIST((Tabella8[[#This Row],[Day]]-Days_back),mu_t,sigma_t,TRUE),0)</f>
        <v>0</v>
      </c>
      <c r="J21" s="153">
        <f>Tabella8[[#This Row],[Italy fit]]/Kt</f>
        <v>0</v>
      </c>
      <c r="K21" s="23">
        <f>Tabella8[[#This Row],[Italy fit]]*NOT(ISBLANK(Tabella8[[#This Row],[Italy cumulative]]))</f>
        <v>0</v>
      </c>
      <c r="L21" s="10">
        <f>Tabella8[[#This Row],[Italy sum of regions]]+CI</f>
        <v>4889.6421789935675</v>
      </c>
      <c r="M21" s="10">
        <f>MAX(Tabella8[[#This Row],[Italy sum of regions]]-CI,0)</f>
        <v>0</v>
      </c>
      <c r="N21" s="159"/>
      <c r="O21" s="10">
        <f>Tabella8[[#This Row],[Lombardy]]*NOT(ISBLANK(Tabella8[[#This Row],[Lombardy]]))</f>
        <v>0</v>
      </c>
      <c r="P21" s="127">
        <f>IFERROR(Kr*_xlfn.LOGNORM.DIST((Tabella8[[#This Row],[Day]]-pr),mu_r,sigma_r,TRUE),0)</f>
        <v>0</v>
      </c>
      <c r="Q21" s="127">
        <f>Tabella8[[#This Row],[Lombardy fit]]/Kr</f>
        <v>0</v>
      </c>
      <c r="R21" s="10">
        <f>Tabella8[[#This Row],[Lombardy fit]]*NOT(ISBLANK(Tabella8[[#This Row],[Lombardy]]))</f>
        <v>0</v>
      </c>
      <c r="S21" s="10">
        <f>Tabella8[[#This Row],[Lombardy fit]]+CIr</f>
        <v>2975.4614235634544</v>
      </c>
      <c r="T21" s="10">
        <f>MAX(Tabella8[[#This Row],[Lombardy fit]]-CIr,0)</f>
        <v>0</v>
      </c>
      <c r="U21" s="161"/>
      <c r="V21" s="10">
        <f>Tabella8[[#This Row],[rest of Italy ]]*NOT(ISBLANK(Tabella8[[#This Row],[rest of Italy ]]))</f>
        <v>0</v>
      </c>
      <c r="W21" s="128">
        <f>IFERROR(Ko*_xlfn.LOGNORM.DIST((Tabella8[[#This Row],[Day]]-po),mu_o,sigma_o,TRUE),0)</f>
        <v>0</v>
      </c>
      <c r="X21" s="128">
        <f>Tabella8[[#This Row],[rest of Italy fit]]/Ko</f>
        <v>0</v>
      </c>
      <c r="Y21" s="23">
        <f>Tabella8[[#This Row],[rest of Italy fit]]*NOT(ISBLANK(Tabella8[[#This Row],[rest of Italy ]]))</f>
        <v>0</v>
      </c>
      <c r="Z21" s="10">
        <f>Tabella8[[#This Row],[rest of Italy fit]]+CIo</f>
        <v>2432.9562065854871</v>
      </c>
      <c r="AA21" s="10">
        <f>MAX(Tabella8[[#This Row],[rest of Italy fit]]-CIo,0)</f>
        <v>0</v>
      </c>
      <c r="AB21" s="1"/>
      <c r="AC21" s="15" t="s">
        <v>308</v>
      </c>
      <c r="AD21" s="31">
        <v>0.3404272985968646</v>
      </c>
      <c r="AR21" s="43">
        <f>{32767;32767;0.000001;0.01;FALSE;TRUE;FALSE;1;2;1;0.0001;TRUE}</f>
        <v>32767</v>
      </c>
      <c r="AX21" s="84"/>
      <c r="AY21" s="84"/>
      <c r="BA21" s="33"/>
      <c r="BB21" s="33"/>
      <c r="BD21" s="87"/>
      <c r="BE21" s="87"/>
    </row>
    <row r="22" spans="2:57" x14ac:dyDescent="0.3">
      <c r="B22" s="155">
        <v>43845</v>
      </c>
      <c r="C22" s="4">
        <v>15</v>
      </c>
      <c r="D22" s="161"/>
      <c r="E22" s="10">
        <f>Tabella8[[#This Row],[Italy cumulative]]*NOT(ISBLANK(Tabella8[[#This Row],[Italy cumulative]]))</f>
        <v>0</v>
      </c>
      <c r="F22" s="10">
        <f>Tabella8[[#This Row],[Lombardy fit]]+Tabella8[[#This Row],[rest of Italy fit]]</f>
        <v>0</v>
      </c>
      <c r="G22" s="91">
        <f>Tabella8[[#This Row],[Italy sum of regions]]/K_sum</f>
        <v>0</v>
      </c>
      <c r="H22" s="10">
        <f>Tabella8[[#This Row],[Italy sum of regions]]*NOT(ISBLANK(Tabella8[[#This Row],[Italy cumulative]]))</f>
        <v>0</v>
      </c>
      <c r="I22" s="152">
        <f>IFERROR(Kt*_xlfn.LOGNORM.DIST((Tabella8[[#This Row],[Day]]-Days_back),mu_t,sigma_t,TRUE),0)</f>
        <v>0</v>
      </c>
      <c r="J22" s="153">
        <f>Tabella8[[#This Row],[Italy fit]]/Kt</f>
        <v>0</v>
      </c>
      <c r="K22" s="23">
        <f>Tabella8[[#This Row],[Italy fit]]*NOT(ISBLANK(Tabella8[[#This Row],[Italy cumulative]]))</f>
        <v>0</v>
      </c>
      <c r="L22" s="10">
        <f>Tabella8[[#This Row],[Italy sum of regions]]+CI</f>
        <v>4889.6421789935675</v>
      </c>
      <c r="M22" s="10">
        <f>MAX(Tabella8[[#This Row],[Italy sum of regions]]-CI,0)</f>
        <v>0</v>
      </c>
      <c r="N22" s="159"/>
      <c r="O22" s="10">
        <f>Tabella8[[#This Row],[Lombardy]]*NOT(ISBLANK(Tabella8[[#This Row],[Lombardy]]))</f>
        <v>0</v>
      </c>
      <c r="P22" s="127">
        <f>IFERROR(Kr*_xlfn.LOGNORM.DIST((Tabella8[[#This Row],[Day]]-pr),mu_r,sigma_r,TRUE),0)</f>
        <v>0</v>
      </c>
      <c r="Q22" s="127">
        <f>Tabella8[[#This Row],[Lombardy fit]]/Kr</f>
        <v>0</v>
      </c>
      <c r="R22" s="10">
        <f>Tabella8[[#This Row],[Lombardy fit]]*NOT(ISBLANK(Tabella8[[#This Row],[Lombardy]]))</f>
        <v>0</v>
      </c>
      <c r="S22" s="10">
        <f>Tabella8[[#This Row],[Lombardy fit]]+CIr</f>
        <v>2975.4614235634544</v>
      </c>
      <c r="T22" s="10">
        <f>MAX(Tabella8[[#This Row],[Lombardy fit]]-CIr,0)</f>
        <v>0</v>
      </c>
      <c r="U22" s="161"/>
      <c r="V22" s="10">
        <f>Tabella8[[#This Row],[rest of Italy ]]*NOT(ISBLANK(Tabella8[[#This Row],[rest of Italy ]]))</f>
        <v>0</v>
      </c>
      <c r="W22" s="128">
        <f>IFERROR(Ko*_xlfn.LOGNORM.DIST((Tabella8[[#This Row],[Day]]-po),mu_o,sigma_o,TRUE),0)</f>
        <v>0</v>
      </c>
      <c r="X22" s="128">
        <f>Tabella8[[#This Row],[rest of Italy fit]]/Ko</f>
        <v>0</v>
      </c>
      <c r="Y22" s="23">
        <f>Tabella8[[#This Row],[rest of Italy fit]]*NOT(ISBLANK(Tabella8[[#This Row],[rest of Italy ]]))</f>
        <v>0</v>
      </c>
      <c r="Z22" s="10">
        <f>Tabella8[[#This Row],[rest of Italy fit]]+CIo</f>
        <v>2432.9562065854871</v>
      </c>
      <c r="AA22" s="10">
        <f>MAX(Tabella8[[#This Row],[rest of Italy fit]]-CIo,0)</f>
        <v>0</v>
      </c>
      <c r="AB22" s="1"/>
      <c r="AC22" s="2" t="s">
        <v>1</v>
      </c>
      <c r="AD22" s="1">
        <f>AVERAGE(Tabella8[Lombardy])</f>
        <v>34753.646153846152</v>
      </c>
      <c r="AR22" s="43">
        <f>{0;0;1;200;0;FALSE;FALSE;0.075;0;0;FALSE;30}</f>
        <v>0</v>
      </c>
      <c r="AX22" s="84"/>
      <c r="AY22" s="84"/>
      <c r="BA22" s="33"/>
      <c r="BB22" s="33"/>
      <c r="BD22" s="87"/>
      <c r="BE22" s="87"/>
    </row>
    <row r="23" spans="2:57" x14ac:dyDescent="0.3">
      <c r="B23" s="155">
        <v>43846</v>
      </c>
      <c r="C23" s="4">
        <v>16</v>
      </c>
      <c r="D23" s="161"/>
      <c r="E23" s="10">
        <f>Tabella8[[#This Row],[Italy cumulative]]*NOT(ISBLANK(Tabella8[[#This Row],[Italy cumulative]]))</f>
        <v>0</v>
      </c>
      <c r="F23" s="10">
        <f>Tabella8[[#This Row],[Lombardy fit]]+Tabella8[[#This Row],[rest of Italy fit]]</f>
        <v>0</v>
      </c>
      <c r="G23" s="91">
        <f>Tabella8[[#This Row],[Italy sum of regions]]/K_sum</f>
        <v>0</v>
      </c>
      <c r="H23" s="10">
        <f>Tabella8[[#This Row],[Italy sum of regions]]*NOT(ISBLANK(Tabella8[[#This Row],[Italy cumulative]]))</f>
        <v>0</v>
      </c>
      <c r="I23" s="152">
        <f>IFERROR(Kt*_xlfn.LOGNORM.DIST((Tabella8[[#This Row],[Day]]-Days_back),mu_t,sigma_t,TRUE),0)</f>
        <v>0</v>
      </c>
      <c r="J23" s="153">
        <f>Tabella8[[#This Row],[Italy fit]]/Kt</f>
        <v>0</v>
      </c>
      <c r="K23" s="23">
        <f>Tabella8[[#This Row],[Italy fit]]*NOT(ISBLANK(Tabella8[[#This Row],[Italy cumulative]]))</f>
        <v>0</v>
      </c>
      <c r="L23" s="10">
        <f>Tabella8[[#This Row],[Italy sum of regions]]+CI</f>
        <v>4889.6421789935675</v>
      </c>
      <c r="M23" s="10">
        <f>MAX(Tabella8[[#This Row],[Italy sum of regions]]-CI,0)</f>
        <v>0</v>
      </c>
      <c r="N23" s="159"/>
      <c r="O23" s="10">
        <f>Tabella8[[#This Row],[Lombardy]]*NOT(ISBLANK(Tabella8[[#This Row],[Lombardy]]))</f>
        <v>0</v>
      </c>
      <c r="P23" s="127">
        <f>IFERROR(Kr*_xlfn.LOGNORM.DIST((Tabella8[[#This Row],[Day]]-pr),mu_r,sigma_r,TRUE),0)</f>
        <v>0</v>
      </c>
      <c r="Q23" s="127">
        <f>Tabella8[[#This Row],[Lombardy fit]]/Kr</f>
        <v>0</v>
      </c>
      <c r="R23" s="10">
        <f>Tabella8[[#This Row],[Lombardy fit]]*NOT(ISBLANK(Tabella8[[#This Row],[Lombardy]]))</f>
        <v>0</v>
      </c>
      <c r="S23" s="10">
        <f>Tabella8[[#This Row],[Lombardy fit]]+CIr</f>
        <v>2975.4614235634544</v>
      </c>
      <c r="T23" s="10">
        <f>MAX(Tabella8[[#This Row],[Lombardy fit]]-CIr,0)</f>
        <v>0</v>
      </c>
      <c r="U23" s="161"/>
      <c r="V23" s="10">
        <f>Tabella8[[#This Row],[rest of Italy ]]*NOT(ISBLANK(Tabella8[[#This Row],[rest of Italy ]]))</f>
        <v>0</v>
      </c>
      <c r="W23" s="128">
        <f>IFERROR(Ko*_xlfn.LOGNORM.DIST((Tabella8[[#This Row],[Day]]-po),mu_o,sigma_o,TRUE),0)</f>
        <v>0</v>
      </c>
      <c r="X23" s="128">
        <f>Tabella8[[#This Row],[rest of Italy fit]]/Ko</f>
        <v>0</v>
      </c>
      <c r="Y23" s="23">
        <f>Tabella8[[#This Row],[rest of Italy fit]]*NOT(ISBLANK(Tabella8[[#This Row],[rest of Italy ]]))</f>
        <v>0</v>
      </c>
      <c r="Z23" s="10">
        <f>Tabella8[[#This Row],[rest of Italy fit]]+CIo</f>
        <v>2432.9562065854871</v>
      </c>
      <c r="AA23" s="10">
        <f>MAX(Tabella8[[#This Row],[rest of Italy fit]]-CIo,0)</f>
        <v>0</v>
      </c>
      <c r="AB23" s="1"/>
      <c r="AC23" s="2" t="s">
        <v>2</v>
      </c>
      <c r="AD23" s="1">
        <f>COUNT(Tabella8[Lombardy])-COUNT(AD19:AD21)</f>
        <v>62</v>
      </c>
      <c r="AR23" s="44">
        <f>{0;0;1;200;0;FALSE;FALSE;0.075;0;0;FALSE;30}</f>
        <v>0</v>
      </c>
      <c r="AX23" s="84"/>
      <c r="AY23" s="84"/>
      <c r="BA23" s="33"/>
      <c r="BB23" s="33"/>
      <c r="BD23" s="87"/>
      <c r="BE23" s="87"/>
    </row>
    <row r="24" spans="2:57" x14ac:dyDescent="0.3">
      <c r="B24" s="155">
        <v>43847</v>
      </c>
      <c r="C24" s="4">
        <v>17</v>
      </c>
      <c r="D24" s="161"/>
      <c r="E24" s="10">
        <f>Tabella8[[#This Row],[Italy cumulative]]*NOT(ISBLANK(Tabella8[[#This Row],[Italy cumulative]]))</f>
        <v>0</v>
      </c>
      <c r="F24" s="10">
        <f>Tabella8[[#This Row],[Lombardy fit]]+Tabella8[[#This Row],[rest of Italy fit]]</f>
        <v>0</v>
      </c>
      <c r="G24" s="91">
        <f>Tabella8[[#This Row],[Italy sum of regions]]/K_sum</f>
        <v>0</v>
      </c>
      <c r="H24" s="10">
        <f>Tabella8[[#This Row],[Italy sum of regions]]*NOT(ISBLANK(Tabella8[[#This Row],[Italy cumulative]]))</f>
        <v>0</v>
      </c>
      <c r="I24" s="152">
        <f>IFERROR(Kt*_xlfn.LOGNORM.DIST((Tabella8[[#This Row],[Day]]-Days_back),mu_t,sigma_t,TRUE),0)</f>
        <v>0</v>
      </c>
      <c r="J24" s="153">
        <f>Tabella8[[#This Row],[Italy fit]]/Kt</f>
        <v>0</v>
      </c>
      <c r="K24" s="23">
        <f>Tabella8[[#This Row],[Italy fit]]*NOT(ISBLANK(Tabella8[[#This Row],[Italy cumulative]]))</f>
        <v>0</v>
      </c>
      <c r="L24" s="10">
        <f>Tabella8[[#This Row],[Italy sum of regions]]+CI</f>
        <v>4889.6421789935675</v>
      </c>
      <c r="M24" s="10">
        <f>MAX(Tabella8[[#This Row],[Italy sum of regions]]-CI,0)</f>
        <v>0</v>
      </c>
      <c r="N24" s="159"/>
      <c r="O24" s="10">
        <f>Tabella8[[#This Row],[Lombardy]]*NOT(ISBLANK(Tabella8[[#This Row],[Lombardy]]))</f>
        <v>0</v>
      </c>
      <c r="P24" s="127">
        <f>IFERROR(Kr*_xlfn.LOGNORM.DIST((Tabella8[[#This Row],[Day]]-pr),mu_r,sigma_r,TRUE),0)</f>
        <v>0</v>
      </c>
      <c r="Q24" s="127">
        <f>Tabella8[[#This Row],[Lombardy fit]]/Kr</f>
        <v>0</v>
      </c>
      <c r="R24" s="10">
        <f>Tabella8[[#This Row],[Lombardy fit]]*NOT(ISBLANK(Tabella8[[#This Row],[Lombardy]]))</f>
        <v>0</v>
      </c>
      <c r="S24" s="10">
        <f>Tabella8[[#This Row],[Lombardy fit]]+CIr</f>
        <v>2975.4614235634544</v>
      </c>
      <c r="T24" s="10">
        <f>MAX(Tabella8[[#This Row],[Lombardy fit]]-CIr,0)</f>
        <v>0</v>
      </c>
      <c r="U24" s="161"/>
      <c r="V24" s="10">
        <f>Tabella8[[#This Row],[rest of Italy ]]*NOT(ISBLANK(Tabella8[[#This Row],[rest of Italy ]]))</f>
        <v>0</v>
      </c>
      <c r="W24" s="128">
        <f>IFERROR(Ko*_xlfn.LOGNORM.DIST((Tabella8[[#This Row],[Day]]-po),mu_o,sigma_o,TRUE),0)</f>
        <v>0</v>
      </c>
      <c r="X24" s="128">
        <f>Tabella8[[#This Row],[rest of Italy fit]]/Ko</f>
        <v>0</v>
      </c>
      <c r="Y24" s="23">
        <f>Tabella8[[#This Row],[rest of Italy fit]]*NOT(ISBLANK(Tabella8[[#This Row],[rest of Italy ]]))</f>
        <v>0</v>
      </c>
      <c r="Z24" s="10">
        <f>Tabella8[[#This Row],[rest of Italy fit]]+CIo</f>
        <v>2432.9562065854871</v>
      </c>
      <c r="AA24" s="10">
        <f>MAX(Tabella8[[#This Row],[rest of Italy fit]]-CIo,0)</f>
        <v>0</v>
      </c>
      <c r="AB24" s="1"/>
      <c r="AC24" s="2" t="s">
        <v>3</v>
      </c>
      <c r="AD24" s="6" cm="1">
        <f t="array" ref="AD24">SQRT(SUM((Tabella8[Colonna4]-Tabella8[Colonna5])^2)/dfr)</f>
        <v>1488.4961582540495</v>
      </c>
      <c r="AR24" s="45"/>
      <c r="AX24" s="84"/>
      <c r="AY24" s="84"/>
      <c r="BA24" s="33"/>
      <c r="BB24" s="33"/>
      <c r="BD24" s="87"/>
      <c r="BE24" s="87"/>
    </row>
    <row r="25" spans="2:57" ht="16.2" x14ac:dyDescent="0.3">
      <c r="B25" s="155">
        <v>43848</v>
      </c>
      <c r="C25" s="4">
        <v>18</v>
      </c>
      <c r="D25" s="161"/>
      <c r="E25" s="10">
        <f>Tabella8[[#This Row],[Italy cumulative]]*NOT(ISBLANK(Tabella8[[#This Row],[Italy cumulative]]))</f>
        <v>0</v>
      </c>
      <c r="F25" s="10">
        <f>Tabella8[[#This Row],[Lombardy fit]]+Tabella8[[#This Row],[rest of Italy fit]]</f>
        <v>0</v>
      </c>
      <c r="G25" s="91">
        <f>Tabella8[[#This Row],[Italy sum of regions]]/K_sum</f>
        <v>0</v>
      </c>
      <c r="H25" s="10">
        <f>Tabella8[[#This Row],[Italy sum of regions]]*NOT(ISBLANK(Tabella8[[#This Row],[Italy cumulative]]))</f>
        <v>0</v>
      </c>
      <c r="I25" s="152">
        <f>IFERROR(Kt*_xlfn.LOGNORM.DIST((Tabella8[[#This Row],[Day]]-Days_back),mu_t,sigma_t,TRUE),0)</f>
        <v>0</v>
      </c>
      <c r="J25" s="153">
        <f>Tabella8[[#This Row],[Italy fit]]/Kt</f>
        <v>0</v>
      </c>
      <c r="K25" s="23">
        <f>Tabella8[[#This Row],[Italy fit]]*NOT(ISBLANK(Tabella8[[#This Row],[Italy cumulative]]))</f>
        <v>0</v>
      </c>
      <c r="L25" s="10">
        <f>Tabella8[[#This Row],[Italy sum of regions]]+CI</f>
        <v>4889.6421789935675</v>
      </c>
      <c r="M25" s="10">
        <f>MAX(Tabella8[[#This Row],[Italy sum of regions]]-CI,0)</f>
        <v>0</v>
      </c>
      <c r="N25" s="159"/>
      <c r="O25" s="10">
        <f>Tabella8[[#This Row],[Lombardy]]*NOT(ISBLANK(Tabella8[[#This Row],[Lombardy]]))</f>
        <v>0</v>
      </c>
      <c r="P25" s="127">
        <f>IFERROR(Kr*_xlfn.LOGNORM.DIST((Tabella8[[#This Row],[Day]]-pr),mu_r,sigma_r,TRUE),0)</f>
        <v>0</v>
      </c>
      <c r="Q25" s="127">
        <f>Tabella8[[#This Row],[Lombardy fit]]/Kr</f>
        <v>0</v>
      </c>
      <c r="R25" s="10">
        <f>Tabella8[[#This Row],[Lombardy fit]]*NOT(ISBLANK(Tabella8[[#This Row],[Lombardy]]))</f>
        <v>0</v>
      </c>
      <c r="S25" s="10">
        <f>Tabella8[[#This Row],[Lombardy fit]]+CIr</f>
        <v>2975.4614235634544</v>
      </c>
      <c r="T25" s="10">
        <f>MAX(Tabella8[[#This Row],[Lombardy fit]]-CIr,0)</f>
        <v>0</v>
      </c>
      <c r="U25" s="161"/>
      <c r="V25" s="10">
        <f>Tabella8[[#This Row],[rest of Italy ]]*NOT(ISBLANK(Tabella8[[#This Row],[rest of Italy ]]))</f>
        <v>0</v>
      </c>
      <c r="W25" s="128">
        <f>IFERROR(Ko*_xlfn.LOGNORM.DIST((Tabella8[[#This Row],[Day]]-po),mu_o,sigma_o,TRUE),0)</f>
        <v>0</v>
      </c>
      <c r="X25" s="128">
        <f>Tabella8[[#This Row],[rest of Italy fit]]/Ko</f>
        <v>0</v>
      </c>
      <c r="Y25" s="23">
        <f>Tabella8[[#This Row],[rest of Italy fit]]*NOT(ISBLANK(Tabella8[[#This Row],[rest of Italy ]]))</f>
        <v>0</v>
      </c>
      <c r="Z25" s="10">
        <f>Tabella8[[#This Row],[rest of Italy fit]]+CIo</f>
        <v>2432.9562065854871</v>
      </c>
      <c r="AA25" s="10">
        <f>MAX(Tabella8[[#This Row],[rest of Italy fit]]-CIo,0)</f>
        <v>0</v>
      </c>
      <c r="AB25" s="1"/>
      <c r="AC25" s="2" t="s">
        <v>4</v>
      </c>
      <c r="AD25" s="7" cm="1">
        <f t="array" ref="AD25">1-SUM((Tabella8[Colonna4]-Tabella8[Colonna5])^2)/SUM((Tabella8[Colonna4]-Mean_of_yr)^2)</f>
        <v>0.99923105871915807</v>
      </c>
      <c r="AR25" s="46"/>
      <c r="AX25" s="84"/>
      <c r="AY25" s="84"/>
      <c r="BA25" s="33"/>
      <c r="BB25" s="33"/>
      <c r="BD25" s="87"/>
      <c r="BE25" s="87"/>
    </row>
    <row r="26" spans="2:57" x14ac:dyDescent="0.3">
      <c r="B26" s="155">
        <v>43849</v>
      </c>
      <c r="C26" s="4">
        <v>19</v>
      </c>
      <c r="D26" s="161"/>
      <c r="E26" s="10">
        <f>Tabella8[[#This Row],[Italy cumulative]]*NOT(ISBLANK(Tabella8[[#This Row],[Italy cumulative]]))</f>
        <v>0</v>
      </c>
      <c r="F26" s="10">
        <f>Tabella8[[#This Row],[Lombardy fit]]+Tabella8[[#This Row],[rest of Italy fit]]</f>
        <v>0</v>
      </c>
      <c r="G26" s="91">
        <f>Tabella8[[#This Row],[Italy sum of regions]]/K_sum</f>
        <v>0</v>
      </c>
      <c r="H26" s="10">
        <f>Tabella8[[#This Row],[Italy sum of regions]]*NOT(ISBLANK(Tabella8[[#This Row],[Italy cumulative]]))</f>
        <v>0</v>
      </c>
      <c r="I26" s="152">
        <f>IFERROR(Kt*_xlfn.LOGNORM.DIST((Tabella8[[#This Row],[Day]]-Days_back),mu_t,sigma_t,TRUE),0)</f>
        <v>0</v>
      </c>
      <c r="J26" s="153">
        <f>Tabella8[[#This Row],[Italy fit]]/Kt</f>
        <v>0</v>
      </c>
      <c r="K26" s="23">
        <f>Tabella8[[#This Row],[Italy fit]]*NOT(ISBLANK(Tabella8[[#This Row],[Italy cumulative]]))</f>
        <v>0</v>
      </c>
      <c r="L26" s="10">
        <f>Tabella8[[#This Row],[Italy sum of regions]]+CI</f>
        <v>4889.6421789935675</v>
      </c>
      <c r="M26" s="10">
        <f>MAX(Tabella8[[#This Row],[Italy sum of regions]]-CI,0)</f>
        <v>0</v>
      </c>
      <c r="N26" s="159"/>
      <c r="O26" s="10">
        <f>Tabella8[[#This Row],[Lombardy]]*NOT(ISBLANK(Tabella8[[#This Row],[Lombardy]]))</f>
        <v>0</v>
      </c>
      <c r="P26" s="127">
        <f>IFERROR(Kr*_xlfn.LOGNORM.DIST((Tabella8[[#This Row],[Day]]-pr),mu_r,sigma_r,TRUE),0)</f>
        <v>0</v>
      </c>
      <c r="Q26" s="127">
        <f>Tabella8[[#This Row],[Lombardy fit]]/Kr</f>
        <v>0</v>
      </c>
      <c r="R26" s="10">
        <f>Tabella8[[#This Row],[Lombardy fit]]*NOT(ISBLANK(Tabella8[[#This Row],[Lombardy]]))</f>
        <v>0</v>
      </c>
      <c r="S26" s="10">
        <f>Tabella8[[#This Row],[Lombardy fit]]+CIr</f>
        <v>2975.4614235634544</v>
      </c>
      <c r="T26" s="10">
        <f>MAX(Tabella8[[#This Row],[Lombardy fit]]-CIr,0)</f>
        <v>0</v>
      </c>
      <c r="U26" s="161"/>
      <c r="V26" s="10">
        <f>Tabella8[[#This Row],[rest of Italy ]]*NOT(ISBLANK(Tabella8[[#This Row],[rest of Italy ]]))</f>
        <v>0</v>
      </c>
      <c r="W26" s="128">
        <f>IFERROR(Ko*_xlfn.LOGNORM.DIST((Tabella8[[#This Row],[Day]]-po),mu_o,sigma_o,TRUE),0)</f>
        <v>0</v>
      </c>
      <c r="X26" s="128">
        <f>Tabella8[[#This Row],[rest of Italy fit]]/Ko</f>
        <v>0</v>
      </c>
      <c r="Y26" s="23">
        <f>Tabella8[[#This Row],[rest of Italy fit]]*NOT(ISBLANK(Tabella8[[#This Row],[rest of Italy ]]))</f>
        <v>0</v>
      </c>
      <c r="Z26" s="10">
        <f>Tabella8[[#This Row],[rest of Italy fit]]+CIo</f>
        <v>2432.9562065854871</v>
      </c>
      <c r="AA26" s="10">
        <f>MAX(Tabella8[[#This Row],[rest of Italy fit]]-CIo,0)</f>
        <v>0</v>
      </c>
      <c r="AB26" s="1"/>
      <c r="AC26" s="2" t="s">
        <v>5</v>
      </c>
      <c r="AD26" s="7">
        <f>TINV(0.05,dfr)</f>
        <v>1.9989715170333793</v>
      </c>
      <c r="AR26" s="46"/>
      <c r="AX26" s="84"/>
      <c r="AY26" s="84"/>
      <c r="BA26" s="33"/>
      <c r="BB26" s="33"/>
      <c r="BD26" s="87"/>
      <c r="BE26" s="87"/>
    </row>
    <row r="27" spans="2:57" ht="15" thickBot="1" x14ac:dyDescent="0.35">
      <c r="B27" s="155">
        <v>43850</v>
      </c>
      <c r="C27" s="4">
        <v>20</v>
      </c>
      <c r="D27" s="161"/>
      <c r="E27" s="10">
        <f>Tabella8[[#This Row],[Italy cumulative]]*NOT(ISBLANK(Tabella8[[#This Row],[Italy cumulative]]))</f>
        <v>0</v>
      </c>
      <c r="F27" s="10">
        <f>Tabella8[[#This Row],[Lombardy fit]]+Tabella8[[#This Row],[rest of Italy fit]]</f>
        <v>0</v>
      </c>
      <c r="G27" s="91">
        <f>Tabella8[[#This Row],[Italy sum of regions]]/K_sum</f>
        <v>0</v>
      </c>
      <c r="H27" s="10">
        <f>Tabella8[[#This Row],[Italy sum of regions]]*NOT(ISBLANK(Tabella8[[#This Row],[Italy cumulative]]))</f>
        <v>0</v>
      </c>
      <c r="I27" s="152">
        <f>IFERROR(Kt*_xlfn.LOGNORM.DIST((Tabella8[[#This Row],[Day]]-Days_back),mu_t,sigma_t,TRUE),0)</f>
        <v>0</v>
      </c>
      <c r="J27" s="153">
        <f>Tabella8[[#This Row],[Italy fit]]/Kt</f>
        <v>0</v>
      </c>
      <c r="K27" s="23">
        <f>Tabella8[[#This Row],[Italy fit]]*NOT(ISBLANK(Tabella8[[#This Row],[Italy cumulative]]))</f>
        <v>0</v>
      </c>
      <c r="L27" s="10">
        <f>Tabella8[[#This Row],[Italy sum of regions]]+CI</f>
        <v>4889.6421789935675</v>
      </c>
      <c r="M27" s="10">
        <f>MAX(Tabella8[[#This Row],[Italy sum of regions]]-CI,0)</f>
        <v>0</v>
      </c>
      <c r="N27" s="159"/>
      <c r="O27" s="10">
        <f>Tabella8[[#This Row],[Lombardy]]*NOT(ISBLANK(Tabella8[[#This Row],[Lombardy]]))</f>
        <v>0</v>
      </c>
      <c r="P27" s="127">
        <f>IFERROR(Kr*_xlfn.LOGNORM.DIST((Tabella8[[#This Row],[Day]]-pr),mu_r,sigma_r,TRUE),0)</f>
        <v>0</v>
      </c>
      <c r="Q27" s="127">
        <f>Tabella8[[#This Row],[Lombardy fit]]/Kr</f>
        <v>0</v>
      </c>
      <c r="R27" s="10">
        <f>Tabella8[[#This Row],[Lombardy fit]]*NOT(ISBLANK(Tabella8[[#This Row],[Lombardy]]))</f>
        <v>0</v>
      </c>
      <c r="S27" s="10">
        <f>Tabella8[[#This Row],[Lombardy fit]]+CIr</f>
        <v>2975.4614235634544</v>
      </c>
      <c r="T27" s="10">
        <f>MAX(Tabella8[[#This Row],[Lombardy fit]]-CIr,0)</f>
        <v>0</v>
      </c>
      <c r="U27" s="161"/>
      <c r="V27" s="10">
        <f>Tabella8[[#This Row],[rest of Italy ]]*NOT(ISBLANK(Tabella8[[#This Row],[rest of Italy ]]))</f>
        <v>0</v>
      </c>
      <c r="W27" s="128">
        <f>IFERROR(Ko*_xlfn.LOGNORM.DIST((Tabella8[[#This Row],[Day]]-po),mu_o,sigma_o,TRUE),0)</f>
        <v>0</v>
      </c>
      <c r="X27" s="128">
        <f>Tabella8[[#This Row],[rest of Italy fit]]/Ko</f>
        <v>0</v>
      </c>
      <c r="Y27" s="23">
        <f>Tabella8[[#This Row],[rest of Italy fit]]*NOT(ISBLANK(Tabella8[[#This Row],[rest of Italy ]]))</f>
        <v>0</v>
      </c>
      <c r="Z27" s="10">
        <f>Tabella8[[#This Row],[rest of Italy fit]]+CIo</f>
        <v>2432.9562065854871</v>
      </c>
      <c r="AA27" s="10">
        <f>MAX(Tabella8[[#This Row],[rest of Italy fit]]-CIo,0)</f>
        <v>0</v>
      </c>
      <c r="AB27" s="1"/>
      <c r="AC27" s="2" t="s">
        <v>6</v>
      </c>
      <c r="AD27" s="1">
        <f>Critical_tr*SE_of_yr</f>
        <v>2975.4614235634544</v>
      </c>
      <c r="AR27" s="47"/>
      <c r="AX27" s="84"/>
      <c r="AY27" s="84"/>
      <c r="BA27" s="33"/>
      <c r="BB27" s="33"/>
      <c r="BD27" s="87"/>
      <c r="BE27" s="87"/>
    </row>
    <row r="28" spans="2:57" ht="15" thickTop="1" x14ac:dyDescent="0.3">
      <c r="B28" s="155">
        <v>43851</v>
      </c>
      <c r="C28" s="4">
        <v>21</v>
      </c>
      <c r="D28" s="161"/>
      <c r="E28" s="10">
        <f>Tabella8[[#This Row],[Italy cumulative]]*NOT(ISBLANK(Tabella8[[#This Row],[Italy cumulative]]))</f>
        <v>0</v>
      </c>
      <c r="F28" s="10">
        <f>Tabella8[[#This Row],[Lombardy fit]]+Tabella8[[#This Row],[rest of Italy fit]]</f>
        <v>0</v>
      </c>
      <c r="G28" s="91">
        <f>Tabella8[[#This Row],[Italy sum of regions]]/K_sum</f>
        <v>0</v>
      </c>
      <c r="H28" s="10">
        <f>Tabella8[[#This Row],[Italy sum of regions]]*NOT(ISBLANK(Tabella8[[#This Row],[Italy cumulative]]))</f>
        <v>0</v>
      </c>
      <c r="I28" s="152">
        <f>IFERROR(Kt*_xlfn.LOGNORM.DIST((Tabella8[[#This Row],[Day]]-Days_back),mu_t,sigma_t,TRUE),0)</f>
        <v>0</v>
      </c>
      <c r="J28" s="153">
        <f>Tabella8[[#This Row],[Italy fit]]/Kt</f>
        <v>0</v>
      </c>
      <c r="K28" s="23">
        <f>Tabella8[[#This Row],[Italy fit]]*NOT(ISBLANK(Tabella8[[#This Row],[Italy cumulative]]))</f>
        <v>0</v>
      </c>
      <c r="L28" s="10">
        <f>Tabella8[[#This Row],[Italy sum of regions]]+CI</f>
        <v>4889.6421789935675</v>
      </c>
      <c r="M28" s="10">
        <f>MAX(Tabella8[[#This Row],[Italy sum of regions]]-CI,0)</f>
        <v>0</v>
      </c>
      <c r="N28" s="159"/>
      <c r="O28" s="10">
        <f>Tabella8[[#This Row],[Lombardy]]*NOT(ISBLANK(Tabella8[[#This Row],[Lombardy]]))</f>
        <v>0</v>
      </c>
      <c r="P28" s="127">
        <f>IFERROR(Kr*_xlfn.LOGNORM.DIST((Tabella8[[#This Row],[Day]]-pr),mu_r,sigma_r,TRUE),0)</f>
        <v>0</v>
      </c>
      <c r="Q28" s="127">
        <f>Tabella8[[#This Row],[Lombardy fit]]/Kr</f>
        <v>0</v>
      </c>
      <c r="R28" s="10">
        <f>Tabella8[[#This Row],[Lombardy fit]]*NOT(ISBLANK(Tabella8[[#This Row],[Lombardy]]))</f>
        <v>0</v>
      </c>
      <c r="S28" s="10">
        <f>Tabella8[[#This Row],[Lombardy fit]]+CIr</f>
        <v>2975.4614235634544</v>
      </c>
      <c r="T28" s="10">
        <f>MAX(Tabella8[[#This Row],[Lombardy fit]]-CIr,0)</f>
        <v>0</v>
      </c>
      <c r="U28" s="161"/>
      <c r="V28" s="10">
        <f>Tabella8[[#This Row],[rest of Italy ]]*NOT(ISBLANK(Tabella8[[#This Row],[rest of Italy ]]))</f>
        <v>0</v>
      </c>
      <c r="W28" s="128">
        <f>IFERROR(Ko*_xlfn.LOGNORM.DIST((Tabella8[[#This Row],[Day]]-po),mu_o,sigma_o,TRUE),0)</f>
        <v>0</v>
      </c>
      <c r="X28" s="128">
        <f>Tabella8[[#This Row],[rest of Italy fit]]/Ko</f>
        <v>0</v>
      </c>
      <c r="Y28" s="23">
        <f>Tabella8[[#This Row],[rest of Italy fit]]*NOT(ISBLANK(Tabella8[[#This Row],[rest of Italy ]]))</f>
        <v>0</v>
      </c>
      <c r="Z28" s="10">
        <f>Tabella8[[#This Row],[rest of Italy fit]]+CIo</f>
        <v>2432.9562065854871</v>
      </c>
      <c r="AA28" s="10">
        <f>MAX(Tabella8[[#This Row],[rest of Italy fit]]-CIo,0)</f>
        <v>0</v>
      </c>
      <c r="AB28" s="1"/>
      <c r="AC28" s="78" t="s">
        <v>371</v>
      </c>
      <c r="AD28" s="156">
        <v>31.22221573497708</v>
      </c>
      <c r="AR28" s="48">
        <f>MAX($AD$36)</f>
        <v>0.99979751372445624</v>
      </c>
      <c r="AX28" s="84"/>
      <c r="AY28" s="84"/>
      <c r="BA28" s="33"/>
      <c r="BB28" s="33"/>
      <c r="BD28" s="87"/>
      <c r="BE28" s="87"/>
    </row>
    <row r="29" spans="2:57" x14ac:dyDescent="0.3">
      <c r="B29" s="154">
        <v>43852</v>
      </c>
      <c r="C29" s="4">
        <v>22</v>
      </c>
      <c r="D29" s="10" t="s">
        <v>596</v>
      </c>
      <c r="E29" s="10">
        <f>Tabella8[[#This Row],[Italy cumulative]]*NOT(ISBLANK(Tabella8[[#This Row],[Italy cumulative]]))</f>
        <v>0</v>
      </c>
      <c r="F29" s="10">
        <f>Tabella8[[#This Row],[Lombardy fit]]+Tabella8[[#This Row],[rest of Italy fit]]</f>
        <v>0</v>
      </c>
      <c r="G29" s="91">
        <f>Tabella8[[#This Row],[Italy sum of regions]]/K_sum</f>
        <v>0</v>
      </c>
      <c r="H29" s="10">
        <f>Tabella8[[#This Row],[Italy sum of regions]]*NOT(ISBLANK(Tabella8[[#This Row],[Italy cumulative]]))</f>
        <v>0</v>
      </c>
      <c r="I29" s="152">
        <f>IFERROR(Kt*_xlfn.LOGNORM.DIST((Tabella8[[#This Row],[Day]]-Days_back),mu_t,sigma_t,TRUE),0)</f>
        <v>0</v>
      </c>
      <c r="J29" s="153">
        <f>Tabella8[[#This Row],[Italy fit]]/Kt</f>
        <v>0</v>
      </c>
      <c r="K29" s="23">
        <f>Tabella8[[#This Row],[Italy fit]]*NOT(ISBLANK(Tabella8[[#This Row],[Italy cumulative]]))</f>
        <v>0</v>
      </c>
      <c r="L29" s="10">
        <f>Tabella8[[#This Row],[Italy sum of regions]]+CI</f>
        <v>4889.6421789935675</v>
      </c>
      <c r="M29" s="10">
        <f>MAX(Tabella8[[#This Row],[Italy sum of regions]]-CI,0)</f>
        <v>0</v>
      </c>
      <c r="N29" s="159"/>
      <c r="O29" s="10">
        <f>Tabella8[[#This Row],[Lombardy]]*NOT(ISBLANK(Tabella8[[#This Row],[Lombardy]]))</f>
        <v>0</v>
      </c>
      <c r="P29" s="127">
        <f>IFERROR(Kr*_xlfn.LOGNORM.DIST((Tabella8[[#This Row],[Day]]-pr),mu_r,sigma_r,TRUE),0)</f>
        <v>0</v>
      </c>
      <c r="Q29" s="127">
        <f>Tabella8[[#This Row],[Lombardy fit]]/Kr</f>
        <v>0</v>
      </c>
      <c r="R29" s="10">
        <f>Tabella8[[#This Row],[Lombardy fit]]*NOT(ISBLANK(Tabella8[[#This Row],[Lombardy]]))</f>
        <v>0</v>
      </c>
      <c r="S29" s="10">
        <f>Tabella8[[#This Row],[Lombardy fit]]+CIr</f>
        <v>2975.4614235634544</v>
      </c>
      <c r="T29" s="10">
        <f>MAX(Tabella8[[#This Row],[Lombardy fit]]-CIr,0)</f>
        <v>0</v>
      </c>
      <c r="U29" s="161"/>
      <c r="V29" s="10">
        <f>Tabella8[[#This Row],[rest of Italy ]]*NOT(ISBLANK(Tabella8[[#This Row],[rest of Italy ]]))</f>
        <v>0</v>
      </c>
      <c r="W29" s="128">
        <f>IFERROR(Ko*_xlfn.LOGNORM.DIST((Tabella8[[#This Row],[Day]]-po),mu_o,sigma_o,TRUE),0)</f>
        <v>0</v>
      </c>
      <c r="X29" s="128">
        <f>Tabella8[[#This Row],[rest of Italy fit]]/Ko</f>
        <v>0</v>
      </c>
      <c r="Y29" s="23">
        <f>Tabella8[[#This Row],[rest of Italy fit]]*NOT(ISBLANK(Tabella8[[#This Row],[rest of Italy ]]))</f>
        <v>0</v>
      </c>
      <c r="Z29" s="10">
        <f>Tabella8[[#This Row],[rest of Italy fit]]+CIo</f>
        <v>2432.9562065854871</v>
      </c>
      <c r="AA29" s="10">
        <f>MAX(Tabella8[[#This Row],[rest of Italy fit]]-CIo,0)</f>
        <v>0</v>
      </c>
      <c r="AB29" s="1"/>
      <c r="AC29" s="32" t="s">
        <v>83</v>
      </c>
      <c r="AD29" s="33" t="s">
        <v>123</v>
      </c>
      <c r="AR29" s="49">
        <f>COUNT($AD$30,$AD$31,$AD$32,$AD$39)</f>
        <v>4</v>
      </c>
      <c r="AX29" s="84"/>
      <c r="AY29" s="84"/>
      <c r="BA29" s="33"/>
      <c r="BB29" s="33"/>
      <c r="BD29" s="87"/>
      <c r="BE29" s="87"/>
    </row>
    <row r="30" spans="2:57" x14ac:dyDescent="0.3">
      <c r="B30" s="154">
        <v>43853</v>
      </c>
      <c r="C30" s="4">
        <v>23</v>
      </c>
      <c r="D30" s="10" t="s">
        <v>596</v>
      </c>
      <c r="E30" s="10">
        <f>Tabella8[[#This Row],[Italy cumulative]]*NOT(ISBLANK(Tabella8[[#This Row],[Italy cumulative]]))</f>
        <v>0</v>
      </c>
      <c r="F30" s="10">
        <f>Tabella8[[#This Row],[Lombardy fit]]+Tabella8[[#This Row],[rest of Italy fit]]</f>
        <v>0</v>
      </c>
      <c r="G30" s="91">
        <f>Tabella8[[#This Row],[Italy sum of regions]]/K_sum</f>
        <v>0</v>
      </c>
      <c r="H30" s="10">
        <f>Tabella8[[#This Row],[Italy sum of regions]]*NOT(ISBLANK(Tabella8[[#This Row],[Italy cumulative]]))</f>
        <v>0</v>
      </c>
      <c r="I30" s="152">
        <f>IFERROR(Kt*_xlfn.LOGNORM.DIST((Tabella8[[#This Row],[Day]]-Days_back),mu_t,sigma_t,TRUE),0)</f>
        <v>0</v>
      </c>
      <c r="J30" s="153">
        <f>Tabella8[[#This Row],[Italy fit]]/Kt</f>
        <v>0</v>
      </c>
      <c r="K30" s="23">
        <f>Tabella8[[#This Row],[Italy fit]]*NOT(ISBLANK(Tabella8[[#This Row],[Italy cumulative]]))</f>
        <v>0</v>
      </c>
      <c r="L30" s="10">
        <f>Tabella8[[#This Row],[Italy sum of regions]]+CI</f>
        <v>4889.6421789935675</v>
      </c>
      <c r="M30" s="10">
        <f>MAX(Tabella8[[#This Row],[Italy sum of regions]]-CI,0)</f>
        <v>0</v>
      </c>
      <c r="N30" s="159"/>
      <c r="O30" s="10">
        <f>Tabella8[[#This Row],[Lombardy]]*NOT(ISBLANK(Tabella8[[#This Row],[Lombardy]]))</f>
        <v>0</v>
      </c>
      <c r="P30" s="127">
        <f>IFERROR(Kr*_xlfn.LOGNORM.DIST((Tabella8[[#This Row],[Day]]-pr),mu_r,sigma_r,TRUE),0)</f>
        <v>0</v>
      </c>
      <c r="Q30" s="127">
        <f>Tabella8[[#This Row],[Lombardy fit]]/Kr</f>
        <v>0</v>
      </c>
      <c r="R30" s="10">
        <f>Tabella8[[#This Row],[Lombardy fit]]*NOT(ISBLANK(Tabella8[[#This Row],[Lombardy]]))</f>
        <v>0</v>
      </c>
      <c r="S30" s="10">
        <f>Tabella8[[#This Row],[Lombardy fit]]+CIr</f>
        <v>2975.4614235634544</v>
      </c>
      <c r="T30" s="10">
        <f>MAX(Tabella8[[#This Row],[Lombardy fit]]-CIr,0)</f>
        <v>0</v>
      </c>
      <c r="U30" s="161"/>
      <c r="V30" s="10">
        <f>Tabella8[[#This Row],[rest of Italy ]]*NOT(ISBLANK(Tabella8[[#This Row],[rest of Italy ]]))</f>
        <v>0</v>
      </c>
      <c r="W30" s="128">
        <f>IFERROR(Ko*_xlfn.LOGNORM.DIST((Tabella8[[#This Row],[Day]]-po),mu_o,sigma_o,TRUE),0)</f>
        <v>0</v>
      </c>
      <c r="X30" s="128">
        <f>Tabella8[[#This Row],[rest of Italy fit]]/Ko</f>
        <v>0</v>
      </c>
      <c r="Y30" s="23">
        <f>Tabella8[[#This Row],[rest of Italy fit]]*NOT(ISBLANK(Tabella8[[#This Row],[rest of Italy ]]))</f>
        <v>0</v>
      </c>
      <c r="Z30" s="10">
        <f>Tabella8[[#This Row],[rest of Italy fit]]+CIo</f>
        <v>2432.9562065854871</v>
      </c>
      <c r="AA30" s="10">
        <f>MAX(Tabella8[[#This Row],[rest of Italy fit]]-CIo,0)</f>
        <v>0</v>
      </c>
      <c r="AB30" s="1"/>
      <c r="AC30" s="15" t="s">
        <v>0</v>
      </c>
      <c r="AD30" s="5">
        <v>147999.98277109722</v>
      </c>
      <c r="AR30" s="49" t="b">
        <f>sigma_o&gt;=0.000001</f>
        <v>1</v>
      </c>
      <c r="AX30" s="84"/>
      <c r="AY30" s="84"/>
      <c r="BA30" s="33"/>
      <c r="BB30" s="33"/>
      <c r="BD30" s="87"/>
      <c r="BE30" s="87"/>
    </row>
    <row r="31" spans="2:57" x14ac:dyDescent="0.3">
      <c r="B31" s="154">
        <v>43854</v>
      </c>
      <c r="C31" s="4">
        <v>24</v>
      </c>
      <c r="D31" s="10" t="s">
        <v>596</v>
      </c>
      <c r="E31" s="10">
        <f>Tabella8[[#This Row],[Italy cumulative]]*NOT(ISBLANK(Tabella8[[#This Row],[Italy cumulative]]))</f>
        <v>0</v>
      </c>
      <c r="F31" s="10">
        <f>Tabella8[[#This Row],[Lombardy fit]]+Tabella8[[#This Row],[rest of Italy fit]]</f>
        <v>0</v>
      </c>
      <c r="G31" s="91">
        <f>Tabella8[[#This Row],[Italy sum of regions]]/K_sum</f>
        <v>0</v>
      </c>
      <c r="H31" s="10">
        <f>Tabella8[[#This Row],[Italy sum of regions]]*NOT(ISBLANK(Tabella8[[#This Row],[Italy cumulative]]))</f>
        <v>0</v>
      </c>
      <c r="I31" s="152">
        <f>IFERROR(Kt*_xlfn.LOGNORM.DIST((Tabella8[[#This Row],[Day]]-Days_back),mu_t,sigma_t,TRUE),0)</f>
        <v>0</v>
      </c>
      <c r="J31" s="153">
        <f>Tabella8[[#This Row],[Italy fit]]/Kt</f>
        <v>0</v>
      </c>
      <c r="K31" s="23">
        <f>Tabella8[[#This Row],[Italy fit]]*NOT(ISBLANK(Tabella8[[#This Row],[Italy cumulative]]))</f>
        <v>0</v>
      </c>
      <c r="L31" s="10">
        <f>Tabella8[[#This Row],[Italy sum of regions]]+CI</f>
        <v>4889.6421789935675</v>
      </c>
      <c r="M31" s="10">
        <f>MAX(Tabella8[[#This Row],[Italy sum of regions]]-CI,0)</f>
        <v>0</v>
      </c>
      <c r="N31" s="159"/>
      <c r="O31" s="10">
        <f>Tabella8[[#This Row],[Lombardy]]*NOT(ISBLANK(Tabella8[[#This Row],[Lombardy]]))</f>
        <v>0</v>
      </c>
      <c r="P31" s="127">
        <f>IFERROR(Kr*_xlfn.LOGNORM.DIST((Tabella8[[#This Row],[Day]]-pr),mu_r,sigma_r,TRUE),0)</f>
        <v>0</v>
      </c>
      <c r="Q31" s="127">
        <f>Tabella8[[#This Row],[Lombardy fit]]/Kr</f>
        <v>0</v>
      </c>
      <c r="R31" s="10">
        <f>Tabella8[[#This Row],[Lombardy fit]]*NOT(ISBLANK(Tabella8[[#This Row],[Lombardy]]))</f>
        <v>0</v>
      </c>
      <c r="S31" s="10">
        <f>Tabella8[[#This Row],[Lombardy fit]]+CIr</f>
        <v>2975.4614235634544</v>
      </c>
      <c r="T31" s="10">
        <f>MAX(Tabella8[[#This Row],[Lombardy fit]]-CIr,0)</f>
        <v>0</v>
      </c>
      <c r="U31" s="161"/>
      <c r="V31" s="10">
        <f>Tabella8[[#This Row],[rest of Italy ]]*NOT(ISBLANK(Tabella8[[#This Row],[rest of Italy ]]))</f>
        <v>0</v>
      </c>
      <c r="W31" s="128">
        <f>IFERROR(Ko*_xlfn.LOGNORM.DIST((Tabella8[[#This Row],[Day]]-po),mu_o,sigma_o,TRUE),0)</f>
        <v>0</v>
      </c>
      <c r="X31" s="128">
        <f>Tabella8[[#This Row],[rest of Italy fit]]/Ko</f>
        <v>0</v>
      </c>
      <c r="Y31" s="23">
        <f>Tabella8[[#This Row],[rest of Italy fit]]*NOT(ISBLANK(Tabella8[[#This Row],[rest of Italy ]]))</f>
        <v>0</v>
      </c>
      <c r="Z31" s="10">
        <f>Tabella8[[#This Row],[rest of Italy fit]]+CIo</f>
        <v>2432.9562065854871</v>
      </c>
      <c r="AA31" s="10">
        <f>MAX(Tabella8[[#This Row],[rest of Italy fit]]-CIo,0)</f>
        <v>0</v>
      </c>
      <c r="AC31" s="104" t="s">
        <v>307</v>
      </c>
      <c r="AD31" s="31">
        <v>4.0471265119141284</v>
      </c>
      <c r="AG31" s="1"/>
      <c r="AR31" s="49">
        <f>{32767;32767;0.000001;0.01;FALSE;FALSE;FALSE;1;2;1;0.0001;TRUE}</f>
        <v>32767</v>
      </c>
      <c r="AX31" s="84"/>
      <c r="AY31" s="84"/>
      <c r="BA31" s="33"/>
      <c r="BB31" s="33"/>
      <c r="BD31" s="87"/>
      <c r="BE31" s="87"/>
    </row>
    <row r="32" spans="2:57" x14ac:dyDescent="0.3">
      <c r="B32" s="154">
        <v>43855</v>
      </c>
      <c r="C32" s="4">
        <v>25</v>
      </c>
      <c r="D32" s="10" t="s">
        <v>596</v>
      </c>
      <c r="E32" s="10">
        <f>Tabella8[[#This Row],[Italy cumulative]]*NOT(ISBLANK(Tabella8[[#This Row],[Italy cumulative]]))</f>
        <v>0</v>
      </c>
      <c r="F32" s="10">
        <f>Tabella8[[#This Row],[Lombardy fit]]+Tabella8[[#This Row],[rest of Italy fit]]</f>
        <v>0</v>
      </c>
      <c r="G32" s="91">
        <f>Tabella8[[#This Row],[Italy sum of regions]]/K_sum</f>
        <v>0</v>
      </c>
      <c r="H32" s="10">
        <f>Tabella8[[#This Row],[Italy sum of regions]]*NOT(ISBLANK(Tabella8[[#This Row],[Italy cumulative]]))</f>
        <v>0</v>
      </c>
      <c r="I32" s="152">
        <f>IFERROR(Kt*_xlfn.LOGNORM.DIST((Tabella8[[#This Row],[Day]]-Days_back),mu_t,sigma_t,TRUE),0)</f>
        <v>0</v>
      </c>
      <c r="J32" s="153">
        <f>Tabella8[[#This Row],[Italy fit]]/Kt</f>
        <v>0</v>
      </c>
      <c r="K32" s="23">
        <f>Tabella8[[#This Row],[Italy fit]]*NOT(ISBLANK(Tabella8[[#This Row],[Italy cumulative]]))</f>
        <v>0</v>
      </c>
      <c r="L32" s="10">
        <f>Tabella8[[#This Row],[Italy sum of regions]]+CI</f>
        <v>4889.6421789935675</v>
      </c>
      <c r="M32" s="10">
        <f>MAX(Tabella8[[#This Row],[Italy sum of regions]]-CI,0)</f>
        <v>0</v>
      </c>
      <c r="N32" s="159"/>
      <c r="O32" s="10">
        <f>Tabella8[[#This Row],[Lombardy]]*NOT(ISBLANK(Tabella8[[#This Row],[Lombardy]]))</f>
        <v>0</v>
      </c>
      <c r="P32" s="127">
        <f>IFERROR(Kr*_xlfn.LOGNORM.DIST((Tabella8[[#This Row],[Day]]-pr),mu_r,sigma_r,TRUE),0)</f>
        <v>0</v>
      </c>
      <c r="Q32" s="127">
        <f>Tabella8[[#This Row],[Lombardy fit]]/Kr</f>
        <v>0</v>
      </c>
      <c r="R32" s="10">
        <f>Tabella8[[#This Row],[Lombardy fit]]*NOT(ISBLANK(Tabella8[[#This Row],[Lombardy]]))</f>
        <v>0</v>
      </c>
      <c r="S32" s="10">
        <f>Tabella8[[#This Row],[Lombardy fit]]+CIr</f>
        <v>2975.4614235634544</v>
      </c>
      <c r="T32" s="10">
        <f>MAX(Tabella8[[#This Row],[Lombardy fit]]-CIr,0)</f>
        <v>0</v>
      </c>
      <c r="U32" s="161"/>
      <c r="V32" s="10">
        <f>Tabella8[[#This Row],[rest of Italy ]]*NOT(ISBLANK(Tabella8[[#This Row],[rest of Italy ]]))</f>
        <v>0</v>
      </c>
      <c r="W32" s="128">
        <f>IFERROR(Ko*_xlfn.LOGNORM.DIST((Tabella8[[#This Row],[Day]]-po),mu_o,sigma_o,TRUE),0)</f>
        <v>0</v>
      </c>
      <c r="X32" s="128">
        <f>Tabella8[[#This Row],[rest of Italy fit]]/Ko</f>
        <v>0</v>
      </c>
      <c r="Y32" s="23">
        <f>Tabella8[[#This Row],[rest of Italy fit]]*NOT(ISBLANK(Tabella8[[#This Row],[rest of Italy ]]))</f>
        <v>0</v>
      </c>
      <c r="Z32" s="10">
        <f>Tabella8[[#This Row],[rest of Italy fit]]+CIo</f>
        <v>2432.9562065854871</v>
      </c>
      <c r="AA32" s="10">
        <f>MAX(Tabella8[[#This Row],[rest of Italy fit]]-CIo,0)</f>
        <v>0</v>
      </c>
      <c r="AC32" s="15" t="s">
        <v>308</v>
      </c>
      <c r="AD32" s="31">
        <v>0.32148638864951307</v>
      </c>
      <c r="AR32" s="49">
        <f>{0;0;1;200;0;FALSE;FALSE;0.075;0;0;FALSE;30}</f>
        <v>0</v>
      </c>
      <c r="AX32" s="84"/>
      <c r="AY32" s="84"/>
      <c r="BA32" s="33"/>
      <c r="BB32" s="33"/>
      <c r="BD32" s="87"/>
      <c r="BE32" s="87"/>
    </row>
    <row r="33" spans="2:57" x14ac:dyDescent="0.3">
      <c r="B33" s="154">
        <v>43856</v>
      </c>
      <c r="C33" s="4">
        <v>26</v>
      </c>
      <c r="D33" s="10" t="s">
        <v>596</v>
      </c>
      <c r="E33" s="10">
        <f>Tabella8[[#This Row],[Italy cumulative]]*NOT(ISBLANK(Tabella8[[#This Row],[Italy cumulative]]))</f>
        <v>0</v>
      </c>
      <c r="F33" s="10">
        <f>Tabella8[[#This Row],[Lombardy fit]]+Tabella8[[#This Row],[rest of Italy fit]]</f>
        <v>0</v>
      </c>
      <c r="G33" s="91">
        <f>Tabella8[[#This Row],[Italy sum of regions]]/K_sum</f>
        <v>0</v>
      </c>
      <c r="H33" s="10">
        <f>Tabella8[[#This Row],[Italy sum of regions]]*NOT(ISBLANK(Tabella8[[#This Row],[Italy cumulative]]))</f>
        <v>0</v>
      </c>
      <c r="I33" s="152">
        <f>IFERROR(Kt*_xlfn.LOGNORM.DIST((Tabella8[[#This Row],[Day]]-Days_back),mu_t,sigma_t,TRUE),0)</f>
        <v>0</v>
      </c>
      <c r="J33" s="153">
        <f>Tabella8[[#This Row],[Italy fit]]/Kt</f>
        <v>0</v>
      </c>
      <c r="K33" s="23">
        <f>Tabella8[[#This Row],[Italy fit]]*NOT(ISBLANK(Tabella8[[#This Row],[Italy cumulative]]))</f>
        <v>0</v>
      </c>
      <c r="L33" s="10">
        <f>Tabella8[[#This Row],[Italy sum of regions]]+CI</f>
        <v>4889.6421789935675</v>
      </c>
      <c r="M33" s="10">
        <f>MAX(Tabella8[[#This Row],[Italy sum of regions]]-CI,0)</f>
        <v>0</v>
      </c>
      <c r="N33" s="159"/>
      <c r="O33" s="10">
        <f>Tabella8[[#This Row],[Lombardy]]*NOT(ISBLANK(Tabella8[[#This Row],[Lombardy]]))</f>
        <v>0</v>
      </c>
      <c r="P33" s="127">
        <f>IFERROR(Kr*_xlfn.LOGNORM.DIST((Tabella8[[#This Row],[Day]]-pr),mu_r,sigma_r,TRUE),0)</f>
        <v>0</v>
      </c>
      <c r="Q33" s="127">
        <f>Tabella8[[#This Row],[Lombardy fit]]/Kr</f>
        <v>0</v>
      </c>
      <c r="R33" s="10">
        <f>Tabella8[[#This Row],[Lombardy fit]]*NOT(ISBLANK(Tabella8[[#This Row],[Lombardy]]))</f>
        <v>0</v>
      </c>
      <c r="S33" s="10">
        <f>Tabella8[[#This Row],[Lombardy fit]]+CIr</f>
        <v>2975.4614235634544</v>
      </c>
      <c r="T33" s="10">
        <f>MAX(Tabella8[[#This Row],[Lombardy fit]]-CIr,0)</f>
        <v>0</v>
      </c>
      <c r="U33" s="161"/>
      <c r="V33" s="10">
        <f>Tabella8[[#This Row],[rest of Italy ]]*NOT(ISBLANK(Tabella8[[#This Row],[rest of Italy ]]))</f>
        <v>0</v>
      </c>
      <c r="W33" s="128">
        <f>IFERROR(Ko*_xlfn.LOGNORM.DIST((Tabella8[[#This Row],[Day]]-po),mu_o,sigma_o,TRUE),0)</f>
        <v>0</v>
      </c>
      <c r="X33" s="128">
        <f>Tabella8[[#This Row],[rest of Italy fit]]/Ko</f>
        <v>0</v>
      </c>
      <c r="Y33" s="23">
        <f>Tabella8[[#This Row],[rest of Italy fit]]*NOT(ISBLANK(Tabella8[[#This Row],[rest of Italy ]]))</f>
        <v>0</v>
      </c>
      <c r="Z33" s="10">
        <f>Tabella8[[#This Row],[rest of Italy fit]]+CIo</f>
        <v>2432.9562065854871</v>
      </c>
      <c r="AA33" s="10">
        <f>MAX(Tabella8[[#This Row],[rest of Italy fit]]-CIo,0)</f>
        <v>0</v>
      </c>
      <c r="AC33" s="2" t="s">
        <v>1</v>
      </c>
      <c r="AD33" s="1">
        <f>AVERAGE(Tabella8[[rest of Italy ]])</f>
        <v>53443.415384615386</v>
      </c>
      <c r="AR33" s="50">
        <f>{0;0;1;200;0;FALSE;FALSE;0.075;0;0;FALSE;30}</f>
        <v>0</v>
      </c>
      <c r="AX33" s="84"/>
      <c r="AY33" s="84"/>
      <c r="BA33" s="33"/>
      <c r="BB33" s="33"/>
      <c r="BD33" s="87"/>
      <c r="BE33" s="87"/>
    </row>
    <row r="34" spans="2:57" x14ac:dyDescent="0.3">
      <c r="B34" s="154">
        <v>43857</v>
      </c>
      <c r="C34" s="4">
        <v>27</v>
      </c>
      <c r="D34" s="10" t="s">
        <v>596</v>
      </c>
      <c r="E34" s="10">
        <f>Tabella8[[#This Row],[Italy cumulative]]*NOT(ISBLANK(Tabella8[[#This Row],[Italy cumulative]]))</f>
        <v>0</v>
      </c>
      <c r="F34" s="10">
        <f>Tabella8[[#This Row],[Lombardy fit]]+Tabella8[[#This Row],[rest of Italy fit]]</f>
        <v>0</v>
      </c>
      <c r="G34" s="91">
        <f>Tabella8[[#This Row],[Italy sum of regions]]/K_sum</f>
        <v>0</v>
      </c>
      <c r="H34" s="10">
        <f>Tabella8[[#This Row],[Italy sum of regions]]*NOT(ISBLANK(Tabella8[[#This Row],[Italy cumulative]]))</f>
        <v>0</v>
      </c>
      <c r="I34" s="152">
        <f>IFERROR(Kt*_xlfn.LOGNORM.DIST((Tabella8[[#This Row],[Day]]-Days_back),mu_t,sigma_t,TRUE),0)</f>
        <v>0</v>
      </c>
      <c r="J34" s="153">
        <f>Tabella8[[#This Row],[Italy fit]]/Kt</f>
        <v>0</v>
      </c>
      <c r="K34" s="23">
        <f>Tabella8[[#This Row],[Italy fit]]*NOT(ISBLANK(Tabella8[[#This Row],[Italy cumulative]]))</f>
        <v>0</v>
      </c>
      <c r="L34" s="10">
        <f>Tabella8[[#This Row],[Italy sum of regions]]+CI</f>
        <v>4889.6421789935675</v>
      </c>
      <c r="M34" s="10">
        <f>MAX(Tabella8[[#This Row],[Italy sum of regions]]-CI,0)</f>
        <v>0</v>
      </c>
      <c r="N34" s="159"/>
      <c r="O34" s="10">
        <f>Tabella8[[#This Row],[Lombardy]]*NOT(ISBLANK(Tabella8[[#This Row],[Lombardy]]))</f>
        <v>0</v>
      </c>
      <c r="P34" s="127">
        <f>IFERROR(Kr*_xlfn.LOGNORM.DIST((Tabella8[[#This Row],[Day]]-pr),mu_r,sigma_r,TRUE),0)</f>
        <v>0</v>
      </c>
      <c r="Q34" s="127">
        <f>Tabella8[[#This Row],[Lombardy fit]]/Kr</f>
        <v>0</v>
      </c>
      <c r="R34" s="10">
        <f>Tabella8[[#This Row],[Lombardy fit]]*NOT(ISBLANK(Tabella8[[#This Row],[Lombardy]]))</f>
        <v>0</v>
      </c>
      <c r="S34" s="10">
        <f>Tabella8[[#This Row],[Lombardy fit]]+CIr</f>
        <v>2975.4614235634544</v>
      </c>
      <c r="T34" s="10">
        <f>MAX(Tabella8[[#This Row],[Lombardy fit]]-CIr,0)</f>
        <v>0</v>
      </c>
      <c r="U34" s="161"/>
      <c r="V34" s="10">
        <f>Tabella8[[#This Row],[rest of Italy ]]*NOT(ISBLANK(Tabella8[[#This Row],[rest of Italy ]]))</f>
        <v>0</v>
      </c>
      <c r="W34" s="128">
        <f>IFERROR(Ko*_xlfn.LOGNORM.DIST((Tabella8[[#This Row],[Day]]-po),mu_o,sigma_o,TRUE),0)</f>
        <v>0</v>
      </c>
      <c r="X34" s="128">
        <f>Tabella8[[#This Row],[rest of Italy fit]]/Ko</f>
        <v>0</v>
      </c>
      <c r="Y34" s="23">
        <f>Tabella8[[#This Row],[rest of Italy fit]]*NOT(ISBLANK(Tabella8[[#This Row],[rest of Italy ]]))</f>
        <v>0</v>
      </c>
      <c r="Z34" s="10">
        <f>Tabella8[[#This Row],[rest of Italy fit]]+CIo</f>
        <v>2432.9562065854871</v>
      </c>
      <c r="AA34" s="10">
        <f>MAX(Tabella8[[#This Row],[rest of Italy fit]]-CIo,0)</f>
        <v>0</v>
      </c>
      <c r="AC34" s="2" t="s">
        <v>2</v>
      </c>
      <c r="AD34" s="1">
        <f>COUNT(Tabella8[[rest of Italy ]])-COUNT(AD30:AD32)</f>
        <v>62</v>
      </c>
      <c r="AR34" s="46"/>
      <c r="AX34" s="84"/>
      <c r="AY34" s="84"/>
      <c r="BA34" s="33"/>
      <c r="BB34" s="33"/>
      <c r="BD34" s="87"/>
      <c r="BE34" s="87"/>
    </row>
    <row r="35" spans="2:57" x14ac:dyDescent="0.3">
      <c r="B35" s="154">
        <v>43858</v>
      </c>
      <c r="C35" s="4">
        <v>28</v>
      </c>
      <c r="D35" s="10" t="s">
        <v>596</v>
      </c>
      <c r="E35" s="10">
        <f>Tabella8[[#This Row],[Italy cumulative]]*NOT(ISBLANK(Tabella8[[#This Row],[Italy cumulative]]))</f>
        <v>0</v>
      </c>
      <c r="F35" s="10">
        <f>Tabella8[[#This Row],[Lombardy fit]]+Tabella8[[#This Row],[rest of Italy fit]]</f>
        <v>0</v>
      </c>
      <c r="G35" s="91">
        <f>Tabella8[[#This Row],[Italy sum of regions]]/K_sum</f>
        <v>0</v>
      </c>
      <c r="H35" s="10">
        <f>Tabella8[[#This Row],[Italy sum of regions]]*NOT(ISBLANK(Tabella8[[#This Row],[Italy cumulative]]))</f>
        <v>0</v>
      </c>
      <c r="I35" s="152">
        <f>IFERROR(Kt*_xlfn.LOGNORM.DIST((Tabella8[[#This Row],[Day]]-Days_back),mu_t,sigma_t,TRUE),0)</f>
        <v>0</v>
      </c>
      <c r="J35" s="153">
        <f>Tabella8[[#This Row],[Italy fit]]/Kt</f>
        <v>0</v>
      </c>
      <c r="K35" s="23">
        <f>Tabella8[[#This Row],[Italy fit]]*NOT(ISBLANK(Tabella8[[#This Row],[Italy cumulative]]))</f>
        <v>0</v>
      </c>
      <c r="L35" s="10">
        <f>Tabella8[[#This Row],[Italy sum of regions]]+CI</f>
        <v>4889.6421789935675</v>
      </c>
      <c r="M35" s="10">
        <f>MAX(Tabella8[[#This Row],[Italy sum of regions]]-CI,0)</f>
        <v>0</v>
      </c>
      <c r="N35" s="159"/>
      <c r="O35" s="10">
        <f>Tabella8[[#This Row],[Lombardy]]*NOT(ISBLANK(Tabella8[[#This Row],[Lombardy]]))</f>
        <v>0</v>
      </c>
      <c r="P35" s="127">
        <f>IFERROR(Kr*_xlfn.LOGNORM.DIST((Tabella8[[#This Row],[Day]]-pr),mu_r,sigma_r,TRUE),0)</f>
        <v>0</v>
      </c>
      <c r="Q35" s="127">
        <f>Tabella8[[#This Row],[Lombardy fit]]/Kr</f>
        <v>0</v>
      </c>
      <c r="R35" s="10">
        <f>Tabella8[[#This Row],[Lombardy fit]]*NOT(ISBLANK(Tabella8[[#This Row],[Lombardy]]))</f>
        <v>0</v>
      </c>
      <c r="S35" s="10">
        <f>Tabella8[[#This Row],[Lombardy fit]]+CIr</f>
        <v>2975.4614235634544</v>
      </c>
      <c r="T35" s="10">
        <f>MAX(Tabella8[[#This Row],[Lombardy fit]]-CIr,0)</f>
        <v>0</v>
      </c>
      <c r="U35" s="161"/>
      <c r="V35" s="10">
        <f>Tabella8[[#This Row],[rest of Italy ]]*NOT(ISBLANK(Tabella8[[#This Row],[rest of Italy ]]))</f>
        <v>0</v>
      </c>
      <c r="W35" s="128">
        <f>IFERROR(Ko*_xlfn.LOGNORM.DIST((Tabella8[[#This Row],[Day]]-po),mu_o,sigma_o,TRUE),0)</f>
        <v>0</v>
      </c>
      <c r="X35" s="128">
        <f>Tabella8[[#This Row],[rest of Italy fit]]/Ko</f>
        <v>0</v>
      </c>
      <c r="Y35" s="23">
        <f>Tabella8[[#This Row],[rest of Italy fit]]*NOT(ISBLANK(Tabella8[[#This Row],[rest of Italy ]]))</f>
        <v>0</v>
      </c>
      <c r="Z35" s="10">
        <f>Tabella8[[#This Row],[rest of Italy fit]]+CIo</f>
        <v>2432.9562065854871</v>
      </c>
      <c r="AA35" s="10">
        <f>MAX(Tabella8[[#This Row],[rest of Italy fit]]-CIo,0)</f>
        <v>0</v>
      </c>
      <c r="AC35" s="2" t="s">
        <v>3</v>
      </c>
      <c r="AD35" s="6" cm="1">
        <f t="array" ref="AD35">SQRT(SUM((Tabella8[Colonna6]-Tabella8[Colonna7])^2)/dfo)</f>
        <v>1217.1039886532114</v>
      </c>
      <c r="AR35" s="46"/>
      <c r="AX35" s="84"/>
      <c r="AY35" s="84"/>
      <c r="BA35" s="33"/>
      <c r="BB35" s="33"/>
      <c r="BD35" s="87"/>
      <c r="BE35" s="87"/>
    </row>
    <row r="36" spans="2:57" ht="16.2" x14ac:dyDescent="0.3">
      <c r="B36" s="154">
        <v>43859</v>
      </c>
      <c r="C36" s="4">
        <v>29</v>
      </c>
      <c r="D36" s="10" t="s">
        <v>596</v>
      </c>
      <c r="E36" s="10">
        <f>Tabella8[[#This Row],[Italy cumulative]]*NOT(ISBLANK(Tabella8[[#This Row],[Italy cumulative]]))</f>
        <v>0</v>
      </c>
      <c r="F36" s="10">
        <f>Tabella8[[#This Row],[Lombardy fit]]+Tabella8[[#This Row],[rest of Italy fit]]</f>
        <v>0</v>
      </c>
      <c r="G36" s="91">
        <f>Tabella8[[#This Row],[Italy sum of regions]]/K_sum</f>
        <v>0</v>
      </c>
      <c r="H36" s="10">
        <f>Tabella8[[#This Row],[Italy sum of regions]]*NOT(ISBLANK(Tabella8[[#This Row],[Italy cumulative]]))</f>
        <v>0</v>
      </c>
      <c r="I36" s="152">
        <f>IFERROR(Kt*_xlfn.LOGNORM.DIST((Tabella8[[#This Row],[Day]]-Days_back),mu_t,sigma_t,TRUE),0)</f>
        <v>0</v>
      </c>
      <c r="J36" s="153">
        <f>Tabella8[[#This Row],[Italy fit]]/Kt</f>
        <v>0</v>
      </c>
      <c r="K36" s="23">
        <f>Tabella8[[#This Row],[Italy fit]]*NOT(ISBLANK(Tabella8[[#This Row],[Italy cumulative]]))</f>
        <v>0</v>
      </c>
      <c r="L36" s="10">
        <f>Tabella8[[#This Row],[Italy sum of regions]]+CI</f>
        <v>4889.6421789935675</v>
      </c>
      <c r="M36" s="10">
        <f>MAX(Tabella8[[#This Row],[Italy sum of regions]]-CI,0)</f>
        <v>0</v>
      </c>
      <c r="N36" s="159"/>
      <c r="O36" s="10">
        <f>Tabella8[[#This Row],[Lombardy]]*NOT(ISBLANK(Tabella8[[#This Row],[Lombardy]]))</f>
        <v>0</v>
      </c>
      <c r="P36" s="127">
        <f>IFERROR(Kr*_xlfn.LOGNORM.DIST((Tabella8[[#This Row],[Day]]-pr),mu_r,sigma_r,TRUE),0)</f>
        <v>0</v>
      </c>
      <c r="Q36" s="127">
        <f>Tabella8[[#This Row],[Lombardy fit]]/Kr</f>
        <v>0</v>
      </c>
      <c r="R36" s="10">
        <f>Tabella8[[#This Row],[Lombardy fit]]*NOT(ISBLANK(Tabella8[[#This Row],[Lombardy]]))</f>
        <v>0</v>
      </c>
      <c r="S36" s="10">
        <f>Tabella8[[#This Row],[Lombardy fit]]+CIr</f>
        <v>2975.4614235634544</v>
      </c>
      <c r="T36" s="10">
        <f>MAX(Tabella8[[#This Row],[Lombardy fit]]-CIr,0)</f>
        <v>0</v>
      </c>
      <c r="U36" s="161"/>
      <c r="V36" s="10">
        <f>Tabella8[[#This Row],[rest of Italy ]]*NOT(ISBLANK(Tabella8[[#This Row],[rest of Italy ]]))</f>
        <v>0</v>
      </c>
      <c r="W36" s="128">
        <f>IFERROR(Ko*_xlfn.LOGNORM.DIST((Tabella8[[#This Row],[Day]]-po),mu_o,sigma_o,TRUE),0)</f>
        <v>0</v>
      </c>
      <c r="X36" s="128">
        <f>Tabella8[[#This Row],[rest of Italy fit]]/Ko</f>
        <v>0</v>
      </c>
      <c r="Y36" s="23">
        <f>Tabella8[[#This Row],[rest of Italy fit]]*NOT(ISBLANK(Tabella8[[#This Row],[rest of Italy ]]))</f>
        <v>0</v>
      </c>
      <c r="Z36" s="10">
        <f>Tabella8[[#This Row],[rest of Italy fit]]+CIo</f>
        <v>2432.9562065854871</v>
      </c>
      <c r="AA36" s="10">
        <f>MAX(Tabella8[[#This Row],[rest of Italy fit]]-CIo,0)</f>
        <v>0</v>
      </c>
      <c r="AC36" s="2" t="s">
        <v>4</v>
      </c>
      <c r="AD36" s="7" cm="1">
        <f t="array" ref="AD36">1-SUM((Tabella8[Colonna6]-Tabella8[Colonna7])^2)/SUM((Tabella8[Colonna6]-Mean_of_yo)^2)</f>
        <v>0.99979751372445624</v>
      </c>
      <c r="AR36" s="46"/>
      <c r="AX36" s="84"/>
      <c r="AY36" s="84"/>
      <c r="BA36" s="33"/>
      <c r="BB36" s="33"/>
      <c r="BD36" s="87"/>
      <c r="BE36" s="87"/>
    </row>
    <row r="37" spans="2:57" ht="15" thickBot="1" x14ac:dyDescent="0.35">
      <c r="B37" s="154">
        <v>43860</v>
      </c>
      <c r="C37" s="4">
        <v>30</v>
      </c>
      <c r="D37" s="10" t="s">
        <v>596</v>
      </c>
      <c r="E37" s="10">
        <f>Tabella8[[#This Row],[Italy cumulative]]*NOT(ISBLANK(Tabella8[[#This Row],[Italy cumulative]]))</f>
        <v>0</v>
      </c>
      <c r="F37" s="10">
        <f>Tabella8[[#This Row],[Lombardy fit]]+Tabella8[[#This Row],[rest of Italy fit]]</f>
        <v>0</v>
      </c>
      <c r="G37" s="91">
        <f>Tabella8[[#This Row],[Italy sum of regions]]/K_sum</f>
        <v>0</v>
      </c>
      <c r="H37" s="10">
        <f>Tabella8[[#This Row],[Italy sum of regions]]*NOT(ISBLANK(Tabella8[[#This Row],[Italy cumulative]]))</f>
        <v>0</v>
      </c>
      <c r="I37" s="152">
        <f>IFERROR(Kt*_xlfn.LOGNORM.DIST((Tabella8[[#This Row],[Day]]-Days_back),mu_t,sigma_t,TRUE),0)</f>
        <v>0</v>
      </c>
      <c r="J37" s="153">
        <f>Tabella8[[#This Row],[Italy fit]]/Kt</f>
        <v>0</v>
      </c>
      <c r="K37" s="23">
        <f>Tabella8[[#This Row],[Italy fit]]*NOT(ISBLANK(Tabella8[[#This Row],[Italy cumulative]]))</f>
        <v>0</v>
      </c>
      <c r="L37" s="10">
        <f>Tabella8[[#This Row],[Italy sum of regions]]+CI</f>
        <v>4889.6421789935675</v>
      </c>
      <c r="M37" s="10">
        <f>MAX(Tabella8[[#This Row],[Italy sum of regions]]-CI,0)</f>
        <v>0</v>
      </c>
      <c r="N37" s="159"/>
      <c r="O37" s="10">
        <f>Tabella8[[#This Row],[Lombardy]]*NOT(ISBLANK(Tabella8[[#This Row],[Lombardy]]))</f>
        <v>0</v>
      </c>
      <c r="P37" s="127">
        <f>IFERROR(Kr*_xlfn.LOGNORM.DIST((Tabella8[[#This Row],[Day]]-pr),mu_r,sigma_r,TRUE),0)</f>
        <v>0</v>
      </c>
      <c r="Q37" s="127">
        <f>Tabella8[[#This Row],[Lombardy fit]]/Kr</f>
        <v>0</v>
      </c>
      <c r="R37" s="10">
        <f>Tabella8[[#This Row],[Lombardy fit]]*NOT(ISBLANK(Tabella8[[#This Row],[Lombardy]]))</f>
        <v>0</v>
      </c>
      <c r="S37" s="10">
        <f>Tabella8[[#This Row],[Lombardy fit]]+CIr</f>
        <v>2975.4614235634544</v>
      </c>
      <c r="T37" s="10">
        <f>MAX(Tabella8[[#This Row],[Lombardy fit]]-CIr,0)</f>
        <v>0</v>
      </c>
      <c r="U37" s="161"/>
      <c r="V37" s="10">
        <f>Tabella8[[#This Row],[rest of Italy ]]*NOT(ISBLANK(Tabella8[[#This Row],[rest of Italy ]]))</f>
        <v>0</v>
      </c>
      <c r="W37" s="128">
        <f>IFERROR(Ko*_xlfn.LOGNORM.DIST((Tabella8[[#This Row],[Day]]-po),mu_o,sigma_o,TRUE),0)</f>
        <v>0</v>
      </c>
      <c r="X37" s="128">
        <f>Tabella8[[#This Row],[rest of Italy fit]]/Ko</f>
        <v>0</v>
      </c>
      <c r="Y37" s="23">
        <f>Tabella8[[#This Row],[rest of Italy fit]]*NOT(ISBLANK(Tabella8[[#This Row],[rest of Italy ]]))</f>
        <v>0</v>
      </c>
      <c r="Z37" s="10">
        <f>Tabella8[[#This Row],[rest of Italy fit]]+CIo</f>
        <v>2432.9562065854871</v>
      </c>
      <c r="AA37" s="10">
        <f>MAX(Tabella8[[#This Row],[rest of Italy fit]]-CIo,0)</f>
        <v>0</v>
      </c>
      <c r="AC37" s="2" t="s">
        <v>5</v>
      </c>
      <c r="AD37" s="7">
        <f>TINV(0.05,dfo)</f>
        <v>1.9989715170333793</v>
      </c>
      <c r="AR37" s="47"/>
      <c r="AX37" s="84"/>
      <c r="AY37" s="84"/>
      <c r="BA37" s="33"/>
      <c r="BB37" s="33"/>
      <c r="BD37" s="87"/>
      <c r="BE37" s="87"/>
    </row>
    <row r="38" spans="2:57" ht="15" thickTop="1" x14ac:dyDescent="0.3">
      <c r="B38" s="154">
        <v>43861</v>
      </c>
      <c r="C38" s="4">
        <v>31</v>
      </c>
      <c r="D38" s="10" t="s">
        <v>641</v>
      </c>
      <c r="E38" s="10">
        <f>Tabella8[[#This Row],[Italy cumulative]]*NOT(ISBLANK(Tabella8[[#This Row],[Italy cumulative]]))</f>
        <v>2</v>
      </c>
      <c r="F38" s="10">
        <f>Tabella8[[#This Row],[Lombardy fit]]+Tabella8[[#This Row],[rest of Italy fit]]</f>
        <v>0</v>
      </c>
      <c r="G38" s="91">
        <f>Tabella8[[#This Row],[Italy sum of regions]]/K_sum</f>
        <v>0</v>
      </c>
      <c r="H38" s="10">
        <f>Tabella8[[#This Row],[Italy sum of regions]]*NOT(ISBLANK(Tabella8[[#This Row],[Italy cumulative]]))</f>
        <v>0</v>
      </c>
      <c r="I38" s="152">
        <f>IFERROR(Kt*_xlfn.LOGNORM.DIST((Tabella8[[#This Row],[Day]]-Days_back),mu_t,sigma_t,TRUE),0)</f>
        <v>0</v>
      </c>
      <c r="J38" s="153">
        <f>Tabella8[[#This Row],[Italy fit]]/Kt</f>
        <v>0</v>
      </c>
      <c r="K38" s="23">
        <f>Tabella8[[#This Row],[Italy fit]]*NOT(ISBLANK(Tabella8[[#This Row],[Italy cumulative]]))</f>
        <v>0</v>
      </c>
      <c r="L38" s="10">
        <f>Tabella8[[#This Row],[Italy sum of regions]]+CI</f>
        <v>4889.6421789935675</v>
      </c>
      <c r="M38" s="10">
        <f>MAX(Tabella8[[#This Row],[Italy sum of regions]]-CI,0)</f>
        <v>0</v>
      </c>
      <c r="N38" s="159"/>
      <c r="O38" s="10">
        <f>Tabella8[[#This Row],[Lombardy]]*NOT(ISBLANK(Tabella8[[#This Row],[Lombardy]]))</f>
        <v>0</v>
      </c>
      <c r="P38" s="127">
        <f>IFERROR(Kr*_xlfn.LOGNORM.DIST((Tabella8[[#This Row],[Day]]-pr),mu_r,sigma_r,TRUE),0)</f>
        <v>0</v>
      </c>
      <c r="Q38" s="127">
        <f>Tabella8[[#This Row],[Lombardy fit]]/Kr</f>
        <v>0</v>
      </c>
      <c r="R38" s="10">
        <f>Tabella8[[#This Row],[Lombardy fit]]*NOT(ISBLANK(Tabella8[[#This Row],[Lombardy]]))</f>
        <v>0</v>
      </c>
      <c r="S38" s="10">
        <f>Tabella8[[#This Row],[Lombardy fit]]+CIr</f>
        <v>2975.4614235634544</v>
      </c>
      <c r="T38" s="10">
        <f>MAX(Tabella8[[#This Row],[Lombardy fit]]-CIr,0)</f>
        <v>0</v>
      </c>
      <c r="U38" s="161"/>
      <c r="V38" s="10">
        <f>Tabella8[[#This Row],[rest of Italy ]]*NOT(ISBLANK(Tabella8[[#This Row],[rest of Italy ]]))</f>
        <v>0</v>
      </c>
      <c r="W38" s="128">
        <f>IFERROR(Ko*_xlfn.LOGNORM.DIST((Tabella8[[#This Row],[Day]]-po),mu_o,sigma_o,TRUE),0)</f>
        <v>0</v>
      </c>
      <c r="X38" s="128">
        <f>Tabella8[[#This Row],[rest of Italy fit]]/Ko</f>
        <v>0</v>
      </c>
      <c r="Y38" s="23">
        <f>Tabella8[[#This Row],[rest of Italy fit]]*NOT(ISBLANK(Tabella8[[#This Row],[rest of Italy ]]))</f>
        <v>0</v>
      </c>
      <c r="Z38" s="10">
        <f>Tabella8[[#This Row],[rest of Italy fit]]+CIo</f>
        <v>2432.9562065854871</v>
      </c>
      <c r="AA38" s="10">
        <f>MAX(Tabella8[[#This Row],[rest of Italy fit]]-CIo,0)</f>
        <v>0</v>
      </c>
      <c r="AC38" s="2" t="s">
        <v>6</v>
      </c>
      <c r="AD38" s="1">
        <f>Critical_to*SE_of_yo</f>
        <v>2432.9562065854871</v>
      </c>
      <c r="AR38" s="51">
        <f>MAX($AD$47)</f>
        <v>0.9996525580013611</v>
      </c>
      <c r="AX38" s="84"/>
      <c r="AY38" s="84"/>
      <c r="BA38" s="33"/>
      <c r="BB38" s="33"/>
      <c r="BD38" s="87"/>
      <c r="BE38" s="87"/>
    </row>
    <row r="39" spans="2:57" x14ac:dyDescent="0.3">
      <c r="B39" s="154">
        <v>43862</v>
      </c>
      <c r="C39" s="4">
        <v>32</v>
      </c>
      <c r="D39" s="10" t="s">
        <v>641</v>
      </c>
      <c r="E39" s="10">
        <f>Tabella8[[#This Row],[Italy cumulative]]*NOT(ISBLANK(Tabella8[[#This Row],[Italy cumulative]]))</f>
        <v>2</v>
      </c>
      <c r="F39" s="10">
        <f>Tabella8[[#This Row],[Lombardy fit]]+Tabella8[[#This Row],[rest of Italy fit]]</f>
        <v>4.5004674482023335E-33</v>
      </c>
      <c r="G39" s="91">
        <f>Tabella8[[#This Row],[Italy sum of regions]]/K_sum</f>
        <v>1.9150926715539524E-38</v>
      </c>
      <c r="H39" s="10">
        <f>Tabella8[[#This Row],[Italy sum of regions]]*NOT(ISBLANK(Tabella8[[#This Row],[Italy cumulative]]))</f>
        <v>4.5004674482023335E-33</v>
      </c>
      <c r="I39" s="152">
        <f>IFERROR(Kt*_xlfn.LOGNORM.DIST((Tabella8[[#This Row],[Day]]-Days_back),mu_t,sigma_t,TRUE),0)</f>
        <v>1.2186525250989826E-49</v>
      </c>
      <c r="J39" s="153">
        <f>Tabella8[[#This Row],[Italy fit]]/Kt</f>
        <v>5.1857568409077082E-55</v>
      </c>
      <c r="K39" s="23">
        <f>Tabella8[[#This Row],[Italy fit]]*NOT(ISBLANK(Tabella8[[#This Row],[Italy cumulative]]))</f>
        <v>1.2186525250989826E-49</v>
      </c>
      <c r="L39" s="10">
        <f>Tabella8[[#This Row],[Italy sum of regions]]+CI</f>
        <v>4889.6421789935675</v>
      </c>
      <c r="M39" s="10">
        <f>MAX(Tabella8[[#This Row],[Italy sum of regions]]-CI,0)</f>
        <v>0</v>
      </c>
      <c r="N39" s="159"/>
      <c r="O39" s="10">
        <f>Tabella8[[#This Row],[Lombardy]]*NOT(ISBLANK(Tabella8[[#This Row],[Lombardy]]))</f>
        <v>0</v>
      </c>
      <c r="P39" s="127">
        <f>IFERROR(Kr*_xlfn.LOGNORM.DIST((Tabella8[[#This Row],[Day]]-pr),mu_r,sigma_r,TRUE),0)</f>
        <v>4.5004674482023335E-33</v>
      </c>
      <c r="Q39" s="127">
        <f>Tabella8[[#This Row],[Lombardy fit]]/Kr</f>
        <v>5.1729510898877396E-38</v>
      </c>
      <c r="R39" s="10">
        <f>Tabella8[[#This Row],[Lombardy fit]]*NOT(ISBLANK(Tabella8[[#This Row],[Lombardy]]))</f>
        <v>0</v>
      </c>
      <c r="S39" s="10">
        <f>Tabella8[[#This Row],[Lombardy fit]]+CIr</f>
        <v>2975.4614235634544</v>
      </c>
      <c r="T39" s="10">
        <f>MAX(Tabella8[[#This Row],[Lombardy fit]]-CIr,0)</f>
        <v>0</v>
      </c>
      <c r="U39" s="161"/>
      <c r="V39" s="10">
        <f>Tabella8[[#This Row],[rest of Italy ]]*NOT(ISBLANK(Tabella8[[#This Row],[rest of Italy ]]))</f>
        <v>0</v>
      </c>
      <c r="W39" s="128">
        <f>IFERROR(Ko*_xlfn.LOGNORM.DIST((Tabella8[[#This Row],[Day]]-po),mu_o,sigma_o,TRUE),0)</f>
        <v>0</v>
      </c>
      <c r="X39" s="128">
        <f>Tabella8[[#This Row],[rest of Italy fit]]/Ko</f>
        <v>0</v>
      </c>
      <c r="Y39" s="23">
        <f>Tabella8[[#This Row],[rest of Italy fit]]*NOT(ISBLANK(Tabella8[[#This Row],[rest of Italy ]]))</f>
        <v>0</v>
      </c>
      <c r="Z39" s="10">
        <f>Tabella8[[#This Row],[rest of Italy fit]]+CIo</f>
        <v>2432.9562065854871</v>
      </c>
      <c r="AA39" s="10">
        <f>MAX(Tabella8[[#This Row],[rest of Italy fit]]-CIo,0)</f>
        <v>0</v>
      </c>
      <c r="AC39" s="15" t="s">
        <v>371</v>
      </c>
      <c r="AD39" s="157">
        <v>37.717425443399762</v>
      </c>
      <c r="AR39" s="52">
        <f>COUNT($AD$41,$AD$42,$AD$43,$AD$50)</f>
        <v>4</v>
      </c>
      <c r="AX39" s="84"/>
      <c r="AY39" s="84"/>
      <c r="BA39" s="33"/>
      <c r="BB39" s="33"/>
      <c r="BD39" s="87"/>
      <c r="BE39" s="87"/>
    </row>
    <row r="40" spans="2:57" x14ac:dyDescent="0.3">
      <c r="B40" s="154">
        <v>43863</v>
      </c>
      <c r="C40" s="4">
        <v>33</v>
      </c>
      <c r="D40" s="10" t="s">
        <v>641</v>
      </c>
      <c r="E40" s="10">
        <f>Tabella8[[#This Row],[Italy cumulative]]*NOT(ISBLANK(Tabella8[[#This Row],[Italy cumulative]]))</f>
        <v>2</v>
      </c>
      <c r="F40" s="10">
        <f>Tabella8[[#This Row],[Lombardy fit]]+Tabella8[[#This Row],[rest of Italy fit]]</f>
        <v>9.982998313231629E-21</v>
      </c>
      <c r="G40" s="91">
        <f>Tabella8[[#This Row],[Italy sum of regions]]/K_sum</f>
        <v>4.248084700055324E-26</v>
      </c>
      <c r="H40" s="10">
        <f>Tabella8[[#This Row],[Italy sum of regions]]*NOT(ISBLANK(Tabella8[[#This Row],[Italy cumulative]]))</f>
        <v>9.982998313231629E-21</v>
      </c>
      <c r="I40" s="152">
        <f>IFERROR(Kt*_xlfn.LOGNORM.DIST((Tabella8[[#This Row],[Day]]-Days_back),mu_t,sigma_t,TRUE),0)</f>
        <v>2.2973690458980703E-28</v>
      </c>
      <c r="J40" s="153">
        <f>Tabella8[[#This Row],[Italy fit]]/Kt</f>
        <v>9.7760411606153897E-34</v>
      </c>
      <c r="K40" s="23">
        <f>Tabella8[[#This Row],[Italy fit]]*NOT(ISBLANK(Tabella8[[#This Row],[Italy cumulative]]))</f>
        <v>2.2973690458980703E-28</v>
      </c>
      <c r="L40" s="10">
        <f>Tabella8[[#This Row],[Italy sum of regions]]+CI</f>
        <v>4889.6421789935675</v>
      </c>
      <c r="M40" s="10">
        <f>MAX(Tabella8[[#This Row],[Italy sum of regions]]-CI,0)</f>
        <v>0</v>
      </c>
      <c r="N40" s="159"/>
      <c r="O40" s="10">
        <f>Tabella8[[#This Row],[Lombardy]]*NOT(ISBLANK(Tabella8[[#This Row],[Lombardy]]))</f>
        <v>0</v>
      </c>
      <c r="P40" s="127">
        <f>IFERROR(Kr*_xlfn.LOGNORM.DIST((Tabella8[[#This Row],[Day]]-pr),mu_r,sigma_r,TRUE),0)</f>
        <v>9.982998313231629E-21</v>
      </c>
      <c r="Q40" s="127">
        <f>Tabella8[[#This Row],[Lombardy fit]]/Kr</f>
        <v>1.1474710704863941E-25</v>
      </c>
      <c r="R40" s="10">
        <f>Tabella8[[#This Row],[Lombardy fit]]*NOT(ISBLANK(Tabella8[[#This Row],[Lombardy]]))</f>
        <v>0</v>
      </c>
      <c r="S40" s="10">
        <f>Tabella8[[#This Row],[Lombardy fit]]+CIr</f>
        <v>2975.4614235634544</v>
      </c>
      <c r="T40" s="10">
        <f>MAX(Tabella8[[#This Row],[Lombardy fit]]-CIr,0)</f>
        <v>0</v>
      </c>
      <c r="U40" s="161"/>
      <c r="V40" s="10">
        <f>Tabella8[[#This Row],[rest of Italy ]]*NOT(ISBLANK(Tabella8[[#This Row],[rest of Italy ]]))</f>
        <v>0</v>
      </c>
      <c r="W40" s="128">
        <f>IFERROR(Ko*_xlfn.LOGNORM.DIST((Tabella8[[#This Row],[Day]]-po),mu_o,sigma_o,TRUE),0)</f>
        <v>0</v>
      </c>
      <c r="X40" s="128">
        <f>Tabella8[[#This Row],[rest of Italy fit]]/Ko</f>
        <v>0</v>
      </c>
      <c r="Y40" s="23">
        <f>Tabella8[[#This Row],[rest of Italy fit]]*NOT(ISBLANK(Tabella8[[#This Row],[rest of Italy ]]))</f>
        <v>0</v>
      </c>
      <c r="Z40" s="10">
        <f>Tabella8[[#This Row],[rest of Italy fit]]+CIo</f>
        <v>2432.9562065854871</v>
      </c>
      <c r="AA40" s="10">
        <f>MAX(Tabella8[[#This Row],[rest of Italy fit]]-CIo,0)</f>
        <v>0</v>
      </c>
      <c r="AC40" s="17" t="s">
        <v>124</v>
      </c>
      <c r="AD40" s="18" t="s">
        <v>86</v>
      </c>
      <c r="AR40" s="52" t="b">
        <f>sigma_t&gt;=0.000001</f>
        <v>1</v>
      </c>
      <c r="AX40" s="84"/>
      <c r="AY40" s="84"/>
      <c r="BA40" s="33"/>
      <c r="BB40" s="33"/>
      <c r="BD40" s="87"/>
      <c r="BE40" s="87"/>
    </row>
    <row r="41" spans="2:57" x14ac:dyDescent="0.3">
      <c r="B41" s="154">
        <v>43864</v>
      </c>
      <c r="C41" s="4">
        <v>34</v>
      </c>
      <c r="D41" s="10" t="s">
        <v>641</v>
      </c>
      <c r="E41" s="10">
        <f>Tabella8[[#This Row],[Italy cumulative]]*NOT(ISBLANK(Tabella8[[#This Row],[Italy cumulative]]))</f>
        <v>2</v>
      </c>
      <c r="F41" s="10">
        <f>Tabella8[[#This Row],[Lombardy fit]]+Tabella8[[#This Row],[rest of Italy fit]]</f>
        <v>4.0616974750038979E-15</v>
      </c>
      <c r="G41" s="91">
        <f>Tabella8[[#This Row],[Italy sum of regions]]/K_sum</f>
        <v>1.7283820309724075E-20</v>
      </c>
      <c r="H41" s="10">
        <f>Tabella8[[#This Row],[Italy sum of regions]]*NOT(ISBLANK(Tabella8[[#This Row],[Italy cumulative]]))</f>
        <v>4.0616974750038979E-15</v>
      </c>
      <c r="I41" s="152">
        <f>IFERROR(Kt*_xlfn.LOGNORM.DIST((Tabella8[[#This Row],[Day]]-Days_back),mu_t,sigma_t,TRUE),0)</f>
        <v>2.8069230466772731E-20</v>
      </c>
      <c r="J41" s="153">
        <f>Tabella8[[#This Row],[Italy fit]]/Kt</f>
        <v>1.194435664918176E-25</v>
      </c>
      <c r="K41" s="23">
        <f>Tabella8[[#This Row],[Italy fit]]*NOT(ISBLANK(Tabella8[[#This Row],[Italy cumulative]]))</f>
        <v>2.8069230466772731E-20</v>
      </c>
      <c r="L41" s="10">
        <f>Tabella8[[#This Row],[Italy sum of regions]]+CI</f>
        <v>4889.6421789935675</v>
      </c>
      <c r="M41" s="10">
        <f>MAX(Tabella8[[#This Row],[Italy sum of regions]]-CI,0)</f>
        <v>0</v>
      </c>
      <c r="N41" s="159"/>
      <c r="O41" s="10">
        <f>Tabella8[[#This Row],[Lombardy]]*NOT(ISBLANK(Tabella8[[#This Row],[Lombardy]]))</f>
        <v>0</v>
      </c>
      <c r="P41" s="127">
        <f>IFERROR(Kr*_xlfn.LOGNORM.DIST((Tabella8[[#This Row],[Day]]-pr),mu_r,sigma_r,TRUE),0)</f>
        <v>4.0616974750038979E-15</v>
      </c>
      <c r="Q41" s="127">
        <f>Tabella8[[#This Row],[Lombardy fit]]/Kr</f>
        <v>4.6686177873608025E-20</v>
      </c>
      <c r="R41" s="10">
        <f>Tabella8[[#This Row],[Lombardy fit]]*NOT(ISBLANK(Tabella8[[#This Row],[Lombardy]]))</f>
        <v>0</v>
      </c>
      <c r="S41" s="10">
        <f>Tabella8[[#This Row],[Lombardy fit]]+CIr</f>
        <v>2975.4614235634544</v>
      </c>
      <c r="T41" s="10">
        <f>MAX(Tabella8[[#This Row],[Lombardy fit]]-CIr,0)</f>
        <v>0</v>
      </c>
      <c r="U41" s="161"/>
      <c r="V41" s="10">
        <f>Tabella8[[#This Row],[rest of Italy ]]*NOT(ISBLANK(Tabella8[[#This Row],[rest of Italy ]]))</f>
        <v>0</v>
      </c>
      <c r="W41" s="128">
        <f>IFERROR(Ko*_xlfn.LOGNORM.DIST((Tabella8[[#This Row],[Day]]-po),mu_o,sigma_o,TRUE),0)</f>
        <v>0</v>
      </c>
      <c r="X41" s="128">
        <f>Tabella8[[#This Row],[rest of Italy fit]]/Ko</f>
        <v>0</v>
      </c>
      <c r="Y41" s="23">
        <f>Tabella8[[#This Row],[rest of Italy fit]]*NOT(ISBLANK(Tabella8[[#This Row],[rest of Italy ]]))</f>
        <v>0</v>
      </c>
      <c r="Z41" s="10">
        <f>Tabella8[[#This Row],[rest of Italy fit]]+CIo</f>
        <v>2432.9562065854871</v>
      </c>
      <c r="AA41" s="10">
        <f>MAX(Tabella8[[#This Row],[rest of Italy fit]]-CIo,0)</f>
        <v>0</v>
      </c>
      <c r="AC41" s="15" t="s">
        <v>0</v>
      </c>
      <c r="AD41" s="5">
        <v>234999.93587930576</v>
      </c>
      <c r="AR41" s="52">
        <f>{32767;32767;0.000001;0.01;FALSE;TRUE;FALSE;1;2;1;0.0001;TRUE}</f>
        <v>32767</v>
      </c>
      <c r="AX41" s="84"/>
      <c r="AY41" s="84"/>
      <c r="BA41" s="33"/>
      <c r="BB41" s="33"/>
      <c r="BD41" s="87"/>
      <c r="BE41" s="87"/>
    </row>
    <row r="42" spans="2:57" x14ac:dyDescent="0.3">
      <c r="B42" s="154">
        <v>43865</v>
      </c>
      <c r="C42" s="4">
        <v>35</v>
      </c>
      <c r="D42" s="10" t="s">
        <v>641</v>
      </c>
      <c r="E42" s="10">
        <f>Tabella8[[#This Row],[Italy cumulative]]*NOT(ISBLANK(Tabella8[[#This Row],[Italy cumulative]]))</f>
        <v>2</v>
      </c>
      <c r="F42" s="10">
        <f>Tabella8[[#This Row],[Lombardy fit]]+Tabella8[[#This Row],[rest of Italy fit]]</f>
        <v>1.1067531237093309E-11</v>
      </c>
      <c r="G42" s="91">
        <f>Tabella8[[#This Row],[Italy sum of regions]]/K_sum</f>
        <v>4.7095881057462404E-17</v>
      </c>
      <c r="H42" s="10">
        <f>Tabella8[[#This Row],[Italy sum of regions]]*NOT(ISBLANK(Tabella8[[#This Row],[Italy cumulative]]))</f>
        <v>1.1067531237093309E-11</v>
      </c>
      <c r="I42" s="152">
        <f>IFERROR(Kt*_xlfn.LOGNORM.DIST((Tabella8[[#This Row],[Day]]-Days_back),mu_t,sigma_t,TRUE),0)</f>
        <v>1.3857888971887324E-15</v>
      </c>
      <c r="J42" s="153">
        <f>Tabella8[[#This Row],[Italy fit]]/Kt</f>
        <v>5.8969756396038486E-21</v>
      </c>
      <c r="K42" s="23">
        <f>Tabella8[[#This Row],[Italy fit]]*NOT(ISBLANK(Tabella8[[#This Row],[Italy cumulative]]))</f>
        <v>1.3857888971887324E-15</v>
      </c>
      <c r="L42" s="10">
        <f>Tabella8[[#This Row],[Italy sum of regions]]+CI</f>
        <v>4889.6421789935785</v>
      </c>
      <c r="M42" s="10">
        <f>MAX(Tabella8[[#This Row],[Italy sum of regions]]-CI,0)</f>
        <v>0</v>
      </c>
      <c r="N42" s="159"/>
      <c r="O42" s="10">
        <f>Tabella8[[#This Row],[Lombardy]]*NOT(ISBLANK(Tabella8[[#This Row],[Lombardy]]))</f>
        <v>0</v>
      </c>
      <c r="P42" s="127">
        <f>IFERROR(Kr*_xlfn.LOGNORM.DIST((Tabella8[[#This Row],[Day]]-pr),mu_r,sigma_r,TRUE),0)</f>
        <v>1.1067531237093309E-11</v>
      </c>
      <c r="Q42" s="127">
        <f>Tabella8[[#This Row],[Lombardy fit]]/Kr</f>
        <v>1.2721300272521045E-16</v>
      </c>
      <c r="R42" s="10">
        <f>Tabella8[[#This Row],[Lombardy fit]]*NOT(ISBLANK(Tabella8[[#This Row],[Lombardy]]))</f>
        <v>0</v>
      </c>
      <c r="S42" s="10">
        <f>Tabella8[[#This Row],[Lombardy fit]]+CIr</f>
        <v>2975.4614235634654</v>
      </c>
      <c r="T42" s="10">
        <f>MAX(Tabella8[[#This Row],[Lombardy fit]]-CIr,0)</f>
        <v>0</v>
      </c>
      <c r="U42" s="161"/>
      <c r="V42" s="10">
        <f>Tabella8[[#This Row],[rest of Italy ]]*NOT(ISBLANK(Tabella8[[#This Row],[rest of Italy ]]))</f>
        <v>0</v>
      </c>
      <c r="W42" s="128">
        <f>IFERROR(Ko*_xlfn.LOGNORM.DIST((Tabella8[[#This Row],[Day]]-po),mu_o,sigma_o,TRUE),0)</f>
        <v>0</v>
      </c>
      <c r="X42" s="128">
        <f>Tabella8[[#This Row],[rest of Italy fit]]/Ko</f>
        <v>0</v>
      </c>
      <c r="Y42" s="23">
        <f>Tabella8[[#This Row],[rest of Italy fit]]*NOT(ISBLANK(Tabella8[[#This Row],[rest of Italy ]]))</f>
        <v>0</v>
      </c>
      <c r="Z42" s="10">
        <f>Tabella8[[#This Row],[rest of Italy fit]]+CIo</f>
        <v>2432.9562065854871</v>
      </c>
      <c r="AA42" s="10">
        <f>MAX(Tabella8[[#This Row],[rest of Italy fit]]-CIo,0)</f>
        <v>0</v>
      </c>
      <c r="AC42" s="104" t="s">
        <v>307</v>
      </c>
      <c r="AD42" s="31">
        <v>4.1393081733093888</v>
      </c>
      <c r="AR42" s="52">
        <f>{0;0;1;200;0;FALSE;FALSE;0.075;0;0;FALSE;30}</f>
        <v>0</v>
      </c>
      <c r="AX42" s="84"/>
      <c r="AY42" s="84"/>
      <c r="BA42" s="33"/>
      <c r="BB42" s="33"/>
      <c r="BD42" s="87"/>
      <c r="BE42" s="87"/>
    </row>
    <row r="43" spans="2:57" ht="15" thickBot="1" x14ac:dyDescent="0.35">
      <c r="B43" s="154">
        <v>43866</v>
      </c>
      <c r="C43" s="4">
        <v>36</v>
      </c>
      <c r="D43" s="10" t="s">
        <v>641</v>
      </c>
      <c r="E43" s="10">
        <f>Tabella8[[#This Row],[Italy cumulative]]*NOT(ISBLANK(Tabella8[[#This Row],[Italy cumulative]]))</f>
        <v>2</v>
      </c>
      <c r="F43" s="10">
        <f>Tabella8[[#This Row],[Lombardy fit]]+Tabella8[[#This Row],[rest of Italy fit]]</f>
        <v>2.706273601535887E-9</v>
      </c>
      <c r="G43" s="91">
        <f>Tabella8[[#This Row],[Italy sum of regions]]/K_sum</f>
        <v>1.151605872316997E-14</v>
      </c>
      <c r="H43" s="10">
        <f>Tabella8[[#This Row],[Italy sum of regions]]*NOT(ISBLANK(Tabella8[[#This Row],[Italy cumulative]]))</f>
        <v>2.706273601535887E-9</v>
      </c>
      <c r="I43" s="152">
        <f>IFERROR(Kt*_xlfn.LOGNORM.DIST((Tabella8[[#This Row],[Day]]-Days_back),mu_t,sigma_t,TRUE),0)</f>
        <v>2.0823402486464643E-12</v>
      </c>
      <c r="J43" s="153">
        <f>Tabella8[[#This Row],[Italy fit]]/Kt</f>
        <v>8.8610247524320127E-18</v>
      </c>
      <c r="K43" s="23">
        <f>Tabella8[[#This Row],[Italy fit]]*NOT(ISBLANK(Tabella8[[#This Row],[Italy cumulative]]))</f>
        <v>2.0823402486464643E-12</v>
      </c>
      <c r="L43" s="10">
        <f>Tabella8[[#This Row],[Italy sum of regions]]+CI</f>
        <v>4889.6421789962742</v>
      </c>
      <c r="M43" s="10">
        <f>MAX(Tabella8[[#This Row],[Italy sum of regions]]-CI,0)</f>
        <v>0</v>
      </c>
      <c r="N43" s="159"/>
      <c r="O43" s="10">
        <f>Tabella8[[#This Row],[Lombardy]]*NOT(ISBLANK(Tabella8[[#This Row],[Lombardy]]))</f>
        <v>0</v>
      </c>
      <c r="P43" s="127">
        <f>IFERROR(Kr*_xlfn.LOGNORM.DIST((Tabella8[[#This Row],[Day]]-pr),mu_r,sigma_r,TRUE),0)</f>
        <v>2.706273601535887E-9</v>
      </c>
      <c r="Q43" s="127">
        <f>Tabella8[[#This Row],[Lombardy fit]]/Kr</f>
        <v>3.1106593121102147E-14</v>
      </c>
      <c r="R43" s="10">
        <f>Tabella8[[#This Row],[Lombardy fit]]*NOT(ISBLANK(Tabella8[[#This Row],[Lombardy]]))</f>
        <v>0</v>
      </c>
      <c r="S43" s="10">
        <f>Tabella8[[#This Row],[Lombardy fit]]+CIr</f>
        <v>2975.4614235661606</v>
      </c>
      <c r="T43" s="10">
        <f>MAX(Tabella8[[#This Row],[Lombardy fit]]-CIr,0)</f>
        <v>0</v>
      </c>
      <c r="U43" s="161"/>
      <c r="V43" s="10">
        <f>Tabella8[[#This Row],[rest of Italy ]]*NOT(ISBLANK(Tabella8[[#This Row],[rest of Italy ]]))</f>
        <v>0</v>
      </c>
      <c r="W43" s="128">
        <f>IFERROR(Ko*_xlfn.LOGNORM.DIST((Tabella8[[#This Row],[Day]]-po),mu_o,sigma_o,TRUE),0)</f>
        <v>0</v>
      </c>
      <c r="X43" s="128">
        <f>Tabella8[[#This Row],[rest of Italy fit]]/Ko</f>
        <v>0</v>
      </c>
      <c r="Y43" s="23">
        <f>Tabella8[[#This Row],[rest of Italy fit]]*NOT(ISBLANK(Tabella8[[#This Row],[rest of Italy ]]))</f>
        <v>0</v>
      </c>
      <c r="Z43" s="10">
        <f>Tabella8[[#This Row],[rest of Italy fit]]+CIo</f>
        <v>2432.9562065854871</v>
      </c>
      <c r="AA43" s="10">
        <f>MAX(Tabella8[[#This Row],[rest of Italy fit]]-CIo,0)</f>
        <v>0</v>
      </c>
      <c r="AC43" s="15" t="s">
        <v>308</v>
      </c>
      <c r="AD43" s="31">
        <v>0.30961845294611862</v>
      </c>
      <c r="AR43" s="53">
        <f>{0;0;1;200;0;FALSE;FALSE;0.075;0;0;FALSE;30}</f>
        <v>0</v>
      </c>
      <c r="AX43" s="84"/>
      <c r="AY43" s="84"/>
      <c r="BA43" s="33"/>
      <c r="BB43" s="33"/>
      <c r="BD43" s="87"/>
      <c r="BE43" s="87"/>
    </row>
    <row r="44" spans="2:57" x14ac:dyDescent="0.3">
      <c r="B44" s="154">
        <v>43867</v>
      </c>
      <c r="C44" s="4">
        <v>37</v>
      </c>
      <c r="D44" s="10" t="s">
        <v>641</v>
      </c>
      <c r="E44" s="10">
        <f>Tabella8[[#This Row],[Italy cumulative]]*NOT(ISBLANK(Tabella8[[#This Row],[Italy cumulative]]))</f>
        <v>2</v>
      </c>
      <c r="F44" s="10">
        <f>Tabella8[[#This Row],[Lombardy fit]]+Tabella8[[#This Row],[rest of Italy fit]]</f>
        <v>1.6452786763801899E-7</v>
      </c>
      <c r="G44" s="91">
        <f>Tabella8[[#This Row],[Italy sum of regions]]/K_sum</f>
        <v>7.0011863702253157E-13</v>
      </c>
      <c r="H44" s="10">
        <f>Tabella8[[#This Row],[Italy sum of regions]]*NOT(ISBLANK(Tabella8[[#This Row],[Italy cumulative]]))</f>
        <v>1.6452786763801899E-7</v>
      </c>
      <c r="I44" s="152">
        <f>IFERROR(Kt*_xlfn.LOGNORM.DIST((Tabella8[[#This Row],[Day]]-Days_back),mu_t,sigma_t,TRUE),0)</f>
        <v>4.501955402814469E-10</v>
      </c>
      <c r="J44" s="153">
        <f>Tabella8[[#This Row],[Italy fit]]/Kt</f>
        <v>1.9157262260389041E-15</v>
      </c>
      <c r="K44" s="23">
        <f>Tabella8[[#This Row],[Italy fit]]*NOT(ISBLANK(Tabella8[[#This Row],[Italy cumulative]]))</f>
        <v>4.501955402814469E-10</v>
      </c>
      <c r="L44" s="10">
        <f>Tabella8[[#This Row],[Italy sum of regions]]+CI</f>
        <v>4889.6421791580951</v>
      </c>
      <c r="M44" s="10">
        <f>MAX(Tabella8[[#This Row],[Italy sum of regions]]-CI,0)</f>
        <v>0</v>
      </c>
      <c r="N44" s="159"/>
      <c r="O44" s="10">
        <f>Tabella8[[#This Row],[Lombardy]]*NOT(ISBLANK(Tabella8[[#This Row],[Lombardy]]))</f>
        <v>0</v>
      </c>
      <c r="P44" s="127">
        <f>IFERROR(Kr*_xlfn.LOGNORM.DIST((Tabella8[[#This Row],[Day]]-pr),mu_r,sigma_r,TRUE),0)</f>
        <v>1.6452786763801899E-7</v>
      </c>
      <c r="Q44" s="127">
        <f>Tabella8[[#This Row],[Lombardy fit]]/Kr</f>
        <v>1.8911249153795285E-12</v>
      </c>
      <c r="R44" s="10">
        <f>Tabella8[[#This Row],[Lombardy fit]]*NOT(ISBLANK(Tabella8[[#This Row],[Lombardy]]))</f>
        <v>0</v>
      </c>
      <c r="S44" s="10">
        <f>Tabella8[[#This Row],[Lombardy fit]]+CIr</f>
        <v>2975.4614237279825</v>
      </c>
      <c r="T44" s="10">
        <f>MAX(Tabella8[[#This Row],[Lombardy fit]]-CIr,0)</f>
        <v>0</v>
      </c>
      <c r="U44" s="161"/>
      <c r="V44" s="10">
        <f>Tabella8[[#This Row],[rest of Italy ]]*NOT(ISBLANK(Tabella8[[#This Row],[rest of Italy ]]))</f>
        <v>0</v>
      </c>
      <c r="W44" s="128">
        <f>IFERROR(Ko*_xlfn.LOGNORM.DIST((Tabella8[[#This Row],[Day]]-po),mu_o,sigma_o,TRUE),0)</f>
        <v>0</v>
      </c>
      <c r="X44" s="128">
        <f>Tabella8[[#This Row],[rest of Italy fit]]/Ko</f>
        <v>0</v>
      </c>
      <c r="Y44" s="23">
        <f>Tabella8[[#This Row],[rest of Italy fit]]*NOT(ISBLANK(Tabella8[[#This Row],[rest of Italy ]]))</f>
        <v>0</v>
      </c>
      <c r="Z44" s="10">
        <f>Tabella8[[#This Row],[rest of Italy fit]]+CIo</f>
        <v>2432.9562065854871</v>
      </c>
      <c r="AA44" s="10">
        <f>MAX(Tabella8[[#This Row],[rest of Italy fit]]-CIo,0)</f>
        <v>0</v>
      </c>
      <c r="AC44" s="2" t="s">
        <v>1</v>
      </c>
      <c r="AD44" s="1">
        <f>AVERAGE(Tabella8[Italy cumulative])</f>
        <v>88197.061538461538</v>
      </c>
      <c r="AX44" s="84"/>
      <c r="AY44" s="84"/>
      <c r="BA44" s="33"/>
      <c r="BB44" s="33"/>
      <c r="BD44" s="87"/>
      <c r="BE44" s="87"/>
    </row>
    <row r="45" spans="2:57" x14ac:dyDescent="0.3">
      <c r="B45" s="154">
        <v>43868</v>
      </c>
      <c r="C45" s="4">
        <v>38</v>
      </c>
      <c r="D45" s="10" t="s">
        <v>690</v>
      </c>
      <c r="E45" s="10">
        <f>Tabella8[[#This Row],[Italy cumulative]]*NOT(ISBLANK(Tabella8[[#This Row],[Italy cumulative]]))</f>
        <v>3</v>
      </c>
      <c r="F45" s="10">
        <f>Tabella8[[#This Row],[Lombardy fit]]+Tabella8[[#This Row],[rest of Italy fit]]</f>
        <v>4.0922874212949553E-6</v>
      </c>
      <c r="G45" s="91">
        <f>Tabella8[[#This Row],[Italy sum of regions]]/K_sum</f>
        <v>1.7413990303484687E-11</v>
      </c>
      <c r="H45" s="10">
        <f>Tabella8[[#This Row],[Italy sum of regions]]*NOT(ISBLANK(Tabella8[[#This Row],[Italy cumulative]]))</f>
        <v>4.0922874212949553E-6</v>
      </c>
      <c r="I45" s="152">
        <f>IFERROR(Kt*_xlfn.LOGNORM.DIST((Tabella8[[#This Row],[Day]]-Days_back),mu_t,sigma_t,TRUE),0)</f>
        <v>2.8876918843484096E-8</v>
      </c>
      <c r="J45" s="153">
        <f>Tabella8[[#This Row],[Italy fit]]/Kt</f>
        <v>1.2288053924540247E-13</v>
      </c>
      <c r="K45" s="23">
        <f>Tabella8[[#This Row],[Italy fit]]*NOT(ISBLANK(Tabella8[[#This Row],[Italy cumulative]]))</f>
        <v>2.8876918843484096E-8</v>
      </c>
      <c r="L45" s="10">
        <f>Tabella8[[#This Row],[Italy sum of regions]]+CI</f>
        <v>4889.6421830858553</v>
      </c>
      <c r="M45" s="10">
        <f>MAX(Tabella8[[#This Row],[Italy sum of regions]]-CI,0)</f>
        <v>0</v>
      </c>
      <c r="N45" s="159"/>
      <c r="O45" s="10">
        <f>Tabella8[[#This Row],[Lombardy]]*NOT(ISBLANK(Tabella8[[#This Row],[Lombardy]]))</f>
        <v>0</v>
      </c>
      <c r="P45" s="127">
        <f>IFERROR(Kr*_xlfn.LOGNORM.DIST((Tabella8[[#This Row],[Day]]-pr),mu_r,sigma_r,TRUE),0)</f>
        <v>4.0922874212949553E-6</v>
      </c>
      <c r="Q45" s="127">
        <f>Tabella8[[#This Row],[Lombardy fit]]/Kr</f>
        <v>4.7037786451666155E-11</v>
      </c>
      <c r="R45" s="10">
        <f>Tabella8[[#This Row],[Lombardy fit]]*NOT(ISBLANK(Tabella8[[#This Row],[Lombardy]]))</f>
        <v>0</v>
      </c>
      <c r="S45" s="10">
        <f>Tabella8[[#This Row],[Lombardy fit]]+CIr</f>
        <v>2975.4614276557418</v>
      </c>
      <c r="T45" s="10">
        <f>MAX(Tabella8[[#This Row],[Lombardy fit]]-CIr,0)</f>
        <v>0</v>
      </c>
      <c r="U45" s="161"/>
      <c r="V45" s="10">
        <f>Tabella8[[#This Row],[rest of Italy ]]*NOT(ISBLANK(Tabella8[[#This Row],[rest of Italy ]]))</f>
        <v>0</v>
      </c>
      <c r="W45" s="128">
        <f>IFERROR(Ko*_xlfn.LOGNORM.DIST((Tabella8[[#This Row],[Day]]-po),mu_o,sigma_o,TRUE),0)</f>
        <v>1.9507327401080682E-56</v>
      </c>
      <c r="X45" s="128">
        <f>Tabella8[[#This Row],[rest of Italy fit]]/Ko</f>
        <v>1.3180628156728576E-61</v>
      </c>
      <c r="Y45" s="23">
        <f>Tabella8[[#This Row],[rest of Italy fit]]*NOT(ISBLANK(Tabella8[[#This Row],[rest of Italy ]]))</f>
        <v>0</v>
      </c>
      <c r="Z45" s="10">
        <f>Tabella8[[#This Row],[rest of Italy fit]]+CIo</f>
        <v>2432.9562065854871</v>
      </c>
      <c r="AA45" s="10">
        <f>MAX(Tabella8[[#This Row],[rest of Italy fit]]-CIo,0)</f>
        <v>0</v>
      </c>
      <c r="AC45" s="2" t="s">
        <v>2</v>
      </c>
      <c r="AD45" s="1">
        <f>COUNT(Tabella8[Italy cumulative])-COUNT(AD41:AD43)</f>
        <v>62</v>
      </c>
      <c r="AX45" s="84"/>
      <c r="AY45" s="84"/>
      <c r="BA45" s="33"/>
      <c r="BB45" s="33"/>
      <c r="BD45" s="87"/>
      <c r="BE45" s="87"/>
    </row>
    <row r="46" spans="2:57" x14ac:dyDescent="0.3">
      <c r="B46" s="154">
        <v>43869</v>
      </c>
      <c r="C46" s="4">
        <v>39</v>
      </c>
      <c r="D46" s="10" t="s">
        <v>690</v>
      </c>
      <c r="E46" s="10">
        <f>Tabella8[[#This Row],[Italy cumulative]]*NOT(ISBLANK(Tabella8[[#This Row],[Italy cumulative]]))</f>
        <v>3</v>
      </c>
      <c r="F46" s="10">
        <f>Tabella8[[#This Row],[Lombardy fit]]+Tabella8[[#This Row],[rest of Italy fit]]</f>
        <v>5.4980686627547732E-5</v>
      </c>
      <c r="G46" s="91">
        <f>Tabella8[[#This Row],[Italy sum of regions]]/K_sum</f>
        <v>2.339603857805467E-10</v>
      </c>
      <c r="H46" s="10">
        <f>Tabella8[[#This Row],[Italy sum of regions]]*NOT(ISBLANK(Tabella8[[#This Row],[Italy cumulative]]))</f>
        <v>5.4980686627547732E-5</v>
      </c>
      <c r="I46" s="152">
        <f>IFERROR(Kt*_xlfn.LOGNORM.DIST((Tabella8[[#This Row],[Day]]-Days_back),mu_t,sigma_t,TRUE),0)</f>
        <v>8.1291660405198682E-7</v>
      </c>
      <c r="J46" s="153">
        <f>Tabella8[[#This Row],[Italy fit]]/Kt</f>
        <v>3.4592205355728047E-12</v>
      </c>
      <c r="K46" s="23">
        <f>Tabella8[[#This Row],[Italy fit]]*NOT(ISBLANK(Tabella8[[#This Row],[Italy cumulative]]))</f>
        <v>8.1291660405198682E-7</v>
      </c>
      <c r="L46" s="10">
        <f>Tabella8[[#This Row],[Italy sum of regions]]+CI</f>
        <v>4889.6422339742539</v>
      </c>
      <c r="M46" s="10">
        <f>MAX(Tabella8[[#This Row],[Italy sum of regions]]-CI,0)</f>
        <v>0</v>
      </c>
      <c r="N46" s="159"/>
      <c r="O46" s="10">
        <f>Tabella8[[#This Row],[Lombardy]]*NOT(ISBLANK(Tabella8[[#This Row],[Lombardy]]))</f>
        <v>0</v>
      </c>
      <c r="P46" s="127">
        <f>IFERROR(Kr*_xlfn.LOGNORM.DIST((Tabella8[[#This Row],[Day]]-pr),mu_r,sigma_r,TRUE),0)</f>
        <v>5.4980686627547732E-5</v>
      </c>
      <c r="Q46" s="127">
        <f>Tabella8[[#This Row],[Lombardy fit]]/Kr</f>
        <v>6.3196191525916934E-10</v>
      </c>
      <c r="R46" s="10">
        <f>Tabella8[[#This Row],[Lombardy fit]]*NOT(ISBLANK(Tabella8[[#This Row],[Lombardy]]))</f>
        <v>0</v>
      </c>
      <c r="S46" s="10">
        <f>Tabella8[[#This Row],[Lombardy fit]]+CIr</f>
        <v>2975.4614785441408</v>
      </c>
      <c r="T46" s="10">
        <f>MAX(Tabella8[[#This Row],[Lombardy fit]]-CIr,0)</f>
        <v>0</v>
      </c>
      <c r="U46" s="161"/>
      <c r="V46" s="10">
        <f>Tabella8[[#This Row],[rest of Italy ]]*NOT(ISBLANK(Tabella8[[#This Row],[rest of Italy ]]))</f>
        <v>0</v>
      </c>
      <c r="W46" s="128">
        <f>IFERROR(Ko*_xlfn.LOGNORM.DIST((Tabella8[[#This Row],[Day]]-po),mu_o,sigma_o,TRUE),0)</f>
        <v>2.4258346319876795E-27</v>
      </c>
      <c r="X46" s="128">
        <f>Tabella8[[#This Row],[rest of Italy fit]]/Ko</f>
        <v>1.6390776448532252E-32</v>
      </c>
      <c r="Y46" s="23">
        <f>Tabella8[[#This Row],[rest of Italy fit]]*NOT(ISBLANK(Tabella8[[#This Row],[rest of Italy ]]))</f>
        <v>0</v>
      </c>
      <c r="Z46" s="10">
        <f>Tabella8[[#This Row],[rest of Italy fit]]+CIo</f>
        <v>2432.9562065854871</v>
      </c>
      <c r="AA46" s="10">
        <f>MAX(Tabella8[[#This Row],[rest of Italy fit]]-CIo,0)</f>
        <v>0</v>
      </c>
      <c r="AC46" s="2" t="s">
        <v>3</v>
      </c>
      <c r="AD46" s="6" cm="1">
        <f t="array" ref="AD46">SQRT(SUM((Tabella8[Colonna1]-Tabella8[Colonna3])^2)/dft)</f>
        <v>2592.6864091832308</v>
      </c>
      <c r="AX46" s="84"/>
      <c r="AY46" s="84"/>
      <c r="BA46" s="33"/>
      <c r="BB46" s="33"/>
      <c r="BD46" s="87"/>
      <c r="BE46" s="87"/>
    </row>
    <row r="47" spans="2:57" ht="16.2" x14ac:dyDescent="0.3">
      <c r="B47" s="154">
        <v>43870</v>
      </c>
      <c r="C47" s="4">
        <v>40</v>
      </c>
      <c r="D47" s="10" t="s">
        <v>690</v>
      </c>
      <c r="E47" s="10">
        <f>Tabella8[[#This Row],[Italy cumulative]]*NOT(ISBLANK(Tabella8[[#This Row],[Italy cumulative]]))</f>
        <v>3</v>
      </c>
      <c r="F47" s="10">
        <f>Tabella8[[#This Row],[Lombardy fit]]+Tabella8[[#This Row],[rest of Italy fit]]</f>
        <v>4.7268540916532232E-4</v>
      </c>
      <c r="G47" s="91">
        <f>Tabella8[[#This Row],[Italy sum of regions]]/K_sum</f>
        <v>2.0114274205106798E-9</v>
      </c>
      <c r="H47" s="10">
        <f>Tabella8[[#This Row],[Italy sum of regions]]*NOT(ISBLANK(Tabella8[[#This Row],[Italy cumulative]]))</f>
        <v>4.7268540916532232E-4</v>
      </c>
      <c r="I47" s="152">
        <f>IFERROR(Kt*_xlfn.LOGNORM.DIST((Tabella8[[#This Row],[Day]]-Days_back),mu_t,sigma_t,TRUE),0)</f>
        <v>1.2688925762854161E-5</v>
      </c>
      <c r="J47" s="153">
        <f>Tabella8[[#This Row],[Italy fit]]/Kt</f>
        <v>5.3995443510976529E-11</v>
      </c>
      <c r="K47" s="23">
        <f>Tabella8[[#This Row],[Italy fit]]*NOT(ISBLANK(Tabella8[[#This Row],[Italy cumulative]]))</f>
        <v>1.2688925762854161E-5</v>
      </c>
      <c r="L47" s="10">
        <f>Tabella8[[#This Row],[Italy sum of regions]]+CI</f>
        <v>4889.642651678977</v>
      </c>
      <c r="M47" s="10">
        <f>MAX(Tabella8[[#This Row],[Italy sum of regions]]-CI,0)</f>
        <v>0</v>
      </c>
      <c r="N47" s="159"/>
      <c r="O47" s="10">
        <f>Tabella8[[#This Row],[Lombardy]]*NOT(ISBLANK(Tabella8[[#This Row],[Lombardy]]))</f>
        <v>0</v>
      </c>
      <c r="P47" s="127">
        <f>IFERROR(Kr*_xlfn.LOGNORM.DIST((Tabella8[[#This Row],[Day]]-pr),mu_r,sigma_r,TRUE),0)</f>
        <v>4.7268540916532139E-4</v>
      </c>
      <c r="Q47" s="127">
        <f>Tabella8[[#This Row],[Lombardy fit]]/Kr</f>
        <v>5.4331656225899009E-9</v>
      </c>
      <c r="R47" s="10">
        <f>Tabella8[[#This Row],[Lombardy fit]]*NOT(ISBLANK(Tabella8[[#This Row],[Lombardy]]))</f>
        <v>0</v>
      </c>
      <c r="S47" s="10">
        <f>Tabella8[[#This Row],[Lombardy fit]]+CIr</f>
        <v>2975.4618962488635</v>
      </c>
      <c r="T47" s="10">
        <f>MAX(Tabella8[[#This Row],[Lombardy fit]]-CIr,0)</f>
        <v>0</v>
      </c>
      <c r="U47" s="161"/>
      <c r="V47" s="10">
        <f>Tabella8[[#This Row],[rest of Italy ]]*NOT(ISBLANK(Tabella8[[#This Row],[rest of Italy ]]))</f>
        <v>0</v>
      </c>
      <c r="W47" s="128">
        <f>IFERROR(Ko*_xlfn.LOGNORM.DIST((Tabella8[[#This Row],[Day]]-po),mu_o,sigma_o,TRUE),0)</f>
        <v>9.0611137748086005E-19</v>
      </c>
      <c r="X47" s="128">
        <f>Tabella8[[#This Row],[rest of Italy fit]]/Ko</f>
        <v>6.1223748848828497E-24</v>
      </c>
      <c r="Y47" s="23">
        <f>Tabella8[[#This Row],[rest of Italy fit]]*NOT(ISBLANK(Tabella8[[#This Row],[rest of Italy ]]))</f>
        <v>0</v>
      </c>
      <c r="Z47" s="10">
        <f>Tabella8[[#This Row],[rest of Italy fit]]+CIo</f>
        <v>2432.9562065854871</v>
      </c>
      <c r="AA47" s="10">
        <f>MAX(Tabella8[[#This Row],[rest of Italy fit]]-CIo,0)</f>
        <v>0</v>
      </c>
      <c r="AC47" s="2" t="s">
        <v>4</v>
      </c>
      <c r="AD47" s="7" cm="1">
        <f t="array" ref="AD47">1-SUM((Tabella8[Colonna1]-Tabella8[Colonna3])^2)/SUM((Tabella8[Colonna1]-Mean_of_yt)^2)</f>
        <v>0.9996525580013611</v>
      </c>
      <c r="AX47" s="84"/>
      <c r="AY47" s="84"/>
      <c r="BA47" s="33"/>
      <c r="BB47" s="33"/>
      <c r="BD47" s="87"/>
      <c r="BE47" s="87"/>
    </row>
    <row r="48" spans="2:57" x14ac:dyDescent="0.3">
      <c r="B48" s="154">
        <v>43871</v>
      </c>
      <c r="C48" s="4">
        <v>41</v>
      </c>
      <c r="D48" s="10" t="s">
        <v>690</v>
      </c>
      <c r="E48" s="10">
        <f>Tabella8[[#This Row],[Italy cumulative]]*NOT(ISBLANK(Tabella8[[#This Row],[Italy cumulative]]))</f>
        <v>3</v>
      </c>
      <c r="F48" s="10">
        <f>Tabella8[[#This Row],[Lombardy fit]]+Tabella8[[#This Row],[rest of Italy fit]]</f>
        <v>2.9037514905536042E-3</v>
      </c>
      <c r="G48" s="91">
        <f>Tabella8[[#This Row],[Italy sum of regions]]/K_sum</f>
        <v>1.2356390227407022E-8</v>
      </c>
      <c r="H48" s="10">
        <f>Tabella8[[#This Row],[Italy sum of regions]]*NOT(ISBLANK(Tabella8[[#This Row],[Italy cumulative]]))</f>
        <v>2.9037514905536042E-3</v>
      </c>
      <c r="I48" s="152">
        <f>IFERROR(Kt*_xlfn.LOGNORM.DIST((Tabella8[[#This Row],[Day]]-Days_back),mu_t,sigma_t,TRUE),0)</f>
        <v>1.2756894283845585E-4</v>
      </c>
      <c r="J48" s="153">
        <f>Tabella8[[#This Row],[Italy fit]]/Kt</f>
        <v>5.4284671338793178E-10</v>
      </c>
      <c r="K48" s="23">
        <f>Tabella8[[#This Row],[Italy fit]]*NOT(ISBLANK(Tabella8[[#This Row],[Italy cumulative]]))</f>
        <v>1.2756894283845585E-4</v>
      </c>
      <c r="L48" s="10">
        <f>Tabella8[[#This Row],[Italy sum of regions]]+CI</f>
        <v>4889.6450827450581</v>
      </c>
      <c r="M48" s="10">
        <f>MAX(Tabella8[[#This Row],[Italy sum of regions]]-CI,0)</f>
        <v>0</v>
      </c>
      <c r="N48" s="159"/>
      <c r="O48" s="10">
        <f>Tabella8[[#This Row],[Lombardy]]*NOT(ISBLANK(Tabella8[[#This Row],[Lombardy]]))</f>
        <v>0</v>
      </c>
      <c r="P48" s="127">
        <f>IFERROR(Kr*_xlfn.LOGNORM.DIST((Tabella8[[#This Row],[Day]]-pr),mu_r,sigma_r,TRUE),0)</f>
        <v>2.9037514905089928E-3</v>
      </c>
      <c r="Q48" s="127">
        <f>Tabella8[[#This Row],[Lombardy fit]]/Kr</f>
        <v>3.3376453913896467E-8</v>
      </c>
      <c r="R48" s="10">
        <f>Tabella8[[#This Row],[Lombardy fit]]*NOT(ISBLANK(Tabella8[[#This Row],[Lombardy]]))</f>
        <v>0</v>
      </c>
      <c r="S48" s="10">
        <f>Tabella8[[#This Row],[Lombardy fit]]+CIr</f>
        <v>2975.464327314945</v>
      </c>
      <c r="T48" s="10">
        <f>MAX(Tabella8[[#This Row],[Lombardy fit]]-CIr,0)</f>
        <v>0</v>
      </c>
      <c r="U48" s="161"/>
      <c r="V48" s="10">
        <f>Tabella8[[#This Row],[rest of Italy ]]*NOT(ISBLANK(Tabella8[[#This Row],[rest of Italy ]]))</f>
        <v>0</v>
      </c>
      <c r="W48" s="128">
        <f>IFERROR(Ko*_xlfn.LOGNORM.DIST((Tabella8[[#This Row],[Day]]-po),mu_o,sigma_o,TRUE),0)</f>
        <v>4.4611368624324991E-14</v>
      </c>
      <c r="X48" s="128">
        <f>Tabella8[[#This Row],[rest of Italy fit]]/Ko</f>
        <v>3.0142820147028492E-19</v>
      </c>
      <c r="Y48" s="23">
        <f>Tabella8[[#This Row],[rest of Italy fit]]*NOT(ISBLANK(Tabella8[[#This Row],[rest of Italy ]]))</f>
        <v>0</v>
      </c>
      <c r="Z48" s="10">
        <f>Tabella8[[#This Row],[rest of Italy fit]]+CIo</f>
        <v>2432.9562065854871</v>
      </c>
      <c r="AA48" s="10">
        <f>MAX(Tabella8[[#This Row],[rest of Italy fit]]-CIo,0)</f>
        <v>0</v>
      </c>
      <c r="AC48" s="2" t="s">
        <v>5</v>
      </c>
      <c r="AD48" s="7">
        <f>TINV(0.05,dft)</f>
        <v>1.9989715170333793</v>
      </c>
      <c r="AX48" s="84"/>
      <c r="AY48" s="84"/>
      <c r="BA48" s="33"/>
      <c r="BB48" s="33"/>
      <c r="BD48" s="87"/>
      <c r="BE48" s="87"/>
    </row>
    <row r="49" spans="2:378" x14ac:dyDescent="0.3">
      <c r="B49" s="154">
        <v>43872</v>
      </c>
      <c r="C49" s="4">
        <v>42</v>
      </c>
      <c r="D49" s="10" t="s">
        <v>690</v>
      </c>
      <c r="E49" s="10">
        <f>Tabella8[[#This Row],[Italy cumulative]]*NOT(ISBLANK(Tabella8[[#This Row],[Italy cumulative]]))</f>
        <v>3</v>
      </c>
      <c r="F49" s="10">
        <f>Tabella8[[#This Row],[Lombardy fit]]+Tabella8[[#This Row],[rest of Italy fit]]</f>
        <v>1.3744676062602434E-2</v>
      </c>
      <c r="G49" s="91">
        <f>Tabella8[[#This Row],[Italy sum of regions]]/K_sum</f>
        <v>5.8487987533133131E-8</v>
      </c>
      <c r="H49" s="10">
        <f>Tabella8[[#This Row],[Italy sum of regions]]*NOT(ISBLANK(Tabella8[[#This Row],[Italy cumulative]]))</f>
        <v>1.3744676062602434E-2</v>
      </c>
      <c r="I49" s="152">
        <f>IFERROR(Kt*_xlfn.LOGNORM.DIST((Tabella8[[#This Row],[Day]]-Days_back),mu_t,sigma_t,TRUE),0)</f>
        <v>9.1402821745318599E-4</v>
      </c>
      <c r="J49" s="153">
        <f>Tabella8[[#This Row],[Italy fit]]/Kt</f>
        <v>3.8894828376575564E-9</v>
      </c>
      <c r="K49" s="23">
        <f>Tabella8[[#This Row],[Italy fit]]*NOT(ISBLANK(Tabella8[[#This Row],[Italy cumulative]]))</f>
        <v>9.1402821745318599E-4</v>
      </c>
      <c r="L49" s="10">
        <f>Tabella8[[#This Row],[Italy sum of regions]]+CI</f>
        <v>4889.6559236696303</v>
      </c>
      <c r="M49" s="10">
        <f>MAX(Tabella8[[#This Row],[Italy sum of regions]]-CI,0)</f>
        <v>0</v>
      </c>
      <c r="N49" s="159"/>
      <c r="O49" s="10">
        <f>Tabella8[[#This Row],[Lombardy]]*NOT(ISBLANK(Tabella8[[#This Row],[Lombardy]]))</f>
        <v>0</v>
      </c>
      <c r="P49" s="127">
        <f>IFERROR(Kr*_xlfn.LOGNORM.DIST((Tabella8[[#This Row],[Day]]-pr),mu_r,sigma_r,TRUE),0)</f>
        <v>1.3744676008109632E-2</v>
      </c>
      <c r="Q49" s="127">
        <f>Tabella8[[#This Row],[Lombardy fit]]/Kr</f>
        <v>1.5798478170240956E-7</v>
      </c>
      <c r="R49" s="10">
        <f>Tabella8[[#This Row],[Lombardy fit]]*NOT(ISBLANK(Tabella8[[#This Row],[Lombardy]]))</f>
        <v>0</v>
      </c>
      <c r="S49" s="10">
        <f>Tabella8[[#This Row],[Lombardy fit]]+CIr</f>
        <v>2975.4751682394626</v>
      </c>
      <c r="T49" s="10">
        <f>MAX(Tabella8[[#This Row],[Lombardy fit]]-CIr,0)</f>
        <v>0</v>
      </c>
      <c r="U49" s="161"/>
      <c r="V49" s="10">
        <f>Tabella8[[#This Row],[rest of Italy ]]*NOT(ISBLANK(Tabella8[[#This Row],[rest of Italy ]]))</f>
        <v>0</v>
      </c>
      <c r="W49" s="128">
        <f>IFERROR(Ko*_xlfn.LOGNORM.DIST((Tabella8[[#This Row],[Day]]-po),mu_o,sigma_o,TRUE),0)</f>
        <v>5.4492801872499963E-11</v>
      </c>
      <c r="X49" s="128">
        <f>Tabella8[[#This Row],[rest of Italy fit]]/Ko</f>
        <v>3.6819465010871482E-16</v>
      </c>
      <c r="Y49" s="23">
        <f>Tabella8[[#This Row],[rest of Italy fit]]*NOT(ISBLANK(Tabella8[[#This Row],[rest of Italy ]]))</f>
        <v>0</v>
      </c>
      <c r="Z49" s="10">
        <f>Tabella8[[#This Row],[rest of Italy fit]]+CIo</f>
        <v>2432.9562065855416</v>
      </c>
      <c r="AA49" s="10">
        <f>MAX(Tabella8[[#This Row],[rest of Italy fit]]-CIo,0)</f>
        <v>0</v>
      </c>
      <c r="AC49" s="2" t="s">
        <v>6</v>
      </c>
      <c r="AD49" s="1">
        <f>Critical_tt*SE_of_yt</f>
        <v>5182.706284556828</v>
      </c>
      <c r="AX49" s="84"/>
      <c r="AY49" s="84"/>
      <c r="BA49" s="33"/>
      <c r="BB49" s="33"/>
      <c r="BD49" s="87"/>
      <c r="BE49" s="87"/>
    </row>
    <row r="50" spans="2:378" x14ac:dyDescent="0.3">
      <c r="B50" s="154">
        <v>43873</v>
      </c>
      <c r="C50" s="4">
        <v>43</v>
      </c>
      <c r="D50" s="10" t="s">
        <v>690</v>
      </c>
      <c r="E50" s="10">
        <f>Tabella8[[#This Row],[Italy cumulative]]*NOT(ISBLANK(Tabella8[[#This Row],[Italy cumulative]]))</f>
        <v>3</v>
      </c>
      <c r="F50" s="10">
        <f>Tabella8[[#This Row],[Lombardy fit]]+Tabella8[[#This Row],[rest of Italy fit]]</f>
        <v>5.2892301194459222E-2</v>
      </c>
      <c r="G50" s="91">
        <f>Tabella8[[#This Row],[Italy sum of regions]]/K_sum</f>
        <v>2.2507363860523856E-7</v>
      </c>
      <c r="H50" s="10">
        <f>Tabella8[[#This Row],[Italy sum of regions]]*NOT(ISBLANK(Tabella8[[#This Row],[Italy cumulative]]))</f>
        <v>5.2892301194459222E-2</v>
      </c>
      <c r="I50" s="152">
        <f>IFERROR(Kt*_xlfn.LOGNORM.DIST((Tabella8[[#This Row],[Day]]-Days_back),mu_t,sigma_t,TRUE),0)</f>
        <v>5.0121003400024787E-3</v>
      </c>
      <c r="J50" s="153">
        <f>Tabella8[[#This Row],[Italy fit]]/Kt</f>
        <v>2.1328092372657737E-8</v>
      </c>
      <c r="K50" s="23">
        <f>Tabella8[[#This Row],[Italy fit]]*NOT(ISBLANK(Tabella8[[#This Row],[Italy cumulative]]))</f>
        <v>5.0121003400024787E-3</v>
      </c>
      <c r="L50" s="10">
        <f>Tabella8[[#This Row],[Italy sum of regions]]+CI</f>
        <v>4889.6950712947619</v>
      </c>
      <c r="M50" s="10">
        <f>MAX(Tabella8[[#This Row],[Italy sum of regions]]-CI,0)</f>
        <v>0</v>
      </c>
      <c r="N50" s="159"/>
      <c r="O50" s="10">
        <f>Tabella8[[#This Row],[Lombardy]]*NOT(ISBLANK(Tabella8[[#This Row],[Lombardy]]))</f>
        <v>0</v>
      </c>
      <c r="P50" s="127">
        <f>IFERROR(Kr*_xlfn.LOGNORM.DIST((Tabella8[[#This Row],[Day]]-pr),mu_r,sigma_r,TRUE),0)</f>
        <v>5.289229195701816E-2</v>
      </c>
      <c r="Q50" s="127">
        <f>Tabella8[[#This Row],[Lombardy fit]]/Kr</f>
        <v>6.079573788163007E-7</v>
      </c>
      <c r="R50" s="10">
        <f>Tabella8[[#This Row],[Lombardy fit]]*NOT(ISBLANK(Tabella8[[#This Row],[Lombardy]]))</f>
        <v>0</v>
      </c>
      <c r="S50" s="10">
        <f>Tabella8[[#This Row],[Lombardy fit]]+CIr</f>
        <v>2975.5143158554115</v>
      </c>
      <c r="T50" s="10">
        <f>MAX(Tabella8[[#This Row],[Lombardy fit]]-CIr,0)</f>
        <v>0</v>
      </c>
      <c r="U50" s="161"/>
      <c r="V50" s="10">
        <f>Tabella8[[#This Row],[rest of Italy ]]*NOT(ISBLANK(Tabella8[[#This Row],[rest of Italy ]]))</f>
        <v>0</v>
      </c>
      <c r="W50" s="128">
        <f>IFERROR(Ko*_xlfn.LOGNORM.DIST((Tabella8[[#This Row],[Day]]-po),mu_o,sigma_o,TRUE),0)</f>
        <v>9.2374410644758984E-9</v>
      </c>
      <c r="X50" s="128">
        <f>Tabella8[[#This Row],[rest of Italy fit]]/Ko</f>
        <v>6.2415149593381372E-14</v>
      </c>
      <c r="Y50" s="23">
        <f>Tabella8[[#This Row],[rest of Italy fit]]*NOT(ISBLANK(Tabella8[[#This Row],[rest of Italy ]]))</f>
        <v>0</v>
      </c>
      <c r="Z50" s="10">
        <f>Tabella8[[#This Row],[rest of Italy fit]]+CIo</f>
        <v>2432.9562065947243</v>
      </c>
      <c r="AA50" s="10">
        <f>MAX(Tabella8[[#This Row],[rest of Italy fit]]-CIo,0)</f>
        <v>0</v>
      </c>
      <c r="AC50" s="79" t="s">
        <v>371</v>
      </c>
      <c r="AD50" s="158">
        <v>31.495272685616236</v>
      </c>
      <c r="AX50" s="84"/>
      <c r="AY50" s="84"/>
      <c r="BA50" s="33"/>
      <c r="BB50" s="33"/>
      <c r="BD50" s="87"/>
      <c r="BE50" s="87"/>
    </row>
    <row r="51" spans="2:378" x14ac:dyDescent="0.3">
      <c r="B51" s="154">
        <v>43874</v>
      </c>
      <c r="C51" s="4">
        <v>44</v>
      </c>
      <c r="D51" s="10" t="s">
        <v>690</v>
      </c>
      <c r="E51" s="10">
        <f>Tabella8[[#This Row],[Italy cumulative]]*NOT(ISBLANK(Tabella8[[#This Row],[Italy cumulative]]))</f>
        <v>3</v>
      </c>
      <c r="F51" s="10">
        <f>Tabella8[[#This Row],[Lombardy fit]]+Tabella8[[#This Row],[rest of Italy fit]]</f>
        <v>0.17211852188333596</v>
      </c>
      <c r="G51" s="91">
        <f>Tabella8[[#This Row],[Italy sum of regions]]/K_sum</f>
        <v>7.3241929575368851E-7</v>
      </c>
      <c r="H51" s="10">
        <f>Tabella8[[#This Row],[Italy sum of regions]]*NOT(ISBLANK(Tabella8[[#This Row],[Italy cumulative]]))</f>
        <v>0.17211852188333596</v>
      </c>
      <c r="I51" s="152">
        <f>IFERROR(Kt*_xlfn.LOGNORM.DIST((Tabella8[[#This Row],[Day]]-Days_back),mu_t,sigma_t,TRUE),0)</f>
        <v>2.2154310095265854E-2</v>
      </c>
      <c r="J51" s="153">
        <f>Tabella8[[#This Row],[Italy fit]]/Kt</f>
        <v>9.4273685702808644E-8</v>
      </c>
      <c r="K51" s="23">
        <f>Tabella8[[#This Row],[Italy fit]]*NOT(ISBLANK(Tabella8[[#This Row],[Italy cumulative]]))</f>
        <v>2.2154310095265854E-2</v>
      </c>
      <c r="L51" s="10">
        <f>Tabella8[[#This Row],[Italy sum of regions]]+CI</f>
        <v>4889.8142975154506</v>
      </c>
      <c r="M51" s="10">
        <f>MAX(Tabella8[[#This Row],[Italy sum of regions]]-CI,0)</f>
        <v>0</v>
      </c>
      <c r="N51" s="159"/>
      <c r="O51" s="10">
        <f>Tabella8[[#This Row],[Lombardy]]*NOT(ISBLANK(Tabella8[[#This Row],[Lombardy]]))</f>
        <v>0</v>
      </c>
      <c r="P51" s="127">
        <f>IFERROR(Kr*_xlfn.LOGNORM.DIST((Tabella8[[#This Row],[Day]]-pr),mu_r,sigma_r,TRUE),0)</f>
        <v>0.17211805434560609</v>
      </c>
      <c r="Q51" s="127">
        <f>Tabella8[[#This Row],[Lombardy fit]]/Kr</f>
        <v>1.978368440754093E-6</v>
      </c>
      <c r="R51" s="10">
        <f>Tabella8[[#This Row],[Lombardy fit]]*NOT(ISBLANK(Tabella8[[#This Row],[Lombardy]]))</f>
        <v>0</v>
      </c>
      <c r="S51" s="10">
        <f>Tabella8[[#This Row],[Lombardy fit]]+CIr</f>
        <v>2975.6335416177999</v>
      </c>
      <c r="T51" s="10">
        <f>MAX(Tabella8[[#This Row],[Lombardy fit]]-CIr,0)</f>
        <v>0</v>
      </c>
      <c r="U51" s="161"/>
      <c r="V51" s="10">
        <f>Tabella8[[#This Row],[rest of Italy ]]*NOT(ISBLANK(Tabella8[[#This Row],[rest of Italy ]]))</f>
        <v>0</v>
      </c>
      <c r="W51" s="128">
        <f>IFERROR(Ko*_xlfn.LOGNORM.DIST((Tabella8[[#This Row],[Day]]-po),mu_o,sigma_o,TRUE),0)</f>
        <v>4.6753772985919447E-7</v>
      </c>
      <c r="X51" s="128">
        <f>Tabella8[[#This Row],[rest of Italy fit]]/Ko</f>
        <v>3.1590390830133224E-12</v>
      </c>
      <c r="Y51" s="23">
        <f>Tabella8[[#This Row],[rest of Italy fit]]*NOT(ISBLANK(Tabella8[[#This Row],[rest of Italy ]]))</f>
        <v>0</v>
      </c>
      <c r="Z51" s="10">
        <f>Tabella8[[#This Row],[rest of Italy fit]]+CIo</f>
        <v>2432.9562070530246</v>
      </c>
      <c r="AA51" s="10">
        <f>MAX(Tabella8[[#This Row],[rest of Italy fit]]-CIo,0)</f>
        <v>0</v>
      </c>
      <c r="AC51" s="72" t="s">
        <v>38</v>
      </c>
      <c r="AD51" s="73">
        <v>3</v>
      </c>
      <c r="AX51" s="84"/>
      <c r="AY51" s="84"/>
      <c r="BA51" s="33"/>
      <c r="BB51" s="33"/>
      <c r="BD51" s="87"/>
      <c r="BE51" s="87"/>
    </row>
    <row r="52" spans="2:378" x14ac:dyDescent="0.3">
      <c r="B52" s="154">
        <v>43875</v>
      </c>
      <c r="C52" s="4">
        <v>45</v>
      </c>
      <c r="D52" s="10" t="s">
        <v>690</v>
      </c>
      <c r="E52" s="10">
        <f>Tabella8[[#This Row],[Italy cumulative]]*NOT(ISBLANK(Tabella8[[#This Row],[Italy cumulative]]))</f>
        <v>3</v>
      </c>
      <c r="F52" s="10">
        <f>Tabella8[[#This Row],[Lombardy fit]]+Tabella8[[#This Row],[rest of Italy fit]]</f>
        <v>0.48788730195463637</v>
      </c>
      <c r="G52" s="91">
        <f>Tabella8[[#This Row],[Italy sum of regions]]/K_sum</f>
        <v>2.0761163307397567E-6</v>
      </c>
      <c r="H52" s="10">
        <f>Tabella8[[#This Row],[Italy sum of regions]]*NOT(ISBLANK(Tabella8[[#This Row],[Italy cumulative]]))</f>
        <v>0.48788730195463637</v>
      </c>
      <c r="I52" s="152">
        <f>IFERROR(Kt*_xlfn.LOGNORM.DIST((Tabella8[[#This Row],[Day]]-Days_back),mu_t,sigma_t,TRUE),0)</f>
        <v>8.2060546897765735E-2</v>
      </c>
      <c r="J52" s="153">
        <f>Tabella8[[#This Row],[Italy fit]]/Kt</f>
        <v>3.4919391186519907E-7</v>
      </c>
      <c r="K52" s="23">
        <f>Tabella8[[#This Row],[Italy fit]]*NOT(ISBLANK(Tabella8[[#This Row],[Italy cumulative]]))</f>
        <v>8.2060546897765735E-2</v>
      </c>
      <c r="L52" s="10">
        <f>Tabella8[[#This Row],[Italy sum of regions]]+CI</f>
        <v>4890.1300662955218</v>
      </c>
      <c r="M52" s="10">
        <f>MAX(Tabella8[[#This Row],[Italy sum of regions]]-CI,0)</f>
        <v>0</v>
      </c>
      <c r="N52" s="159"/>
      <c r="O52" s="10">
        <f>Tabella8[[#This Row],[Lombardy]]*NOT(ISBLANK(Tabella8[[#This Row],[Lombardy]]))</f>
        <v>0</v>
      </c>
      <c r="P52" s="127">
        <f>IFERROR(Kr*_xlfn.LOGNORM.DIST((Tabella8[[#This Row],[Day]]-pr),mu_r,sigma_r,TRUE),0)</f>
        <v>0.48787673256248693</v>
      </c>
      <c r="Q52" s="127">
        <f>Tabella8[[#This Row],[Lombardy fit]]/Kr</f>
        <v>5.6077785352009989E-6</v>
      </c>
      <c r="R52" s="10">
        <f>Tabella8[[#This Row],[Lombardy fit]]*NOT(ISBLANK(Tabella8[[#This Row],[Lombardy]]))</f>
        <v>0</v>
      </c>
      <c r="S52" s="10">
        <f>Tabella8[[#This Row],[Lombardy fit]]+CIr</f>
        <v>2975.9493002960171</v>
      </c>
      <c r="T52" s="10">
        <f>MAX(Tabella8[[#This Row],[Lombardy fit]]-CIr,0)</f>
        <v>0</v>
      </c>
      <c r="U52" s="161"/>
      <c r="V52" s="10">
        <f>Tabella8[[#This Row],[rest of Italy ]]*NOT(ISBLANK(Tabella8[[#This Row],[rest of Italy ]]))</f>
        <v>0</v>
      </c>
      <c r="W52" s="128">
        <f>IFERROR(Ko*_xlfn.LOGNORM.DIST((Tabella8[[#This Row],[Day]]-po),mu_o,sigma_o,TRUE),0)</f>
        <v>1.0569392149442228E-5</v>
      </c>
      <c r="X52" s="128">
        <f>Tabella8[[#This Row],[rest of Italy fit]]/Ko</f>
        <v>7.1414820134062305E-11</v>
      </c>
      <c r="Y52" s="23">
        <f>Tabella8[[#This Row],[rest of Italy fit]]*NOT(ISBLANK(Tabella8[[#This Row],[rest of Italy ]]))</f>
        <v>0</v>
      </c>
      <c r="Z52" s="10">
        <f>Tabella8[[#This Row],[rest of Italy fit]]+CIo</f>
        <v>2432.9562171548791</v>
      </c>
      <c r="AA52" s="10">
        <f>MAX(Tabella8[[#This Row],[rest of Italy fit]]-CIo,0)</f>
        <v>0</v>
      </c>
      <c r="AC52" s="72" t="s">
        <v>39</v>
      </c>
      <c r="AD52" s="260" t="s">
        <v>50</v>
      </c>
      <c r="AX52" s="84"/>
      <c r="AY52" s="84"/>
      <c r="BA52" s="33"/>
      <c r="BB52" s="33"/>
      <c r="BD52" s="87"/>
      <c r="BE52" s="87"/>
    </row>
    <row r="53" spans="2:378" x14ac:dyDescent="0.3">
      <c r="B53" s="154">
        <v>43876</v>
      </c>
      <c r="C53" s="4">
        <v>46</v>
      </c>
      <c r="D53" s="10" t="s">
        <v>690</v>
      </c>
      <c r="E53" s="10">
        <f>Tabella8[[#This Row],[Italy cumulative]]*NOT(ISBLANK(Tabella8[[#This Row],[Italy cumulative]]))</f>
        <v>3</v>
      </c>
      <c r="F53" s="10">
        <f>Tabella8[[#This Row],[Lombardy fit]]+Tabella8[[#This Row],[rest of Italy fit]]</f>
        <v>1.2325396545465104</v>
      </c>
      <c r="G53" s="91">
        <f>Tabella8[[#This Row],[Italy sum of regions]]/K_sum</f>
        <v>5.2448499783383863E-6</v>
      </c>
      <c r="H53" s="10">
        <f>Tabella8[[#This Row],[Italy sum of regions]]*NOT(ISBLANK(Tabella8[[#This Row],[Italy cumulative]]))</f>
        <v>1.2325396545465104</v>
      </c>
      <c r="I53" s="152">
        <f>IFERROR(Kt*_xlfn.LOGNORM.DIST((Tabella8[[#This Row],[Day]]-Days_back),mu_t,sigma_t,TRUE),0)</f>
        <v>0.26239467251559667</v>
      </c>
      <c r="J53" s="153">
        <f>Tabella8[[#This Row],[Italy fit]]/Kt</f>
        <v>1.1165733791959868E-6</v>
      </c>
      <c r="K53" s="23">
        <f>Tabella8[[#This Row],[Italy fit]]*NOT(ISBLANK(Tabella8[[#This Row],[Italy cumulative]]))</f>
        <v>0.26239467251559667</v>
      </c>
      <c r="L53" s="10">
        <f>Tabella8[[#This Row],[Italy sum of regions]]+CI</f>
        <v>4890.8747186481141</v>
      </c>
      <c r="M53" s="10">
        <f>MAX(Tabella8[[#This Row],[Italy sum of regions]]-CI,0)</f>
        <v>0</v>
      </c>
      <c r="N53" s="159"/>
      <c r="O53" s="10">
        <f>Tabella8[[#This Row],[Lombardy]]*NOT(ISBLANK(Tabella8[[#This Row],[Lombardy]]))</f>
        <v>0</v>
      </c>
      <c r="P53" s="127">
        <f>IFERROR(Kr*_xlfn.LOGNORM.DIST((Tabella8[[#This Row],[Day]]-pr),mu_r,sigma_r,TRUE),0)</f>
        <v>1.232404561241581</v>
      </c>
      <c r="Q53" s="127">
        <f>Tabella8[[#This Row],[Lombardy fit]]/Kr</f>
        <v>1.4165569669443461E-5</v>
      </c>
      <c r="R53" s="10">
        <f>Tabella8[[#This Row],[Lombardy fit]]*NOT(ISBLANK(Tabella8[[#This Row],[Lombardy]]))</f>
        <v>0</v>
      </c>
      <c r="S53" s="10">
        <f>Tabella8[[#This Row],[Lombardy fit]]+CIr</f>
        <v>2976.6938281246962</v>
      </c>
      <c r="T53" s="10">
        <f>MAX(Tabella8[[#This Row],[Lombardy fit]]-CIr,0)</f>
        <v>0</v>
      </c>
      <c r="U53" s="161"/>
      <c r="V53" s="10">
        <f>Tabella8[[#This Row],[rest of Italy ]]*NOT(ISBLANK(Tabella8[[#This Row],[rest of Italy ]]))</f>
        <v>0</v>
      </c>
      <c r="W53" s="128">
        <f>IFERROR(Ko*_xlfn.LOGNORM.DIST((Tabella8[[#This Row],[Day]]-po),mu_o,sigma_o,TRUE),0)</f>
        <v>1.3509330492944511E-4</v>
      </c>
      <c r="X53" s="128">
        <f>Tabella8[[#This Row],[rest of Italy fit]]/Ko</f>
        <v>9.1279270713420225E-10</v>
      </c>
      <c r="Y53" s="23">
        <f>Tabella8[[#This Row],[rest of Italy fit]]*NOT(ISBLANK(Tabella8[[#This Row],[rest of Italy ]]))</f>
        <v>0</v>
      </c>
      <c r="Z53" s="10">
        <f>Tabella8[[#This Row],[rest of Italy fit]]+CIo</f>
        <v>2432.9563416787919</v>
      </c>
      <c r="AA53" s="10">
        <f>MAX(Tabella8[[#This Row],[rest of Italy fit]]-CIo,0)</f>
        <v>0</v>
      </c>
      <c r="AX53" s="84"/>
      <c r="AY53" s="84"/>
      <c r="BA53" s="33"/>
      <c r="BB53" s="33"/>
      <c r="BD53" s="87"/>
      <c r="BE53" s="87"/>
    </row>
    <row r="54" spans="2:378" x14ac:dyDescent="0.3">
      <c r="B54" s="154">
        <v>43877</v>
      </c>
      <c r="C54" s="4">
        <v>47</v>
      </c>
      <c r="D54" s="10" t="s">
        <v>690</v>
      </c>
      <c r="E54" s="10">
        <f>Tabella8[[#This Row],[Italy cumulative]]*NOT(ISBLANK(Tabella8[[#This Row],[Italy cumulative]]))</f>
        <v>3</v>
      </c>
      <c r="F54" s="10">
        <f>Tabella8[[#This Row],[Lombardy fit]]+Tabella8[[#This Row],[rest of Italy fit]]</f>
        <v>2.8255460495103497</v>
      </c>
      <c r="G54" s="91">
        <f>Tabella8[[#This Row],[Italy sum of regions]]/K_sum</f>
        <v>1.2023601092186399E-5</v>
      </c>
      <c r="H54" s="10">
        <f>Tabella8[[#This Row],[Italy sum of regions]]*NOT(ISBLANK(Tabella8[[#This Row],[Italy cumulative]]))</f>
        <v>2.8255460495103497</v>
      </c>
      <c r="I54" s="152">
        <f>IFERROR(Kt*_xlfn.LOGNORM.DIST((Tabella8[[#This Row],[Day]]-Days_back),mu_t,sigma_t,TRUE),0)</f>
        <v>0.74130172007041095</v>
      </c>
      <c r="J54" s="153">
        <f>Tabella8[[#This Row],[Italy fit]]/Kt</f>
        <v>3.1544762652664641E-6</v>
      </c>
      <c r="K54" s="23">
        <f>Tabella8[[#This Row],[Italy fit]]*NOT(ISBLANK(Tabella8[[#This Row],[Italy cumulative]]))</f>
        <v>0.74130172007041095</v>
      </c>
      <c r="L54" s="10">
        <f>Tabella8[[#This Row],[Italy sum of regions]]+CI</f>
        <v>4892.4677250430777</v>
      </c>
      <c r="M54" s="10">
        <f>MAX(Tabella8[[#This Row],[Italy sum of regions]]-CI,0)</f>
        <v>0</v>
      </c>
      <c r="N54" s="159"/>
      <c r="O54" s="10">
        <f>Tabella8[[#This Row],[Lombardy]]*NOT(ISBLANK(Tabella8[[#This Row],[Lombardy]]))</f>
        <v>0</v>
      </c>
      <c r="P54" s="127">
        <f>IFERROR(Kr*_xlfn.LOGNORM.DIST((Tabella8[[#This Row],[Day]]-pr),mu_r,sigma_r,TRUE),0)</f>
        <v>2.8244131218996005</v>
      </c>
      <c r="Q54" s="127">
        <f>Tabella8[[#This Row],[Lombardy fit]]/Kr</f>
        <v>3.2464518642524143E-5</v>
      </c>
      <c r="R54" s="10">
        <f>Tabella8[[#This Row],[Lombardy fit]]*NOT(ISBLANK(Tabella8[[#This Row],[Lombardy]]))</f>
        <v>0</v>
      </c>
      <c r="S54" s="10">
        <f>Tabella8[[#This Row],[Lombardy fit]]+CIr</f>
        <v>2978.2858366853538</v>
      </c>
      <c r="T54" s="10">
        <f>MAX(Tabella8[[#This Row],[Lombardy fit]]-CIr,0)</f>
        <v>0</v>
      </c>
      <c r="U54" s="161"/>
      <c r="V54" s="10">
        <f>Tabella8[[#This Row],[rest of Italy ]]*NOT(ISBLANK(Tabella8[[#This Row],[rest of Italy ]]))</f>
        <v>0</v>
      </c>
      <c r="W54" s="128">
        <f>IFERROR(Ko*_xlfn.LOGNORM.DIST((Tabella8[[#This Row],[Day]]-po),mu_o,sigma_o,TRUE),0)</f>
        <v>1.1329276107491756E-3</v>
      </c>
      <c r="X54" s="128">
        <f>Tabella8[[#This Row],[rest of Italy fit]]/Ko</f>
        <v>7.6549171799662131E-9</v>
      </c>
      <c r="Y54" s="23">
        <f>Tabella8[[#This Row],[rest of Italy fit]]*NOT(ISBLANK(Tabella8[[#This Row],[rest of Italy ]]))</f>
        <v>0</v>
      </c>
      <c r="Z54" s="10">
        <f>Tabella8[[#This Row],[rest of Italy fit]]+CIo</f>
        <v>2432.9573395130978</v>
      </c>
      <c r="AA54" s="10">
        <f>MAX(Tabella8[[#This Row],[rest of Italy fit]]-CIo,0)</f>
        <v>0</v>
      </c>
      <c r="AC54" s="72" t="s">
        <v>134</v>
      </c>
      <c r="AD54" t="s">
        <v>375</v>
      </c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 s="84"/>
      <c r="AY54" s="84"/>
      <c r="AZ54"/>
      <c r="BA54" s="33"/>
      <c r="BB54" s="33"/>
      <c r="BC54"/>
      <c r="BD54" s="87"/>
      <c r="BE54" s="87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</row>
    <row r="55" spans="2:378" x14ac:dyDescent="0.3">
      <c r="B55" s="154">
        <v>43878</v>
      </c>
      <c r="C55" s="4">
        <v>48</v>
      </c>
      <c r="D55" s="10" t="s">
        <v>690</v>
      </c>
      <c r="E55" s="10">
        <f>Tabella8[[#This Row],[Italy cumulative]]*NOT(ISBLANK(Tabella8[[#This Row],[Italy cumulative]]))</f>
        <v>3</v>
      </c>
      <c r="F55" s="10">
        <f>Tabella8[[#This Row],[Lombardy fit]]+Tabella8[[#This Row],[rest of Italy fit]]</f>
        <v>5.9639118879091244</v>
      </c>
      <c r="G55" s="91">
        <f>Tabella8[[#This Row],[Italy sum of regions]]/K_sum</f>
        <v>2.5378350319788318E-5</v>
      </c>
      <c r="H55" s="10">
        <f>Tabella8[[#This Row],[Italy sum of regions]]*NOT(ISBLANK(Tabella8[[#This Row],[Italy cumulative]]))</f>
        <v>5.9639118879091244</v>
      </c>
      <c r="I55" s="152">
        <f>IFERROR(Kt*_xlfn.LOGNORM.DIST((Tabella8[[#This Row],[Day]]-Days_back),mu_t,sigma_t,TRUE),0)</f>
        <v>1.8847411036195787</v>
      </c>
      <c r="J55" s="153">
        <f>Tabella8[[#This Row],[Italy fit]]/Kt</f>
        <v>8.0201770973570304E-6</v>
      </c>
      <c r="K55" s="23">
        <f>Tabella8[[#This Row],[Italy fit]]*NOT(ISBLANK(Tabella8[[#This Row],[Italy cumulative]]))</f>
        <v>1.8847411036195787</v>
      </c>
      <c r="L55" s="10">
        <f>Tabella8[[#This Row],[Italy sum of regions]]+CI</f>
        <v>4895.606090881477</v>
      </c>
      <c r="M55" s="10">
        <f>MAX(Tabella8[[#This Row],[Italy sum of regions]]-CI,0)</f>
        <v>0</v>
      </c>
      <c r="N55" s="159"/>
      <c r="O55" s="10">
        <f>Tabella8[[#This Row],[Lombardy]]*NOT(ISBLANK(Tabella8[[#This Row],[Lombardy]]))</f>
        <v>0</v>
      </c>
      <c r="P55" s="127">
        <f>IFERROR(Kr*_xlfn.LOGNORM.DIST((Tabella8[[#This Row],[Day]]-pr),mu_r,sigma_r,TRUE),0)</f>
        <v>5.9570265831536959</v>
      </c>
      <c r="Q55" s="127">
        <f>Tabella8[[#This Row],[Lombardy fit]]/Kr</f>
        <v>6.8471569921306846E-5</v>
      </c>
      <c r="R55" s="10">
        <f>Tabella8[[#This Row],[Lombardy fit]]*NOT(ISBLANK(Tabella8[[#This Row],[Lombardy]]))</f>
        <v>0</v>
      </c>
      <c r="S55" s="10">
        <f>Tabella8[[#This Row],[Lombardy fit]]+CIr</f>
        <v>2981.4184501466079</v>
      </c>
      <c r="T55" s="10">
        <f>MAX(Tabella8[[#This Row],[Lombardy fit]]-CIr,0)</f>
        <v>0</v>
      </c>
      <c r="U55" s="161"/>
      <c r="V55" s="10">
        <f>Tabella8[[#This Row],[rest of Italy ]]*NOT(ISBLANK(Tabella8[[#This Row],[rest of Italy ]]))</f>
        <v>0</v>
      </c>
      <c r="W55" s="128">
        <f>IFERROR(Ko*_xlfn.LOGNORM.DIST((Tabella8[[#This Row],[Day]]-po),mu_o,sigma_o,TRUE),0)</f>
        <v>6.8853047554286546E-3</v>
      </c>
      <c r="X55" s="128">
        <f>Tabella8[[#This Row],[rest of Italy fit]]/Ko</f>
        <v>4.6522334844307022E-8</v>
      </c>
      <c r="Y55" s="23">
        <f>Tabella8[[#This Row],[rest of Italy fit]]*NOT(ISBLANK(Tabella8[[#This Row],[rest of Italy ]]))</f>
        <v>0</v>
      </c>
      <c r="Z55" s="10">
        <f>Tabella8[[#This Row],[rest of Italy fit]]+CIo</f>
        <v>2432.9630918902426</v>
      </c>
      <c r="AA55" s="10">
        <f>MAX(Tabella8[[#This Row],[rest of Italy fit]]-CIo,0)</f>
        <v>0</v>
      </c>
      <c r="AC55" s="73" t="s">
        <v>136</v>
      </c>
      <c r="AD55" s="106">
        <v>172</v>
      </c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 s="84"/>
      <c r="AY55" s="84"/>
      <c r="AZ55"/>
      <c r="BA55" s="33"/>
      <c r="BB55" s="33"/>
      <c r="BC55"/>
      <c r="BD55" s="87"/>
      <c r="BE55" s="87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</row>
    <row r="56" spans="2:378" x14ac:dyDescent="0.3">
      <c r="B56" s="154">
        <v>43879</v>
      </c>
      <c r="C56" s="4">
        <v>49</v>
      </c>
      <c r="D56" s="10" t="s">
        <v>690</v>
      </c>
      <c r="E56" s="10">
        <f>Tabella8[[#This Row],[Italy cumulative]]*NOT(ISBLANK(Tabella8[[#This Row],[Italy cumulative]]))</f>
        <v>3</v>
      </c>
      <c r="F56" s="10">
        <f>Tabella8[[#This Row],[Lombardy fit]]+Tabella8[[#This Row],[rest of Italy fit]]</f>
        <v>11.729230736660888</v>
      </c>
      <c r="G56" s="91">
        <f>Tabella8[[#This Row],[Italy sum of regions]]/K_sum</f>
        <v>4.9911623815248518E-5</v>
      </c>
      <c r="H56" s="10">
        <f>Tabella8[[#This Row],[Italy sum of regions]]*NOT(ISBLANK(Tabella8[[#This Row],[Italy cumulative]]))</f>
        <v>11.729230736660888</v>
      </c>
      <c r="I56" s="152">
        <f>IFERROR(Kt*_xlfn.LOGNORM.DIST((Tabella8[[#This Row],[Day]]-Days_back),mu_t,sigma_t,TRUE),0)</f>
        <v>4.3768973631711958</v>
      </c>
      <c r="J56" s="153">
        <f>Tabella8[[#This Row],[Italy fit]]/Kt</f>
        <v>1.8625100244364058E-5</v>
      </c>
      <c r="K56" s="23">
        <f>Tabella8[[#This Row],[Italy fit]]*NOT(ISBLANK(Tabella8[[#This Row],[Italy cumulative]]))</f>
        <v>4.3768973631711958</v>
      </c>
      <c r="L56" s="10">
        <f>Tabella8[[#This Row],[Italy sum of regions]]+CI</f>
        <v>4901.3714097302282</v>
      </c>
      <c r="M56" s="10">
        <f>MAX(Tabella8[[#This Row],[Italy sum of regions]]-CI,0)</f>
        <v>0</v>
      </c>
      <c r="N56" s="159"/>
      <c r="O56" s="10">
        <f>Tabella8[[#This Row],[Lombardy]]*NOT(ISBLANK(Tabella8[[#This Row],[Lombardy]]))</f>
        <v>0</v>
      </c>
      <c r="P56" s="127">
        <f>IFERROR(Kr*_xlfn.LOGNORM.DIST((Tabella8[[#This Row],[Day]]-pr),mu_r,sigma_r,TRUE),0)</f>
        <v>11.696728324452055</v>
      </c>
      <c r="Q56" s="127">
        <f>Tabella8[[#This Row],[Lombardy fit]]/Kr</f>
        <v>1.3444515315462133E-4</v>
      </c>
      <c r="R56" s="10">
        <f>Tabella8[[#This Row],[Lombardy fit]]*NOT(ISBLANK(Tabella8[[#This Row],[Lombardy]]))</f>
        <v>0</v>
      </c>
      <c r="S56" s="10">
        <f>Tabella8[[#This Row],[Lombardy fit]]+CIr</f>
        <v>2987.1581518879066</v>
      </c>
      <c r="T56" s="10">
        <f>MAX(Tabella8[[#This Row],[Lombardy fit]]-CIr,0)</f>
        <v>0</v>
      </c>
      <c r="U56" s="161"/>
      <c r="V56" s="10">
        <f>Tabella8[[#This Row],[rest of Italy ]]*NOT(ISBLANK(Tabella8[[#This Row],[rest of Italy ]]))</f>
        <v>0</v>
      </c>
      <c r="W56" s="128">
        <f>IFERROR(Ko*_xlfn.LOGNORM.DIST((Tabella8[[#This Row],[Day]]-po),mu_o,sigma_o,TRUE),0)</f>
        <v>3.250241220883384E-2</v>
      </c>
      <c r="X56" s="128">
        <f>Tabella8[[#This Row],[rest of Italy fit]]/Ko</f>
        <v>2.19610918868169E-7</v>
      </c>
      <c r="Y56" s="23">
        <f>Tabella8[[#This Row],[rest of Italy fit]]*NOT(ISBLANK(Tabella8[[#This Row],[rest of Italy ]]))</f>
        <v>0</v>
      </c>
      <c r="Z56" s="10">
        <f>Tabella8[[#This Row],[rest of Italy fit]]+CIo</f>
        <v>2432.988708997696</v>
      </c>
      <c r="AA56" s="10">
        <f>MAX(Tabella8[[#This Row],[rest of Italy fit]]-CIo,0)</f>
        <v>0</v>
      </c>
      <c r="AC56" s="73" t="s">
        <v>137</v>
      </c>
      <c r="AD56" s="106">
        <v>240</v>
      </c>
      <c r="AE56" s="71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 s="84"/>
      <c r="AY56" s="84"/>
      <c r="AZ56"/>
      <c r="BA56" s="33"/>
      <c r="BB56" s="33"/>
      <c r="BC56"/>
      <c r="BD56" s="87"/>
      <c r="BE56" s="87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</row>
    <row r="57" spans="2:378" x14ac:dyDescent="0.3">
      <c r="B57" s="154">
        <v>43880</v>
      </c>
      <c r="C57" s="4">
        <v>50</v>
      </c>
      <c r="D57" s="10" t="s">
        <v>690</v>
      </c>
      <c r="E57" s="10">
        <f>Tabella8[[#This Row],[Italy cumulative]]*NOT(ISBLANK(Tabella8[[#This Row],[Italy cumulative]]))</f>
        <v>3</v>
      </c>
      <c r="F57" s="10">
        <f>Tabella8[[#This Row],[Lombardy fit]]+Tabella8[[#This Row],[rest of Italy fit]]</f>
        <v>21.709222970948375</v>
      </c>
      <c r="G57" s="91">
        <f>Tabella8[[#This Row],[Italy sum of regions]]/K_sum</f>
        <v>9.2379678989569719E-5</v>
      </c>
      <c r="H57" s="10">
        <f>Tabella8[[#This Row],[Italy sum of regions]]*NOT(ISBLANK(Tabella8[[#This Row],[Italy cumulative]]))</f>
        <v>21.709222970948375</v>
      </c>
      <c r="I57" s="152">
        <f>IFERROR(Kt*_xlfn.LOGNORM.DIST((Tabella8[[#This Row],[Day]]-Days_back),mu_t,sigma_t,TRUE),0)</f>
        <v>9.3970979442358509</v>
      </c>
      <c r="J57" s="153">
        <f>Tabella8[[#This Row],[Italy fit]]/Kt</f>
        <v>3.9987661737329716E-5</v>
      </c>
      <c r="K57" s="23">
        <f>Tabella8[[#This Row],[Italy fit]]*NOT(ISBLANK(Tabella8[[#This Row],[Italy cumulative]]))</f>
        <v>9.3970979442358509</v>
      </c>
      <c r="L57" s="10">
        <f>Tabella8[[#This Row],[Italy sum of regions]]+CI</f>
        <v>4911.3514019645163</v>
      </c>
      <c r="M57" s="10">
        <f>MAX(Tabella8[[#This Row],[Italy sum of regions]]-CI,0)</f>
        <v>0</v>
      </c>
      <c r="N57" s="159"/>
      <c r="O57" s="10">
        <f>Tabella8[[#This Row],[Lombardy]]*NOT(ISBLANK(Tabella8[[#This Row],[Lombardy]]))</f>
        <v>0</v>
      </c>
      <c r="P57" s="127">
        <f>IFERROR(Kr*_xlfn.LOGNORM.DIST((Tabella8[[#This Row],[Day]]-pr),mu_r,sigma_r,TRUE),0)</f>
        <v>21.583926129223123</v>
      </c>
      <c r="Q57" s="127">
        <f>Tabella8[[#This Row],[Lombardy fit]]/Kr</f>
        <v>2.4809110493359912E-4</v>
      </c>
      <c r="R57" s="10">
        <f>Tabella8[[#This Row],[Lombardy fit]]*NOT(ISBLANK(Tabella8[[#This Row],[Lombardy]]))</f>
        <v>0</v>
      </c>
      <c r="S57" s="10">
        <f>Tabella8[[#This Row],[Lombardy fit]]+CIr</f>
        <v>2997.0453496926775</v>
      </c>
      <c r="T57" s="10">
        <f>MAX(Tabella8[[#This Row],[Lombardy fit]]-CIr,0)</f>
        <v>0</v>
      </c>
      <c r="U57" s="161"/>
      <c r="V57" s="10">
        <f>Tabella8[[#This Row],[rest of Italy ]]*NOT(ISBLANK(Tabella8[[#This Row],[rest of Italy ]]))</f>
        <v>0</v>
      </c>
      <c r="W57" s="128">
        <f>IFERROR(Ko*_xlfn.LOGNORM.DIST((Tabella8[[#This Row],[Day]]-po),mu_o,sigma_o,TRUE),0)</f>
        <v>0.12529684172525352</v>
      </c>
      <c r="X57" s="128">
        <f>Tabella8[[#This Row],[rest of Italy fit]]/Ko</f>
        <v>8.4660038048141327E-7</v>
      </c>
      <c r="Y57" s="23">
        <f>Tabella8[[#This Row],[rest of Italy fit]]*NOT(ISBLANK(Tabella8[[#This Row],[rest of Italy ]]))</f>
        <v>0</v>
      </c>
      <c r="Z57" s="10">
        <f>Tabella8[[#This Row],[rest of Italy fit]]+CIo</f>
        <v>2433.0815034272123</v>
      </c>
      <c r="AA57" s="10">
        <f>MAX(Tabella8[[#This Row],[rest of Italy fit]]-CIo,0)</f>
        <v>0</v>
      </c>
      <c r="AC57" s="73" t="s">
        <v>138</v>
      </c>
      <c r="AD57" s="106">
        <v>258</v>
      </c>
      <c r="AE57" s="71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 s="84"/>
      <c r="AY57" s="84"/>
      <c r="AZ57"/>
      <c r="BA57" s="33"/>
      <c r="BB57" s="33"/>
      <c r="BC57"/>
      <c r="BD57" s="87"/>
      <c r="BE57" s="8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</row>
    <row r="58" spans="2:378" x14ac:dyDescent="0.3">
      <c r="B58" s="154">
        <v>43881</v>
      </c>
      <c r="C58" s="4">
        <v>51</v>
      </c>
      <c r="D58" s="10" t="s">
        <v>690</v>
      </c>
      <c r="E58" s="10">
        <f>Tabella8[[#This Row],[Italy cumulative]]*NOT(ISBLANK(Tabella8[[#This Row],[Italy cumulative]]))</f>
        <v>3</v>
      </c>
      <c r="F58" s="10">
        <f>Tabella8[[#This Row],[Lombardy fit]]+Tabella8[[#This Row],[rest of Italy fit]]</f>
        <v>38.133444094002002</v>
      </c>
      <c r="G58" s="91">
        <f>Tabella8[[#This Row],[Italy sum of regions]]/K_sum</f>
        <v>1.6226998676483332E-4</v>
      </c>
      <c r="H58" s="10">
        <f>Tabella8[[#This Row],[Italy sum of regions]]*NOT(ISBLANK(Tabella8[[#This Row],[Italy cumulative]]))</f>
        <v>38.133444094002002</v>
      </c>
      <c r="I58" s="152">
        <f>IFERROR(Kt*_xlfn.LOGNORM.DIST((Tabella8[[#This Row],[Day]]-Days_back),mu_t,sigma_t,TRUE),0)</f>
        <v>18.839505530649845</v>
      </c>
      <c r="J58" s="153">
        <f>Tabella8[[#This Row],[Italy fit]]/Kt</f>
        <v>8.0168130515259701E-5</v>
      </c>
      <c r="K58" s="23">
        <f>Tabella8[[#This Row],[Italy fit]]*NOT(ISBLANK(Tabella8[[#This Row],[Italy cumulative]]))</f>
        <v>18.839505530649845</v>
      </c>
      <c r="L58" s="10">
        <f>Tabella8[[#This Row],[Italy sum of regions]]+CI</f>
        <v>4927.7756230875693</v>
      </c>
      <c r="M58" s="10">
        <f>MAX(Tabella8[[#This Row],[Italy sum of regions]]-CI,0)</f>
        <v>0</v>
      </c>
      <c r="N58" s="159"/>
      <c r="O58" s="10">
        <f>Tabella8[[#This Row],[Lombardy]]*NOT(ISBLANK(Tabella8[[#This Row],[Lombardy]]))</f>
        <v>0</v>
      </c>
      <c r="P58" s="127">
        <f>IFERROR(Kr*_xlfn.LOGNORM.DIST((Tabella8[[#This Row],[Day]]-pr),mu_r,sigma_r,TRUE),0)</f>
        <v>37.724019062370473</v>
      </c>
      <c r="Q58" s="127">
        <f>Tabella8[[#This Row],[Lombardy fit]]/Kr</f>
        <v>4.3360941451000542E-4</v>
      </c>
      <c r="R58" s="10">
        <f>Tabella8[[#This Row],[Lombardy fit]]*NOT(ISBLANK(Tabella8[[#This Row],[Lombardy]]))</f>
        <v>0</v>
      </c>
      <c r="S58" s="10">
        <f>Tabella8[[#This Row],[Lombardy fit]]+CIr</f>
        <v>3013.1854426258251</v>
      </c>
      <c r="T58" s="10">
        <f>MAX(Tabella8[[#This Row],[Lombardy fit]]-CIr,0)</f>
        <v>0</v>
      </c>
      <c r="U58" s="161"/>
      <c r="V58" s="10">
        <f>Tabella8[[#This Row],[rest of Italy ]]*NOT(ISBLANK(Tabella8[[#This Row],[rest of Italy ]]))</f>
        <v>0</v>
      </c>
      <c r="W58" s="128">
        <f>IFERROR(Ko*_xlfn.LOGNORM.DIST((Tabella8[[#This Row],[Day]]-po),mu_o,sigma_o,TRUE),0)</f>
        <v>0.40942503163152882</v>
      </c>
      <c r="X58" s="128">
        <f>Tabella8[[#This Row],[rest of Italy fit]]/Ko</f>
        <v>2.7663856709008015E-6</v>
      </c>
      <c r="Y58" s="23">
        <f>Tabella8[[#This Row],[rest of Italy fit]]*NOT(ISBLANK(Tabella8[[#This Row],[rest of Italy ]]))</f>
        <v>0</v>
      </c>
      <c r="Z58" s="10">
        <f>Tabella8[[#This Row],[rest of Italy fit]]+CIo</f>
        <v>2433.3656316171187</v>
      </c>
      <c r="AA58" s="10">
        <f>MAX(Tabella8[[#This Row],[rest of Italy fit]]-CIo,0)</f>
        <v>0</v>
      </c>
      <c r="AC58" s="73" t="s">
        <v>139</v>
      </c>
      <c r="AD58" s="106">
        <v>403</v>
      </c>
      <c r="AE58" s="71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 s="84"/>
      <c r="AY58" s="84"/>
      <c r="AZ58"/>
      <c r="BA58" s="33"/>
      <c r="BB58" s="33"/>
      <c r="BC58"/>
      <c r="BD58" s="87"/>
      <c r="BE58" s="87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</row>
    <row r="59" spans="2:378" x14ac:dyDescent="0.3">
      <c r="B59" s="154">
        <v>43882</v>
      </c>
      <c r="C59" s="4">
        <v>52</v>
      </c>
      <c r="D59" s="10" t="s">
        <v>693</v>
      </c>
      <c r="E59" s="10">
        <f>Tabella8[[#This Row],[Italy cumulative]]*NOT(ISBLANK(Tabella8[[#This Row],[Italy cumulative]]))</f>
        <v>20</v>
      </c>
      <c r="F59" s="10">
        <f>Tabella8[[#This Row],[Lombardy fit]]+Tabella8[[#This Row],[rest of Italy fit]]</f>
        <v>64.024494720082998</v>
      </c>
      <c r="G59" s="91">
        <f>Tabella8[[#This Row],[Italy sum of regions]]/K_sum</f>
        <v>2.7244467835747181E-4</v>
      </c>
      <c r="H59" s="10">
        <f>Tabella8[[#This Row],[Italy sum of regions]]*NOT(ISBLANK(Tabella8[[#This Row],[Italy cumulative]]))</f>
        <v>64.024494720082998</v>
      </c>
      <c r="I59" s="152">
        <f>IFERROR(Kt*_xlfn.LOGNORM.DIST((Tabella8[[#This Row],[Day]]-Days_back),mu_t,sigma_t,TRUE),0)</f>
        <v>35.563717330267153</v>
      </c>
      <c r="J59" s="153">
        <f>Tabella8[[#This Row],[Italy fit]]/Kt</f>
        <v>1.5133500865520413E-4</v>
      </c>
      <c r="K59" s="23">
        <f>Tabella8[[#This Row],[Italy fit]]*NOT(ISBLANK(Tabella8[[#This Row],[Italy cumulative]]))</f>
        <v>35.563717330267153</v>
      </c>
      <c r="L59" s="10">
        <f>Tabella8[[#This Row],[Italy sum of regions]]+CI</f>
        <v>4953.6666737136502</v>
      </c>
      <c r="M59" s="10">
        <f>MAX(Tabella8[[#This Row],[Italy sum of regions]]-CI,0)</f>
        <v>0</v>
      </c>
      <c r="N59" s="159"/>
      <c r="O59" s="10">
        <f>Tabella8[[#This Row],[Lombardy]]*NOT(ISBLANK(Tabella8[[#This Row],[Lombardy]]))</f>
        <v>0</v>
      </c>
      <c r="P59" s="127">
        <f>IFERROR(Kr*_xlfn.LOGNORM.DIST((Tabella8[[#This Row],[Day]]-pr),mu_r,sigma_r,TRUE),0)</f>
        <v>62.857858736043291</v>
      </c>
      <c r="Q59" s="127">
        <f>Tabella8[[#This Row],[Lombardy fit]]/Kr</f>
        <v>7.2250412340279645E-4</v>
      </c>
      <c r="R59" s="10">
        <f>Tabella8[[#This Row],[Lombardy fit]]*NOT(ISBLANK(Tabella8[[#This Row],[Lombardy]]))</f>
        <v>0</v>
      </c>
      <c r="S59" s="10">
        <f>Tabella8[[#This Row],[Lombardy fit]]+CIr</f>
        <v>3038.3192822994979</v>
      </c>
      <c r="T59" s="10">
        <f>MAX(Tabella8[[#This Row],[Lombardy fit]]-CIr,0)</f>
        <v>0</v>
      </c>
      <c r="U59" s="161"/>
      <c r="V59" s="10">
        <f>Tabella8[[#This Row],[rest of Italy ]]*NOT(ISBLANK(Tabella8[[#This Row],[rest of Italy ]]))</f>
        <v>0</v>
      </c>
      <c r="W59" s="128">
        <f>IFERROR(Ko*_xlfn.LOGNORM.DIST((Tabella8[[#This Row],[Day]]-po),mu_o,sigma_o,TRUE),0)</f>
        <v>1.166635984039708</v>
      </c>
      <c r="X59" s="128">
        <f>Tabella8[[#This Row],[rest of Italy fit]]/Ko</f>
        <v>7.8826764854701008E-6</v>
      </c>
      <c r="Y59" s="23">
        <f>Tabella8[[#This Row],[rest of Italy fit]]*NOT(ISBLANK(Tabella8[[#This Row],[rest of Italy ]]))</f>
        <v>0</v>
      </c>
      <c r="Z59" s="10">
        <f>Tabella8[[#This Row],[rest of Italy fit]]+CIo</f>
        <v>2434.1228425695267</v>
      </c>
      <c r="AA59" s="10">
        <f>MAX(Tabella8[[#This Row],[rest of Italy fit]]-CIo,0)</f>
        <v>0</v>
      </c>
      <c r="AC59" s="73" t="s">
        <v>140</v>
      </c>
      <c r="AD59" s="106">
        <v>531</v>
      </c>
      <c r="AE59" s="71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 s="84"/>
      <c r="AY59" s="84"/>
      <c r="AZ59"/>
      <c r="BA59" s="33"/>
      <c r="BB59" s="33"/>
      <c r="BC59"/>
      <c r="BD59" s="87"/>
      <c r="BE59" s="87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</row>
    <row r="60" spans="2:378" x14ac:dyDescent="0.3">
      <c r="B60" s="154">
        <v>43883</v>
      </c>
      <c r="C60" s="4">
        <v>53</v>
      </c>
      <c r="D60" s="10" t="s">
        <v>871</v>
      </c>
      <c r="E60" s="10">
        <f>Tabella8[[#This Row],[Italy cumulative]]*NOT(ISBLANK(Tabella8[[#This Row],[Italy cumulative]]))</f>
        <v>62</v>
      </c>
      <c r="F60" s="10">
        <f>Tabella8[[#This Row],[Lombardy fit]]+Tabella8[[#This Row],[rest of Italy fit]]</f>
        <v>103.36555302362525</v>
      </c>
      <c r="G60" s="91">
        <f>Tabella8[[#This Row],[Italy sum of regions]]/K_sum</f>
        <v>4.398534493694365E-4</v>
      </c>
      <c r="H60" s="10">
        <f>Tabella8[[#This Row],[Italy sum of regions]]*NOT(ISBLANK(Tabella8[[#This Row],[Italy cumulative]]))</f>
        <v>103.36555302362525</v>
      </c>
      <c r="I60" s="152">
        <f>IFERROR(Kt*_xlfn.LOGNORM.DIST((Tabella8[[#This Row],[Day]]-Days_back),mu_t,sigma_t,TRUE),0)</f>
        <v>63.656950488563709</v>
      </c>
      <c r="J60" s="153">
        <f>Tabella8[[#This Row],[Italy fit]]/Kt</f>
        <v>2.7088071428775815E-4</v>
      </c>
      <c r="K60" s="23">
        <f>Tabella8[[#This Row],[Italy fit]]*NOT(ISBLANK(Tabella8[[#This Row],[Italy cumulative]]))</f>
        <v>63.656950488563709</v>
      </c>
      <c r="L60" s="10">
        <f>Tabella8[[#This Row],[Italy sum of regions]]+CI</f>
        <v>4993.0077320171931</v>
      </c>
      <c r="M60" s="10">
        <f>MAX(Tabella8[[#This Row],[Italy sum of regions]]-CI,0)</f>
        <v>0</v>
      </c>
      <c r="N60" s="159"/>
      <c r="O60" s="10">
        <f>Tabella8[[#This Row],[Lombardy]]*NOT(ISBLANK(Tabella8[[#This Row],[Lombardy]]))</f>
        <v>0</v>
      </c>
      <c r="P60" s="127">
        <f>IFERROR(Kr*_xlfn.LOGNORM.DIST((Tabella8[[#This Row],[Day]]-pr),mu_r,sigma_r,TRUE),0)</f>
        <v>100.40214228955595</v>
      </c>
      <c r="Q60" s="127">
        <f>Tabella8[[#This Row],[Lombardy fit]]/Kr</f>
        <v>1.1540476125236317E-3</v>
      </c>
      <c r="R60" s="10">
        <f>Tabella8[[#This Row],[Lombardy fit]]*NOT(ISBLANK(Tabella8[[#This Row],[Lombardy]]))</f>
        <v>0</v>
      </c>
      <c r="S60" s="10">
        <f>Tabella8[[#This Row],[Lombardy fit]]+CIr</f>
        <v>3075.8635658530102</v>
      </c>
      <c r="T60" s="10">
        <f>MAX(Tabella8[[#This Row],[Lombardy fit]]-CIr,0)</f>
        <v>0</v>
      </c>
      <c r="U60" s="161"/>
      <c r="V60" s="10">
        <f>Tabella8[[#This Row],[rest of Italy ]]*NOT(ISBLANK(Tabella8[[#This Row],[rest of Italy ]]))</f>
        <v>0</v>
      </c>
      <c r="W60" s="128">
        <f>IFERROR(Ko*_xlfn.LOGNORM.DIST((Tabella8[[#This Row],[Day]]-po),mu_o,sigma_o,TRUE),0)</f>
        <v>2.9634107340692979</v>
      </c>
      <c r="X60" s="128">
        <f>Tabella8[[#This Row],[rest of Italy fit]]/Ko</f>
        <v>2.0023047831381367E-5</v>
      </c>
      <c r="Y60" s="23">
        <f>Tabella8[[#This Row],[rest of Italy fit]]*NOT(ISBLANK(Tabella8[[#This Row],[rest of Italy ]]))</f>
        <v>0</v>
      </c>
      <c r="Z60" s="10">
        <f>Tabella8[[#This Row],[rest of Italy fit]]+CIo</f>
        <v>2435.9196173195564</v>
      </c>
      <c r="AA60" s="10">
        <f>MAX(Tabella8[[#This Row],[rest of Italy fit]]-CIo,0)</f>
        <v>0</v>
      </c>
      <c r="AC60" s="73" t="s">
        <v>141</v>
      </c>
      <c r="AD60" s="106">
        <v>615</v>
      </c>
      <c r="AE60" s="71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 s="84"/>
      <c r="AY60" s="84"/>
      <c r="AZ60"/>
      <c r="BA60" s="33"/>
      <c r="BB60" s="33"/>
      <c r="BC60"/>
      <c r="BD60" s="87"/>
      <c r="BE60" s="87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</row>
    <row r="61" spans="2:378" x14ac:dyDescent="0.3">
      <c r="B61" s="154">
        <v>43884</v>
      </c>
      <c r="C61" s="4">
        <v>54</v>
      </c>
      <c r="D61" s="10" t="s">
        <v>1641</v>
      </c>
      <c r="E61" s="10">
        <f>Tabella8[[#This Row],[Italy cumulative]]*NOT(ISBLANK(Tabella8[[#This Row],[Italy cumulative]]))</f>
        <v>155</v>
      </c>
      <c r="F61" s="10">
        <f>Tabella8[[#This Row],[Lombardy fit]]+Tabella8[[#This Row],[rest of Italy fit]]</f>
        <v>161.28137187543177</v>
      </c>
      <c r="G61" s="91">
        <f>Tabella8[[#This Row],[Italy sum of regions]]/K_sum</f>
        <v>6.8630376042422357E-4</v>
      </c>
      <c r="H61" s="10">
        <f>Tabella8[[#This Row],[Italy sum of regions]]*NOT(ISBLANK(Tabella8[[#This Row],[Italy cumulative]]))</f>
        <v>161.28137187543177</v>
      </c>
      <c r="I61" s="152">
        <f>IFERROR(Kt*_xlfn.LOGNORM.DIST((Tabella8[[#This Row],[Day]]-Days_back),mu_t,sigma_t,TRUE),0)</f>
        <v>108.68322883616682</v>
      </c>
      <c r="J61" s="153">
        <f>Tabella8[[#This Row],[Italy fit]]/Kt</f>
        <v>4.6248195102481103E-4</v>
      </c>
      <c r="K61" s="23">
        <f>Tabella8[[#This Row],[Italy fit]]*NOT(ISBLANK(Tabella8[[#This Row],[Italy cumulative]]))</f>
        <v>108.68322883616682</v>
      </c>
      <c r="L61" s="10">
        <f>Tabella8[[#This Row],[Italy sum of regions]]+CI</f>
        <v>5050.923550868999</v>
      </c>
      <c r="M61" s="10">
        <f>MAX(Tabella8[[#This Row],[Italy sum of regions]]-CI,0)</f>
        <v>0</v>
      </c>
      <c r="N61" s="159"/>
      <c r="O61" s="10">
        <f>Tabella8[[#This Row],[Lombardy]]*NOT(ISBLANK(Tabella8[[#This Row],[Lombardy]]))</f>
        <v>0</v>
      </c>
      <c r="P61" s="127">
        <f>IFERROR(Kr*_xlfn.LOGNORM.DIST((Tabella8[[#This Row],[Day]]-pr),mu_r,sigma_r,TRUE),0)</f>
        <v>154.45315185535208</v>
      </c>
      <c r="Q61" s="127">
        <f>Tabella8[[#This Row],[Lombardy fit]]/Kr</f>
        <v>1.7753235845442768E-3</v>
      </c>
      <c r="R61" s="10">
        <f>Tabella8[[#This Row],[Lombardy fit]]*NOT(ISBLANK(Tabella8[[#This Row],[Lombardy]]))</f>
        <v>0</v>
      </c>
      <c r="S61" s="10">
        <f>Tabella8[[#This Row],[Lombardy fit]]+CIr</f>
        <v>3129.9145754188066</v>
      </c>
      <c r="T61" s="10">
        <f>MAX(Tabella8[[#This Row],[Lombardy fit]]-CIr,0)</f>
        <v>0</v>
      </c>
      <c r="U61" s="161"/>
      <c r="V61" s="10">
        <f>Tabella8[[#This Row],[rest of Italy ]]*NOT(ISBLANK(Tabella8[[#This Row],[rest of Italy ]]))</f>
        <v>0</v>
      </c>
      <c r="W61" s="128">
        <f>IFERROR(Ko*_xlfn.LOGNORM.DIST((Tabella8[[#This Row],[Day]]-po),mu_o,sigma_o,TRUE),0)</f>
        <v>6.8282200200796863</v>
      </c>
      <c r="X61" s="128">
        <f>Tabella8[[#This Row],[rest of Italy fit]]/Ko</f>
        <v>4.6136627128129388E-5</v>
      </c>
      <c r="Y61" s="23">
        <f>Tabella8[[#This Row],[rest of Italy fit]]*NOT(ISBLANK(Tabella8[[#This Row],[rest of Italy ]]))</f>
        <v>0</v>
      </c>
      <c r="Z61" s="10">
        <f>Tabella8[[#This Row],[rest of Italy fit]]+CIo</f>
        <v>2439.7844266055668</v>
      </c>
      <c r="AA61" s="10">
        <f>MAX(Tabella8[[#This Row],[rest of Italy fit]]-CIo,0)</f>
        <v>0</v>
      </c>
      <c r="AC61" s="73" t="s">
        <v>142</v>
      </c>
      <c r="AD61" s="106">
        <v>984</v>
      </c>
      <c r="AE61" s="7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 s="84"/>
      <c r="AY61" s="84"/>
      <c r="AZ61"/>
      <c r="BA61" s="33"/>
      <c r="BB61" s="33"/>
      <c r="BC61"/>
      <c r="BD61" s="87"/>
      <c r="BE61" s="87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</row>
    <row r="62" spans="2:378" x14ac:dyDescent="0.3">
      <c r="B62" s="16">
        <v>43885</v>
      </c>
      <c r="C62" s="4">
        <v>55</v>
      </c>
      <c r="D62" s="10">
        <f>'dpc-covid19-ita-andamento-naz'!L2</f>
        <v>229</v>
      </c>
      <c r="E62" s="10">
        <f>Tabella8[[#This Row],[Italy cumulative]]*NOT(ISBLANK(Tabella8[[#This Row],[Italy cumulative]]))</f>
        <v>229</v>
      </c>
      <c r="F62" s="10">
        <f>Tabella8[[#This Row],[Lombardy fit]]+Tabella8[[#This Row],[rest of Italy fit]]</f>
        <v>244.2235783812792</v>
      </c>
      <c r="G62" s="91">
        <f>Tabella8[[#This Row],[Italy sum of regions]]/K_sum</f>
        <v>1.0392493458995964E-3</v>
      </c>
      <c r="H62" s="10">
        <f>Tabella8[[#This Row],[Italy sum of regions]]*NOT(ISBLANK(Tabella8[[#This Row],[Italy cumulative]]))</f>
        <v>244.2235783812792</v>
      </c>
      <c r="I62" s="152">
        <f>IFERROR(Kt*_xlfn.LOGNORM.DIST((Tabella8[[#This Row],[Day]]-Days_back),mu_t,sigma_t,TRUE),0)</f>
        <v>177.89291256402961</v>
      </c>
      <c r="J62" s="129">
        <f>Tabella8[[#This Row],[Italy fit]]/Kt</f>
        <v>7.5699132384186732E-4</v>
      </c>
      <c r="K62" s="10">
        <f>Tabella8[[#This Row],[Italy fit]]*NOT(ISBLANK(Tabella8[[#This Row],[Italy cumulative]]))</f>
        <v>177.89291256402961</v>
      </c>
      <c r="L62" s="10">
        <f>Tabella8[[#This Row],[Italy sum of regions]]+CI</f>
        <v>5133.8657573748469</v>
      </c>
      <c r="M62" s="10">
        <f>MAX(Tabella8[[#This Row],[Italy sum of regions]]-CI,0)</f>
        <v>0</v>
      </c>
      <c r="N62" s="75">
        <f>GETPIVOTDATA("totale_casi",AD55,"data",ROW(AD55))</f>
        <v>172</v>
      </c>
      <c r="O62" s="10">
        <f>Tabella8[[#This Row],[Lombardy]]*NOT(ISBLANK(Tabella8[[#This Row],[Lombardy]]))</f>
        <v>172</v>
      </c>
      <c r="P62" s="127">
        <f>IFERROR(Kr*_xlfn.LOGNORM.DIST((Tabella8[[#This Row],[Day]]-pr),mu_r,sigma_r,TRUE),0)</f>
        <v>229.75081032074394</v>
      </c>
      <c r="Q62" s="127">
        <f>Tabella8[[#This Row],[Lombardy fit]]/Kr</f>
        <v>2.640813911732689E-3</v>
      </c>
      <c r="R62" s="10">
        <f>Tabella8[[#This Row],[Lombardy fit]]*NOT(ISBLANK(Tabella8[[#This Row],[Lombardy]]))</f>
        <v>229.75081032074394</v>
      </c>
      <c r="S62" s="10">
        <f>Tabella8[[#This Row],[Lombardy fit]]+CIr</f>
        <v>3205.2122338841982</v>
      </c>
      <c r="T62" s="10">
        <f>MAX(Tabella8[[#This Row],[Lombardy fit]]-CIr,0)</f>
        <v>0</v>
      </c>
      <c r="U62" s="10">
        <f>Tabella8[[#This Row],[Italy cumulative]]-Tabella8[[#This Row],[Lombardy]]</f>
        <v>57</v>
      </c>
      <c r="V62" s="10">
        <f>Tabella8[[#This Row],[rest of Italy ]]*NOT(ISBLANK(Tabella8[[#This Row],[rest of Italy ]]))</f>
        <v>57</v>
      </c>
      <c r="W62" s="128">
        <f>IFERROR(Ko*_xlfn.LOGNORM.DIST((Tabella8[[#This Row],[Day]]-po),mu_o,sigma_o,TRUE),0)</f>
        <v>14.472768060535266</v>
      </c>
      <c r="X62" s="128">
        <f>Tabella8[[#This Row],[rest of Italy fit]]/Ko</f>
        <v>9.7788984765757959E-5</v>
      </c>
      <c r="Y62" s="23">
        <f>Tabella8[[#This Row],[rest of Italy fit]]*NOT(ISBLANK(Tabella8[[#This Row],[rest of Italy ]]))</f>
        <v>14.472768060535266</v>
      </c>
      <c r="Z62" s="10">
        <f>Tabella8[[#This Row],[rest of Italy fit]]+CIo</f>
        <v>2447.4289746460222</v>
      </c>
      <c r="AA62" s="10">
        <f>MAX(Tabella8[[#This Row],[rest of Italy fit]]-CIo,0)</f>
        <v>0</v>
      </c>
      <c r="AC62" s="73" t="s">
        <v>143</v>
      </c>
      <c r="AD62" s="106">
        <v>1254</v>
      </c>
      <c r="AE62" s="71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 s="84"/>
      <c r="AY62" s="84"/>
      <c r="AZ62"/>
      <c r="BA62" s="33"/>
      <c r="BB62" s="33"/>
      <c r="BC62"/>
      <c r="BD62" s="87"/>
      <c r="BE62" s="87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</row>
    <row r="63" spans="2:378" x14ac:dyDescent="0.3">
      <c r="B63" s="9">
        <f>Start_data+1</f>
        <v>43832</v>
      </c>
      <c r="C63" s="4">
        <v>56</v>
      </c>
      <c r="D63" s="10">
        <f>'dpc-covid19-ita-andamento-naz'!L3</f>
        <v>322</v>
      </c>
      <c r="E63" s="10">
        <f>Tabella8[[#This Row],[Italy cumulative]]*NOT(ISBLANK(Tabella8[[#This Row],[Italy cumulative]]))</f>
        <v>322</v>
      </c>
      <c r="F63" s="10">
        <f>Tabella8[[#This Row],[Lombardy fit]]+Tabella8[[#This Row],[rest of Italy fit]]</f>
        <v>360.14400750899983</v>
      </c>
      <c r="G63" s="91">
        <f>Tabella8[[#This Row],[Italy sum of regions]]/K_sum</f>
        <v>1.5325278038841378E-3</v>
      </c>
      <c r="H63" s="10">
        <f>Tabella8[[#This Row],[Italy sum of regions]]*NOT(ISBLANK(Tabella8[[#This Row],[Italy cumulative]]))</f>
        <v>360.14400750899983</v>
      </c>
      <c r="I63" s="152">
        <f>IFERROR(Kt*_xlfn.LOGNORM.DIST((Tabella8[[#This Row],[Day]]-Days_back),mu_t,sigma_t,TRUE),0)</f>
        <v>280.36735611097754</v>
      </c>
      <c r="J63" s="129">
        <f>Tabella8[[#This Row],[Italy fit]]/Kt</f>
        <v>1.1930529047249278E-3</v>
      </c>
      <c r="K63" s="10">
        <f>Tabella8[[#This Row],[Italy fit]]*NOT(ISBLANK(Tabella8[[#This Row],[Italy cumulative]]))</f>
        <v>280.36735611097754</v>
      </c>
      <c r="L63" s="10">
        <f>Tabella8[[#This Row],[Italy sum of regions]]+CI</f>
        <v>5249.786186502567</v>
      </c>
      <c r="M63" s="10">
        <f>MAX(Tabella8[[#This Row],[Italy sum of regions]]-CI,0)</f>
        <v>0</v>
      </c>
      <c r="N63" s="75">
        <f t="shared" ref="N63:N126" si="0">GETPIVOTDATA("totale_casi",AD56,"data",ROW(AD56))</f>
        <v>240</v>
      </c>
      <c r="O63" s="10">
        <f>Tabella8[[#This Row],[Lombardy]]*NOT(ISBLANK(Tabella8[[#This Row],[Lombardy]]))</f>
        <v>240</v>
      </c>
      <c r="P63" s="127">
        <f>IFERROR(Kr*_xlfn.LOGNORM.DIST((Tabella8[[#This Row],[Day]]-pr),mu_r,sigma_r,TRUE),0)</f>
        <v>331.60368823539022</v>
      </c>
      <c r="Q63" s="127">
        <f>Tabella8[[#This Row],[Lombardy fit]]/Kr</f>
        <v>3.8115366463837958E-3</v>
      </c>
      <c r="R63" s="10">
        <f>Tabella8[[#This Row],[Lombardy fit]]*NOT(ISBLANK(Tabella8[[#This Row],[Lombardy]]))</f>
        <v>331.60368823539022</v>
      </c>
      <c r="S63" s="10">
        <f>Tabella8[[#This Row],[Lombardy fit]]+CIr</f>
        <v>3307.0651117988446</v>
      </c>
      <c r="T63" s="10">
        <f>MAX(Tabella8[[#This Row],[Lombardy fit]]-CIr,0)</f>
        <v>0</v>
      </c>
      <c r="U63" s="10">
        <f>Tabella8[[#This Row],[Italy cumulative]]-Tabella8[[#This Row],[Lombardy]]</f>
        <v>82</v>
      </c>
      <c r="V63" s="10">
        <f>Tabella8[[#This Row],[rest of Italy ]]*NOT(ISBLANK(Tabella8[[#This Row],[rest of Italy ]]))</f>
        <v>82</v>
      </c>
      <c r="W63" s="128">
        <f>IFERROR(Ko*_xlfn.LOGNORM.DIST((Tabella8[[#This Row],[Day]]-po),mu_o,sigma_o,TRUE),0)</f>
        <v>28.540319273609629</v>
      </c>
      <c r="X63" s="128">
        <f>Tabella8[[#This Row],[rest of Italy fit]]/Ko</f>
        <v>1.9284001754075368E-4</v>
      </c>
      <c r="Y63" s="23">
        <f>Tabella8[[#This Row],[rest of Italy fit]]*NOT(ISBLANK(Tabella8[[#This Row],[rest of Italy ]]))</f>
        <v>28.540319273609629</v>
      </c>
      <c r="Z63" s="10">
        <f>Tabella8[[#This Row],[rest of Italy fit]]+CIo</f>
        <v>2461.4965258590969</v>
      </c>
      <c r="AA63" s="10">
        <f>MAX(Tabella8[[#This Row],[rest of Italy fit]]-CIo,0)</f>
        <v>0</v>
      </c>
      <c r="AC63" s="73" t="s">
        <v>144</v>
      </c>
      <c r="AD63" s="106">
        <v>1520</v>
      </c>
      <c r="AE63" s="71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 s="84"/>
      <c r="AY63" s="84"/>
      <c r="AZ63"/>
      <c r="BA63" s="33"/>
      <c r="BB63" s="33"/>
      <c r="BC63"/>
      <c r="BD63" s="87"/>
      <c r="BE63" s="87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</row>
    <row r="64" spans="2:378" x14ac:dyDescent="0.3">
      <c r="B64" s="9">
        <v>43887</v>
      </c>
      <c r="C64" s="4">
        <v>57</v>
      </c>
      <c r="D64" s="10">
        <f>'dpc-covid19-ita-andamento-naz'!L4</f>
        <v>400</v>
      </c>
      <c r="E64" s="10">
        <f>Tabella8[[#This Row],[Italy cumulative]]*NOT(ISBLANK(Tabella8[[#This Row],[Italy cumulative]]))</f>
        <v>400</v>
      </c>
      <c r="F64" s="10">
        <f>Tabella8[[#This Row],[Lombardy fit]]+Tabella8[[#This Row],[rest of Italy fit]]</f>
        <v>518.63417298978618</v>
      </c>
      <c r="G64" s="91">
        <f>Tabella8[[#This Row],[Italy sum of regions]]/K_sum</f>
        <v>2.2069540894178027E-3</v>
      </c>
      <c r="H64" s="10">
        <f>Tabella8[[#This Row],[Italy sum of regions]]*NOT(ISBLANK(Tabella8[[#This Row],[Italy cumulative]]))</f>
        <v>518.63417298978618</v>
      </c>
      <c r="I64" s="152">
        <f>IFERROR(Kt*_xlfn.LOGNORM.DIST((Tabella8[[#This Row],[Day]]-Days_back),mu_t,sigma_t,TRUE),0)</f>
        <v>427.07811706368591</v>
      </c>
      <c r="J64" s="129">
        <f>Tabella8[[#This Row],[Italy fit]]/Kt</f>
        <v>1.8173541855050978E-3</v>
      </c>
      <c r="K64" s="10">
        <f>Tabella8[[#This Row],[Italy fit]]*NOT(ISBLANK(Tabella8[[#This Row],[Italy cumulative]]))</f>
        <v>427.07811706368591</v>
      </c>
      <c r="L64" s="10">
        <f>Tabella8[[#This Row],[Italy sum of regions]]+CI</f>
        <v>5408.2763519833534</v>
      </c>
      <c r="M64" s="10">
        <f>MAX(Tabella8[[#This Row],[Italy sum of regions]]-CI,0)</f>
        <v>0</v>
      </c>
      <c r="N64" s="75">
        <f t="shared" si="0"/>
        <v>258</v>
      </c>
      <c r="O64" s="10">
        <f>Tabella8[[#This Row],[Lombardy]]*NOT(ISBLANK(Tabella8[[#This Row],[Lombardy]]))</f>
        <v>258</v>
      </c>
      <c r="P64" s="127">
        <f>IFERROR(Kr*_xlfn.LOGNORM.DIST((Tabella8[[#This Row],[Day]]-pr),mu_r,sigma_r,TRUE),0)</f>
        <v>465.77889435556489</v>
      </c>
      <c r="Q64" s="127">
        <f>Tabella8[[#This Row],[Lombardy fit]]/Kr</f>
        <v>5.3537803948915507E-3</v>
      </c>
      <c r="R64" s="10">
        <f>Tabella8[[#This Row],[Lombardy fit]]*NOT(ISBLANK(Tabella8[[#This Row],[Lombardy]]))</f>
        <v>465.77889435556489</v>
      </c>
      <c r="S64" s="10">
        <f>Tabella8[[#This Row],[Lombardy fit]]+CIr</f>
        <v>3441.2403179190192</v>
      </c>
      <c r="T64" s="10">
        <f>MAX(Tabella8[[#This Row],[Lombardy fit]]-CIr,0)</f>
        <v>0</v>
      </c>
      <c r="U64" s="10">
        <f>Tabella8[[#This Row],[Italy cumulative]]-Tabella8[[#This Row],[Lombardy]]</f>
        <v>142</v>
      </c>
      <c r="V64" s="10">
        <f>Tabella8[[#This Row],[rest of Italy ]]*NOT(ISBLANK(Tabella8[[#This Row],[rest of Italy ]]))</f>
        <v>142</v>
      </c>
      <c r="W64" s="128">
        <f>IFERROR(Ko*_xlfn.LOGNORM.DIST((Tabella8[[#This Row],[Day]]-po),mu_o,sigma_o,TRUE),0)</f>
        <v>52.855278634221321</v>
      </c>
      <c r="X64" s="128">
        <f>Tabella8[[#This Row],[rest of Italy fit]]/Ko</f>
        <v>3.5713030261611206E-4</v>
      </c>
      <c r="Y64" s="23">
        <f>Tabella8[[#This Row],[rest of Italy fit]]*NOT(ISBLANK(Tabella8[[#This Row],[rest of Italy ]]))</f>
        <v>52.855278634221321</v>
      </c>
      <c r="Z64" s="10">
        <f>Tabella8[[#This Row],[rest of Italy fit]]+CIo</f>
        <v>2485.8114852197082</v>
      </c>
      <c r="AA64" s="10">
        <f>MAX(Tabella8[[#This Row],[rest of Italy fit]]-CIo,0)</f>
        <v>0</v>
      </c>
      <c r="AC64" s="73" t="s">
        <v>145</v>
      </c>
      <c r="AD64" s="106">
        <v>1820</v>
      </c>
      <c r="AE64" s="71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 s="84"/>
      <c r="AY64" s="84"/>
      <c r="AZ64" s="98"/>
      <c r="BA64" s="33"/>
      <c r="BB64" s="33"/>
      <c r="BC64" s="98"/>
      <c r="BD64" s="87"/>
      <c r="BE64" s="87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</row>
    <row r="65" spans="2:378" x14ac:dyDescent="0.3">
      <c r="B65" s="9">
        <v>43888</v>
      </c>
      <c r="C65" s="4">
        <v>58</v>
      </c>
      <c r="D65" s="10">
        <f>'dpc-covid19-ita-andamento-naz'!L5</f>
        <v>650</v>
      </c>
      <c r="E65" s="10">
        <f>Tabella8[[#This Row],[Italy cumulative]]*NOT(ISBLANK(Tabella8[[#This Row],[Italy cumulative]]))</f>
        <v>650</v>
      </c>
      <c r="F65" s="10">
        <f>Tabella8[[#This Row],[Lombardy fit]]+Tabella8[[#This Row],[rest of Italy fit]]</f>
        <v>731.00667902949851</v>
      </c>
      <c r="G65" s="91">
        <f>Tabella8[[#This Row],[Italy sum of regions]]/K_sum</f>
        <v>3.1106669473313911E-3</v>
      </c>
      <c r="H65" s="10">
        <f>Tabella8[[#This Row],[Italy sum of regions]]*NOT(ISBLANK(Tabella8[[#This Row],[Italy cumulative]]))</f>
        <v>731.00667902949851</v>
      </c>
      <c r="I65" s="152">
        <f>IFERROR(Kt*_xlfn.LOGNORM.DIST((Tabella8[[#This Row],[Day]]-Days_back),mu_t,sigma_t,TRUE),0)</f>
        <v>630.84715786776644</v>
      </c>
      <c r="J65" s="129">
        <f>Tabella8[[#This Row],[Italy fit]]/Kt</f>
        <v>2.6844567233914691E-3</v>
      </c>
      <c r="K65" s="10">
        <f>Tabella8[[#This Row],[Italy fit]]*NOT(ISBLANK(Tabella8[[#This Row],[Italy cumulative]]))</f>
        <v>630.84715786776644</v>
      </c>
      <c r="L65" s="10">
        <f>Tabella8[[#This Row],[Italy sum of regions]]+CI</f>
        <v>5620.6488580230662</v>
      </c>
      <c r="M65" s="10">
        <f>MAX(Tabella8[[#This Row],[Italy sum of regions]]-CI,0)</f>
        <v>0</v>
      </c>
      <c r="N65" s="75">
        <f t="shared" si="0"/>
        <v>403</v>
      </c>
      <c r="O65" s="10">
        <f>Tabella8[[#This Row],[Lombardy]]*NOT(ISBLANK(Tabella8[[#This Row],[Lombardy]]))</f>
        <v>403</v>
      </c>
      <c r="P65" s="127">
        <f>IFERROR(Kr*_xlfn.LOGNORM.DIST((Tabella8[[#This Row],[Day]]-pr),mu_r,sigma_r,TRUE),0)</f>
        <v>638.36338064302606</v>
      </c>
      <c r="Q65" s="127">
        <f>Tabella8[[#This Row],[Lombardy fit]]/Kr</f>
        <v>7.337510122333633E-3</v>
      </c>
      <c r="R65" s="10">
        <f>Tabella8[[#This Row],[Lombardy fit]]*NOT(ISBLANK(Tabella8[[#This Row],[Lombardy]]))</f>
        <v>638.36338064302606</v>
      </c>
      <c r="S65" s="10">
        <f>Tabella8[[#This Row],[Lombardy fit]]+CIr</f>
        <v>3613.8248042064806</v>
      </c>
      <c r="T65" s="10">
        <f>MAX(Tabella8[[#This Row],[Lombardy fit]]-CIr,0)</f>
        <v>0</v>
      </c>
      <c r="U65" s="10">
        <f>Tabella8[[#This Row],[Italy cumulative]]-Tabella8[[#This Row],[Lombardy]]</f>
        <v>247</v>
      </c>
      <c r="V65" s="10">
        <f>Tabella8[[#This Row],[rest of Italy ]]*NOT(ISBLANK(Tabella8[[#This Row],[rest of Italy ]]))</f>
        <v>247</v>
      </c>
      <c r="W65" s="128">
        <f>IFERROR(Ko*_xlfn.LOGNORM.DIST((Tabella8[[#This Row],[Day]]-po),mu_o,sigma_o,TRUE),0)</f>
        <v>92.643298386472409</v>
      </c>
      <c r="X65" s="128">
        <f>Tabella8[[#This Row],[rest of Italy fit]]/Ko</f>
        <v>6.2596830521094242E-4</v>
      </c>
      <c r="Y65" s="23">
        <f>Tabella8[[#This Row],[rest of Italy fit]]*NOT(ISBLANK(Tabella8[[#This Row],[rest of Italy ]]))</f>
        <v>92.643298386472409</v>
      </c>
      <c r="Z65" s="10">
        <f>Tabella8[[#This Row],[rest of Italy fit]]+CIo</f>
        <v>2525.5995049719595</v>
      </c>
      <c r="AA65" s="10">
        <f>MAX(Tabella8[[#This Row],[rest of Italy fit]]-CIo,0)</f>
        <v>0</v>
      </c>
      <c r="AC65" s="73" t="s">
        <v>146</v>
      </c>
      <c r="AD65" s="106">
        <v>2251</v>
      </c>
      <c r="AE65" s="71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 s="84"/>
      <c r="AY65" s="84"/>
      <c r="AZ65" s="98"/>
      <c r="BA65" s="33"/>
      <c r="BB65" s="33"/>
      <c r="BC65" s="98"/>
      <c r="BD65" s="87"/>
      <c r="BE65" s="87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</row>
    <row r="66" spans="2:378" x14ac:dyDescent="0.3">
      <c r="B66" s="9">
        <v>43889</v>
      </c>
      <c r="C66" s="4">
        <v>59</v>
      </c>
      <c r="D66" s="10">
        <f>'dpc-covid19-ita-andamento-naz'!L6</f>
        <v>888</v>
      </c>
      <c r="E66" s="10">
        <f>Tabella8[[#This Row],[Italy cumulative]]*NOT(ISBLANK(Tabella8[[#This Row],[Italy cumulative]]))</f>
        <v>888</v>
      </c>
      <c r="F66" s="10">
        <f>Tabella8[[#This Row],[Lombardy fit]]+Tabella8[[#This Row],[rest of Italy fit]]</f>
        <v>1010.29626931027</v>
      </c>
      <c r="G66" s="91">
        <f>Tabella8[[#This Row],[Italy sum of regions]]/K_sum</f>
        <v>4.2991333760834935E-3</v>
      </c>
      <c r="H66" s="10">
        <f>Tabella8[[#This Row],[Italy sum of regions]]*NOT(ISBLANK(Tabella8[[#This Row],[Italy cumulative]]))</f>
        <v>1010.29626931027</v>
      </c>
      <c r="I66" s="152">
        <f>IFERROR(Kt*_xlfn.LOGNORM.DIST((Tabella8[[#This Row],[Day]]-Days_back),mu_t,sigma_t,TRUE),0)</f>
        <v>906.20280733092886</v>
      </c>
      <c r="J66" s="129">
        <f>Tabella8[[#This Row],[Italy fit]]/Kt</f>
        <v>3.8561832110300997E-3</v>
      </c>
      <c r="K66" s="10">
        <f>Tabella8[[#This Row],[Italy fit]]*NOT(ISBLANK(Tabella8[[#This Row],[Italy cumulative]]))</f>
        <v>906.20280733092886</v>
      </c>
      <c r="L66" s="10">
        <f>Tabella8[[#This Row],[Italy sum of regions]]+CI</f>
        <v>5899.9384483038375</v>
      </c>
      <c r="M66" s="10">
        <f>MAX(Tabella8[[#This Row],[Italy sum of regions]]-CI,0)</f>
        <v>0</v>
      </c>
      <c r="N66" s="75">
        <f t="shared" si="0"/>
        <v>531</v>
      </c>
      <c r="O66" s="10">
        <f>Tabella8[[#This Row],[Lombardy]]*NOT(ISBLANK(Tabella8[[#This Row],[Lombardy]]))</f>
        <v>531</v>
      </c>
      <c r="P66" s="127">
        <f>IFERROR(Kr*_xlfn.LOGNORM.DIST((Tabella8[[#This Row],[Day]]-pr),mu_r,sigma_r,TRUE),0)</f>
        <v>855.6049183896896</v>
      </c>
      <c r="Q66" s="127">
        <f>Tabella8[[#This Row],[Lombardy fit]]/Kr</f>
        <v>9.8345392918355121E-3</v>
      </c>
      <c r="R66" s="10">
        <f>Tabella8[[#This Row],[Lombardy fit]]*NOT(ISBLANK(Tabella8[[#This Row],[Lombardy]]))</f>
        <v>855.6049183896896</v>
      </c>
      <c r="S66" s="10">
        <f>Tabella8[[#This Row],[Lombardy fit]]+CIr</f>
        <v>3831.0663419531438</v>
      </c>
      <c r="T66" s="10">
        <f>MAX(Tabella8[[#This Row],[Lombardy fit]]-CIr,0)</f>
        <v>0</v>
      </c>
      <c r="U66" s="10">
        <f>Tabella8[[#This Row],[Italy cumulative]]-Tabella8[[#This Row],[Lombardy]]</f>
        <v>357</v>
      </c>
      <c r="V66" s="10">
        <f>Tabella8[[#This Row],[rest of Italy ]]*NOT(ISBLANK(Tabella8[[#This Row],[rest of Italy ]]))</f>
        <v>357</v>
      </c>
      <c r="W66" s="128">
        <f>IFERROR(Ko*_xlfn.LOGNORM.DIST((Tabella8[[#This Row],[Day]]-po),mu_o,sigma_o,TRUE),0)</f>
        <v>154.69135092058042</v>
      </c>
      <c r="X66" s="128">
        <f>Tabella8[[#This Row],[rest of Italy fit]]/Ko</f>
        <v>1.0452119522191591E-3</v>
      </c>
      <c r="Y66" s="23">
        <f>Tabella8[[#This Row],[rest of Italy fit]]*NOT(ISBLANK(Tabella8[[#This Row],[rest of Italy ]]))</f>
        <v>154.69135092058042</v>
      </c>
      <c r="Z66" s="10">
        <f>Tabella8[[#This Row],[rest of Italy fit]]+CIo</f>
        <v>2587.6475575060676</v>
      </c>
      <c r="AA66" s="10">
        <f>MAX(Tabella8[[#This Row],[rest of Italy fit]]-CIo,0)</f>
        <v>0</v>
      </c>
      <c r="AC66" s="73" t="s">
        <v>147</v>
      </c>
      <c r="AD66" s="106">
        <v>2612</v>
      </c>
      <c r="AE66" s="71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 s="84"/>
      <c r="AY66" s="84"/>
      <c r="AZ66" s="98"/>
      <c r="BA66" s="33"/>
      <c r="BB66" s="33"/>
      <c r="BC66" s="98"/>
      <c r="BD66" s="87"/>
      <c r="BE66" s="87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</row>
    <row r="67" spans="2:378" x14ac:dyDescent="0.3">
      <c r="B67" s="9">
        <v>43890</v>
      </c>
      <c r="C67" s="4">
        <v>60</v>
      </c>
      <c r="D67" s="10">
        <f>'dpc-covid19-ita-andamento-naz'!L7</f>
        <v>1128</v>
      </c>
      <c r="E67" s="10">
        <f>Tabella8[[#This Row],[Italy cumulative]]*NOT(ISBLANK(Tabella8[[#This Row],[Italy cumulative]]))</f>
        <v>1128</v>
      </c>
      <c r="F67" s="10">
        <f>Tabella8[[#This Row],[Lombardy fit]]+Tabella8[[#This Row],[rest of Italy fit]]</f>
        <v>1371.164054113412</v>
      </c>
      <c r="G67" s="91">
        <f>Tabella8[[#This Row],[Italy sum of regions]]/K_sum</f>
        <v>5.8347410835727616E-3</v>
      </c>
      <c r="H67" s="10">
        <f>Tabella8[[#This Row],[Italy sum of regions]]*NOT(ISBLANK(Tabella8[[#This Row],[Italy cumulative]]))</f>
        <v>1371.164054113412</v>
      </c>
      <c r="I67" s="152">
        <f>IFERROR(Kt*_xlfn.LOGNORM.DIST((Tabella8[[#This Row],[Day]]-Days_back),mu_t,sigma_t,TRUE),0)</f>
        <v>1269.1347662049882</v>
      </c>
      <c r="J67" s="129">
        <f>Tabella8[[#This Row],[Italy fit]]/Kt</f>
        <v>5.4005749467812897E-3</v>
      </c>
      <c r="K67" s="10">
        <f>Tabella8[[#This Row],[Italy fit]]*NOT(ISBLANK(Tabella8[[#This Row],[Italy cumulative]]))</f>
        <v>1269.1347662049882</v>
      </c>
      <c r="L67" s="10">
        <f>Tabella8[[#This Row],[Italy sum of regions]]+CI</f>
        <v>6260.8062331069796</v>
      </c>
      <c r="M67" s="10">
        <f>MAX(Tabella8[[#This Row],[Italy sum of regions]]-CI,0)</f>
        <v>0</v>
      </c>
      <c r="N67" s="75">
        <f t="shared" si="0"/>
        <v>615</v>
      </c>
      <c r="O67" s="10">
        <f>Tabella8[[#This Row],[Lombardy]]*NOT(ISBLANK(Tabella8[[#This Row],[Lombardy]]))</f>
        <v>615</v>
      </c>
      <c r="P67" s="127">
        <f>IFERROR(Kr*_xlfn.LOGNORM.DIST((Tabella8[[#This Row],[Day]]-pr),mu_r,sigma_r,TRUE),0)</f>
        <v>1123.7418244760652</v>
      </c>
      <c r="Q67" s="127">
        <f>Tabella8[[#This Row],[Lombardy fit]]/Kr</f>
        <v>1.2916572695127186E-2</v>
      </c>
      <c r="R67" s="10">
        <f>Tabella8[[#This Row],[Lombardy fit]]*NOT(ISBLANK(Tabella8[[#This Row],[Lombardy]]))</f>
        <v>1123.7418244760652</v>
      </c>
      <c r="S67" s="10">
        <f>Tabella8[[#This Row],[Lombardy fit]]+CIr</f>
        <v>4099.2032480395192</v>
      </c>
      <c r="T67" s="10">
        <f>MAX(Tabella8[[#This Row],[Lombardy fit]]-CIr,0)</f>
        <v>0</v>
      </c>
      <c r="U67" s="10">
        <f>Tabella8[[#This Row],[Italy cumulative]]-Tabella8[[#This Row],[Lombardy]]</f>
        <v>513</v>
      </c>
      <c r="V67" s="10">
        <f>Tabella8[[#This Row],[rest of Italy ]]*NOT(ISBLANK(Tabella8[[#This Row],[rest of Italy ]]))</f>
        <v>513</v>
      </c>
      <c r="W67" s="128">
        <f>IFERROR(Ko*_xlfn.LOGNORM.DIST((Tabella8[[#This Row],[Day]]-po),mu_o,sigma_o,TRUE),0)</f>
        <v>247.42222963734693</v>
      </c>
      <c r="X67" s="128">
        <f>Tabella8[[#This Row],[rest of Italy fit]]/Ko</f>
        <v>1.6717720164874626E-3</v>
      </c>
      <c r="Y67" s="23">
        <f>Tabella8[[#This Row],[rest of Italy fit]]*NOT(ISBLANK(Tabella8[[#This Row],[rest of Italy ]]))</f>
        <v>247.42222963734693</v>
      </c>
      <c r="Z67" s="10">
        <f>Tabella8[[#This Row],[rest of Italy fit]]+CIo</f>
        <v>2680.3784362228339</v>
      </c>
      <c r="AA67" s="10">
        <f>MAX(Tabella8[[#This Row],[rest of Italy fit]]-CIo,0)</f>
        <v>0</v>
      </c>
      <c r="AC67" s="73" t="s">
        <v>148</v>
      </c>
      <c r="AD67" s="106">
        <v>3420</v>
      </c>
      <c r="AE67" s="71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 s="84"/>
      <c r="AY67" s="84"/>
      <c r="AZ67" s="98"/>
      <c r="BA67" s="33"/>
      <c r="BB67" s="33"/>
      <c r="BC67" s="98"/>
      <c r="BD67" s="87"/>
      <c r="BE67" s="8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</row>
    <row r="68" spans="2:378" x14ac:dyDescent="0.3">
      <c r="B68" s="16">
        <v>43891</v>
      </c>
      <c r="C68" s="4">
        <v>61</v>
      </c>
      <c r="D68" s="10">
        <f>'dpc-covid19-ita-andamento-naz'!L8</f>
        <v>1694</v>
      </c>
      <c r="E68" s="10">
        <f>Tabella8[[#This Row],[Italy cumulative]]*NOT(ISBLANK(Tabella8[[#This Row],[Italy cumulative]]))</f>
        <v>1694</v>
      </c>
      <c r="F68" s="10">
        <f>Tabella8[[#This Row],[Lombardy fit]]+Tabella8[[#This Row],[rest of Italy fit]]</f>
        <v>1829.6971437101604</v>
      </c>
      <c r="G68" s="91">
        <f>Tabella8[[#This Row],[Italy sum of regions]]/K_sum</f>
        <v>7.7859458632062329E-3</v>
      </c>
      <c r="H68" s="10">
        <f>Tabella8[[#This Row],[Italy sum of regions]]*NOT(ISBLANK(Tabella8[[#This Row],[Italy cumulative]]))</f>
        <v>1829.6971437101604</v>
      </c>
      <c r="I68" s="152">
        <f>IFERROR(Kt*_xlfn.LOGNORM.DIST((Tabella8[[#This Row],[Day]]-Days_back),mu_t,sigma_t,TRUE),0)</f>
        <v>1736.7591757755515</v>
      </c>
      <c r="J68" s="129">
        <f>Tabella8[[#This Row],[Italy fit]]/Kt</f>
        <v>7.3904665942868099E-3</v>
      </c>
      <c r="K68" s="10">
        <f>Tabella8[[#This Row],[Italy fit]]*NOT(ISBLANK(Tabella8[[#This Row],[Italy cumulative]]))</f>
        <v>1736.7591757755515</v>
      </c>
      <c r="L68" s="10">
        <f>Tabella8[[#This Row],[Italy sum of regions]]+CI</f>
        <v>6719.3393227037277</v>
      </c>
      <c r="M68" s="10">
        <f>MAX(Tabella8[[#This Row],[Italy sum of regions]]-CI,0)</f>
        <v>0</v>
      </c>
      <c r="N68" s="75">
        <f t="shared" si="0"/>
        <v>984</v>
      </c>
      <c r="O68" s="10">
        <f>Tabella8[[#This Row],[Lombardy]]*NOT(ISBLANK(Tabella8[[#This Row],[Lombardy]]))</f>
        <v>984</v>
      </c>
      <c r="P68" s="127">
        <f>IFERROR(Kr*_xlfn.LOGNORM.DIST((Tabella8[[#This Row],[Day]]-pr),mu_r,sigma_r,TRUE),0)</f>
        <v>1448.8305134421209</v>
      </c>
      <c r="Q68" s="127">
        <f>Tabella8[[#This Row],[Lombardy fit]]/Kr</f>
        <v>1.6653224292438172E-2</v>
      </c>
      <c r="R68" s="10">
        <f>Tabella8[[#This Row],[Lombardy fit]]*NOT(ISBLANK(Tabella8[[#This Row],[Lombardy]]))</f>
        <v>1448.8305134421209</v>
      </c>
      <c r="S68" s="10">
        <f>Tabella8[[#This Row],[Lombardy fit]]+CIr</f>
        <v>4424.2919370055752</v>
      </c>
      <c r="T68" s="10">
        <f>MAX(Tabella8[[#This Row],[Lombardy fit]]-CIr,0)</f>
        <v>0</v>
      </c>
      <c r="U68" s="10">
        <f>Tabella8[[#This Row],[Italy cumulative]]-Tabella8[[#This Row],[Lombardy]]</f>
        <v>710</v>
      </c>
      <c r="V68" s="10">
        <f>Tabella8[[#This Row],[rest of Italy ]]*NOT(ISBLANK(Tabella8[[#This Row],[rest of Italy ]]))</f>
        <v>710</v>
      </c>
      <c r="W68" s="128">
        <f>IFERROR(Ko*_xlfn.LOGNORM.DIST((Tabella8[[#This Row],[Day]]-po),mu_o,sigma_o,TRUE),0)</f>
        <v>380.86663026803939</v>
      </c>
      <c r="X68" s="128">
        <f>Tabella8[[#This Row],[rest of Italy fit]]/Ko</f>
        <v>2.5734234770628532E-3</v>
      </c>
      <c r="Y68" s="23">
        <f>Tabella8[[#This Row],[rest of Italy fit]]*NOT(ISBLANK(Tabella8[[#This Row],[rest of Italy ]]))</f>
        <v>380.86663026803939</v>
      </c>
      <c r="Z68" s="10">
        <f>Tabella8[[#This Row],[rest of Italy fit]]+CIo</f>
        <v>2813.8228368535265</v>
      </c>
      <c r="AA68" s="10">
        <f>MAX(Tabella8[[#This Row],[rest of Italy fit]]-CIo,0)</f>
        <v>0</v>
      </c>
      <c r="AC68" s="73" t="s">
        <v>149</v>
      </c>
      <c r="AD68" s="106">
        <v>4189</v>
      </c>
      <c r="AE68" s="71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 s="84"/>
      <c r="AY68" s="84"/>
      <c r="AZ68" s="98"/>
      <c r="BA68" s="33"/>
      <c r="BB68" s="33"/>
      <c r="BC68" s="98"/>
      <c r="BD68" s="87"/>
      <c r="BE68" s="87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</row>
    <row r="69" spans="2:378" x14ac:dyDescent="0.3">
      <c r="B69" s="9">
        <v>43892</v>
      </c>
      <c r="C69" s="4">
        <v>62</v>
      </c>
      <c r="D69" s="10">
        <f>'dpc-covid19-ita-andamento-naz'!L9</f>
        <v>2036</v>
      </c>
      <c r="E69" s="10">
        <f>Tabella8[[#This Row],[Italy cumulative]]*NOT(ISBLANK(Tabella8[[#This Row],[Italy cumulative]]))</f>
        <v>2036</v>
      </c>
      <c r="F69" s="10">
        <f>Tabella8[[#This Row],[Lombardy fit]]+Tabella8[[#This Row],[rest of Italy fit]]</f>
        <v>2403.10588496729</v>
      </c>
      <c r="G69" s="91">
        <f>Tabella8[[#This Row],[Italy sum of regions]]/K_sum</f>
        <v>1.0225983238935154E-2</v>
      </c>
      <c r="H69" s="10">
        <f>Tabella8[[#This Row],[Italy sum of regions]]*NOT(ISBLANK(Tabella8[[#This Row],[Italy cumulative]]))</f>
        <v>2403.10588496729</v>
      </c>
      <c r="I69" s="152">
        <f>IFERROR(Kt*_xlfn.LOGNORM.DIST((Tabella8[[#This Row],[Day]]-Days_back),mu_t,sigma_t,TRUE),0)</f>
        <v>2326.9109965351204</v>
      </c>
      <c r="J69" s="129">
        <f>Tabella8[[#This Row],[Italy fit]]/Kt</f>
        <v>9.9017516231587593E-3</v>
      </c>
      <c r="K69" s="10">
        <f>Tabella8[[#This Row],[Italy fit]]*NOT(ISBLANK(Tabella8[[#This Row],[Italy cumulative]]))</f>
        <v>2326.9109965351204</v>
      </c>
      <c r="L69" s="10">
        <f>Tabella8[[#This Row],[Italy sum of regions]]+CI</f>
        <v>7292.7480639608575</v>
      </c>
      <c r="M69" s="10">
        <f>MAX(Tabella8[[#This Row],[Italy sum of regions]]-CI,0)</f>
        <v>0</v>
      </c>
      <c r="N69" s="75">
        <f t="shared" si="0"/>
        <v>1254</v>
      </c>
      <c r="O69" s="10">
        <f>Tabella8[[#This Row],[Lombardy]]*NOT(ISBLANK(Tabella8[[#This Row],[Lombardy]]))</f>
        <v>1254</v>
      </c>
      <c r="P69" s="127">
        <f>IFERROR(Kr*_xlfn.LOGNORM.DIST((Tabella8[[#This Row],[Day]]-pr),mu_r,sigma_r,TRUE),0)</f>
        <v>1836.5792702222441</v>
      </c>
      <c r="Q69" s="127">
        <f>Tabella8[[#This Row],[Lombardy fit]]/Kr</f>
        <v>2.1110106554278668E-2</v>
      </c>
      <c r="R69" s="10">
        <f>Tabella8[[#This Row],[Lombardy fit]]*NOT(ISBLANK(Tabella8[[#This Row],[Lombardy]]))</f>
        <v>1836.5792702222441</v>
      </c>
      <c r="S69" s="10">
        <f>Tabella8[[#This Row],[Lombardy fit]]+CIr</f>
        <v>4812.0406937856987</v>
      </c>
      <c r="T69" s="10">
        <f>MAX(Tabella8[[#This Row],[Lombardy fit]]-CIr,0)</f>
        <v>0</v>
      </c>
      <c r="U69" s="10">
        <f>Tabella8[[#This Row],[Italy cumulative]]-Tabella8[[#This Row],[Lombardy]]</f>
        <v>782</v>
      </c>
      <c r="V69" s="10">
        <f>Tabella8[[#This Row],[rest of Italy ]]*NOT(ISBLANK(Tabella8[[#This Row],[rest of Italy ]]))</f>
        <v>782</v>
      </c>
      <c r="W69" s="128">
        <f>IFERROR(Ko*_xlfn.LOGNORM.DIST((Tabella8[[#This Row],[Day]]-po),mu_o,sigma_o,TRUE),0)</f>
        <v>566.52661474504566</v>
      </c>
      <c r="X69" s="128">
        <f>Tabella8[[#This Row],[rest of Italy fit]]/Ko</f>
        <v>3.827882977670739E-3</v>
      </c>
      <c r="Y69" s="23">
        <f>Tabella8[[#This Row],[rest of Italy fit]]*NOT(ISBLANK(Tabella8[[#This Row],[rest of Italy ]]))</f>
        <v>566.52661474504566</v>
      </c>
      <c r="Z69" s="10">
        <f>Tabella8[[#This Row],[rest of Italy fit]]+CIo</f>
        <v>2999.4828213305327</v>
      </c>
      <c r="AA69" s="10">
        <f>MAX(Tabella8[[#This Row],[rest of Italy fit]]-CIo,0)</f>
        <v>0</v>
      </c>
      <c r="AC69" s="73" t="s">
        <v>150</v>
      </c>
      <c r="AD69" s="106">
        <v>5469</v>
      </c>
      <c r="AE69" s="71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 s="84"/>
      <c r="AY69" s="84"/>
      <c r="AZ69" s="98"/>
      <c r="BA69" s="33"/>
      <c r="BB69" s="33"/>
      <c r="BC69" s="98"/>
      <c r="BD69" s="87"/>
      <c r="BE69" s="87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</row>
    <row r="70" spans="2:378" x14ac:dyDescent="0.3">
      <c r="B70" s="9">
        <v>43893</v>
      </c>
      <c r="C70" s="4">
        <v>63</v>
      </c>
      <c r="D70" s="10">
        <f>'dpc-covid19-ita-andamento-naz'!L10</f>
        <v>2502</v>
      </c>
      <c r="E70" s="10">
        <f>Tabella8[[#This Row],[Italy cumulative]]*NOT(ISBLANK(Tabella8[[#This Row],[Italy cumulative]]))</f>
        <v>2502</v>
      </c>
      <c r="F70" s="10">
        <f>Tabella8[[#This Row],[Lombardy fit]]+Tabella8[[#This Row],[rest of Italy fit]]</f>
        <v>3109.3305548019885</v>
      </c>
      <c r="G70" s="91">
        <f>Tabella8[[#This Row],[Italy sum of regions]]/K_sum</f>
        <v>1.3231194820259395E-2</v>
      </c>
      <c r="H70" s="10">
        <f>Tabella8[[#This Row],[Italy sum of regions]]*NOT(ISBLANK(Tabella8[[#This Row],[Italy cumulative]]))</f>
        <v>3109.3305548019885</v>
      </c>
      <c r="I70" s="152">
        <f>IFERROR(Kt*_xlfn.LOGNORM.DIST((Tabella8[[#This Row],[Day]]-Days_back),mu_t,sigma_t,TRUE),0)</f>
        <v>3057.6852377631972</v>
      </c>
      <c r="J70" s="129">
        <f>Tabella8[[#This Row],[Italy fit]]/Kt</f>
        <v>1.3011430093894161E-2</v>
      </c>
      <c r="K70" s="10">
        <f>Tabella8[[#This Row],[Italy fit]]*NOT(ISBLANK(Tabella8[[#This Row],[Italy cumulative]]))</f>
        <v>3057.6852377631972</v>
      </c>
      <c r="L70" s="10">
        <f>Tabella8[[#This Row],[Italy sum of regions]]+CI</f>
        <v>7998.9727337955555</v>
      </c>
      <c r="M70" s="10">
        <f>MAX(Tabella8[[#This Row],[Italy sum of regions]]-CI,0)</f>
        <v>0</v>
      </c>
      <c r="N70" s="75">
        <f t="shared" si="0"/>
        <v>1520</v>
      </c>
      <c r="O70" s="10">
        <f>Tabella8[[#This Row],[Lombardy]]*NOT(ISBLANK(Tabella8[[#This Row],[Lombardy]]))</f>
        <v>1520</v>
      </c>
      <c r="P70" s="127">
        <f>IFERROR(Kr*_xlfn.LOGNORM.DIST((Tabella8[[#This Row],[Day]]-pr),mu_r,sigma_r,TRUE),0)</f>
        <v>2292.1954624306022</v>
      </c>
      <c r="Q70" s="127">
        <f>Tabella8[[#This Row],[Lombardy fit]]/Kr</f>
        <v>2.6347074280811521E-2</v>
      </c>
      <c r="R70" s="10">
        <f>Tabella8[[#This Row],[Lombardy fit]]*NOT(ISBLANK(Tabella8[[#This Row],[Lombardy]]))</f>
        <v>2292.1954624306022</v>
      </c>
      <c r="S70" s="10">
        <f>Tabella8[[#This Row],[Lombardy fit]]+CIr</f>
        <v>5267.6568859940562</v>
      </c>
      <c r="T70" s="10">
        <f>MAX(Tabella8[[#This Row],[Lombardy fit]]-CIr,0)</f>
        <v>0</v>
      </c>
      <c r="U70" s="10">
        <f>Tabella8[[#This Row],[Italy cumulative]]-Tabella8[[#This Row],[Lombardy]]</f>
        <v>982</v>
      </c>
      <c r="V70" s="10">
        <f>Tabella8[[#This Row],[rest of Italy ]]*NOT(ISBLANK(Tabella8[[#This Row],[rest of Italy ]]))</f>
        <v>982</v>
      </c>
      <c r="W70" s="128">
        <f>IFERROR(Ko*_xlfn.LOGNORM.DIST((Tabella8[[#This Row],[Day]]-po),mu_o,sigma_o,TRUE),0)</f>
        <v>817.13509237138612</v>
      </c>
      <c r="X70" s="128">
        <f>Tabella8[[#This Row],[rest of Italy fit]]/Ko</f>
        <v>5.5211836992927251E-3</v>
      </c>
      <c r="Y70" s="23">
        <f>Tabella8[[#This Row],[rest of Italy fit]]*NOT(ISBLANK(Tabella8[[#This Row],[rest of Italy ]]))</f>
        <v>817.13509237138612</v>
      </c>
      <c r="Z70" s="10">
        <f>Tabella8[[#This Row],[rest of Italy fit]]+CIo</f>
        <v>3250.0912989568733</v>
      </c>
      <c r="AA70" s="10">
        <f>MAX(Tabella8[[#This Row],[rest of Italy fit]]-CIo,0)</f>
        <v>0</v>
      </c>
      <c r="AC70" s="73" t="s">
        <v>151</v>
      </c>
      <c r="AD70" s="106">
        <v>5791</v>
      </c>
      <c r="AE70" s="71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 s="84"/>
      <c r="AY70" s="84"/>
      <c r="AZ70" s="98"/>
      <c r="BA70" s="33"/>
      <c r="BB70" s="33"/>
      <c r="BC70" s="98"/>
      <c r="BD70" s="87"/>
      <c r="BE70" s="87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</row>
    <row r="71" spans="2:378" x14ac:dyDescent="0.3">
      <c r="B71" s="9">
        <v>43894</v>
      </c>
      <c r="C71" s="4">
        <v>64</v>
      </c>
      <c r="D71" s="10">
        <f>'dpc-covid19-ita-andamento-naz'!L11</f>
        <v>3089</v>
      </c>
      <c r="E71" s="10">
        <f>Tabella8[[#This Row],[Italy cumulative]]*NOT(ISBLANK(Tabella8[[#This Row],[Italy cumulative]]))</f>
        <v>3089</v>
      </c>
      <c r="F71" s="10">
        <f>Tabella8[[#This Row],[Lombardy fit]]+Tabella8[[#This Row],[rest of Italy fit]]</f>
        <v>3966.5774007833652</v>
      </c>
      <c r="G71" s="91">
        <f>Tabella8[[#This Row],[Italy sum of regions]]/K_sum</f>
        <v>1.6879054006769981E-2</v>
      </c>
      <c r="H71" s="10">
        <f>Tabella8[[#This Row],[Italy sum of regions]]*NOT(ISBLANK(Tabella8[[#This Row],[Italy cumulative]]))</f>
        <v>3966.5774007833652</v>
      </c>
      <c r="I71" s="152">
        <f>IFERROR(Kt*_xlfn.LOGNORM.DIST((Tabella8[[#This Row],[Day]]-Days_back),mu_t,sigma_t,TRUE),0)</f>
        <v>3946.950796681635</v>
      </c>
      <c r="J71" s="129">
        <f>Tabella8[[#This Row],[Italy fit]]/Kt</f>
        <v>1.6795539887758778E-2</v>
      </c>
      <c r="K71" s="10">
        <f>Tabella8[[#This Row],[Italy fit]]*NOT(ISBLANK(Tabella8[[#This Row],[Italy cumulative]]))</f>
        <v>3946.950796681635</v>
      </c>
      <c r="L71" s="10">
        <f>Tabella8[[#This Row],[Italy sum of regions]]+CI</f>
        <v>8856.2195797769327</v>
      </c>
      <c r="M71" s="10">
        <f>MAX(Tabella8[[#This Row],[Italy sum of regions]]-CI,0)</f>
        <v>0</v>
      </c>
      <c r="N71" s="75">
        <f t="shared" si="0"/>
        <v>1820</v>
      </c>
      <c r="O71" s="10">
        <f>Tabella8[[#This Row],[Lombardy]]*NOT(ISBLANK(Tabella8[[#This Row],[Lombardy]]))</f>
        <v>1820</v>
      </c>
      <c r="P71" s="127">
        <f>IFERROR(Kr*_xlfn.LOGNORM.DIST((Tabella8[[#This Row],[Day]]-pr),mu_r,sigma_r,TRUE),0)</f>
        <v>2820.2519272416362</v>
      </c>
      <c r="Q71" s="127">
        <f>Tabella8[[#This Row],[Lombardy fit]]/Kr</f>
        <v>3.2416688818869381E-2</v>
      </c>
      <c r="R71" s="10">
        <f>Tabella8[[#This Row],[Lombardy fit]]*NOT(ISBLANK(Tabella8[[#This Row],[Lombardy]]))</f>
        <v>2820.2519272416362</v>
      </c>
      <c r="S71" s="10">
        <f>Tabella8[[#This Row],[Lombardy fit]]+CIr</f>
        <v>5795.7133508050902</v>
      </c>
      <c r="T71" s="10">
        <f>MAX(Tabella8[[#This Row],[Lombardy fit]]-CIr,0)</f>
        <v>0</v>
      </c>
      <c r="U71" s="10">
        <f>Tabella8[[#This Row],[Italy cumulative]]-Tabella8[[#This Row],[Lombardy]]</f>
        <v>1269</v>
      </c>
      <c r="V71" s="10">
        <f>Tabella8[[#This Row],[rest of Italy ]]*NOT(ISBLANK(Tabella8[[#This Row],[rest of Italy ]]))</f>
        <v>1269</v>
      </c>
      <c r="W71" s="128">
        <f>IFERROR(Ko*_xlfn.LOGNORM.DIST((Tabella8[[#This Row],[Day]]-po),mu_o,sigma_o,TRUE),0)</f>
        <v>1146.3254735417293</v>
      </c>
      <c r="X71" s="128">
        <f>Tabella8[[#This Row],[rest of Italy fit]]/Ko</f>
        <v>7.7454432904541801E-3</v>
      </c>
      <c r="Y71" s="23">
        <f>Tabella8[[#This Row],[rest of Italy fit]]*NOT(ISBLANK(Tabella8[[#This Row],[rest of Italy ]]))</f>
        <v>1146.3254735417293</v>
      </c>
      <c r="Z71" s="10">
        <f>Tabella8[[#This Row],[rest of Italy fit]]+CIo</f>
        <v>3579.2816801272165</v>
      </c>
      <c r="AA71" s="10">
        <f>MAX(Tabella8[[#This Row],[rest of Italy fit]]-CIo,0)</f>
        <v>0</v>
      </c>
      <c r="AC71" s="73" t="s">
        <v>152</v>
      </c>
      <c r="AD71" s="106">
        <v>7280</v>
      </c>
      <c r="AE71" s="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 s="84"/>
      <c r="AY71" s="84"/>
      <c r="AZ71" s="98"/>
      <c r="BA71" s="33"/>
      <c r="BB71" s="33"/>
      <c r="BC71" s="98"/>
      <c r="BD71" s="87"/>
      <c r="BE71" s="87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</row>
    <row r="72" spans="2:378" x14ac:dyDescent="0.3">
      <c r="B72" s="16">
        <v>43895</v>
      </c>
      <c r="C72" s="4">
        <v>65</v>
      </c>
      <c r="D72" s="10">
        <f>'dpc-covid19-ita-andamento-naz'!L12</f>
        <v>3858</v>
      </c>
      <c r="E72" s="10">
        <f>Tabella8[[#This Row],[Italy cumulative]]*NOT(ISBLANK(Tabella8[[#This Row],[Italy cumulative]]))</f>
        <v>3858</v>
      </c>
      <c r="F72" s="10">
        <f>Tabella8[[#This Row],[Lombardy fit]]+Tabella8[[#This Row],[rest of Italy fit]]</f>
        <v>4992.8094864000268</v>
      </c>
      <c r="G72" s="91">
        <f>Tabella8[[#This Row],[Italy sum of regions]]/K_sum</f>
        <v>2.1245999372107593E-2</v>
      </c>
      <c r="H72" s="10">
        <f>Tabella8[[#This Row],[Italy sum of regions]]*NOT(ISBLANK(Tabella8[[#This Row],[Italy cumulative]]))</f>
        <v>4992.8094864000268</v>
      </c>
      <c r="I72" s="152">
        <f>IFERROR(Kt*_xlfn.LOGNORM.DIST((Tabella8[[#This Row],[Day]]-Days_back),mu_t,sigma_t,TRUE),0)</f>
        <v>5011.860906359665</v>
      </c>
      <c r="J72" s="129">
        <f>Tabella8[[#This Row],[Italy fit]]/Kt</f>
        <v>2.1327073505814573E-2</v>
      </c>
      <c r="K72" s="10">
        <f>Tabella8[[#This Row],[Italy fit]]*NOT(ISBLANK(Tabella8[[#This Row],[Italy cumulative]]))</f>
        <v>5011.860906359665</v>
      </c>
      <c r="L72" s="10">
        <f>Tabella8[[#This Row],[Italy sum of regions]]+CI</f>
        <v>9882.4516653935934</v>
      </c>
      <c r="M72" s="10">
        <f>MAX(Tabella8[[#This Row],[Italy sum of regions]]-CI,0)</f>
        <v>103.16730740645926</v>
      </c>
      <c r="N72" s="75">
        <f t="shared" si="0"/>
        <v>2251</v>
      </c>
      <c r="O72" s="10">
        <f>Tabella8[[#This Row],[Lombardy]]*NOT(ISBLANK(Tabella8[[#This Row],[Lombardy]]))</f>
        <v>2251</v>
      </c>
      <c r="P72" s="127">
        <f>IFERROR(Kr*_xlfn.LOGNORM.DIST((Tabella8[[#This Row],[Day]]-pr),mu_r,sigma_r,TRUE),0)</f>
        <v>3424.5766475447799</v>
      </c>
      <c r="Q72" s="127">
        <f>Tabella8[[#This Row],[Lombardy fit]]/Kr</f>
        <v>3.9362949971779082E-2</v>
      </c>
      <c r="R72" s="10">
        <f>Tabella8[[#This Row],[Lombardy fit]]*NOT(ISBLANK(Tabella8[[#This Row],[Lombardy]]))</f>
        <v>3424.5766475447799</v>
      </c>
      <c r="S72" s="10">
        <f>Tabella8[[#This Row],[Lombardy fit]]+CIr</f>
        <v>6400.0380711082344</v>
      </c>
      <c r="T72" s="10">
        <f>MAX(Tabella8[[#This Row],[Lombardy fit]]-CIr,0)</f>
        <v>449.11522398132547</v>
      </c>
      <c r="U72" s="10">
        <f>Tabella8[[#This Row],[Italy cumulative]]-Tabella8[[#This Row],[Lombardy]]</f>
        <v>1607</v>
      </c>
      <c r="V72" s="10">
        <f>Tabella8[[#This Row],[rest of Italy ]]*NOT(ISBLANK(Tabella8[[#This Row],[rest of Italy ]]))</f>
        <v>1607</v>
      </c>
      <c r="W72" s="128">
        <f>IFERROR(Ko*_xlfn.LOGNORM.DIST((Tabella8[[#This Row],[Day]]-po),mu_o,sigma_o,TRUE),0)</f>
        <v>1568.2328388552471</v>
      </c>
      <c r="X72" s="128">
        <f>Tabella8[[#This Row],[rest of Italy fit]]/Ko</f>
        <v>1.0596169063619012E-2</v>
      </c>
      <c r="Y72" s="23">
        <f>Tabella8[[#This Row],[rest of Italy fit]]*NOT(ISBLANK(Tabella8[[#This Row],[rest of Italy ]]))</f>
        <v>1568.2328388552471</v>
      </c>
      <c r="Z72" s="10">
        <f>Tabella8[[#This Row],[rest of Italy fit]]+CIo</f>
        <v>4001.1890454407339</v>
      </c>
      <c r="AA72" s="10">
        <f>MAX(Tabella8[[#This Row],[rest of Italy fit]]-CIo,0)</f>
        <v>0</v>
      </c>
      <c r="AC72" s="73" t="s">
        <v>153</v>
      </c>
      <c r="AD72" s="106">
        <v>8725</v>
      </c>
      <c r="AE72" s="71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 s="84"/>
      <c r="AY72" s="84"/>
      <c r="AZ72" s="98"/>
      <c r="BA72" s="33"/>
      <c r="BB72" s="33"/>
      <c r="BC72" s="98"/>
      <c r="BD72" s="87"/>
      <c r="BE72" s="87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</row>
    <row r="73" spans="2:378" x14ac:dyDescent="0.3">
      <c r="B73" s="9">
        <v>43896</v>
      </c>
      <c r="C73" s="4">
        <v>66</v>
      </c>
      <c r="D73" s="10">
        <f>'dpc-covid19-ita-andamento-naz'!L13</f>
        <v>4636</v>
      </c>
      <c r="E73" s="10">
        <f>Tabella8[[#This Row],[Italy cumulative]]*NOT(ISBLANK(Tabella8[[#This Row],[Italy cumulative]]))</f>
        <v>4636</v>
      </c>
      <c r="F73" s="10">
        <f>Tabella8[[#This Row],[Lombardy fit]]+Tabella8[[#This Row],[rest of Italy fit]]</f>
        <v>6205.2205426203027</v>
      </c>
      <c r="G73" s="91">
        <f>Tabella8[[#This Row],[Italy sum of regions]]/K_sum</f>
        <v>2.6405195734267459E-2</v>
      </c>
      <c r="H73" s="10">
        <f>Tabella8[[#This Row],[Italy sum of regions]]*NOT(ISBLANK(Tabella8[[#This Row],[Italy cumulative]]))</f>
        <v>6205.2205426203027</v>
      </c>
      <c r="I73" s="152">
        <f>IFERROR(Kt*_xlfn.LOGNORM.DIST((Tabella8[[#This Row],[Day]]-Days_back),mu_t,sigma_t,TRUE),0)</f>
        <v>6268.3827280753967</v>
      </c>
      <c r="J73" s="129">
        <f>Tabella8[[#This Row],[Italy fit]]/Kt</f>
        <v>2.6673976333741606E-2</v>
      </c>
      <c r="K73" s="10">
        <f>Tabella8[[#This Row],[Italy fit]]*NOT(ISBLANK(Tabella8[[#This Row],[Italy cumulative]]))</f>
        <v>6268.3827280753967</v>
      </c>
      <c r="L73" s="10">
        <f>Tabella8[[#This Row],[Italy sum of regions]]+CI</f>
        <v>11094.86272161387</v>
      </c>
      <c r="M73" s="10">
        <f>MAX(Tabella8[[#This Row],[Italy sum of regions]]-CI,0)</f>
        <v>1315.5783636267352</v>
      </c>
      <c r="N73" s="75">
        <f t="shared" si="0"/>
        <v>2612</v>
      </c>
      <c r="O73" s="10">
        <f>Tabella8[[#This Row],[Lombardy]]*NOT(ISBLANK(Tabella8[[#This Row],[Lombardy]]))</f>
        <v>2612</v>
      </c>
      <c r="P73" s="127">
        <f>IFERROR(Kr*_xlfn.LOGNORM.DIST((Tabella8[[#This Row],[Day]]-pr),mu_r,sigma_r,TRUE),0)</f>
        <v>4108.168218034295</v>
      </c>
      <c r="Q73" s="127">
        <f>Tabella8[[#This Row],[Lombardy fit]]/Kr</f>
        <v>4.7220324345221783E-2</v>
      </c>
      <c r="R73" s="10">
        <f>Tabella8[[#This Row],[Lombardy fit]]*NOT(ISBLANK(Tabella8[[#This Row],[Lombardy]]))</f>
        <v>4108.168218034295</v>
      </c>
      <c r="S73" s="10">
        <f>Tabella8[[#This Row],[Lombardy fit]]+CIr</f>
        <v>7083.6296415977495</v>
      </c>
      <c r="T73" s="10">
        <f>MAX(Tabella8[[#This Row],[Lombardy fit]]-CIr,0)</f>
        <v>1132.7067944708406</v>
      </c>
      <c r="U73" s="10">
        <f>Tabella8[[#This Row],[Italy cumulative]]-Tabella8[[#This Row],[Lombardy]]</f>
        <v>2024</v>
      </c>
      <c r="V73" s="10">
        <f>Tabella8[[#This Row],[rest of Italy ]]*NOT(ISBLANK(Tabella8[[#This Row],[rest of Italy ]]))</f>
        <v>2024</v>
      </c>
      <c r="W73" s="128">
        <f>IFERROR(Ko*_xlfn.LOGNORM.DIST((Tabella8[[#This Row],[Day]]-po),mu_o,sigma_o,TRUE),0)</f>
        <v>2097.0523245860077</v>
      </c>
      <c r="X73" s="128">
        <f>Tabella8[[#This Row],[rest of Italy fit]]/Ko</f>
        <v>1.4169274112885499E-2</v>
      </c>
      <c r="Y73" s="23">
        <f>Tabella8[[#This Row],[rest of Italy fit]]*NOT(ISBLANK(Tabella8[[#This Row],[rest of Italy ]]))</f>
        <v>2097.0523245860077</v>
      </c>
      <c r="Z73" s="10">
        <f>Tabella8[[#This Row],[rest of Italy fit]]+CIo</f>
        <v>4530.0085311714947</v>
      </c>
      <c r="AA73" s="10">
        <f>MAX(Tabella8[[#This Row],[rest of Italy fit]]-CIo,0)</f>
        <v>0</v>
      </c>
      <c r="AC73" s="73" t="s">
        <v>154</v>
      </c>
      <c r="AD73" s="106">
        <v>9820</v>
      </c>
      <c r="AE73" s="71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 s="84"/>
      <c r="AY73" s="84"/>
      <c r="AZ73" s="98"/>
      <c r="BA73" s="33"/>
      <c r="BB73" s="33"/>
      <c r="BC73" s="98"/>
      <c r="BD73" s="87"/>
      <c r="BE73" s="87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</row>
    <row r="74" spans="2:378" x14ac:dyDescent="0.3">
      <c r="B74" s="9">
        <v>43897</v>
      </c>
      <c r="C74" s="4">
        <v>67</v>
      </c>
      <c r="D74" s="10">
        <f>'dpc-covid19-ita-andamento-naz'!L14</f>
        <v>5883</v>
      </c>
      <c r="E74" s="10">
        <f>Tabella8[[#This Row],[Italy cumulative]]*NOT(ISBLANK(Tabella8[[#This Row],[Italy cumulative]]))</f>
        <v>5883</v>
      </c>
      <c r="F74" s="10">
        <f>Tabella8[[#This Row],[Lombardy fit]]+Tabella8[[#This Row],[rest of Italy fit]]</f>
        <v>7619.7200291023146</v>
      </c>
      <c r="G74" s="91">
        <f>Tabella8[[#This Row],[Italy sum of regions]]/K_sum</f>
        <v>3.2424342926545391E-2</v>
      </c>
      <c r="H74" s="10">
        <f>Tabella8[[#This Row],[Italy sum of regions]]*NOT(ISBLANK(Tabella8[[#This Row],[Italy cumulative]]))</f>
        <v>7619.7200291023146</v>
      </c>
      <c r="I74" s="152">
        <f>IFERROR(Kt*_xlfn.LOGNORM.DIST((Tabella8[[#This Row],[Day]]-Days_back),mu_t,sigma_t,TRUE),0)</f>
        <v>7730.8658351714957</v>
      </c>
      <c r="J74" s="129">
        <f>Tabella8[[#This Row],[Italy fit]]/Kt</f>
        <v>3.2897310402425009E-2</v>
      </c>
      <c r="K74" s="10">
        <f>Tabella8[[#This Row],[Italy fit]]*NOT(ISBLANK(Tabella8[[#This Row],[Italy cumulative]]))</f>
        <v>7730.8658351714957</v>
      </c>
      <c r="L74" s="10">
        <f>Tabella8[[#This Row],[Italy sum of regions]]+CI</f>
        <v>12509.362208095881</v>
      </c>
      <c r="M74" s="10">
        <f>MAX(Tabella8[[#This Row],[Italy sum of regions]]-CI,0)</f>
        <v>2730.077850108747</v>
      </c>
      <c r="N74" s="75">
        <f t="shared" si="0"/>
        <v>3420</v>
      </c>
      <c r="O74" s="10">
        <f>Tabella8[[#This Row],[Lombardy]]*NOT(ISBLANK(Tabella8[[#This Row],[Lombardy]]))</f>
        <v>3420</v>
      </c>
      <c r="P74" s="127">
        <f>IFERROR(Kr*_xlfn.LOGNORM.DIST((Tabella8[[#This Row],[Day]]-pr),mu_r,sigma_r,TRUE),0)</f>
        <v>4873.1381029957529</v>
      </c>
      <c r="Q74" s="127">
        <f>Tabella8[[#This Row],[Lombardy fit]]/Kr</f>
        <v>5.6013081643629344E-2</v>
      </c>
      <c r="R74" s="10">
        <f>Tabella8[[#This Row],[Lombardy fit]]*NOT(ISBLANK(Tabella8[[#This Row],[Lombardy]]))</f>
        <v>4873.1381029957529</v>
      </c>
      <c r="S74" s="10">
        <f>Tabella8[[#This Row],[Lombardy fit]]+CIr</f>
        <v>7848.5995265592073</v>
      </c>
      <c r="T74" s="10">
        <f>MAX(Tabella8[[#This Row],[Lombardy fit]]-CIr,0)</f>
        <v>1897.6766794322984</v>
      </c>
      <c r="U74" s="10">
        <f>Tabella8[[#This Row],[Italy cumulative]]-Tabella8[[#This Row],[Lombardy]]</f>
        <v>2463</v>
      </c>
      <c r="V74" s="10">
        <f>Tabella8[[#This Row],[rest of Italy ]]*NOT(ISBLANK(Tabella8[[#This Row],[rest of Italy ]]))</f>
        <v>2463</v>
      </c>
      <c r="W74" s="128">
        <f>IFERROR(Ko*_xlfn.LOGNORM.DIST((Tabella8[[#This Row],[Day]]-po),mu_o,sigma_o,TRUE),0)</f>
        <v>2746.5819261065622</v>
      </c>
      <c r="X74" s="128">
        <f>Tabella8[[#This Row],[rest of Italy fit]]/Ko</f>
        <v>1.8557988147569836E-2</v>
      </c>
      <c r="Y74" s="23">
        <f>Tabella8[[#This Row],[rest of Italy fit]]*NOT(ISBLANK(Tabella8[[#This Row],[rest of Italy ]]))</f>
        <v>2746.5819261065622</v>
      </c>
      <c r="Z74" s="10">
        <f>Tabella8[[#This Row],[rest of Italy fit]]+CIo</f>
        <v>5179.5381326920487</v>
      </c>
      <c r="AA74" s="10">
        <f>MAX(Tabella8[[#This Row],[rest of Italy fit]]-CIo,0)</f>
        <v>313.6257195210751</v>
      </c>
      <c r="AC74" s="73" t="s">
        <v>155</v>
      </c>
      <c r="AD74" s="106">
        <v>11685</v>
      </c>
      <c r="AE74" s="71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 s="84"/>
      <c r="AY74" s="84"/>
      <c r="AZ74" s="98"/>
      <c r="BA74" s="33"/>
      <c r="BB74" s="33"/>
      <c r="BC74" s="98"/>
      <c r="BD74" s="87"/>
      <c r="BE74" s="87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</row>
    <row r="75" spans="2:378" x14ac:dyDescent="0.3">
      <c r="B75" s="16">
        <v>43898</v>
      </c>
      <c r="C75" s="4">
        <v>68</v>
      </c>
      <c r="D75" s="10">
        <f>'dpc-covid19-ita-andamento-naz'!L15</f>
        <v>7375</v>
      </c>
      <c r="E75" s="10">
        <f>Tabella8[[#This Row],[Italy cumulative]]*NOT(ISBLANK(Tabella8[[#This Row],[Italy cumulative]]))</f>
        <v>7375</v>
      </c>
      <c r="F75" s="10">
        <f>Tabella8[[#This Row],[Lombardy fit]]+Tabella8[[#This Row],[rest of Italy fit]]</f>
        <v>9250.4552672215996</v>
      </c>
      <c r="G75" s="91">
        <f>Tabella8[[#This Row],[Italy sum of regions]]/K_sum</f>
        <v>3.9363642320910497E-2</v>
      </c>
      <c r="H75" s="10">
        <f>Tabella8[[#This Row],[Italy sum of regions]]*NOT(ISBLANK(Tabella8[[#This Row],[Italy cumulative]]))</f>
        <v>9250.4552672215996</v>
      </c>
      <c r="I75" s="152">
        <f>IFERROR(Kt*_xlfn.LOGNORM.DIST((Tabella8[[#This Row],[Day]]-Days_back),mu_t,sigma_t,TRUE),0)</f>
        <v>9411.6656426695663</v>
      </c>
      <c r="J75" s="129">
        <f>Tabella8[[#This Row],[Italy fit]]/Kt</f>
        <v>4.0049651960344913E-2</v>
      </c>
      <c r="K75" s="10">
        <f>Tabella8[[#This Row],[Italy fit]]*NOT(ISBLANK(Tabella8[[#This Row],[Italy cumulative]]))</f>
        <v>9411.6656426695663</v>
      </c>
      <c r="L75" s="10">
        <f>Tabella8[[#This Row],[Italy sum of regions]]+CI</f>
        <v>14140.097446215168</v>
      </c>
      <c r="M75" s="10">
        <f>MAX(Tabella8[[#This Row],[Italy sum of regions]]-CI,0)</f>
        <v>4360.813088228032</v>
      </c>
      <c r="N75" s="75">
        <f t="shared" si="0"/>
        <v>4189</v>
      </c>
      <c r="O75" s="10">
        <f>Tabella8[[#This Row],[Lombardy]]*NOT(ISBLANK(Tabella8[[#This Row],[Lombardy]]))</f>
        <v>4189</v>
      </c>
      <c r="P75" s="127">
        <f>IFERROR(Kr*_xlfn.LOGNORM.DIST((Tabella8[[#This Row],[Day]]-pr),mu_r,sigma_r,TRUE),0)</f>
        <v>5720.6793780428634</v>
      </c>
      <c r="Q75" s="127">
        <f>Tabella8[[#This Row],[Lombardy fit]]/Kr</f>
        <v>6.5754935379803023E-2</v>
      </c>
      <c r="R75" s="10">
        <f>Tabella8[[#This Row],[Lombardy fit]]*NOT(ISBLANK(Tabella8[[#This Row],[Lombardy]]))</f>
        <v>5720.6793780428634</v>
      </c>
      <c r="S75" s="10">
        <f>Tabella8[[#This Row],[Lombardy fit]]+CIr</f>
        <v>8696.1408016063178</v>
      </c>
      <c r="T75" s="10">
        <f>MAX(Tabella8[[#This Row],[Lombardy fit]]-CIr,0)</f>
        <v>2745.2179544794089</v>
      </c>
      <c r="U75" s="10">
        <f>Tabella8[[#This Row],[Italy cumulative]]-Tabella8[[#This Row],[Lombardy]]</f>
        <v>3186</v>
      </c>
      <c r="V75" s="10">
        <f>Tabella8[[#This Row],[rest of Italy ]]*NOT(ISBLANK(Tabella8[[#This Row],[rest of Italy ]]))</f>
        <v>3186</v>
      </c>
      <c r="W75" s="128">
        <f>IFERROR(Ko*_xlfn.LOGNORM.DIST((Tabella8[[#This Row],[Day]]-po),mu_o,sigma_o,TRUE),0)</f>
        <v>3529.7758891787362</v>
      </c>
      <c r="X75" s="128">
        <f>Tabella8[[#This Row],[rest of Italy fit]]/Ko</f>
        <v>2.3849839865441275E-2</v>
      </c>
      <c r="Y75" s="23">
        <f>Tabella8[[#This Row],[rest of Italy fit]]*NOT(ISBLANK(Tabella8[[#This Row],[rest of Italy ]]))</f>
        <v>3529.7758891787362</v>
      </c>
      <c r="Z75" s="10">
        <f>Tabella8[[#This Row],[rest of Italy fit]]+CIo</f>
        <v>5962.7320957642232</v>
      </c>
      <c r="AA75" s="10">
        <f>MAX(Tabella8[[#This Row],[rest of Italy fit]]-CIo,0)</f>
        <v>1096.8196825932491</v>
      </c>
      <c r="AC75" s="73" t="s">
        <v>156</v>
      </c>
      <c r="AD75" s="106">
        <v>13272</v>
      </c>
      <c r="AE75" s="71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 s="84"/>
      <c r="AY75" s="84"/>
      <c r="AZ75" s="98"/>
      <c r="BA75" s="33"/>
      <c r="BB75" s="33"/>
      <c r="BC75" s="98"/>
      <c r="BD75" s="87"/>
      <c r="BE75" s="87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</row>
    <row r="76" spans="2:378" x14ac:dyDescent="0.3">
      <c r="B76" s="9">
        <v>43899</v>
      </c>
      <c r="C76" s="4">
        <v>69</v>
      </c>
      <c r="D76" s="10">
        <f>'dpc-covid19-ita-andamento-naz'!L16</f>
        <v>9172</v>
      </c>
      <c r="E76" s="10">
        <f>Tabella8[[#This Row],[Italy cumulative]]*NOT(ISBLANK(Tabella8[[#This Row],[Italy cumulative]]))</f>
        <v>9172</v>
      </c>
      <c r="F76" s="10">
        <f>Tabella8[[#This Row],[Lombardy fit]]+Tabella8[[#This Row],[rest of Italy fit]]</f>
        <v>11109.392409622546</v>
      </c>
      <c r="G76" s="91">
        <f>Tabella8[[#This Row],[Italy sum of regions]]/K_sum</f>
        <v>4.7274013719582689E-2</v>
      </c>
      <c r="H76" s="10">
        <f>Tabella8[[#This Row],[Italy sum of regions]]*NOT(ISBLANK(Tabella8[[#This Row],[Italy cumulative]]))</f>
        <v>11109.392409622546</v>
      </c>
      <c r="I76" s="152">
        <f>IFERROR(Kt*_xlfn.LOGNORM.DIST((Tabella8[[#This Row],[Day]]-Days_back),mu_t,sigma_t,TRUE),0)</f>
        <v>11320.833652693669</v>
      </c>
      <c r="J76" s="129">
        <f>Tabella8[[#This Row],[Italy fit]]/Kt</f>
        <v>4.8173773368636007E-2</v>
      </c>
      <c r="K76" s="10">
        <f>Tabella8[[#This Row],[Italy fit]]*NOT(ISBLANK(Tabella8[[#This Row],[Italy cumulative]]))</f>
        <v>11320.833652693669</v>
      </c>
      <c r="L76" s="10">
        <f>Tabella8[[#This Row],[Italy sum of regions]]+CI</f>
        <v>15999.034588616112</v>
      </c>
      <c r="M76" s="10">
        <f>MAX(Tabella8[[#This Row],[Italy sum of regions]]-CI,0)</f>
        <v>6219.750230628978</v>
      </c>
      <c r="N76" s="75">
        <f t="shared" si="0"/>
        <v>5469</v>
      </c>
      <c r="O76" s="10">
        <f>Tabella8[[#This Row],[Lombardy]]*NOT(ISBLANK(Tabella8[[#This Row],[Lombardy]]))</f>
        <v>5469</v>
      </c>
      <c r="P76" s="127">
        <f>IFERROR(Kr*_xlfn.LOGNORM.DIST((Tabella8[[#This Row],[Day]]-pr),mu_r,sigma_r,TRUE),0)</f>
        <v>6651.0605708092144</v>
      </c>
      <c r="Q76" s="127">
        <f>Tabella8[[#This Row],[Lombardy fit]]/Kr</f>
        <v>7.6448972078266828E-2</v>
      </c>
      <c r="R76" s="10">
        <f>Tabella8[[#This Row],[Lombardy fit]]*NOT(ISBLANK(Tabella8[[#This Row],[Lombardy]]))</f>
        <v>6651.0605708092144</v>
      </c>
      <c r="S76" s="10">
        <f>Tabella8[[#This Row],[Lombardy fit]]+CIr</f>
        <v>9626.5219943726697</v>
      </c>
      <c r="T76" s="10">
        <f>MAX(Tabella8[[#This Row],[Lombardy fit]]-CIr,0)</f>
        <v>3675.5991472457599</v>
      </c>
      <c r="U76" s="10">
        <f>Tabella8[[#This Row],[Italy cumulative]]-Tabella8[[#This Row],[Lombardy]]</f>
        <v>3703</v>
      </c>
      <c r="V76" s="10">
        <f>Tabella8[[#This Row],[rest of Italy ]]*NOT(ISBLANK(Tabella8[[#This Row],[rest of Italy ]]))</f>
        <v>3703</v>
      </c>
      <c r="W76" s="128">
        <f>IFERROR(Ko*_xlfn.LOGNORM.DIST((Tabella8[[#This Row],[Day]]-po),mu_o,sigma_o,TRUE),0)</f>
        <v>4458.3318388133321</v>
      </c>
      <c r="X76" s="128">
        <f>Tabella8[[#This Row],[rest of Italy fit]]/Ko</f>
        <v>3.0123867282530494E-2</v>
      </c>
      <c r="Y76" s="23">
        <f>Tabella8[[#This Row],[rest of Italy fit]]*NOT(ISBLANK(Tabella8[[#This Row],[rest of Italy ]]))</f>
        <v>4458.3318388133321</v>
      </c>
      <c r="Z76" s="10">
        <f>Tabella8[[#This Row],[rest of Italy fit]]+CIo</f>
        <v>6891.2880453988191</v>
      </c>
      <c r="AA76" s="10">
        <f>MAX(Tabella8[[#This Row],[rest of Italy fit]]-CIo,0)</f>
        <v>2025.375632227845</v>
      </c>
      <c r="AC76" s="73" t="s">
        <v>157</v>
      </c>
      <c r="AD76" s="106">
        <v>14649</v>
      </c>
      <c r="AE76" s="71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 s="84"/>
      <c r="AY76" s="84"/>
      <c r="AZ76" s="98"/>
      <c r="BA76" s="33"/>
      <c r="BB76" s="33"/>
      <c r="BC76" s="98"/>
      <c r="BD76" s="87"/>
      <c r="BE76" s="87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</row>
    <row r="77" spans="2:378" x14ac:dyDescent="0.3">
      <c r="B77" s="16">
        <v>43900</v>
      </c>
      <c r="C77" s="4">
        <v>70</v>
      </c>
      <c r="D77" s="10">
        <f>'dpc-covid19-ita-andamento-naz'!L17</f>
        <v>10149</v>
      </c>
      <c r="E77" s="10">
        <f>Tabella8[[#This Row],[Italy cumulative]]*NOT(ISBLANK(Tabella8[[#This Row],[Italy cumulative]]))</f>
        <v>10149</v>
      </c>
      <c r="F77" s="10">
        <f>Tabella8[[#This Row],[Lombardy fit]]+Tabella8[[#This Row],[rest of Italy fit]]</f>
        <v>13205.97281082476</v>
      </c>
      <c r="G77" s="91">
        <f>Tabella8[[#This Row],[Italy sum of regions]]/K_sum</f>
        <v>5.6195633102186636E-2</v>
      </c>
      <c r="H77" s="10">
        <f>Tabella8[[#This Row],[Italy sum of regions]]*NOT(ISBLANK(Tabella8[[#This Row],[Italy cumulative]]))</f>
        <v>13205.97281082476</v>
      </c>
      <c r="I77" s="152">
        <f>IFERROR(Kt*_xlfn.LOGNORM.DIST((Tabella8[[#This Row],[Day]]-Days_back),mu_t,sigma_t,TRUE),0)</f>
        <v>13465.882078228418</v>
      </c>
      <c r="J77" s="129">
        <f>Tabella8[[#This Row],[Italy fit]]/Kt</f>
        <v>5.7301641499784901E-2</v>
      </c>
      <c r="K77" s="10">
        <f>Tabella8[[#This Row],[Italy fit]]*NOT(ISBLANK(Tabella8[[#This Row],[Italy cumulative]]))</f>
        <v>13465.882078228418</v>
      </c>
      <c r="L77" s="10">
        <f>Tabella8[[#This Row],[Italy sum of regions]]+CI</f>
        <v>18095.614989818328</v>
      </c>
      <c r="M77" s="10">
        <f>MAX(Tabella8[[#This Row],[Italy sum of regions]]-CI,0)</f>
        <v>8316.3306318311916</v>
      </c>
      <c r="N77" s="75">
        <f t="shared" si="0"/>
        <v>5791</v>
      </c>
      <c r="O77" s="10">
        <f>Tabella8[[#This Row],[Lombardy]]*NOT(ISBLANK(Tabella8[[#This Row],[Lombardy]]))</f>
        <v>5791</v>
      </c>
      <c r="P77" s="127">
        <f>IFERROR(Kr*_xlfn.LOGNORM.DIST((Tabella8[[#This Row],[Day]]-pr),mu_r,sigma_r,TRUE),0)</f>
        <v>7663.6423871361549</v>
      </c>
      <c r="Q77" s="127">
        <f>Tabella8[[#This Row],[Lombardy fit]]/Kr</f>
        <v>8.8087843530300636E-2</v>
      </c>
      <c r="R77" s="10">
        <f>Tabella8[[#This Row],[Lombardy fit]]*NOT(ISBLANK(Tabella8[[#This Row],[Lombardy]]))</f>
        <v>7663.6423871361549</v>
      </c>
      <c r="S77" s="10">
        <f>Tabella8[[#This Row],[Lombardy fit]]+CIr</f>
        <v>10639.103810699609</v>
      </c>
      <c r="T77" s="10">
        <f>MAX(Tabella8[[#This Row],[Lombardy fit]]-CIr,0)</f>
        <v>4688.1809635727004</v>
      </c>
      <c r="U77" s="10">
        <f>Tabella8[[#This Row],[Italy cumulative]]-Tabella8[[#This Row],[Lombardy]]</f>
        <v>4358</v>
      </c>
      <c r="V77" s="10">
        <f>Tabella8[[#This Row],[rest of Italy ]]*NOT(ISBLANK(Tabella8[[#This Row],[rest of Italy ]]))</f>
        <v>4358</v>
      </c>
      <c r="W77" s="128">
        <f>IFERROR(Ko*_xlfn.LOGNORM.DIST((Tabella8[[#This Row],[Day]]-po),mu_o,sigma_o,TRUE),0)</f>
        <v>5542.3304236886052</v>
      </c>
      <c r="X77" s="128">
        <f>Tabella8[[#This Row],[rest of Italy fit]]/Ko</f>
        <v>3.7448182897835865E-2</v>
      </c>
      <c r="Y77" s="23">
        <f>Tabella8[[#This Row],[rest of Italy fit]]*NOT(ISBLANK(Tabella8[[#This Row],[rest of Italy ]]))</f>
        <v>5542.3304236886052</v>
      </c>
      <c r="Z77" s="10">
        <f>Tabella8[[#This Row],[rest of Italy fit]]+CIo</f>
        <v>7975.2866302740922</v>
      </c>
      <c r="AA77" s="10">
        <f>MAX(Tabella8[[#This Row],[rest of Italy fit]]-CIo,0)</f>
        <v>3109.3742171031181</v>
      </c>
      <c r="AC77" s="73" t="s">
        <v>158</v>
      </c>
      <c r="AD77" s="106">
        <v>16220</v>
      </c>
      <c r="AE77" s="71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 s="84"/>
      <c r="AY77" s="84"/>
      <c r="AZ77" s="98"/>
      <c r="BA77" s="33"/>
      <c r="BB77" s="33"/>
      <c r="BC77" s="98"/>
      <c r="BD77" s="87"/>
      <c r="BE77" s="8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</row>
    <row r="78" spans="2:378" x14ac:dyDescent="0.3">
      <c r="B78" s="9">
        <v>43901</v>
      </c>
      <c r="C78" s="4">
        <v>71</v>
      </c>
      <c r="D78" s="10">
        <f>'dpc-covid19-ita-andamento-naz'!L18</f>
        <v>12462</v>
      </c>
      <c r="E78" s="10">
        <f>Tabella8[[#This Row],[Italy cumulative]]*NOT(ISBLANK(Tabella8[[#This Row],[Italy cumulative]]))</f>
        <v>12462</v>
      </c>
      <c r="F78" s="10">
        <f>Tabella8[[#This Row],[Lombardy fit]]+Tabella8[[#This Row],[rest of Italy fit]]</f>
        <v>15546.85568695049</v>
      </c>
      <c r="G78" s="91">
        <f>Tabella8[[#This Row],[Italy sum of regions]]/K_sum</f>
        <v>6.6156837560681761E-2</v>
      </c>
      <c r="H78" s="10">
        <f>Tabella8[[#This Row],[Italy sum of regions]]*NOT(ISBLANK(Tabella8[[#This Row],[Italy cumulative]]))</f>
        <v>15546.85568695049</v>
      </c>
      <c r="I78" s="152">
        <f>IFERROR(Kt*_xlfn.LOGNORM.DIST((Tabella8[[#This Row],[Day]]-Days_back),mu_t,sigma_t,TRUE),0)</f>
        <v>15851.626278701038</v>
      </c>
      <c r="J78" s="129">
        <f>Tabella8[[#This Row],[Italy fit]]/Kt</f>
        <v>6.7453747250562301E-2</v>
      </c>
      <c r="K78" s="10">
        <f>Tabella8[[#This Row],[Italy fit]]*NOT(ISBLANK(Tabella8[[#This Row],[Italy cumulative]]))</f>
        <v>15851.626278701038</v>
      </c>
      <c r="L78" s="10">
        <f>Tabella8[[#This Row],[Italy sum of regions]]+CI</f>
        <v>20436.497865944057</v>
      </c>
      <c r="M78" s="10">
        <f>MAX(Tabella8[[#This Row],[Italy sum of regions]]-CI,0)</f>
        <v>10657.213507956923</v>
      </c>
      <c r="N78" s="75">
        <f t="shared" si="0"/>
        <v>7280</v>
      </c>
      <c r="O78" s="10">
        <f>Tabella8[[#This Row],[Lombardy]]*NOT(ISBLANK(Tabella8[[#This Row],[Lombardy]]))</f>
        <v>7280</v>
      </c>
      <c r="P78" s="127">
        <f>IFERROR(Kr*_xlfn.LOGNORM.DIST((Tabella8[[#This Row],[Day]]-pr),mu_r,sigma_r,TRUE),0)</f>
        <v>8756.9145256784268</v>
      </c>
      <c r="Q78" s="127">
        <f>Tabella8[[#This Row],[Lombardy fit]]/Kr</f>
        <v>0.10065418995032674</v>
      </c>
      <c r="R78" s="10">
        <f>Tabella8[[#This Row],[Lombardy fit]]*NOT(ISBLANK(Tabella8[[#This Row],[Lombardy]]))</f>
        <v>8756.9145256784268</v>
      </c>
      <c r="S78" s="10">
        <f>Tabella8[[#This Row],[Lombardy fit]]+CIr</f>
        <v>11732.375949241881</v>
      </c>
      <c r="T78" s="10">
        <f>MAX(Tabella8[[#This Row],[Lombardy fit]]-CIr,0)</f>
        <v>5781.4531021149724</v>
      </c>
      <c r="U78" s="10">
        <f>Tabella8[[#This Row],[Italy cumulative]]-Tabella8[[#This Row],[Lombardy]]</f>
        <v>5182</v>
      </c>
      <c r="V78" s="10">
        <f>Tabella8[[#This Row],[rest of Italy ]]*NOT(ISBLANK(Tabella8[[#This Row],[rest of Italy ]]))</f>
        <v>5182</v>
      </c>
      <c r="W78" s="128">
        <f>IFERROR(Ko*_xlfn.LOGNORM.DIST((Tabella8[[#This Row],[Day]]-po),mu_o,sigma_o,TRUE),0)</f>
        <v>6789.9411612720642</v>
      </c>
      <c r="X78" s="128">
        <f>Tabella8[[#This Row],[rest of Italy fit]]/Ko</f>
        <v>4.5877986160131265E-2</v>
      </c>
      <c r="Y78" s="23">
        <f>Tabella8[[#This Row],[rest of Italy fit]]*NOT(ISBLANK(Tabella8[[#This Row],[rest of Italy ]]))</f>
        <v>6789.9411612720642</v>
      </c>
      <c r="Z78" s="10">
        <f>Tabella8[[#This Row],[rest of Italy fit]]+CIo</f>
        <v>9222.8973678575512</v>
      </c>
      <c r="AA78" s="10">
        <f>MAX(Tabella8[[#This Row],[rest of Italy fit]]-CIo,0)</f>
        <v>4356.9849546865771</v>
      </c>
      <c r="AC78" s="73" t="s">
        <v>159</v>
      </c>
      <c r="AD78" s="106">
        <v>17713</v>
      </c>
      <c r="AE78" s="71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 s="84"/>
      <c r="AY78" s="84"/>
      <c r="AZ78" s="98"/>
      <c r="BA78" s="33"/>
      <c r="BB78" s="33"/>
      <c r="BC78" s="98"/>
      <c r="BD78" s="87"/>
      <c r="BE78" s="87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</row>
    <row r="79" spans="2:378" x14ac:dyDescent="0.3">
      <c r="B79" s="16">
        <v>43902</v>
      </c>
      <c r="C79" s="4">
        <v>72</v>
      </c>
      <c r="D79" s="10">
        <f>'dpc-covid19-ita-andamento-naz'!L19</f>
        <v>15113</v>
      </c>
      <c r="E79" s="10">
        <f>Tabella8[[#This Row],[Italy cumulative]]*NOT(ISBLANK(Tabella8[[#This Row],[Italy cumulative]]))</f>
        <v>15113</v>
      </c>
      <c r="F79" s="10">
        <f>Tabella8[[#This Row],[Lombardy fit]]+Tabella8[[#This Row],[rest of Italy fit]]</f>
        <v>18135.752336390269</v>
      </c>
      <c r="G79" s="91">
        <f>Tabella8[[#This Row],[Italy sum of regions]]/K_sum</f>
        <v>7.7173419855334546E-2</v>
      </c>
      <c r="H79" s="10">
        <f>Tabella8[[#This Row],[Italy sum of regions]]*NOT(ISBLANK(Tabella8[[#This Row],[Italy cumulative]]))</f>
        <v>18135.752336390269</v>
      </c>
      <c r="I79" s="152">
        <f>IFERROR(Kt*_xlfn.LOGNORM.DIST((Tabella8[[#This Row],[Day]]-Days_back),mu_t,sigma_t,TRUE),0)</f>
        <v>18480.104716344176</v>
      </c>
      <c r="J79" s="129">
        <f>Tabella8[[#This Row],[Italy fit]]/Kt</f>
        <v>7.8638764930707997E-2</v>
      </c>
      <c r="K79" s="10">
        <f>Tabella8[[#This Row],[Italy fit]]*NOT(ISBLANK(Tabella8[[#This Row],[Italy cumulative]]))</f>
        <v>18480.104716344176</v>
      </c>
      <c r="L79" s="10">
        <f>Tabella8[[#This Row],[Italy sum of regions]]+CI</f>
        <v>23025.394515383836</v>
      </c>
      <c r="M79" s="10">
        <f>MAX(Tabella8[[#This Row],[Italy sum of regions]]-CI,0)</f>
        <v>13246.110157396703</v>
      </c>
      <c r="N79" s="75">
        <f t="shared" si="0"/>
        <v>8725</v>
      </c>
      <c r="O79" s="10">
        <f>Tabella8[[#This Row],[Lombardy]]*NOT(ISBLANK(Tabella8[[#This Row],[Lombardy]]))</f>
        <v>8725</v>
      </c>
      <c r="P79" s="127">
        <f>IFERROR(Kr*_xlfn.LOGNORM.DIST((Tabella8[[#This Row],[Day]]-pr),mu_r,sigma_r,TRUE),0)</f>
        <v>9928.5494264847639</v>
      </c>
      <c r="Q79" s="127">
        <f>Tabella8[[#This Row],[Lombardy fit]]/Kr</f>
        <v>0.11412125777568694</v>
      </c>
      <c r="R79" s="10">
        <f>Tabella8[[#This Row],[Lombardy fit]]*NOT(ISBLANK(Tabella8[[#This Row],[Lombardy]]))</f>
        <v>9928.5494264847639</v>
      </c>
      <c r="S79" s="10">
        <f>Tabella8[[#This Row],[Lombardy fit]]+CIr</f>
        <v>12904.010850048218</v>
      </c>
      <c r="T79" s="10">
        <f>MAX(Tabella8[[#This Row],[Lombardy fit]]-CIr,0)</f>
        <v>6953.0880029213095</v>
      </c>
      <c r="U79" s="10">
        <f>Tabella8[[#This Row],[Italy cumulative]]-Tabella8[[#This Row],[Lombardy]]</f>
        <v>6388</v>
      </c>
      <c r="V79" s="10">
        <f>Tabella8[[#This Row],[rest of Italy ]]*NOT(ISBLANK(Tabella8[[#This Row],[rest of Italy ]]))</f>
        <v>6388</v>
      </c>
      <c r="W79" s="128">
        <f>IFERROR(Ko*_xlfn.LOGNORM.DIST((Tabella8[[#This Row],[Day]]-po),mu_o,sigma_o,TRUE),0)</f>
        <v>8207.2029099055053</v>
      </c>
      <c r="X79" s="128">
        <f>Tabella8[[#This Row],[rest of Italy fit]]/Ko</f>
        <v>5.5454080171070688E-2</v>
      </c>
      <c r="Y79" s="23">
        <f>Tabella8[[#This Row],[rest of Italy fit]]*NOT(ISBLANK(Tabella8[[#This Row],[rest of Italy ]]))</f>
        <v>8207.2029099055053</v>
      </c>
      <c r="Z79" s="10">
        <f>Tabella8[[#This Row],[rest of Italy fit]]+CIo</f>
        <v>10640.159116490991</v>
      </c>
      <c r="AA79" s="10">
        <f>MAX(Tabella8[[#This Row],[rest of Italy fit]]-CIo,0)</f>
        <v>5774.2467033200182</v>
      </c>
      <c r="AC79" s="73" t="s">
        <v>160</v>
      </c>
      <c r="AD79" s="106">
        <v>19884</v>
      </c>
      <c r="AE79" s="71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 s="84"/>
      <c r="AY79" s="84"/>
      <c r="AZ79" s="98"/>
      <c r="BA79" s="33"/>
      <c r="BB79" s="33"/>
      <c r="BC79" s="98"/>
      <c r="BD79" s="87"/>
      <c r="BE79" s="87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</row>
    <row r="80" spans="2:378" x14ac:dyDescent="0.3">
      <c r="B80" s="9">
        <v>43903</v>
      </c>
      <c r="C80" s="4">
        <v>73</v>
      </c>
      <c r="D80" s="10">
        <f>'dpc-covid19-ita-andamento-naz'!L20</f>
        <v>17660</v>
      </c>
      <c r="E80" s="10">
        <f>Tabella8[[#This Row],[Italy cumulative]]*NOT(ISBLANK(Tabella8[[#This Row],[Italy cumulative]]))</f>
        <v>17660</v>
      </c>
      <c r="F80" s="10">
        <f>Tabella8[[#This Row],[Lombardy fit]]+Tabella8[[#This Row],[rest of Italy fit]]</f>
        <v>20973.352050556168</v>
      </c>
      <c r="G80" s="91">
        <f>Tabella8[[#This Row],[Italy sum of regions]]/K_sum</f>
        <v>8.9248313141305019E-2</v>
      </c>
      <c r="H80" s="10">
        <f>Tabella8[[#This Row],[Italy sum of regions]]*NOT(ISBLANK(Tabella8[[#This Row],[Italy cumulative]]))</f>
        <v>20973.352050556168</v>
      </c>
      <c r="I80" s="152">
        <f>IFERROR(Kt*_xlfn.LOGNORM.DIST((Tabella8[[#This Row],[Day]]-Days_back),mu_t,sigma_t,TRUE),0)</f>
        <v>21350.572972603877</v>
      </c>
      <c r="J80" s="129">
        <f>Tabella8[[#This Row],[Italy fit]]/Kt</f>
        <v>9.085352680083017E-2</v>
      </c>
      <c r="K80" s="10">
        <f>Tabella8[[#This Row],[Italy fit]]*NOT(ISBLANK(Tabella8[[#This Row],[Italy cumulative]]))</f>
        <v>21350.572972603877</v>
      </c>
      <c r="L80" s="10">
        <f>Tabella8[[#This Row],[Italy sum of regions]]+CI</f>
        <v>25862.994229549735</v>
      </c>
      <c r="M80" s="10">
        <f>MAX(Tabella8[[#This Row],[Italy sum of regions]]-CI,0)</f>
        <v>16083.709871562602</v>
      </c>
      <c r="N80" s="75">
        <f t="shared" si="0"/>
        <v>9820</v>
      </c>
      <c r="O80" s="10">
        <f>Tabella8[[#This Row],[Lombardy]]*NOT(ISBLANK(Tabella8[[#This Row],[Lombardy]]))</f>
        <v>9820</v>
      </c>
      <c r="P80" s="127">
        <f>IFERROR(Kr*_xlfn.LOGNORM.DIST((Tabella8[[#This Row],[Day]]-pr),mu_r,sigma_r,TRUE),0)</f>
        <v>11175.46964004266</v>
      </c>
      <c r="Q80" s="127">
        <f>Tabella8[[#This Row],[Lombardy fit]]/Kr</f>
        <v>0.12845367402347885</v>
      </c>
      <c r="R80" s="10">
        <f>Tabella8[[#This Row],[Lombardy fit]]*NOT(ISBLANK(Tabella8[[#This Row],[Lombardy]]))</f>
        <v>11175.46964004266</v>
      </c>
      <c r="S80" s="10">
        <f>Tabella8[[#This Row],[Lombardy fit]]+CIr</f>
        <v>14150.931063606115</v>
      </c>
      <c r="T80" s="10">
        <f>MAX(Tabella8[[#This Row],[Lombardy fit]]-CIr,0)</f>
        <v>8200.0082164792057</v>
      </c>
      <c r="U80" s="10">
        <f>Tabella8[[#This Row],[Italy cumulative]]-Tabella8[[#This Row],[Lombardy]]</f>
        <v>7840</v>
      </c>
      <c r="V80" s="10">
        <f>Tabella8[[#This Row],[rest of Italy ]]*NOT(ISBLANK(Tabella8[[#This Row],[rest of Italy ]]))</f>
        <v>7840</v>
      </c>
      <c r="W80" s="128">
        <f>IFERROR(Ko*_xlfn.LOGNORM.DIST((Tabella8[[#This Row],[Day]]-po),mu_o,sigma_o,TRUE),0)</f>
        <v>9797.8824105135063</v>
      </c>
      <c r="X80" s="128">
        <f>Tabella8[[#This Row],[rest of Italy fit]]/Ko</f>
        <v>6.6201915885809995E-2</v>
      </c>
      <c r="Y80" s="23">
        <f>Tabella8[[#This Row],[rest of Italy fit]]*NOT(ISBLANK(Tabella8[[#This Row],[rest of Italy ]]))</f>
        <v>9797.8824105135063</v>
      </c>
      <c r="Z80" s="10">
        <f>Tabella8[[#This Row],[rest of Italy fit]]+CIo</f>
        <v>12230.838617098994</v>
      </c>
      <c r="AA80" s="10">
        <f>MAX(Tabella8[[#This Row],[rest of Italy fit]]-CIo,0)</f>
        <v>7364.9262039280193</v>
      </c>
      <c r="AC80" s="73" t="s">
        <v>161</v>
      </c>
      <c r="AD80" s="106">
        <v>22264</v>
      </c>
      <c r="AE80" s="71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 s="84"/>
      <c r="AY80" s="84"/>
      <c r="AZ80" s="98"/>
      <c r="BA80" s="33"/>
      <c r="BB80" s="33"/>
      <c r="BC80" s="98"/>
      <c r="BD80" s="87"/>
      <c r="BE80" s="87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</row>
    <row r="81" spans="2:378" x14ac:dyDescent="0.3">
      <c r="B81" s="9">
        <v>43904</v>
      </c>
      <c r="C81" s="4">
        <v>74</v>
      </c>
      <c r="D81" s="10">
        <f>'dpc-covid19-ita-andamento-naz'!L21</f>
        <v>21157</v>
      </c>
      <c r="E81" s="10">
        <f>Tabella8[[#This Row],[Italy cumulative]]*NOT(ISBLANK(Tabella8[[#This Row],[Italy cumulative]]))</f>
        <v>21157</v>
      </c>
      <c r="F81" s="10">
        <f>Tabella8[[#This Row],[Lombardy fit]]+Tabella8[[#This Row],[rest of Italy fit]]</f>
        <v>24057.335455797715</v>
      </c>
      <c r="G81" s="91">
        <f>Tabella8[[#This Row],[Italy sum of regions]]/K_sum</f>
        <v>0.1023716477427612</v>
      </c>
      <c r="H81" s="10">
        <f>Tabella8[[#This Row],[Italy sum of regions]]*NOT(ISBLANK(Tabella8[[#This Row],[Italy cumulative]]))</f>
        <v>24057.335455797715</v>
      </c>
      <c r="I81" s="152">
        <f>IFERROR(Kt*_xlfn.LOGNORM.DIST((Tabella8[[#This Row],[Day]]-Days_back),mu_t,sigma_t,TRUE),0)</f>
        <v>24459.565830411917</v>
      </c>
      <c r="J81" s="129">
        <f>Tabella8[[#This Row],[Italy fit]]/Kt</f>
        <v>0.10408328725235981</v>
      </c>
      <c r="K81" s="10">
        <f>Tabella8[[#This Row],[Italy fit]]*NOT(ISBLANK(Tabella8[[#This Row],[Italy cumulative]]))</f>
        <v>24459.565830411917</v>
      </c>
      <c r="L81" s="10">
        <f>Tabella8[[#This Row],[Italy sum of regions]]+CI</f>
        <v>28946.977634791281</v>
      </c>
      <c r="M81" s="10">
        <f>MAX(Tabella8[[#This Row],[Italy sum of regions]]-CI,0)</f>
        <v>19167.693276804148</v>
      </c>
      <c r="N81" s="75">
        <f t="shared" si="0"/>
        <v>11685</v>
      </c>
      <c r="O81" s="10">
        <f>Tabella8[[#This Row],[Lombardy]]*NOT(ISBLANK(Tabella8[[#This Row],[Lombardy]]))</f>
        <v>11685</v>
      </c>
      <c r="P81" s="127">
        <f>IFERROR(Kr*_xlfn.LOGNORM.DIST((Tabella8[[#This Row],[Day]]-pr),mu_r,sigma_r,TRUE),0)</f>
        <v>12493.925509581044</v>
      </c>
      <c r="Q81" s="127">
        <f>Tabella8[[#This Row],[Lombardy fit]]/Kr</f>
        <v>0.14360833919058671</v>
      </c>
      <c r="R81" s="10">
        <f>Tabella8[[#This Row],[Lombardy fit]]*NOT(ISBLANK(Tabella8[[#This Row],[Lombardy]]))</f>
        <v>12493.925509581044</v>
      </c>
      <c r="S81" s="10">
        <f>Tabella8[[#This Row],[Lombardy fit]]+CIr</f>
        <v>15469.386933144498</v>
      </c>
      <c r="T81" s="10">
        <f>MAX(Tabella8[[#This Row],[Lombardy fit]]-CIr,0)</f>
        <v>9518.4640860175896</v>
      </c>
      <c r="U81" s="10">
        <f>Tabella8[[#This Row],[Italy cumulative]]-Tabella8[[#This Row],[Lombardy]]</f>
        <v>9472</v>
      </c>
      <c r="V81" s="10">
        <f>Tabella8[[#This Row],[rest of Italy ]]*NOT(ISBLANK(Tabella8[[#This Row],[rest of Italy ]]))</f>
        <v>9472</v>
      </c>
      <c r="W81" s="128">
        <f>IFERROR(Ko*_xlfn.LOGNORM.DIST((Tabella8[[#This Row],[Day]]-po),mu_o,sigma_o,TRUE),0)</f>
        <v>11563.409946216672</v>
      </c>
      <c r="X81" s="128">
        <f>Tabella8[[#This Row],[rest of Italy fit]]/Ko</f>
        <v>7.8131157380613422E-2</v>
      </c>
      <c r="Y81" s="23">
        <f>Tabella8[[#This Row],[rest of Italy fit]]*NOT(ISBLANK(Tabella8[[#This Row],[rest of Italy ]]))</f>
        <v>11563.409946216672</v>
      </c>
      <c r="Z81" s="10">
        <f>Tabella8[[#This Row],[rest of Italy fit]]+CIo</f>
        <v>13996.366152802158</v>
      </c>
      <c r="AA81" s="10">
        <f>MAX(Tabella8[[#This Row],[rest of Italy fit]]-CIo,0)</f>
        <v>9130.4537396311862</v>
      </c>
      <c r="AC81" s="73" t="s">
        <v>162</v>
      </c>
      <c r="AD81" s="106">
        <v>25515</v>
      </c>
      <c r="AE81" s="7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 s="84"/>
      <c r="AY81" s="84"/>
      <c r="AZ81" s="98"/>
      <c r="BA81" s="33"/>
      <c r="BB81" s="33"/>
      <c r="BC81" s="98"/>
      <c r="BD81" s="87"/>
      <c r="BE81" s="87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</row>
    <row r="82" spans="2:378" x14ac:dyDescent="0.3">
      <c r="B82" s="9">
        <v>43905</v>
      </c>
      <c r="C82" s="4">
        <v>75</v>
      </c>
      <c r="D82" s="10">
        <f>'dpc-covid19-ita-andamento-naz'!L22</f>
        <v>24747</v>
      </c>
      <c r="E82" s="10">
        <f>Tabella8[[#This Row],[Italy cumulative]]*NOT(ISBLANK(Tabella8[[#This Row],[Italy cumulative]]))</f>
        <v>24747</v>
      </c>
      <c r="F82" s="10">
        <f>Tabella8[[#This Row],[Lombardy fit]]+Tabella8[[#This Row],[rest of Italy fit]]</f>
        <v>27382.467550749243</v>
      </c>
      <c r="G82" s="91">
        <f>Tabella8[[#This Row],[Italy sum of regions]]/K_sum</f>
        <v>0.11652114705651387</v>
      </c>
      <c r="H82" s="10">
        <f>Tabella8[[#This Row],[Italy sum of regions]]*NOT(ISBLANK(Tabella8[[#This Row],[Italy cumulative]]))</f>
        <v>27382.467550749243</v>
      </c>
      <c r="I82" s="152">
        <f>IFERROR(Kt*_xlfn.LOGNORM.DIST((Tabella8[[#This Row],[Day]]-Days_back),mu_t,sigma_t,TRUE),0)</f>
        <v>27801.019554172199</v>
      </c>
      <c r="J82" s="129">
        <f>Tabella8[[#This Row],[Italy fit]]/Kt</f>
        <v>0.11830224314806025</v>
      </c>
      <c r="K82" s="10">
        <f>Tabella8[[#This Row],[Italy fit]]*NOT(ISBLANK(Tabella8[[#This Row],[Italy cumulative]]))</f>
        <v>27801.019554172199</v>
      </c>
      <c r="L82" s="10">
        <f>Tabella8[[#This Row],[Italy sum of regions]]+CI</f>
        <v>32272.10972974281</v>
      </c>
      <c r="M82" s="10">
        <f>MAX(Tabella8[[#This Row],[Italy sum of regions]]-CI,0)</f>
        <v>22492.825371755676</v>
      </c>
      <c r="N82" s="75">
        <f t="shared" si="0"/>
        <v>13272</v>
      </c>
      <c r="O82" s="10">
        <f>Tabella8[[#This Row],[Lombardy]]*NOT(ISBLANK(Tabella8[[#This Row],[Lombardy]]))</f>
        <v>13272</v>
      </c>
      <c r="P82" s="127">
        <f>IFERROR(Kr*_xlfn.LOGNORM.DIST((Tabella8[[#This Row],[Day]]-pr),mu_r,sigma_r,TRUE),0)</f>
        <v>13879.579996701837</v>
      </c>
      <c r="Q82" s="127">
        <f>Tabella8[[#This Row],[Lombardy fit]]/Kr</f>
        <v>0.15953540226094065</v>
      </c>
      <c r="R82" s="10">
        <f>Tabella8[[#This Row],[Lombardy fit]]*NOT(ISBLANK(Tabella8[[#This Row],[Lombardy]]))</f>
        <v>13879.579996701837</v>
      </c>
      <c r="S82" s="10">
        <f>Tabella8[[#This Row],[Lombardy fit]]+CIr</f>
        <v>16855.04142026529</v>
      </c>
      <c r="T82" s="10">
        <f>MAX(Tabella8[[#This Row],[Lombardy fit]]-CIr,0)</f>
        <v>10904.118573138383</v>
      </c>
      <c r="U82" s="10">
        <f>Tabella8[[#This Row],[Italy cumulative]]-Tabella8[[#This Row],[Lombardy]]</f>
        <v>11475</v>
      </c>
      <c r="V82" s="10">
        <f>Tabella8[[#This Row],[rest of Italy ]]*NOT(ISBLANK(Tabella8[[#This Row],[rest of Italy ]]))</f>
        <v>11475</v>
      </c>
      <c r="W82" s="128">
        <f>IFERROR(Ko*_xlfn.LOGNORM.DIST((Tabella8[[#This Row],[Day]]-po),mu_o,sigma_o,TRUE),0)</f>
        <v>13502.887554047407</v>
      </c>
      <c r="X82" s="128">
        <f>Tabella8[[#This Row],[rest of Italy fit]]/Ko</f>
        <v>9.1235737337426057E-2</v>
      </c>
      <c r="Y82" s="23">
        <f>Tabella8[[#This Row],[rest of Italy fit]]*NOT(ISBLANK(Tabella8[[#This Row],[rest of Italy ]]))</f>
        <v>13502.887554047407</v>
      </c>
      <c r="Z82" s="10">
        <f>Tabella8[[#This Row],[rest of Italy fit]]+CIo</f>
        <v>15935.843760632895</v>
      </c>
      <c r="AA82" s="10">
        <f>MAX(Tabella8[[#This Row],[rest of Italy fit]]-CIo,0)</f>
        <v>11069.931347461919</v>
      </c>
      <c r="AC82" s="73" t="s">
        <v>163</v>
      </c>
      <c r="AD82" s="106">
        <v>27206</v>
      </c>
      <c r="AE82" s="71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 s="84"/>
      <c r="AY82" s="84"/>
      <c r="AZ82" s="98"/>
      <c r="BA82" s="33"/>
      <c r="BB82" s="33"/>
      <c r="BC82" s="98"/>
      <c r="BD82" s="87"/>
      <c r="BE82" s="87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</row>
    <row r="83" spans="2:378" x14ac:dyDescent="0.3">
      <c r="B83" s="9">
        <v>43906</v>
      </c>
      <c r="C83" s="4">
        <v>76</v>
      </c>
      <c r="D83" s="10">
        <f>'dpc-covid19-ita-andamento-naz'!L23</f>
        <v>27980</v>
      </c>
      <c r="E83" s="10">
        <f>Tabella8[[#This Row],[Italy cumulative]]*NOT(ISBLANK(Tabella8[[#This Row],[Italy cumulative]]))</f>
        <v>27980</v>
      </c>
      <c r="F83" s="10">
        <f>Tabella8[[#This Row],[Lombardy fit]]+Tabella8[[#This Row],[rest of Italy fit]]</f>
        <v>30940.760188690729</v>
      </c>
      <c r="G83" s="91">
        <f>Tabella8[[#This Row],[Italy sum of regions]]/K_sum</f>
        <v>0.13166281896636867</v>
      </c>
      <c r="H83" s="10">
        <f>Tabella8[[#This Row],[Italy sum of regions]]*NOT(ISBLANK(Tabella8[[#This Row],[Italy cumulative]]))</f>
        <v>30940.760188690729</v>
      </c>
      <c r="I83" s="152">
        <f>IFERROR(Kt*_xlfn.LOGNORM.DIST((Tabella8[[#This Row],[Day]]-Days_back),mu_t,sigma_t,TRUE),0)</f>
        <v>31366.445262399022</v>
      </c>
      <c r="J83" s="129">
        <f>Tabella8[[#This Row],[Italy fit]]/Kt</f>
        <v>0.13347427157813607</v>
      </c>
      <c r="K83" s="10">
        <f>Tabella8[[#This Row],[Italy fit]]*NOT(ISBLANK(Tabella8[[#This Row],[Italy cumulative]]))</f>
        <v>31366.445262399022</v>
      </c>
      <c r="L83" s="10">
        <f>Tabella8[[#This Row],[Italy sum of regions]]+CI</f>
        <v>35830.402367684299</v>
      </c>
      <c r="M83" s="10">
        <f>MAX(Tabella8[[#This Row],[Italy sum of regions]]-CI,0)</f>
        <v>26051.118009697162</v>
      </c>
      <c r="N83" s="75">
        <f t="shared" si="0"/>
        <v>14649</v>
      </c>
      <c r="O83" s="10">
        <f>Tabella8[[#This Row],[Lombardy]]*NOT(ISBLANK(Tabella8[[#This Row],[Lombardy]]))</f>
        <v>14649</v>
      </c>
      <c r="P83" s="127">
        <f>IFERROR(Kr*_xlfn.LOGNORM.DIST((Tabella8[[#This Row],[Day]]-pr),mu_r,sigma_r,TRUE),0)</f>
        <v>15327.597715323067</v>
      </c>
      <c r="Q83" s="127">
        <f>Tabella8[[#This Row],[Lombardy fit]]/Kr</f>
        <v>0.17617928408417319</v>
      </c>
      <c r="R83" s="10">
        <f>Tabella8[[#This Row],[Lombardy fit]]*NOT(ISBLANK(Tabella8[[#This Row],[Lombardy]]))</f>
        <v>15327.597715323067</v>
      </c>
      <c r="S83" s="10">
        <f>Tabella8[[#This Row],[Lombardy fit]]+CIr</f>
        <v>18303.059138886521</v>
      </c>
      <c r="T83" s="10">
        <f>MAX(Tabella8[[#This Row],[Lombardy fit]]-CIr,0)</f>
        <v>12352.136291759613</v>
      </c>
      <c r="U83" s="10">
        <f>Tabella8[[#This Row],[Italy cumulative]]-Tabella8[[#This Row],[Lombardy]]</f>
        <v>13331</v>
      </c>
      <c r="V83" s="10">
        <f>Tabella8[[#This Row],[rest of Italy ]]*NOT(ISBLANK(Tabella8[[#This Row],[rest of Italy ]]))</f>
        <v>13331</v>
      </c>
      <c r="W83" s="128">
        <f>IFERROR(Ko*_xlfn.LOGNORM.DIST((Tabella8[[#This Row],[Day]]-po),mu_o,sigma_o,TRUE),0)</f>
        <v>15613.162473367664</v>
      </c>
      <c r="X83" s="128">
        <f>Tabella8[[#This Row],[rest of Italy fit]]/Ko</f>
        <v>0.10549435331702446</v>
      </c>
      <c r="Y83" s="23">
        <f>Tabella8[[#This Row],[rest of Italy fit]]*NOT(ISBLANK(Tabella8[[#This Row],[rest of Italy ]]))</f>
        <v>15613.162473367664</v>
      </c>
      <c r="Z83" s="10">
        <f>Tabella8[[#This Row],[rest of Italy fit]]+CIo</f>
        <v>18046.11867995315</v>
      </c>
      <c r="AA83" s="10">
        <f>MAX(Tabella8[[#This Row],[rest of Italy fit]]-CIo,0)</f>
        <v>13180.206266782177</v>
      </c>
      <c r="AC83" s="73" t="s">
        <v>164</v>
      </c>
      <c r="AD83" s="106">
        <v>28761</v>
      </c>
      <c r="AE83" s="71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 s="84"/>
      <c r="AY83" s="84"/>
      <c r="AZ83" s="98"/>
      <c r="BA83" s="33"/>
      <c r="BB83" s="33"/>
      <c r="BC83" s="98"/>
      <c r="BD83" s="87"/>
      <c r="BE83" s="87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</row>
    <row r="84" spans="2:378" x14ac:dyDescent="0.3">
      <c r="B84" s="9">
        <v>43907</v>
      </c>
      <c r="C84" s="4">
        <v>77</v>
      </c>
      <c r="D84" s="10">
        <f>'dpc-covid19-ita-andamento-naz'!L24</f>
        <v>31506</v>
      </c>
      <c r="E84" s="10">
        <f>Tabella8[[#This Row],[Italy cumulative]]*NOT(ISBLANK(Tabella8[[#This Row],[Italy cumulative]]))</f>
        <v>31506</v>
      </c>
      <c r="F84" s="10">
        <f>Tabella8[[#This Row],[Lombardy fit]]+Tabella8[[#This Row],[rest of Italy fit]]</f>
        <v>34721.692170457092</v>
      </c>
      <c r="G84" s="91">
        <f>Tabella8[[#This Row],[Italy sum of regions]]/K_sum</f>
        <v>0.14775189240876632</v>
      </c>
      <c r="H84" s="10">
        <f>Tabella8[[#This Row],[Italy sum of regions]]*NOT(ISBLANK(Tabella8[[#This Row],[Italy cumulative]]))</f>
        <v>34721.692170457092</v>
      </c>
      <c r="I84" s="152">
        <f>IFERROR(Kt*_xlfn.LOGNORM.DIST((Tabella8[[#This Row],[Day]]-Days_back),mu_t,sigma_t,TRUE),0)</f>
        <v>35145.1436326927</v>
      </c>
      <c r="J84" s="129">
        <f>Tabella8[[#This Row],[Italy fit]]/Kt</f>
        <v>0.14955384349867648</v>
      </c>
      <c r="K84" s="10">
        <f>Tabella8[[#This Row],[Italy fit]]*NOT(ISBLANK(Tabella8[[#This Row],[Italy cumulative]]))</f>
        <v>35145.1436326927</v>
      </c>
      <c r="L84" s="10">
        <f>Tabella8[[#This Row],[Italy sum of regions]]+CI</f>
        <v>39611.334349450663</v>
      </c>
      <c r="M84" s="10">
        <f>MAX(Tabella8[[#This Row],[Italy sum of regions]]-CI,0)</f>
        <v>29832.049991463526</v>
      </c>
      <c r="N84" s="75">
        <f t="shared" si="0"/>
        <v>16220</v>
      </c>
      <c r="O84" s="10">
        <f>Tabella8[[#This Row],[Lombardy]]*NOT(ISBLANK(Tabella8[[#This Row],[Lombardy]]))</f>
        <v>16220</v>
      </c>
      <c r="P84" s="127">
        <f>IFERROR(Kr*_xlfn.LOGNORM.DIST((Tabella8[[#This Row],[Day]]-pr),mu_r,sigma_r,TRUE),0)</f>
        <v>16832.735540922957</v>
      </c>
      <c r="Q84" s="127">
        <f>Tabella8[[#This Row],[Lombardy fit]]/Kr</f>
        <v>0.1934797188611834</v>
      </c>
      <c r="R84" s="10">
        <f>Tabella8[[#This Row],[Lombardy fit]]*NOT(ISBLANK(Tabella8[[#This Row],[Lombardy]]))</f>
        <v>16832.735540922957</v>
      </c>
      <c r="S84" s="10">
        <f>Tabella8[[#This Row],[Lombardy fit]]+CIr</f>
        <v>19808.196964486411</v>
      </c>
      <c r="T84" s="10">
        <f>MAX(Tabella8[[#This Row],[Lombardy fit]]-CIr,0)</f>
        <v>13857.274117359502</v>
      </c>
      <c r="U84" s="10">
        <f>Tabella8[[#This Row],[Italy cumulative]]-Tabella8[[#This Row],[Lombardy]]</f>
        <v>15286</v>
      </c>
      <c r="V84" s="10">
        <f>Tabella8[[#This Row],[rest of Italy ]]*NOT(ISBLANK(Tabella8[[#This Row],[rest of Italy ]]))</f>
        <v>15286</v>
      </c>
      <c r="W84" s="128">
        <f>IFERROR(Ko*_xlfn.LOGNORM.DIST((Tabella8[[#This Row],[Day]]-po),mu_o,sigma_o,TRUE),0)</f>
        <v>17888.956629534136</v>
      </c>
      <c r="X84" s="128">
        <f>Tabella8[[#This Row],[rest of Italy fit]]/Ko</f>
        <v>0.1208713426487483</v>
      </c>
      <c r="Y84" s="23">
        <f>Tabella8[[#This Row],[rest of Italy fit]]*NOT(ISBLANK(Tabella8[[#This Row],[rest of Italy ]]))</f>
        <v>17888.956629534136</v>
      </c>
      <c r="Z84" s="10">
        <f>Tabella8[[#This Row],[rest of Italy fit]]+CIo</f>
        <v>20321.912836119624</v>
      </c>
      <c r="AA84" s="10">
        <f>MAX(Tabella8[[#This Row],[rest of Italy fit]]-CIo,0)</f>
        <v>15456.000422948648</v>
      </c>
      <c r="AC84" s="73" t="s">
        <v>165</v>
      </c>
      <c r="AD84" s="106">
        <v>30703</v>
      </c>
      <c r="AE84" s="71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 s="84"/>
      <c r="AY84" s="84"/>
      <c r="AZ84" s="98"/>
      <c r="BA84" s="33"/>
      <c r="BB84" s="33"/>
      <c r="BC84" s="98"/>
      <c r="BD84" s="87"/>
      <c r="BE84" s="87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</row>
    <row r="85" spans="2:378" x14ac:dyDescent="0.3">
      <c r="B85" s="9">
        <v>43908</v>
      </c>
      <c r="C85" s="4">
        <v>78</v>
      </c>
      <c r="D85" s="10">
        <f>'dpc-covid19-ita-andamento-naz'!L25</f>
        <v>35713</v>
      </c>
      <c r="E85" s="10">
        <f>Tabella8[[#This Row],[Italy cumulative]]*NOT(ISBLANK(Tabella8[[#This Row],[Italy cumulative]]))</f>
        <v>35713</v>
      </c>
      <c r="F85" s="10">
        <f>Tabella8[[#This Row],[Lombardy fit]]+Tabella8[[#This Row],[rest of Italy fit]]</f>
        <v>38712.47437050291</v>
      </c>
      <c r="G85" s="91">
        <f>Tabella8[[#This Row],[Italy sum of regions]]/K_sum</f>
        <v>0.16473394556888529</v>
      </c>
      <c r="H85" s="10">
        <f>Tabella8[[#This Row],[Italy sum of regions]]*NOT(ISBLANK(Tabella8[[#This Row],[Italy cumulative]]))</f>
        <v>38712.47437050291</v>
      </c>
      <c r="I85" s="152">
        <f>IFERROR(Kt*_xlfn.LOGNORM.DIST((Tabella8[[#This Row],[Day]]-Days_back),mu_t,sigma_t,TRUE),0)</f>
        <v>39124.451028498035</v>
      </c>
      <c r="J85" s="129">
        <f>Tabella8[[#This Row],[Italy fit]]/Kt</f>
        <v>0.16648707107984942</v>
      </c>
      <c r="K85" s="10">
        <f>Tabella8[[#This Row],[Italy fit]]*NOT(ISBLANK(Tabella8[[#This Row],[Italy cumulative]]))</f>
        <v>39124.451028498035</v>
      </c>
      <c r="L85" s="10">
        <f>Tabella8[[#This Row],[Italy sum of regions]]+CI</f>
        <v>43602.116549496481</v>
      </c>
      <c r="M85" s="10">
        <f>MAX(Tabella8[[#This Row],[Italy sum of regions]]-CI,0)</f>
        <v>33822.83219150934</v>
      </c>
      <c r="N85" s="75">
        <f t="shared" si="0"/>
        <v>17713</v>
      </c>
      <c r="O85" s="10">
        <f>Tabella8[[#This Row],[Lombardy]]*NOT(ISBLANK(Tabella8[[#This Row],[Lombardy]]))</f>
        <v>17713</v>
      </c>
      <c r="P85" s="127">
        <f>IFERROR(Kr*_xlfn.LOGNORM.DIST((Tabella8[[#This Row],[Day]]-pr),mu_r,sigma_r,TRUE),0)</f>
        <v>18389.432504465833</v>
      </c>
      <c r="Q85" s="127">
        <f>Tabella8[[#This Row],[Lombardy fit]]/Kr</f>
        <v>0.21137278740765325</v>
      </c>
      <c r="R85" s="10">
        <f>Tabella8[[#This Row],[Lombardy fit]]*NOT(ISBLANK(Tabella8[[#This Row],[Lombardy]]))</f>
        <v>18389.432504465833</v>
      </c>
      <c r="S85" s="10">
        <f>Tabella8[[#This Row],[Lombardy fit]]+CIr</f>
        <v>21364.893928029287</v>
      </c>
      <c r="T85" s="10">
        <f>MAX(Tabella8[[#This Row],[Lombardy fit]]-CIr,0)</f>
        <v>15413.971080902378</v>
      </c>
      <c r="U85" s="10">
        <f>Tabella8[[#This Row],[Italy cumulative]]-Tabella8[[#This Row],[Lombardy]]</f>
        <v>18000</v>
      </c>
      <c r="V85" s="10">
        <f>Tabella8[[#This Row],[rest of Italy ]]*NOT(ISBLANK(Tabella8[[#This Row],[rest of Italy ]]))</f>
        <v>18000</v>
      </c>
      <c r="W85" s="128">
        <f>IFERROR(Ko*_xlfn.LOGNORM.DIST((Tabella8[[#This Row],[Day]]-po),mu_o,sigma_o,TRUE),0)</f>
        <v>20323.041866037074</v>
      </c>
      <c r="X85" s="128">
        <f>Tabella8[[#This Row],[rest of Italy fit]]/Ko</f>
        <v>0.13731786643157598</v>
      </c>
      <c r="Y85" s="23">
        <f>Tabella8[[#This Row],[rest of Italy fit]]*NOT(ISBLANK(Tabella8[[#This Row],[rest of Italy ]]))</f>
        <v>20323.041866037074</v>
      </c>
      <c r="Z85" s="10">
        <f>Tabella8[[#This Row],[rest of Italy fit]]+CIo</f>
        <v>22755.998072622562</v>
      </c>
      <c r="AA85" s="10">
        <f>MAX(Tabella8[[#This Row],[rest of Italy fit]]-CIo,0)</f>
        <v>17890.085659451586</v>
      </c>
      <c r="AC85" s="73" t="s">
        <v>166</v>
      </c>
      <c r="AD85" s="106">
        <v>32346</v>
      </c>
      <c r="AE85" s="71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 s="84"/>
      <c r="AY85" s="84"/>
      <c r="AZ85" s="98"/>
      <c r="BA85" s="33"/>
      <c r="BB85" s="33"/>
      <c r="BC85" s="98"/>
      <c r="BD85" s="87"/>
      <c r="BE85" s="87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</row>
    <row r="86" spans="2:378" x14ac:dyDescent="0.3">
      <c r="B86" s="9">
        <v>43909</v>
      </c>
      <c r="C86" s="4">
        <v>79</v>
      </c>
      <c r="D86" s="10">
        <f>'dpc-covid19-ita-andamento-naz'!L26</f>
        <v>41035</v>
      </c>
      <c r="E86" s="10">
        <f>Tabella8[[#This Row],[Italy cumulative]]*NOT(ISBLANK(Tabella8[[#This Row],[Italy cumulative]]))</f>
        <v>41035</v>
      </c>
      <c r="F86" s="10">
        <f>Tabella8[[#This Row],[Lombardy fit]]+Tabella8[[#This Row],[rest of Italy fit]]</f>
        <v>42898.34729166919</v>
      </c>
      <c r="G86" s="91">
        <f>Tabella8[[#This Row],[Italy sum of regions]]/K_sum</f>
        <v>0.18254617207123167</v>
      </c>
      <c r="H86" s="10">
        <f>Tabella8[[#This Row],[Italy sum of regions]]*NOT(ISBLANK(Tabella8[[#This Row],[Italy cumulative]]))</f>
        <v>42898.34729166919</v>
      </c>
      <c r="I86" s="152">
        <f>IFERROR(Kt*_xlfn.LOGNORM.DIST((Tabella8[[#This Row],[Day]]-Days_back),mu_t,sigma_t,TRUE),0)</f>
        <v>43290.007403986529</v>
      </c>
      <c r="J86" s="129">
        <f>Tabella8[[#This Row],[Italy fit]]/Kt</f>
        <v>0.18421284772698815</v>
      </c>
      <c r="K86" s="10">
        <f>Tabella8[[#This Row],[Italy fit]]*NOT(ISBLANK(Tabella8[[#This Row],[Italy cumulative]]))</f>
        <v>43290.007403986529</v>
      </c>
      <c r="L86" s="10">
        <f>Tabella8[[#This Row],[Italy sum of regions]]+CI</f>
        <v>47787.98947066276</v>
      </c>
      <c r="M86" s="10">
        <f>MAX(Tabella8[[#This Row],[Italy sum of regions]]-CI,0)</f>
        <v>38008.70511267562</v>
      </c>
      <c r="N86" s="75">
        <f t="shared" si="0"/>
        <v>19884</v>
      </c>
      <c r="O86" s="10">
        <f>Tabella8[[#This Row],[Lombardy]]*NOT(ISBLANK(Tabella8[[#This Row],[Lombardy]]))</f>
        <v>19884</v>
      </c>
      <c r="P86" s="127">
        <f>IFERROR(Kr*_xlfn.LOGNORM.DIST((Tabella8[[#This Row],[Day]]-pr),mu_r,sigma_r,TRUE),0)</f>
        <v>19991.897040773845</v>
      </c>
      <c r="Q86" s="127">
        <f>Tabella8[[#This Row],[Lombardy fit]]/Kr</f>
        <v>0.22979192000889478</v>
      </c>
      <c r="R86" s="10">
        <f>Tabella8[[#This Row],[Lombardy fit]]*NOT(ISBLANK(Tabella8[[#This Row],[Lombardy]]))</f>
        <v>19991.897040773845</v>
      </c>
      <c r="S86" s="10">
        <f>Tabella8[[#This Row],[Lombardy fit]]+CIr</f>
        <v>22967.3584643373</v>
      </c>
      <c r="T86" s="10">
        <f>MAX(Tabella8[[#This Row],[Lombardy fit]]-CIr,0)</f>
        <v>17016.435617210391</v>
      </c>
      <c r="U86" s="10">
        <f>Tabella8[[#This Row],[Italy cumulative]]-Tabella8[[#This Row],[Lombardy]]</f>
        <v>21151</v>
      </c>
      <c r="V86" s="10">
        <f>Tabella8[[#This Row],[rest of Italy ]]*NOT(ISBLANK(Tabella8[[#This Row],[rest of Italy ]]))</f>
        <v>21151</v>
      </c>
      <c r="W86" s="128">
        <f>IFERROR(Ko*_xlfn.LOGNORM.DIST((Tabella8[[#This Row],[Day]]-po),mu_o,sigma_o,TRUE),0)</f>
        <v>22906.450250895345</v>
      </c>
      <c r="X86" s="128">
        <f>Tabella8[[#This Row],[rest of Italy fit]]/Ko</f>
        <v>0.15477333052344602</v>
      </c>
      <c r="Y86" s="23">
        <f>Tabella8[[#This Row],[rest of Italy fit]]*NOT(ISBLANK(Tabella8[[#This Row],[rest of Italy ]]))</f>
        <v>22906.450250895345</v>
      </c>
      <c r="Z86" s="10">
        <f>Tabella8[[#This Row],[rest of Italy fit]]+CIo</f>
        <v>25339.406457480833</v>
      </c>
      <c r="AA86" s="10">
        <f>MAX(Tabella8[[#This Row],[rest of Italy fit]]-CIo,0)</f>
        <v>20473.494044309857</v>
      </c>
      <c r="AC86" s="73" t="s">
        <v>167</v>
      </c>
      <c r="AD86" s="106">
        <v>34889</v>
      </c>
      <c r="AE86" s="71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 s="84"/>
      <c r="AY86" s="84"/>
      <c r="AZ86" s="98"/>
      <c r="BA86" s="33"/>
      <c r="BB86" s="33"/>
      <c r="BC86" s="98"/>
      <c r="BD86" s="87"/>
      <c r="BE86" s="87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</row>
    <row r="87" spans="2:378" x14ac:dyDescent="0.3">
      <c r="B87" s="9">
        <v>43910</v>
      </c>
      <c r="C87" s="4">
        <v>80</v>
      </c>
      <c r="D87" s="10">
        <f>'dpc-covid19-ita-andamento-naz'!L27</f>
        <v>47021</v>
      </c>
      <c r="E87" s="10">
        <f>Tabella8[[#This Row],[Italy cumulative]]*NOT(ISBLANK(Tabella8[[#This Row],[Italy cumulative]]))</f>
        <v>47021</v>
      </c>
      <c r="F87" s="10">
        <f>Tabella8[[#This Row],[Lombardy fit]]+Tabella8[[#This Row],[rest of Italy fit]]</f>
        <v>47262.898990850474</v>
      </c>
      <c r="G87" s="91">
        <f>Tabella8[[#This Row],[Italy sum of regions]]/K_sum</f>
        <v>0.20111873385491738</v>
      </c>
      <c r="H87" s="10">
        <f>Tabella8[[#This Row],[Italy sum of regions]]*NOT(ISBLANK(Tabella8[[#This Row],[Italy cumulative]]))</f>
        <v>47262.898990850474</v>
      </c>
      <c r="I87" s="152">
        <f>IFERROR(Kt*_xlfn.LOGNORM.DIST((Tabella8[[#This Row],[Day]]-Days_back),mu_t,sigma_t,TRUE),0)</f>
        <v>47626.036936478224</v>
      </c>
      <c r="J87" s="129">
        <f>Tabella8[[#This Row],[Italy fit]]/Kt</f>
        <v>0.20266404226143536</v>
      </c>
      <c r="K87" s="10">
        <f>Tabella8[[#This Row],[Italy fit]]*NOT(ISBLANK(Tabella8[[#This Row],[Italy cumulative]]))</f>
        <v>47626.036936478224</v>
      </c>
      <c r="L87" s="10">
        <f>Tabella8[[#This Row],[Italy sum of regions]]+CI</f>
        <v>52152.541169844044</v>
      </c>
      <c r="M87" s="10">
        <f>MAX(Tabella8[[#This Row],[Italy sum of regions]]-CI,0)</f>
        <v>42373.256811856903</v>
      </c>
      <c r="N87" s="75">
        <f t="shared" si="0"/>
        <v>22264</v>
      </c>
      <c r="O87" s="10">
        <f>Tabella8[[#This Row],[Lombardy]]*NOT(ISBLANK(Tabella8[[#This Row],[Lombardy]]))</f>
        <v>22264</v>
      </c>
      <c r="P87" s="127">
        <f>IFERROR(Kr*_xlfn.LOGNORM.DIST((Tabella8[[#This Row],[Day]]-pr),mu_r,sigma_r,TRUE),0)</f>
        <v>21634.190021491242</v>
      </c>
      <c r="Q87" s="127">
        <f>Tabella8[[#This Row],[Lombardy fit]]/Kr</f>
        <v>0.24866885082173842</v>
      </c>
      <c r="R87" s="10">
        <f>Tabella8[[#This Row],[Lombardy fit]]*NOT(ISBLANK(Tabella8[[#This Row],[Lombardy]]))</f>
        <v>21634.190021491242</v>
      </c>
      <c r="S87" s="10">
        <f>Tabella8[[#This Row],[Lombardy fit]]+CIr</f>
        <v>24609.651445054697</v>
      </c>
      <c r="T87" s="10">
        <f>MAX(Tabella8[[#This Row],[Lombardy fit]]-CIr,0)</f>
        <v>18658.728597927788</v>
      </c>
      <c r="U87" s="10">
        <f>Tabella8[[#This Row],[Italy cumulative]]-Tabella8[[#This Row],[Lombardy]]</f>
        <v>24757</v>
      </c>
      <c r="V87" s="10">
        <f>Tabella8[[#This Row],[rest of Italy ]]*NOT(ISBLANK(Tabella8[[#This Row],[rest of Italy ]]))</f>
        <v>24757</v>
      </c>
      <c r="W87" s="128">
        <f>IFERROR(Ko*_xlfn.LOGNORM.DIST((Tabella8[[#This Row],[Day]]-po),mu_o,sigma_o,TRUE),0)</f>
        <v>25628.708969359228</v>
      </c>
      <c r="X87" s="128">
        <f>Tabella8[[#This Row],[rest of Italy fit]]/Ko</f>
        <v>0.17316697265429842</v>
      </c>
      <c r="Y87" s="23">
        <f>Tabella8[[#This Row],[rest of Italy fit]]*NOT(ISBLANK(Tabella8[[#This Row],[rest of Italy ]]))</f>
        <v>25628.708969359228</v>
      </c>
      <c r="Z87" s="10">
        <f>Tabella8[[#This Row],[rest of Italy fit]]+CIo</f>
        <v>28061.665175944716</v>
      </c>
      <c r="AA87" s="10">
        <f>MAX(Tabella8[[#This Row],[rest of Italy fit]]-CIo,0)</f>
        <v>23195.75276277374</v>
      </c>
      <c r="AC87" s="73" t="s">
        <v>168</v>
      </c>
      <c r="AD87" s="106">
        <v>37298</v>
      </c>
      <c r="AE87" s="71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 s="84"/>
      <c r="AY87" s="84"/>
      <c r="AZ87" s="98"/>
      <c r="BA87" s="33"/>
      <c r="BB87" s="33"/>
      <c r="BC87" s="98"/>
      <c r="BD87" s="87"/>
      <c r="BE87" s="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</row>
    <row r="88" spans="2:378" x14ac:dyDescent="0.3">
      <c r="B88" s="9">
        <v>43911</v>
      </c>
      <c r="C88" s="4">
        <v>81</v>
      </c>
      <c r="D88" s="10">
        <f>'dpc-covid19-ita-andamento-naz'!L28</f>
        <v>53578</v>
      </c>
      <c r="E88" s="10">
        <f>Tabella8[[#This Row],[Italy cumulative]]*NOT(ISBLANK(Tabella8[[#This Row],[Italy cumulative]]))</f>
        <v>53578</v>
      </c>
      <c r="F88" s="10">
        <f>Tabella8[[#This Row],[Lombardy fit]]+Tabella8[[#This Row],[rest of Italy fit]]</f>
        <v>51788.392293714103</v>
      </c>
      <c r="G88" s="91">
        <f>Tabella8[[#This Row],[Italy sum of regions]]/K_sum</f>
        <v>0.22037615357682311</v>
      </c>
      <c r="H88" s="10">
        <f>Tabella8[[#This Row],[Italy sum of regions]]*NOT(ISBLANK(Tabella8[[#This Row],[Italy cumulative]]))</f>
        <v>51788.392293714103</v>
      </c>
      <c r="I88" s="152">
        <f>IFERROR(Kt*_xlfn.LOGNORM.DIST((Tabella8[[#This Row],[Day]]-Days_back),mu_t,sigma_t,TRUE),0)</f>
        <v>52115.633167139393</v>
      </c>
      <c r="J88" s="129">
        <f>Tabella8[[#This Row],[Italy fit]]/Kt</f>
        <v>0.22176871228554546</v>
      </c>
      <c r="K88" s="10">
        <f>Tabella8[[#This Row],[Italy fit]]*NOT(ISBLANK(Tabella8[[#This Row],[Italy cumulative]]))</f>
        <v>52115.633167139393</v>
      </c>
      <c r="L88" s="10">
        <f>Tabella8[[#This Row],[Italy sum of regions]]+CI</f>
        <v>56678.034472707674</v>
      </c>
      <c r="M88" s="10">
        <f>MAX(Tabella8[[#This Row],[Italy sum of regions]]-CI,0)</f>
        <v>46898.750114720533</v>
      </c>
      <c r="N88" s="75">
        <f t="shared" si="0"/>
        <v>25515</v>
      </c>
      <c r="O88" s="10">
        <f>Tabella8[[#This Row],[Lombardy]]*NOT(ISBLANK(Tabella8[[#This Row],[Lombardy]]))</f>
        <v>25515</v>
      </c>
      <c r="P88" s="127">
        <f>IFERROR(Kr*_xlfn.LOGNORM.DIST((Tabella8[[#This Row],[Day]]-pr),mu_r,sigma_r,TRUE),0)</f>
        <v>23310.302349365797</v>
      </c>
      <c r="Q88" s="127">
        <f>Tabella8[[#This Row],[Lombardy fit]]/Kr</f>
        <v>0.26793450976282523</v>
      </c>
      <c r="R88" s="10">
        <f>Tabella8[[#This Row],[Lombardy fit]]*NOT(ISBLANK(Tabella8[[#This Row],[Lombardy]]))</f>
        <v>23310.302349365797</v>
      </c>
      <c r="S88" s="10">
        <f>Tabella8[[#This Row],[Lombardy fit]]+CIr</f>
        <v>26285.763772929251</v>
      </c>
      <c r="T88" s="10">
        <f>MAX(Tabella8[[#This Row],[Lombardy fit]]-CIr,0)</f>
        <v>20334.840925802342</v>
      </c>
      <c r="U88" s="10">
        <f>Tabella8[[#This Row],[Italy cumulative]]-Tabella8[[#This Row],[Lombardy]]</f>
        <v>28063</v>
      </c>
      <c r="V88" s="10">
        <f>Tabella8[[#This Row],[rest of Italy ]]*NOT(ISBLANK(Tabella8[[#This Row],[rest of Italy ]]))</f>
        <v>28063</v>
      </c>
      <c r="W88" s="128">
        <f>IFERROR(Ko*_xlfn.LOGNORM.DIST((Tabella8[[#This Row],[Day]]-po),mu_o,sigma_o,TRUE),0)</f>
        <v>28478.089944348303</v>
      </c>
      <c r="X88" s="128">
        <f>Tabella8[[#This Row],[rest of Italy fit]]/Ko</f>
        <v>0.1924195490508514</v>
      </c>
      <c r="Y88" s="23">
        <f>Tabella8[[#This Row],[rest of Italy fit]]*NOT(ISBLANK(Tabella8[[#This Row],[rest of Italy ]]))</f>
        <v>28478.089944348303</v>
      </c>
      <c r="Z88" s="10">
        <f>Tabella8[[#This Row],[rest of Italy fit]]+CIo</f>
        <v>30911.046150933791</v>
      </c>
      <c r="AA88" s="10">
        <f>MAX(Tabella8[[#This Row],[rest of Italy fit]]-CIo,0)</f>
        <v>26045.133737762815</v>
      </c>
      <c r="AC88" s="73" t="s">
        <v>169</v>
      </c>
      <c r="AD88" s="106">
        <v>39415</v>
      </c>
      <c r="AE88" s="71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 s="84"/>
      <c r="AY88" s="84"/>
      <c r="AZ88" s="98"/>
      <c r="BA88" s="33"/>
      <c r="BB88" s="33"/>
      <c r="BC88" s="98"/>
      <c r="BD88" s="87"/>
      <c r="BE88" s="87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</row>
    <row r="89" spans="2:378" x14ac:dyDescent="0.3">
      <c r="B89" s="9">
        <v>43912</v>
      </c>
      <c r="C89" s="4">
        <v>82</v>
      </c>
      <c r="D89" s="10">
        <f>'dpc-covid19-ita-andamento-naz'!L29</f>
        <v>59138</v>
      </c>
      <c r="E89" s="10">
        <f>Tabella8[[#This Row],[Italy cumulative]]*NOT(ISBLANK(Tabella8[[#This Row],[Italy cumulative]]))</f>
        <v>59138</v>
      </c>
      <c r="F89" s="10">
        <f>Tabella8[[#This Row],[Lombardy fit]]+Tabella8[[#This Row],[rest of Italy fit]]</f>
        <v>56456.091485776371</v>
      </c>
      <c r="G89" s="91">
        <f>Tabella8[[#This Row],[Italy sum of regions]]/K_sum</f>
        <v>0.24023870478649217</v>
      </c>
      <c r="H89" s="10">
        <f>Tabella8[[#This Row],[Italy sum of regions]]*NOT(ISBLANK(Tabella8[[#This Row],[Italy cumulative]]))</f>
        <v>56456.091485776371</v>
      </c>
      <c r="I89" s="152">
        <f>IFERROR(Kt*_xlfn.LOGNORM.DIST((Tabella8[[#This Row],[Day]]-Days_back),mu_t,sigma_t,TRUE),0)</f>
        <v>56741.041419626286</v>
      </c>
      <c r="J89" s="129">
        <f>Tabella8[[#This Row],[Italy fit]]/Kt</f>
        <v>0.24145130596447512</v>
      </c>
      <c r="K89" s="10">
        <f>Tabella8[[#This Row],[Italy fit]]*NOT(ISBLANK(Tabella8[[#This Row],[Italy cumulative]]))</f>
        <v>56741.041419626286</v>
      </c>
      <c r="L89" s="10">
        <f>Tabella8[[#This Row],[Italy sum of regions]]+CI</f>
        <v>61345.733664769941</v>
      </c>
      <c r="M89" s="10">
        <f>MAX(Tabella8[[#This Row],[Italy sum of regions]]-CI,0)</f>
        <v>51566.449306782801</v>
      </c>
      <c r="N89" s="75">
        <f t="shared" si="0"/>
        <v>27206</v>
      </c>
      <c r="O89" s="10">
        <f>Tabella8[[#This Row],[Lombardy]]*NOT(ISBLANK(Tabella8[[#This Row],[Lombardy]]))</f>
        <v>27206</v>
      </c>
      <c r="P89" s="127">
        <f>IFERROR(Kr*_xlfn.LOGNORM.DIST((Tabella8[[#This Row],[Day]]-pr),mu_r,sigma_r,TRUE),0)</f>
        <v>25014.226213352795</v>
      </c>
      <c r="Q89" s="127">
        <f>Tabella8[[#This Row],[Lombardy fit]]/Kr</f>
        <v>0.28751984153279075</v>
      </c>
      <c r="R89" s="10">
        <f>Tabella8[[#This Row],[Lombardy fit]]*NOT(ISBLANK(Tabella8[[#This Row],[Lombardy]]))</f>
        <v>25014.226213352795</v>
      </c>
      <c r="S89" s="10">
        <f>Tabella8[[#This Row],[Lombardy fit]]+CIr</f>
        <v>27989.687636916249</v>
      </c>
      <c r="T89" s="10">
        <f>MAX(Tabella8[[#This Row],[Lombardy fit]]-CIr,0)</f>
        <v>22038.76478978934</v>
      </c>
      <c r="U89" s="10">
        <f>Tabella8[[#This Row],[Italy cumulative]]-Tabella8[[#This Row],[Lombardy]]</f>
        <v>31932</v>
      </c>
      <c r="V89" s="10">
        <f>Tabella8[[#This Row],[rest of Italy ]]*NOT(ISBLANK(Tabella8[[#This Row],[rest of Italy ]]))</f>
        <v>31932</v>
      </c>
      <c r="W89" s="128">
        <f>IFERROR(Ko*_xlfn.LOGNORM.DIST((Tabella8[[#This Row],[Day]]-po),mu_o,sigma_o,TRUE),0)</f>
        <v>31441.865272423573</v>
      </c>
      <c r="X89" s="128">
        <f>Tabella8[[#This Row],[rest of Italy fit]]/Ko</f>
        <v>0.21244506035553287</v>
      </c>
      <c r="Y89" s="23">
        <f>Tabella8[[#This Row],[rest of Italy fit]]*NOT(ISBLANK(Tabella8[[#This Row],[rest of Italy ]]))</f>
        <v>31441.865272423573</v>
      </c>
      <c r="Z89" s="10">
        <f>Tabella8[[#This Row],[rest of Italy fit]]+CIo</f>
        <v>33874.821479009057</v>
      </c>
      <c r="AA89" s="10">
        <f>MAX(Tabella8[[#This Row],[rest of Italy fit]]-CIo,0)</f>
        <v>29008.909065838085</v>
      </c>
      <c r="AC89" s="73" t="s">
        <v>170</v>
      </c>
      <c r="AD89" s="106">
        <v>41007</v>
      </c>
      <c r="AE89" s="71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 s="84"/>
      <c r="AY89" s="84"/>
      <c r="AZ89" s="98"/>
      <c r="BA89" s="33"/>
      <c r="BB89" s="33"/>
      <c r="BC89" s="98"/>
      <c r="BD89" s="87"/>
      <c r="BE89" s="87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</row>
    <row r="90" spans="2:378" x14ac:dyDescent="0.3">
      <c r="B90" s="16">
        <v>43913</v>
      </c>
      <c r="C90" s="4">
        <v>83</v>
      </c>
      <c r="D90" s="10">
        <f>'dpc-covid19-ita-andamento-naz'!L30</f>
        <v>63927</v>
      </c>
      <c r="E90" s="10">
        <f>Tabella8[[#This Row],[Italy cumulative]]*NOT(ISBLANK(Tabella8[[#This Row],[Italy cumulative]]))</f>
        <v>63927</v>
      </c>
      <c r="F90" s="10">
        <f>Tabella8[[#This Row],[Lombardy fit]]+Tabella8[[#This Row],[rest of Italy fit]]</f>
        <v>61246.580108486727</v>
      </c>
      <c r="G90" s="91">
        <f>Tabella8[[#This Row],[Italy sum of regions]]/K_sum</f>
        <v>0.26062376424999245</v>
      </c>
      <c r="H90" s="10">
        <f>Tabella8[[#This Row],[Italy sum of regions]]*NOT(ISBLANK(Tabella8[[#This Row],[Italy cumulative]]))</f>
        <v>61246.580108486727</v>
      </c>
      <c r="I90" s="152">
        <f>IFERROR(Kt*_xlfn.LOGNORM.DIST((Tabella8[[#This Row],[Day]]-Days_back),mu_t,sigma_t,TRUE),0)</f>
        <v>61483.932342251152</v>
      </c>
      <c r="J90" s="129">
        <f>Tabella8[[#This Row],[Italy fit]]/Kt</f>
        <v>0.26163382603571794</v>
      </c>
      <c r="K90" s="10">
        <f>Tabella8[[#This Row],[Italy fit]]*NOT(ISBLANK(Tabella8[[#This Row],[Italy cumulative]]))</f>
        <v>61483.932342251152</v>
      </c>
      <c r="L90" s="10">
        <f>Tabella8[[#This Row],[Italy sum of regions]]+CI</f>
        <v>66136.222287480297</v>
      </c>
      <c r="M90" s="10">
        <f>MAX(Tabella8[[#This Row],[Italy sum of regions]]-CI,0)</f>
        <v>56356.937929493157</v>
      </c>
      <c r="N90" s="75">
        <f t="shared" si="0"/>
        <v>28761</v>
      </c>
      <c r="O90" s="10">
        <f>Tabella8[[#This Row],[Lombardy]]*NOT(ISBLANK(Tabella8[[#This Row],[Lombardy]]))</f>
        <v>28761</v>
      </c>
      <c r="P90" s="127">
        <f>IFERROR(Kr*_xlfn.LOGNORM.DIST((Tabella8[[#This Row],[Day]]-pr),mu_r,sigma_r,TRUE),0)</f>
        <v>26740.019396335363</v>
      </c>
      <c r="Q90" s="127">
        <f>Tabella8[[#This Row],[Lombardy fit]]/Kr</f>
        <v>0.30735654478546393</v>
      </c>
      <c r="R90" s="10">
        <f>Tabella8[[#This Row],[Lombardy fit]]*NOT(ISBLANK(Tabella8[[#This Row],[Lombardy]]))</f>
        <v>26740.019396335363</v>
      </c>
      <c r="S90" s="10">
        <f>Tabella8[[#This Row],[Lombardy fit]]+CIr</f>
        <v>29715.480819898818</v>
      </c>
      <c r="T90" s="10">
        <f>MAX(Tabella8[[#This Row],[Lombardy fit]]-CIr,0)</f>
        <v>23764.557972771909</v>
      </c>
      <c r="U90" s="10">
        <f>Tabella8[[#This Row],[Italy cumulative]]-Tabella8[[#This Row],[Lombardy]]</f>
        <v>35166</v>
      </c>
      <c r="V90" s="10">
        <f>Tabella8[[#This Row],[rest of Italy ]]*NOT(ISBLANK(Tabella8[[#This Row],[rest of Italy ]]))</f>
        <v>35166</v>
      </c>
      <c r="W90" s="128">
        <f>IFERROR(Ko*_xlfn.LOGNORM.DIST((Tabella8[[#This Row],[Day]]-po),mu_o,sigma_o,TRUE),0)</f>
        <v>34506.560712151368</v>
      </c>
      <c r="X90" s="128">
        <f>Tabella8[[#This Row],[rest of Italy fit]]/Ko</f>
        <v>0.23315246438589535</v>
      </c>
      <c r="Y90" s="23">
        <f>Tabella8[[#This Row],[rest of Italy fit]]*NOT(ISBLANK(Tabella8[[#This Row],[rest of Italy ]]))</f>
        <v>34506.560712151368</v>
      </c>
      <c r="Z90" s="10">
        <f>Tabella8[[#This Row],[rest of Italy fit]]+CIo</f>
        <v>36939.516918736852</v>
      </c>
      <c r="AA90" s="10">
        <f>MAX(Tabella8[[#This Row],[rest of Italy fit]]-CIo,0)</f>
        <v>32073.60450556588</v>
      </c>
      <c r="AC90" s="73" t="s">
        <v>171</v>
      </c>
      <c r="AD90" s="106">
        <v>42161</v>
      </c>
      <c r="AE90" s="71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 s="84"/>
      <c r="AY90" s="84"/>
      <c r="AZ90" s="98"/>
      <c r="BA90" s="33"/>
      <c r="BB90" s="33"/>
      <c r="BC90" s="98"/>
      <c r="BD90" s="87"/>
      <c r="BE90" s="87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</row>
    <row r="91" spans="2:378" x14ac:dyDescent="0.3">
      <c r="B91" s="9">
        <v>43914</v>
      </c>
      <c r="C91" s="4">
        <v>84</v>
      </c>
      <c r="D91" s="10">
        <f>'dpc-covid19-ita-andamento-naz'!L31</f>
        <v>69176</v>
      </c>
      <c r="E91" s="10">
        <f>Tabella8[[#This Row],[Italy cumulative]]*NOT(ISBLANK(Tabella8[[#This Row],[Italy cumulative]]))</f>
        <v>69176</v>
      </c>
      <c r="F91" s="10">
        <f>Tabella8[[#This Row],[Lombardy fit]]+Tabella8[[#This Row],[rest of Italy fit]]</f>
        <v>66140.063000390539</v>
      </c>
      <c r="G91" s="91">
        <f>Tabella8[[#This Row],[Italy sum of regions]]/K_sum</f>
        <v>0.28144709723155409</v>
      </c>
      <c r="H91" s="10">
        <f>Tabella8[[#This Row],[Italy sum of regions]]*NOT(ISBLANK(Tabella8[[#This Row],[Italy cumulative]]))</f>
        <v>66140.063000390539</v>
      </c>
      <c r="I91" s="152">
        <f>IFERROR(Kt*_xlfn.LOGNORM.DIST((Tabella8[[#This Row],[Day]]-Days_back),mu_t,sigma_t,TRUE),0)</f>
        <v>66325.661522775845</v>
      </c>
      <c r="J91" s="129">
        <f>Tabella8[[#This Row],[Italy fit]]/Kt</f>
        <v>0.28223693455320864</v>
      </c>
      <c r="K91" s="10">
        <f>Tabella8[[#This Row],[Italy fit]]*NOT(ISBLANK(Tabella8[[#This Row],[Italy cumulative]]))</f>
        <v>66325.661522775845</v>
      </c>
      <c r="L91" s="10">
        <f>Tabella8[[#This Row],[Italy sum of regions]]+CI</f>
        <v>71029.705179384109</v>
      </c>
      <c r="M91" s="10">
        <f>MAX(Tabella8[[#This Row],[Italy sum of regions]]-CI,0)</f>
        <v>61250.420821396969</v>
      </c>
      <c r="N91" s="75">
        <f t="shared" si="0"/>
        <v>30703</v>
      </c>
      <c r="O91" s="10">
        <f>Tabella8[[#This Row],[Lombardy]]*NOT(ISBLANK(Tabella8[[#This Row],[Lombardy]]))</f>
        <v>30703</v>
      </c>
      <c r="P91" s="127">
        <f>IFERROR(Kr*_xlfn.LOGNORM.DIST((Tabella8[[#This Row],[Day]]-pr),mu_r,sigma_r,TRUE),0)</f>
        <v>28481.862285154002</v>
      </c>
      <c r="Q91" s="127">
        <f>Tabella8[[#This Row],[Lombardy fit]]/Kr</f>
        <v>0.32737772741556326</v>
      </c>
      <c r="R91" s="10">
        <f>Tabella8[[#This Row],[Lombardy fit]]*NOT(ISBLANK(Tabella8[[#This Row],[Lombardy]]))</f>
        <v>28481.862285154002</v>
      </c>
      <c r="S91" s="10">
        <f>Tabella8[[#This Row],[Lombardy fit]]+CIr</f>
        <v>31457.323708717457</v>
      </c>
      <c r="T91" s="10">
        <f>MAX(Tabella8[[#This Row],[Lombardy fit]]-CIr,0)</f>
        <v>25506.400861590548</v>
      </c>
      <c r="U91" s="10">
        <f>Tabella8[[#This Row],[Italy cumulative]]-Tabella8[[#This Row],[Lombardy]]</f>
        <v>38473</v>
      </c>
      <c r="V91" s="10">
        <f>Tabella8[[#This Row],[rest of Italy ]]*NOT(ISBLANK(Tabella8[[#This Row],[rest of Italy ]]))</f>
        <v>38473</v>
      </c>
      <c r="W91" s="128">
        <f>IFERROR(Ko*_xlfn.LOGNORM.DIST((Tabella8[[#This Row],[Day]]-po),mu_o,sigma_o,TRUE),0)</f>
        <v>37658.20071523654</v>
      </c>
      <c r="X91" s="128">
        <f>Tabella8[[#This Row],[rest of Italy fit]]/Ko</f>
        <v>0.25444733175057355</v>
      </c>
      <c r="Y91" s="23">
        <f>Tabella8[[#This Row],[rest of Italy fit]]*NOT(ISBLANK(Tabella8[[#This Row],[rest of Italy ]]))</f>
        <v>37658.20071523654</v>
      </c>
      <c r="Z91" s="10">
        <f>Tabella8[[#This Row],[rest of Italy fit]]+CIo</f>
        <v>40091.156921822025</v>
      </c>
      <c r="AA91" s="10">
        <f>MAX(Tabella8[[#This Row],[rest of Italy fit]]-CIo,0)</f>
        <v>35225.244508651056</v>
      </c>
      <c r="AC91" s="73" t="s">
        <v>172</v>
      </c>
      <c r="AD91" s="106">
        <v>43208</v>
      </c>
      <c r="AE91" s="7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 s="84"/>
      <c r="AY91" s="84"/>
      <c r="AZ91" s="98"/>
      <c r="BA91" s="33"/>
      <c r="BB91" s="33"/>
      <c r="BC91" s="98"/>
      <c r="BD91" s="87"/>
      <c r="BE91" s="87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</row>
    <row r="92" spans="2:378" x14ac:dyDescent="0.3">
      <c r="B92" s="9">
        <v>43915</v>
      </c>
      <c r="C92" s="4">
        <v>85</v>
      </c>
      <c r="D92" s="10">
        <f>'dpc-covid19-ita-andamento-naz'!L32</f>
        <v>74386</v>
      </c>
      <c r="E92" s="10">
        <f>Tabella8[[#This Row],[Italy cumulative]]*NOT(ISBLANK(Tabella8[[#This Row],[Italy cumulative]]))</f>
        <v>74386</v>
      </c>
      <c r="F92" s="10">
        <f>Tabella8[[#This Row],[Lombardy fit]]+Tabella8[[#This Row],[rest of Italy fit]]</f>
        <v>71116.64722294877</v>
      </c>
      <c r="G92" s="91">
        <f>Tabella8[[#This Row],[Italy sum of regions]]/K_sum</f>
        <v>0.30262405292267724</v>
      </c>
      <c r="H92" s="10">
        <f>Tabella8[[#This Row],[Italy sum of regions]]*NOT(ISBLANK(Tabella8[[#This Row],[Italy cumulative]]))</f>
        <v>71116.64722294877</v>
      </c>
      <c r="I92" s="152">
        <f>IFERROR(Kt*_xlfn.LOGNORM.DIST((Tabella8[[#This Row],[Day]]-Days_back),mu_t,sigma_t,TRUE),0)</f>
        <v>71247.51120842305</v>
      </c>
      <c r="J92" s="129">
        <f>Tabella8[[#This Row],[Italy fit]]/Kt</f>
        <v>0.30318098148339601</v>
      </c>
      <c r="K92" s="10">
        <f>Tabella8[[#This Row],[Italy fit]]*NOT(ISBLANK(Tabella8[[#This Row],[Italy cumulative]]))</f>
        <v>71247.51120842305</v>
      </c>
      <c r="L92" s="10">
        <f>Tabella8[[#This Row],[Italy sum of regions]]+CI</f>
        <v>76006.28940194234</v>
      </c>
      <c r="M92" s="10">
        <f>MAX(Tabella8[[#This Row],[Italy sum of regions]]-CI,0)</f>
        <v>66227.0050439552</v>
      </c>
      <c r="N92" s="75">
        <f t="shared" si="0"/>
        <v>32346</v>
      </c>
      <c r="O92" s="10">
        <f>Tabella8[[#This Row],[Lombardy]]*NOT(ISBLANK(Tabella8[[#This Row],[Lombardy]]))</f>
        <v>32346</v>
      </c>
      <c r="P92" s="127">
        <f>IFERROR(Kr*_xlfn.LOGNORM.DIST((Tabella8[[#This Row],[Day]]-pr),mu_r,sigma_r,TRUE),0)</f>
        <v>30234.107454482848</v>
      </c>
      <c r="Q92" s="127">
        <f>Tabella8[[#This Row],[Lombardy fit]]/Kr</f>
        <v>0.34751847648830858</v>
      </c>
      <c r="R92" s="10">
        <f>Tabella8[[#This Row],[Lombardy fit]]*NOT(ISBLANK(Tabella8[[#This Row],[Lombardy]]))</f>
        <v>30234.107454482848</v>
      </c>
      <c r="S92" s="10">
        <f>Tabella8[[#This Row],[Lombardy fit]]+CIr</f>
        <v>33209.568878046302</v>
      </c>
      <c r="T92" s="10">
        <f>MAX(Tabella8[[#This Row],[Lombardy fit]]-CIr,0)</f>
        <v>27258.646030919394</v>
      </c>
      <c r="U92" s="10">
        <f>Tabella8[[#This Row],[Italy cumulative]]-Tabella8[[#This Row],[Lombardy]]</f>
        <v>42040</v>
      </c>
      <c r="V92" s="10">
        <f>Tabella8[[#This Row],[rest of Italy ]]*NOT(ISBLANK(Tabella8[[#This Row],[rest of Italy ]]))</f>
        <v>42040</v>
      </c>
      <c r="W92" s="128">
        <f>IFERROR(Ko*_xlfn.LOGNORM.DIST((Tabella8[[#This Row],[Day]]-po),mu_o,sigma_o,TRUE),0)</f>
        <v>40882.539768465918</v>
      </c>
      <c r="X92" s="128">
        <f>Tabella8[[#This Row],[rest of Italy fit]]/Ko</f>
        <v>0.27623340897070586</v>
      </c>
      <c r="Y92" s="23">
        <f>Tabella8[[#This Row],[rest of Italy fit]]*NOT(ISBLANK(Tabella8[[#This Row],[rest of Italy ]]))</f>
        <v>40882.539768465918</v>
      </c>
      <c r="Z92" s="10">
        <f>Tabella8[[#This Row],[rest of Italy fit]]+CIo</f>
        <v>43315.495975051403</v>
      </c>
      <c r="AA92" s="10">
        <f>MAX(Tabella8[[#This Row],[rest of Italy fit]]-CIo,0)</f>
        <v>38449.583561880434</v>
      </c>
      <c r="AC92" s="73" t="s">
        <v>173</v>
      </c>
      <c r="AD92" s="106">
        <v>44773</v>
      </c>
      <c r="AE92" s="71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 s="84"/>
      <c r="AY92" s="84"/>
      <c r="AZ92" s="98"/>
      <c r="BA92" s="33"/>
      <c r="BB92" s="33"/>
      <c r="BC92" s="98"/>
      <c r="BD92" s="87"/>
      <c r="BE92" s="87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</row>
    <row r="93" spans="2:378" x14ac:dyDescent="0.3">
      <c r="B93" s="9">
        <v>43916</v>
      </c>
      <c r="C93" s="4">
        <v>86</v>
      </c>
      <c r="D93" s="10">
        <f>'dpc-covid19-ita-andamento-naz'!L33</f>
        <v>80539</v>
      </c>
      <c r="E93" s="10">
        <f>Tabella8[[#This Row],[Italy cumulative]]*NOT(ISBLANK(Tabella8[[#This Row],[Italy cumulative]]))</f>
        <v>80539</v>
      </c>
      <c r="F93" s="10">
        <f>Tabella8[[#This Row],[Lombardy fit]]+Tabella8[[#This Row],[rest of Italy fit]]</f>
        <v>76156.597935979022</v>
      </c>
      <c r="G93" s="91">
        <f>Tabella8[[#This Row],[Italy sum of regions]]/K_sum</f>
        <v>0.32407065327387574</v>
      </c>
      <c r="H93" s="10">
        <f>Tabella8[[#This Row],[Italy sum of regions]]*NOT(ISBLANK(Tabella8[[#This Row],[Italy cumulative]]))</f>
        <v>76156.597935979022</v>
      </c>
      <c r="I93" s="152">
        <f>IFERROR(Kt*_xlfn.LOGNORM.DIST((Tabella8[[#This Row],[Day]]-Days_back),mu_t,sigma_t,TRUE),0)</f>
        <v>76230.911190638726</v>
      </c>
      <c r="J93" s="129">
        <f>Tabella8[[#This Row],[Italy fit]]/Kt</f>
        <v>0.32438694464065881</v>
      </c>
      <c r="K93" s="10">
        <f>Tabella8[[#This Row],[Italy fit]]*NOT(ISBLANK(Tabella8[[#This Row],[Italy cumulative]]))</f>
        <v>76230.911190638726</v>
      </c>
      <c r="L93" s="10">
        <f>Tabella8[[#This Row],[Italy sum of regions]]+CI</f>
        <v>81046.240114972592</v>
      </c>
      <c r="M93" s="10">
        <f>MAX(Tabella8[[#This Row],[Italy sum of regions]]-CI,0)</f>
        <v>71266.955756985451</v>
      </c>
      <c r="N93" s="75">
        <f t="shared" si="0"/>
        <v>34889</v>
      </c>
      <c r="O93" s="10">
        <f>Tabella8[[#This Row],[Lombardy]]*NOT(ISBLANK(Tabella8[[#This Row],[Lombardy]]))</f>
        <v>34889</v>
      </c>
      <c r="P93" s="127">
        <f>IFERROR(Kr*_xlfn.LOGNORM.DIST((Tabella8[[#This Row],[Day]]-pr),mu_r,sigma_r,TRUE),0)</f>
        <v>31991.321881984775</v>
      </c>
      <c r="Q93" s="127">
        <f>Tabella8[[#This Row],[Lombardy fit]]/Kr</f>
        <v>0.36771634347108939</v>
      </c>
      <c r="R93" s="10">
        <f>Tabella8[[#This Row],[Lombardy fit]]*NOT(ISBLANK(Tabella8[[#This Row],[Lombardy]]))</f>
        <v>31991.321881984775</v>
      </c>
      <c r="S93" s="10">
        <f>Tabella8[[#This Row],[Lombardy fit]]+CIr</f>
        <v>34966.783305548233</v>
      </c>
      <c r="T93" s="10">
        <f>MAX(Tabella8[[#This Row],[Lombardy fit]]-CIr,0)</f>
        <v>29015.860458421321</v>
      </c>
      <c r="U93" s="10">
        <f>Tabella8[[#This Row],[Italy cumulative]]-Tabella8[[#This Row],[Lombardy]]</f>
        <v>45650</v>
      </c>
      <c r="V93" s="10">
        <f>Tabella8[[#This Row],[rest of Italy ]]*NOT(ISBLANK(Tabella8[[#This Row],[rest of Italy ]]))</f>
        <v>45650</v>
      </c>
      <c r="W93" s="128">
        <f>IFERROR(Ko*_xlfn.LOGNORM.DIST((Tabella8[[#This Row],[Day]]-po),mu_o,sigma_o,TRUE),0)</f>
        <v>44165.276053994246</v>
      </c>
      <c r="X93" s="128">
        <f>Tabella8[[#This Row],[rest of Italy fit]]/Ko</f>
        <v>0.29841406213068317</v>
      </c>
      <c r="Y93" s="23">
        <f>Tabella8[[#This Row],[rest of Italy fit]]*NOT(ISBLANK(Tabella8[[#This Row],[rest of Italy ]]))</f>
        <v>44165.276053994246</v>
      </c>
      <c r="Z93" s="10">
        <f>Tabella8[[#This Row],[rest of Italy fit]]+CIo</f>
        <v>46598.232260579731</v>
      </c>
      <c r="AA93" s="10">
        <f>MAX(Tabella8[[#This Row],[rest of Italy fit]]-CIo,0)</f>
        <v>41732.319847408762</v>
      </c>
      <c r="AC93" s="73" t="s">
        <v>174</v>
      </c>
      <c r="AD93" s="106">
        <v>46065</v>
      </c>
      <c r="AE93" s="71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 s="84"/>
      <c r="AY93" s="84"/>
      <c r="AZ93" s="98"/>
      <c r="BA93" s="33"/>
      <c r="BB93" s="33"/>
      <c r="BC93" s="98"/>
      <c r="BD93" s="87"/>
      <c r="BE93" s="87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</row>
    <row r="94" spans="2:378" x14ac:dyDescent="0.3">
      <c r="B94" s="9">
        <v>43917</v>
      </c>
      <c r="C94" s="4">
        <v>87</v>
      </c>
      <c r="D94" s="10">
        <f>'dpc-covid19-ita-andamento-naz'!L34</f>
        <v>86498</v>
      </c>
      <c r="E94" s="10">
        <f>Tabella8[[#This Row],[Italy cumulative]]*NOT(ISBLANK(Tabella8[[#This Row],[Italy cumulative]]))</f>
        <v>86498</v>
      </c>
      <c r="F94" s="10">
        <f>Tabella8[[#This Row],[Lombardy fit]]+Tabella8[[#This Row],[rest of Italy fit]]</f>
        <v>81240.566594869859</v>
      </c>
      <c r="G94" s="91">
        <f>Tabella8[[#This Row],[Italy sum of regions]]/K_sum</f>
        <v>0.34570456404672417</v>
      </c>
      <c r="H94" s="10">
        <f>Tabella8[[#This Row],[Italy sum of regions]]*NOT(ISBLANK(Tabella8[[#This Row],[Italy cumulative]]))</f>
        <v>81240.566594869859</v>
      </c>
      <c r="I94" s="152">
        <f>IFERROR(Kt*_xlfn.LOGNORM.DIST((Tabella8[[#This Row],[Day]]-Days_back),mu_t,sigma_t,TRUE),0)</f>
        <v>81257.636858365309</v>
      </c>
      <c r="J94" s="129">
        <f>Tabella8[[#This Row],[Italy fit]]/Kt</f>
        <v>0.34577727246742157</v>
      </c>
      <c r="K94" s="10">
        <f>Tabella8[[#This Row],[Italy fit]]*NOT(ISBLANK(Tabella8[[#This Row],[Italy cumulative]]))</f>
        <v>81257.636858365309</v>
      </c>
      <c r="L94" s="10">
        <f>Tabella8[[#This Row],[Italy sum of regions]]+CI</f>
        <v>86130.208773863429</v>
      </c>
      <c r="M94" s="10">
        <f>MAX(Tabella8[[#This Row],[Italy sum of regions]]-CI,0)</f>
        <v>76350.924415876289</v>
      </c>
      <c r="N94" s="75">
        <f t="shared" si="0"/>
        <v>37298</v>
      </c>
      <c r="O94" s="10">
        <f>Tabella8[[#This Row],[Lombardy]]*NOT(ISBLANK(Tabella8[[#This Row],[Lombardy]]))</f>
        <v>37298</v>
      </c>
      <c r="P94" s="127">
        <f>IFERROR(Kr*_xlfn.LOGNORM.DIST((Tabella8[[#This Row],[Day]]-pr),mu_r,sigma_r,TRUE),0)</f>
        <v>33748.322003527355</v>
      </c>
      <c r="Q94" s="127">
        <f>Tabella8[[#This Row],[Lombardy fit]]/Kr</f>
        <v>0.38791174716698107</v>
      </c>
      <c r="R94" s="10">
        <f>Tabella8[[#This Row],[Lombardy fit]]*NOT(ISBLANK(Tabella8[[#This Row],[Lombardy]]))</f>
        <v>33748.322003527355</v>
      </c>
      <c r="S94" s="10">
        <f>Tabella8[[#This Row],[Lombardy fit]]+CIr</f>
        <v>36723.783427090806</v>
      </c>
      <c r="T94" s="10">
        <f>MAX(Tabella8[[#This Row],[Lombardy fit]]-CIr,0)</f>
        <v>30772.860579963901</v>
      </c>
      <c r="U94" s="10">
        <f>Tabella8[[#This Row],[Italy cumulative]]-Tabella8[[#This Row],[Lombardy]]</f>
        <v>49200</v>
      </c>
      <c r="V94" s="10">
        <f>Tabella8[[#This Row],[rest of Italy ]]*NOT(ISBLANK(Tabella8[[#This Row],[rest of Italy ]]))</f>
        <v>49200</v>
      </c>
      <c r="W94" s="128">
        <f>IFERROR(Ko*_xlfn.LOGNORM.DIST((Tabella8[[#This Row],[Day]]-po),mu_o,sigma_o,TRUE),0)</f>
        <v>47492.244591342511</v>
      </c>
      <c r="X94" s="128">
        <f>Tabella8[[#This Row],[rest of Italy fit]]/Ko</f>
        <v>0.32089358189180295</v>
      </c>
      <c r="Y94" s="23">
        <f>Tabella8[[#This Row],[rest of Italy fit]]*NOT(ISBLANK(Tabella8[[#This Row],[rest of Italy ]]))</f>
        <v>47492.244591342511</v>
      </c>
      <c r="Z94" s="10">
        <f>Tabella8[[#This Row],[rest of Italy fit]]+CIo</f>
        <v>49925.200797927995</v>
      </c>
      <c r="AA94" s="10">
        <f>MAX(Tabella8[[#This Row],[rest of Italy fit]]-CIo,0)</f>
        <v>45059.288384757027</v>
      </c>
      <c r="AC94" s="73" t="s">
        <v>175</v>
      </c>
      <c r="AD94" s="106">
        <v>47520</v>
      </c>
      <c r="AE94" s="71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 s="84"/>
      <c r="AY94" s="84"/>
      <c r="AZ94" s="98"/>
      <c r="BA94" s="33"/>
      <c r="BB94" s="33"/>
      <c r="BC94" s="98"/>
      <c r="BD94" s="87"/>
      <c r="BE94" s="87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</row>
    <row r="95" spans="2:378" x14ac:dyDescent="0.3">
      <c r="B95" s="9">
        <v>43918</v>
      </c>
      <c r="C95" s="4">
        <v>88</v>
      </c>
      <c r="D95" s="10">
        <f>'dpc-covid19-ita-andamento-naz'!L35</f>
        <v>92472</v>
      </c>
      <c r="E95" s="10">
        <f>Tabella8[[#This Row],[Italy cumulative]]*NOT(ISBLANK(Tabella8[[#This Row],[Italy cumulative]]))</f>
        <v>92472</v>
      </c>
      <c r="F95" s="10">
        <f>Tabella8[[#This Row],[Lombardy fit]]+Tabella8[[#This Row],[rest of Italy fit]]</f>
        <v>86349.790002497699</v>
      </c>
      <c r="G95" s="91">
        <f>Tabella8[[#This Row],[Italy sum of regions]]/K_sum</f>
        <v>0.36744594184335366</v>
      </c>
      <c r="H95" s="10">
        <f>Tabella8[[#This Row],[Italy sum of regions]]*NOT(ISBLANK(Tabella8[[#This Row],[Italy cumulative]]))</f>
        <v>86349.790002497699</v>
      </c>
      <c r="I95" s="152">
        <f>IFERROR(Kt*_xlfn.LOGNORM.DIST((Tabella8[[#This Row],[Day]]-Days_back),mu_t,sigma_t,TRUE),0)</f>
        <v>86309.98326793914</v>
      </c>
      <c r="J95" s="129">
        <f>Tabella8[[#This Row],[Italy fit]]/Kt</f>
        <v>0.36727662475732464</v>
      </c>
      <c r="K95" s="10">
        <f>Tabella8[[#This Row],[Italy fit]]*NOT(ISBLANK(Tabella8[[#This Row],[Italy cumulative]]))</f>
        <v>86309.98326793914</v>
      </c>
      <c r="L95" s="10">
        <f>Tabella8[[#This Row],[Italy sum of regions]]+CI</f>
        <v>91239.432181491269</v>
      </c>
      <c r="M95" s="10">
        <f>MAX(Tabella8[[#This Row],[Italy sum of regions]]-CI,0)</f>
        <v>81460.147823504129</v>
      </c>
      <c r="N95" s="75">
        <f t="shared" si="0"/>
        <v>39415</v>
      </c>
      <c r="O95" s="10">
        <f>Tabella8[[#This Row],[Lombardy]]*NOT(ISBLANK(Tabella8[[#This Row],[Lombardy]]))</f>
        <v>39415</v>
      </c>
      <c r="P95" s="127">
        <f>IFERROR(Kr*_xlfn.LOGNORM.DIST((Tabella8[[#This Row],[Day]]-pr),mu_r,sigma_r,TRUE),0)</f>
        <v>35500.201936379526</v>
      </c>
      <c r="Q95" s="127">
        <f>Tabella8[[#This Row],[Lombardy fit]]/Kr</f>
        <v>0.40804829811930488</v>
      </c>
      <c r="R95" s="10">
        <f>Tabella8[[#This Row],[Lombardy fit]]*NOT(ISBLANK(Tabella8[[#This Row],[Lombardy]]))</f>
        <v>35500.201936379526</v>
      </c>
      <c r="S95" s="10">
        <f>Tabella8[[#This Row],[Lombardy fit]]+CIr</f>
        <v>38475.663359942977</v>
      </c>
      <c r="T95" s="10">
        <f>MAX(Tabella8[[#This Row],[Lombardy fit]]-CIr,0)</f>
        <v>32524.740512816072</v>
      </c>
      <c r="U95" s="10">
        <f>Tabella8[[#This Row],[Italy cumulative]]-Tabella8[[#This Row],[Lombardy]]</f>
        <v>53057</v>
      </c>
      <c r="V95" s="10">
        <f>Tabella8[[#This Row],[rest of Italy ]]*NOT(ISBLANK(Tabella8[[#This Row],[rest of Italy ]]))</f>
        <v>53057</v>
      </c>
      <c r="W95" s="128">
        <f>IFERROR(Ko*_xlfn.LOGNORM.DIST((Tabella8[[#This Row],[Day]]-po),mu_o,sigma_o,TRUE),0)</f>
        <v>50849.58806611818</v>
      </c>
      <c r="X95" s="128">
        <f>Tabella8[[#This Row],[rest of Italy fit]]/Ko</f>
        <v>0.34357833774051322</v>
      </c>
      <c r="Y95" s="23">
        <f>Tabella8[[#This Row],[rest of Italy fit]]*NOT(ISBLANK(Tabella8[[#This Row],[rest of Italy ]]))</f>
        <v>50849.58806611818</v>
      </c>
      <c r="Z95" s="10">
        <f>Tabella8[[#This Row],[rest of Italy fit]]+CIo</f>
        <v>53282.544272703664</v>
      </c>
      <c r="AA95" s="10">
        <f>MAX(Tabella8[[#This Row],[rest of Italy fit]]-CIo,0)</f>
        <v>48416.631859532696</v>
      </c>
      <c r="AC95" s="73" t="s">
        <v>176</v>
      </c>
      <c r="AD95" s="106">
        <v>49118</v>
      </c>
      <c r="AE95" s="71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 s="84"/>
      <c r="AY95" s="84"/>
      <c r="AZ95" s="98"/>
      <c r="BA95" s="33"/>
      <c r="BB95" s="33"/>
      <c r="BC95" s="98"/>
      <c r="BD95" s="87"/>
      <c r="BE95" s="87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</row>
    <row r="96" spans="2:378" x14ac:dyDescent="0.3">
      <c r="B96" s="9">
        <v>43919</v>
      </c>
      <c r="C96" s="4">
        <v>89</v>
      </c>
      <c r="D96" s="10">
        <f>'dpc-covid19-ita-andamento-naz'!L36</f>
        <v>97689</v>
      </c>
      <c r="E96" s="10">
        <f>Tabella8[[#This Row],[Italy cumulative]]*NOT(ISBLANK(Tabella8[[#This Row],[Italy cumulative]]))</f>
        <v>97689</v>
      </c>
      <c r="F96" s="10">
        <f>Tabella8[[#This Row],[Lombardy fit]]+Tabella8[[#This Row],[rest of Italy fit]]</f>
        <v>91466.259748193843</v>
      </c>
      <c r="G96" s="91">
        <f>Tabella8[[#This Row],[Italy sum of regions]]/K_sum</f>
        <v>0.38921815512338553</v>
      </c>
      <c r="H96" s="10">
        <f>Tabella8[[#This Row],[Italy sum of regions]]*NOT(ISBLANK(Tabella8[[#This Row],[Italy cumulative]]))</f>
        <v>91466.259748193843</v>
      </c>
      <c r="I96" s="152">
        <f>IFERROR(Kt*_xlfn.LOGNORM.DIST((Tabella8[[#This Row],[Day]]-Days_back),mu_t,sigma_t,TRUE),0)</f>
        <v>91370.914812723233</v>
      </c>
      <c r="J96" s="129">
        <f>Tabella8[[#This Row],[Italy fit]]/Kt</f>
        <v>0.38881250954745222</v>
      </c>
      <c r="K96" s="10">
        <f>Tabella8[[#This Row],[Italy fit]]*NOT(ISBLANK(Tabella8[[#This Row],[Italy cumulative]]))</f>
        <v>91370.914812723233</v>
      </c>
      <c r="L96" s="10">
        <f>Tabella8[[#This Row],[Italy sum of regions]]+CI</f>
        <v>96355.901927187413</v>
      </c>
      <c r="M96" s="10">
        <f>MAX(Tabella8[[#This Row],[Italy sum of regions]]-CI,0)</f>
        <v>86576.617569200273</v>
      </c>
      <c r="N96" s="75">
        <f t="shared" si="0"/>
        <v>41007</v>
      </c>
      <c r="O96" s="10">
        <f>Tabella8[[#This Row],[Lombardy]]*NOT(ISBLANK(Tabella8[[#This Row],[Lombardy]]))</f>
        <v>41007</v>
      </c>
      <c r="P96" s="127">
        <f>IFERROR(Kr*_xlfn.LOGNORM.DIST((Tabella8[[#This Row],[Day]]-pr),mu_r,sigma_r,TRUE),0)</f>
        <v>37242.355288164421</v>
      </c>
      <c r="Q96" s="127">
        <f>Tabella8[[#This Row],[Lombardy fit]]/Kr</f>
        <v>0.42807304928924622</v>
      </c>
      <c r="R96" s="10">
        <f>Tabella8[[#This Row],[Lombardy fit]]*NOT(ISBLANK(Tabella8[[#This Row],[Lombardy]]))</f>
        <v>37242.355288164421</v>
      </c>
      <c r="S96" s="10">
        <f>Tabella8[[#This Row],[Lombardy fit]]+CIr</f>
        <v>40217.816711727879</v>
      </c>
      <c r="T96" s="10">
        <f>MAX(Tabella8[[#This Row],[Lombardy fit]]-CIr,0)</f>
        <v>34266.893864600963</v>
      </c>
      <c r="U96" s="10">
        <f>Tabella8[[#This Row],[Italy cumulative]]-Tabella8[[#This Row],[Lombardy]]</f>
        <v>56682</v>
      </c>
      <c r="V96" s="10">
        <f>Tabella8[[#This Row],[rest of Italy ]]*NOT(ISBLANK(Tabella8[[#This Row],[rest of Italy ]]))</f>
        <v>56682</v>
      </c>
      <c r="W96" s="128">
        <f>IFERROR(Ko*_xlfn.LOGNORM.DIST((Tabella8[[#This Row],[Day]]-po),mu_o,sigma_o,TRUE),0)</f>
        <v>54223.904460029429</v>
      </c>
      <c r="X96" s="128">
        <f>Tabella8[[#This Row],[rest of Italy fit]]/Ko</f>
        <v>0.36637777548862505</v>
      </c>
      <c r="Y96" s="23">
        <f>Tabella8[[#This Row],[rest of Italy fit]]*NOT(ISBLANK(Tabella8[[#This Row],[rest of Italy ]]))</f>
        <v>54223.904460029429</v>
      </c>
      <c r="Z96" s="10">
        <f>Tabella8[[#This Row],[rest of Italy fit]]+CIo</f>
        <v>56656.860666614913</v>
      </c>
      <c r="AA96" s="10">
        <f>MAX(Tabella8[[#This Row],[rest of Italy fit]]-CIo,0)</f>
        <v>51790.948253443945</v>
      </c>
      <c r="AC96" s="73" t="s">
        <v>177</v>
      </c>
      <c r="AD96" s="106">
        <v>50455</v>
      </c>
      <c r="AE96" s="71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 s="84"/>
      <c r="AY96" s="84"/>
      <c r="AZ96" s="98"/>
      <c r="BA96" s="33"/>
      <c r="BB96" s="33"/>
      <c r="BC96" s="98"/>
      <c r="BD96" s="100"/>
      <c r="BE96" s="87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</row>
    <row r="97" spans="2:378" x14ac:dyDescent="0.3">
      <c r="B97" s="9">
        <v>43920</v>
      </c>
      <c r="C97" s="4">
        <v>90</v>
      </c>
      <c r="D97" s="10">
        <f>'dpc-covid19-ita-andamento-naz'!L37</f>
        <v>101739</v>
      </c>
      <c r="E97" s="10">
        <f>Tabella8[[#This Row],[Italy cumulative]]*NOT(ISBLANK(Tabella8[[#This Row],[Italy cumulative]]))</f>
        <v>101739</v>
      </c>
      <c r="F97" s="10">
        <f>Tabella8[[#This Row],[Lombardy fit]]+Tabella8[[#This Row],[rest of Italy fit]]</f>
        <v>96572.862399826437</v>
      </c>
      <c r="G97" s="91">
        <f>Tabella8[[#This Row],[Italy sum of regions]]/K_sum</f>
        <v>0.41094838076602613</v>
      </c>
      <c r="H97" s="10">
        <f>Tabella8[[#This Row],[Italy sum of regions]]*NOT(ISBLANK(Tabella8[[#This Row],[Italy cumulative]]))</f>
        <v>96572.862399826437</v>
      </c>
      <c r="I97" s="152">
        <f>IFERROR(Kt*_xlfn.LOGNORM.DIST((Tabella8[[#This Row],[Day]]-Days_back),mu_t,sigma_t,TRUE),0)</f>
        <v>96424.190697983926</v>
      </c>
      <c r="J97" s="129">
        <f>Tabella8[[#This Row],[Italy fit]]/Kt</f>
        <v>0.41031581705412329</v>
      </c>
      <c r="K97" s="10">
        <f>Tabella8[[#This Row],[Italy fit]]*NOT(ISBLANK(Tabella8[[#This Row],[Italy cumulative]]))</f>
        <v>96424.190697983926</v>
      </c>
      <c r="L97" s="10">
        <f>Tabella8[[#This Row],[Italy sum of regions]]+CI</f>
        <v>101462.50457882001</v>
      </c>
      <c r="M97" s="10">
        <f>MAX(Tabella8[[#This Row],[Italy sum of regions]]-CI,0)</f>
        <v>91683.220220832867</v>
      </c>
      <c r="N97" s="75">
        <f t="shared" si="0"/>
        <v>42161</v>
      </c>
      <c r="O97" s="10">
        <f>Tabella8[[#This Row],[Lombardy]]*NOT(ISBLANK(Tabella8[[#This Row],[Lombardy]]))</f>
        <v>42161</v>
      </c>
      <c r="P97" s="127">
        <f>IFERROR(Kr*_xlfn.LOGNORM.DIST((Tabella8[[#This Row],[Day]]-pr),mu_r,sigma_r,TRUE),0)</f>
        <v>38970.491033185979</v>
      </c>
      <c r="Q97" s="127">
        <f>Tabella8[[#This Row],[Lombardy fit]]/Kr</f>
        <v>0.44793667854236757</v>
      </c>
      <c r="R97" s="10">
        <f>Tabella8[[#This Row],[Lombardy fit]]*NOT(ISBLANK(Tabella8[[#This Row],[Lombardy]]))</f>
        <v>38970.491033185979</v>
      </c>
      <c r="S97" s="10">
        <f>Tabella8[[#This Row],[Lombardy fit]]+CIr</f>
        <v>41945.952456749437</v>
      </c>
      <c r="T97" s="10">
        <f>MAX(Tabella8[[#This Row],[Lombardy fit]]-CIr,0)</f>
        <v>35995.029609622521</v>
      </c>
      <c r="U97" s="10">
        <f>Tabella8[[#This Row],[Italy cumulative]]-Tabella8[[#This Row],[Lombardy]]</f>
        <v>59578</v>
      </c>
      <c r="V97" s="10">
        <f>Tabella8[[#This Row],[rest of Italy ]]*NOT(ISBLANK(Tabella8[[#This Row],[rest of Italy ]]))</f>
        <v>59578</v>
      </c>
      <c r="W97" s="128">
        <f>IFERROR(Ko*_xlfn.LOGNORM.DIST((Tabella8[[#This Row],[Day]]-po),mu_o,sigma_o,TRUE),0)</f>
        <v>57602.371366640451</v>
      </c>
      <c r="X97" s="128">
        <f>Tabella8[[#This Row],[rest of Italy fit]]/Ko</f>
        <v>0.38920525724472965</v>
      </c>
      <c r="Y97" s="23">
        <f>Tabella8[[#This Row],[rest of Italy fit]]*NOT(ISBLANK(Tabella8[[#This Row],[rest of Italy ]]))</f>
        <v>57602.371366640451</v>
      </c>
      <c r="Z97" s="10">
        <f>Tabella8[[#This Row],[rest of Italy fit]]+CIo</f>
        <v>60035.327573225935</v>
      </c>
      <c r="AA97" s="10">
        <f>MAX(Tabella8[[#This Row],[rest of Italy fit]]-CIo,0)</f>
        <v>55169.415160054967</v>
      </c>
      <c r="AC97" s="73" t="s">
        <v>178</v>
      </c>
      <c r="AD97" s="106">
        <v>51534</v>
      </c>
      <c r="AE97" s="71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 s="84"/>
      <c r="AY97" s="84"/>
      <c r="AZ97"/>
      <c r="BA97" s="33"/>
      <c r="BB97" s="33"/>
      <c r="BC97"/>
      <c r="BD97" s="100"/>
      <c r="BE97" s="8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</row>
    <row r="98" spans="2:378" x14ac:dyDescent="0.3">
      <c r="B98" s="9">
        <v>43921</v>
      </c>
      <c r="C98" s="4">
        <v>91</v>
      </c>
      <c r="D98" s="10">
        <f>'dpc-covid19-ita-andamento-naz'!L38</f>
        <v>105792</v>
      </c>
      <c r="E98" s="10">
        <f>Tabella8[[#This Row],[Italy cumulative]]*NOT(ISBLANK(Tabella8[[#This Row],[Italy cumulative]]))</f>
        <v>105792</v>
      </c>
      <c r="F98" s="10">
        <f>Tabella8[[#This Row],[Lombardy fit]]+Tabella8[[#This Row],[rest of Italy fit]]</f>
        <v>101653.49148685293</v>
      </c>
      <c r="G98" s="91">
        <f>Tabella8[[#This Row],[Italy sum of regions]]/K_sum</f>
        <v>0.43256808059372909</v>
      </c>
      <c r="H98" s="10">
        <f>Tabella8[[#This Row],[Italy sum of regions]]*NOT(ISBLANK(Tabella8[[#This Row],[Italy cumulative]]))</f>
        <v>101653.49148685293</v>
      </c>
      <c r="I98" s="152">
        <f>IFERROR(Kt*_xlfn.LOGNORM.DIST((Tabella8[[#This Row],[Day]]-Days_back),mu_t,sigma_t,TRUE),0)</f>
        <v>101454.46693801886</v>
      </c>
      <c r="J98" s="129">
        <f>Tabella8[[#This Row],[Italy fit]]/Kt</f>
        <v>0.43172125370334197</v>
      </c>
      <c r="K98" s="10">
        <f>Tabella8[[#This Row],[Italy fit]]*NOT(ISBLANK(Tabella8[[#This Row],[Italy cumulative]]))</f>
        <v>101454.46693801886</v>
      </c>
      <c r="L98" s="10">
        <f>Tabella8[[#This Row],[Italy sum of regions]]+CI</f>
        <v>106543.1336658465</v>
      </c>
      <c r="M98" s="10">
        <f>MAX(Tabella8[[#This Row],[Italy sum of regions]]-CI,0)</f>
        <v>96763.84930785936</v>
      </c>
      <c r="N98" s="75">
        <f t="shared" si="0"/>
        <v>43208</v>
      </c>
      <c r="O98" s="10">
        <f>Tabella8[[#This Row],[Lombardy]]*NOT(ISBLANK(Tabella8[[#This Row],[Lombardy]]))</f>
        <v>43208</v>
      </c>
      <c r="P98" s="127">
        <f>IFERROR(Kr*_xlfn.LOGNORM.DIST((Tabella8[[#This Row],[Day]]-pr),mu_r,sigma_r,TRUE),0)</f>
        <v>40680.643978973909</v>
      </c>
      <c r="Q98" s="127">
        <f>Tabella8[[#This Row],[Lombardy fit]]/Kr</f>
        <v>0.46759360895372309</v>
      </c>
      <c r="R98" s="10">
        <f>Tabella8[[#This Row],[Lombardy fit]]*NOT(ISBLANK(Tabella8[[#This Row],[Lombardy]]))</f>
        <v>40680.643978973909</v>
      </c>
      <c r="S98" s="10">
        <f>Tabella8[[#This Row],[Lombardy fit]]+CIr</f>
        <v>43656.10540253736</v>
      </c>
      <c r="T98" s="10">
        <f>MAX(Tabella8[[#This Row],[Lombardy fit]]-CIr,0)</f>
        <v>37705.182555410458</v>
      </c>
      <c r="U98" s="10">
        <f>Tabella8[[#This Row],[Italy cumulative]]-Tabella8[[#This Row],[Lombardy]]</f>
        <v>62584</v>
      </c>
      <c r="V98" s="10">
        <f>Tabella8[[#This Row],[rest of Italy ]]*NOT(ISBLANK(Tabella8[[#This Row],[rest of Italy ]]))</f>
        <v>62584</v>
      </c>
      <c r="W98" s="128">
        <f>IFERROR(Ko*_xlfn.LOGNORM.DIST((Tabella8[[#This Row],[Day]]-po),mu_o,sigma_o,TRUE),0)</f>
        <v>60972.847507879022</v>
      </c>
      <c r="X98" s="128">
        <f>Tabella8[[#This Row],[rest of Italy fit]]/Ko</f>
        <v>0.41197874733662709</v>
      </c>
      <c r="Y98" s="23">
        <f>Tabella8[[#This Row],[rest of Italy fit]]*NOT(ISBLANK(Tabella8[[#This Row],[rest of Italy ]]))</f>
        <v>60972.847507879022</v>
      </c>
      <c r="Z98" s="10">
        <f>Tabella8[[#This Row],[rest of Italy fit]]+CIo</f>
        <v>63405.803714464506</v>
      </c>
      <c r="AA98" s="10">
        <f>MAX(Tabella8[[#This Row],[rest of Italy fit]]-CIo,0)</f>
        <v>58539.891301293537</v>
      </c>
      <c r="AC98" s="73" t="s">
        <v>179</v>
      </c>
      <c r="AD98" s="106">
        <v>52325</v>
      </c>
      <c r="AE98" s="71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 s="84"/>
      <c r="AY98" s="84"/>
      <c r="AZ98"/>
      <c r="BA98" s="33"/>
      <c r="BB98" s="33"/>
      <c r="BC98"/>
      <c r="BD98" s="100"/>
      <c r="BE98" s="87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</row>
    <row r="99" spans="2:378" x14ac:dyDescent="0.3">
      <c r="B99" s="9">
        <v>43922</v>
      </c>
      <c r="C99" s="4">
        <v>92</v>
      </c>
      <c r="D99" s="10">
        <f>'dpc-covid19-ita-andamento-naz'!L39</f>
        <v>110574</v>
      </c>
      <c r="E99" s="10">
        <f>Tabella8[[#This Row],[Italy cumulative]]*NOT(ISBLANK(Tabella8[[#This Row],[Italy cumulative]]))</f>
        <v>110574</v>
      </c>
      <c r="F99" s="10">
        <f>Tabella8[[#This Row],[Lombardy fit]]+Tabella8[[#This Row],[rest of Italy fit]]</f>
        <v>106693.13283167446</v>
      </c>
      <c r="G99" s="91">
        <f>Tabella8[[#This Row],[Italy sum of regions]]/K_sum</f>
        <v>0.45401336448436841</v>
      </c>
      <c r="H99" s="10">
        <f>Tabella8[[#This Row],[Italy sum of regions]]*NOT(ISBLANK(Tabella8[[#This Row],[Italy cumulative]]))</f>
        <v>106693.13283167446</v>
      </c>
      <c r="I99" s="152">
        <f>IFERROR(Kt*_xlfn.LOGNORM.DIST((Tabella8[[#This Row],[Day]]-Days_back),mu_t,sigma_t,TRUE),0)</f>
        <v>106447.37599845715</v>
      </c>
      <c r="J99" s="129">
        <f>Tabella8[[#This Row],[Italy fit]]/Kt</f>
        <v>0.45296768103429502</v>
      </c>
      <c r="K99" s="10">
        <f>Tabella8[[#This Row],[Italy fit]]*NOT(ISBLANK(Tabella8[[#This Row],[Italy cumulative]]))</f>
        <v>106447.37599845715</v>
      </c>
      <c r="L99" s="10">
        <f>Tabella8[[#This Row],[Italy sum of regions]]+CI</f>
        <v>111582.77501066803</v>
      </c>
      <c r="M99" s="10">
        <f>MAX(Tabella8[[#This Row],[Italy sum of regions]]-CI,0)</f>
        <v>101803.49065268089</v>
      </c>
      <c r="N99" s="75">
        <f t="shared" si="0"/>
        <v>44773</v>
      </c>
      <c r="O99" s="10">
        <f>Tabella8[[#This Row],[Lombardy]]*NOT(ISBLANK(Tabella8[[#This Row],[Lombardy]]))</f>
        <v>44773</v>
      </c>
      <c r="P99" s="127">
        <f>IFERROR(Kr*_xlfn.LOGNORM.DIST((Tabella8[[#This Row],[Day]]-pr),mu_r,sigma_r,TRUE),0)</f>
        <v>42369.180367868961</v>
      </c>
      <c r="Q99" s="127">
        <f>Tabella8[[#This Row],[Lombardy fit]]/Kr</f>
        <v>0.4870020731938961</v>
      </c>
      <c r="R99" s="10">
        <f>Tabella8[[#This Row],[Lombardy fit]]*NOT(ISBLANK(Tabella8[[#This Row],[Lombardy]]))</f>
        <v>42369.180367868961</v>
      </c>
      <c r="S99" s="10">
        <f>Tabella8[[#This Row],[Lombardy fit]]+CIr</f>
        <v>45344.641791432412</v>
      </c>
      <c r="T99" s="10">
        <f>MAX(Tabella8[[#This Row],[Lombardy fit]]-CIr,0)</f>
        <v>39393.71894430551</v>
      </c>
      <c r="U99" s="10">
        <f>Tabella8[[#This Row],[Italy cumulative]]-Tabella8[[#This Row],[Lombardy]]</f>
        <v>65801</v>
      </c>
      <c r="V99" s="10">
        <f>Tabella8[[#This Row],[rest of Italy ]]*NOT(ISBLANK(Tabella8[[#This Row],[rest of Italy ]]))</f>
        <v>65801</v>
      </c>
      <c r="W99" s="128">
        <f>IFERROR(Ko*_xlfn.LOGNORM.DIST((Tabella8[[#This Row],[Day]]-po),mu_o,sigma_o,TRUE),0)</f>
        <v>64323.952463805501</v>
      </c>
      <c r="X99" s="128">
        <f>Tabella8[[#This Row],[rest of Italy fit]]/Ko</f>
        <v>0.43462135102604393</v>
      </c>
      <c r="Y99" s="23">
        <f>Tabella8[[#This Row],[rest of Italy fit]]*NOT(ISBLANK(Tabella8[[#This Row],[rest of Italy ]]))</f>
        <v>64323.952463805501</v>
      </c>
      <c r="Z99" s="10">
        <f>Tabella8[[#This Row],[rest of Italy fit]]+CIo</f>
        <v>66756.908670390985</v>
      </c>
      <c r="AA99" s="10">
        <f>MAX(Tabella8[[#This Row],[rest of Italy fit]]-CIo,0)</f>
        <v>61890.996257220017</v>
      </c>
      <c r="AC99" s="73" t="s">
        <v>180</v>
      </c>
      <c r="AD99" s="106">
        <v>53414</v>
      </c>
      <c r="AE99" s="71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 s="84"/>
      <c r="AY99" s="84"/>
      <c r="AZ99"/>
      <c r="BA99" s="33"/>
      <c r="BB99" s="33"/>
      <c r="BC99"/>
      <c r="BD99" s="100"/>
      <c r="BE99" s="87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</row>
    <row r="100" spans="2:378" x14ac:dyDescent="0.3">
      <c r="B100" s="9">
        <v>43923</v>
      </c>
      <c r="C100" s="4">
        <v>93</v>
      </c>
      <c r="D100" s="10">
        <f>'dpc-covid19-ita-andamento-naz'!L40</f>
        <v>115242</v>
      </c>
      <c r="E100" s="10">
        <f>Tabella8[[#This Row],[Italy cumulative]]*NOT(ISBLANK(Tabella8[[#This Row],[Italy cumulative]]))</f>
        <v>115242</v>
      </c>
      <c r="F100" s="10">
        <f>Tabella8[[#This Row],[Lombardy fit]]+Tabella8[[#This Row],[rest of Italy fit]]</f>
        <v>111677.92516733294</v>
      </c>
      <c r="G100" s="91">
        <f>Tabella8[[#This Row],[Italy sum of regions]]/K_sum</f>
        <v>0.47522524831890445</v>
      </c>
      <c r="H100" s="10">
        <f>Tabella8[[#This Row],[Italy sum of regions]]*NOT(ISBLANK(Tabella8[[#This Row],[Italy cumulative]]))</f>
        <v>111677.92516733294</v>
      </c>
      <c r="I100" s="152">
        <f>IFERROR(Kt*_xlfn.LOGNORM.DIST((Tabella8[[#This Row],[Day]]-Days_back),mu_t,sigma_t,TRUE),0)</f>
        <v>111389.58551494063</v>
      </c>
      <c r="J100" s="129">
        <f>Tabella8[[#This Row],[Italy fit]]/Kt</f>
        <v>0.47399836556614849</v>
      </c>
      <c r="K100" s="10">
        <f>Tabella8[[#This Row],[Italy fit]]*NOT(ISBLANK(Tabella8[[#This Row],[Italy cumulative]]))</f>
        <v>111389.58551494063</v>
      </c>
      <c r="L100" s="10">
        <f>Tabella8[[#This Row],[Italy sum of regions]]+CI</f>
        <v>116567.56734632651</v>
      </c>
      <c r="M100" s="10">
        <f>MAX(Tabella8[[#This Row],[Italy sum of regions]]-CI,0)</f>
        <v>106788.28298833937</v>
      </c>
      <c r="N100" s="75">
        <f t="shared" si="0"/>
        <v>46065</v>
      </c>
      <c r="O100" s="10">
        <f>Tabella8[[#This Row],[Lombardy]]*NOT(ISBLANK(Tabella8[[#This Row],[Lombardy]]))</f>
        <v>46065</v>
      </c>
      <c r="P100" s="127">
        <f>IFERROR(Kr*_xlfn.LOGNORM.DIST((Tabella8[[#This Row],[Day]]-pr),mu_r,sigma_r,TRUE),0)</f>
        <v>44032.799164431563</v>
      </c>
      <c r="Q100" s="127">
        <f>Tabella8[[#This Row],[Lombardy fit]]/Kr</f>
        <v>0.50612412832679954</v>
      </c>
      <c r="R100" s="10">
        <f>Tabella8[[#This Row],[Lombardy fit]]*NOT(ISBLANK(Tabella8[[#This Row],[Lombardy]]))</f>
        <v>44032.799164431563</v>
      </c>
      <c r="S100" s="10">
        <f>Tabella8[[#This Row],[Lombardy fit]]+CIr</f>
        <v>47008.260587995013</v>
      </c>
      <c r="T100" s="10">
        <f>MAX(Tabella8[[#This Row],[Lombardy fit]]-CIr,0)</f>
        <v>41057.337740868112</v>
      </c>
      <c r="U100" s="10">
        <f>Tabella8[[#This Row],[Italy cumulative]]-Tabella8[[#This Row],[Lombardy]]</f>
        <v>69177</v>
      </c>
      <c r="V100" s="10">
        <f>Tabella8[[#This Row],[rest of Italy ]]*NOT(ISBLANK(Tabella8[[#This Row],[rest of Italy ]]))</f>
        <v>69177</v>
      </c>
      <c r="W100" s="128">
        <f>IFERROR(Ko*_xlfn.LOGNORM.DIST((Tabella8[[#This Row],[Day]]-po),mu_o,sigma_o,TRUE),0)</f>
        <v>67645.126002901379</v>
      </c>
      <c r="X100" s="128">
        <f>Tabella8[[#This Row],[rest of Italy fit]]/Ko</f>
        <v>0.45706171538900836</v>
      </c>
      <c r="Y100" s="23">
        <f>Tabella8[[#This Row],[rest of Italy fit]]*NOT(ISBLANK(Tabella8[[#This Row],[rest of Italy ]]))</f>
        <v>67645.126002901379</v>
      </c>
      <c r="Z100" s="10">
        <f>Tabella8[[#This Row],[rest of Italy fit]]+CIo</f>
        <v>70078.082209486864</v>
      </c>
      <c r="AA100" s="10">
        <f>MAX(Tabella8[[#This Row],[rest of Italy fit]]-CIo,0)</f>
        <v>65212.169796315895</v>
      </c>
      <c r="AC100" s="73" t="s">
        <v>181</v>
      </c>
      <c r="AD100" s="106">
        <v>54802</v>
      </c>
      <c r="AE100" s="71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 s="84"/>
      <c r="AY100" s="84"/>
      <c r="AZ100"/>
      <c r="BA100" s="33"/>
      <c r="BB100" s="33"/>
      <c r="BC100"/>
      <c r="BD100" s="100"/>
      <c r="BE100" s="87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</row>
    <row r="101" spans="2:378" x14ac:dyDescent="0.3">
      <c r="B101" s="9">
        <v>43924</v>
      </c>
      <c r="C101" s="4">
        <v>94</v>
      </c>
      <c r="D101" s="10">
        <f>'dpc-covid19-ita-andamento-naz'!L41</f>
        <v>119827</v>
      </c>
      <c r="E101" s="10">
        <f>Tabella8[[#This Row],[Italy cumulative]]*NOT(ISBLANK(Tabella8[[#This Row],[Italy cumulative]]))</f>
        <v>119827</v>
      </c>
      <c r="F101" s="10">
        <f>Tabella8[[#This Row],[Lombardy fit]]+Tabella8[[#This Row],[rest of Italy fit]]</f>
        <v>116595.19823737163</v>
      </c>
      <c r="G101" s="91">
        <f>Tabella8[[#This Row],[Italy sum of regions]]/K_sum</f>
        <v>0.49614981610846204</v>
      </c>
      <c r="H101" s="10">
        <f>Tabella8[[#This Row],[Italy sum of regions]]*NOT(ISBLANK(Tabella8[[#This Row],[Italy cumulative]]))</f>
        <v>116595.19823737163</v>
      </c>
      <c r="I101" s="152">
        <f>IFERROR(Kt*_xlfn.LOGNORM.DIST((Tabella8[[#This Row],[Day]]-Days_back),mu_t,sigma_t,TRUE),0)</f>
        <v>116268.83773965859</v>
      </c>
      <c r="J101" s="129">
        <f>Tabella8[[#This Row],[Italy fit]]/Kt</f>
        <v>0.49476114665568849</v>
      </c>
      <c r="K101" s="10">
        <f>Tabella8[[#This Row],[Italy fit]]*NOT(ISBLANK(Tabella8[[#This Row],[Italy cumulative]]))</f>
        <v>116268.83773965859</v>
      </c>
      <c r="L101" s="10">
        <f>Tabella8[[#This Row],[Italy sum of regions]]+CI</f>
        <v>121484.8404163652</v>
      </c>
      <c r="M101" s="10">
        <f>MAX(Tabella8[[#This Row],[Italy sum of regions]]-CI,0)</f>
        <v>111705.55605837806</v>
      </c>
      <c r="N101" s="75">
        <f t="shared" si="0"/>
        <v>47520</v>
      </c>
      <c r="O101" s="10">
        <f>Tabella8[[#This Row],[Lombardy]]*NOT(ISBLANK(Tabella8[[#This Row],[Lombardy]]))</f>
        <v>47520</v>
      </c>
      <c r="P101" s="127">
        <f>IFERROR(Kr*_xlfn.LOGNORM.DIST((Tabella8[[#This Row],[Day]]-pr),mu_r,sigma_r,TRUE),0)</f>
        <v>45668.529572397463</v>
      </c>
      <c r="Q101" s="127">
        <f>Tabella8[[#This Row],[Lombardy fit]]/Kr</f>
        <v>0.52492562726893632</v>
      </c>
      <c r="R101" s="10">
        <f>Tabella8[[#This Row],[Lombardy fit]]*NOT(ISBLANK(Tabella8[[#This Row],[Lombardy]]))</f>
        <v>45668.529572397463</v>
      </c>
      <c r="S101" s="10">
        <f>Tabella8[[#This Row],[Lombardy fit]]+CIr</f>
        <v>48643.990995960921</v>
      </c>
      <c r="T101" s="10">
        <f>MAX(Tabella8[[#This Row],[Lombardy fit]]-CIr,0)</f>
        <v>42693.068148834005</v>
      </c>
      <c r="U101" s="10">
        <f>Tabella8[[#This Row],[Italy cumulative]]-Tabella8[[#This Row],[Lombardy]]</f>
        <v>72307</v>
      </c>
      <c r="V101" s="10">
        <f>Tabella8[[#This Row],[rest of Italy ]]*NOT(ISBLANK(Tabella8[[#This Row],[rest of Italy ]]))</f>
        <v>72307</v>
      </c>
      <c r="W101" s="128">
        <f>IFERROR(Ko*_xlfn.LOGNORM.DIST((Tabella8[[#This Row],[Day]]-po),mu_o,sigma_o,TRUE),0)</f>
        <v>70926.668664974175</v>
      </c>
      <c r="X101" s="128">
        <f>Tabella8[[#This Row],[rest of Italy fit]]/Ko</f>
        <v>0.47923430352469865</v>
      </c>
      <c r="Y101" s="23">
        <f>Tabella8[[#This Row],[rest of Italy fit]]*NOT(ISBLANK(Tabella8[[#This Row],[rest of Italy ]]))</f>
        <v>70926.668664974175</v>
      </c>
      <c r="Z101" s="10">
        <f>Tabella8[[#This Row],[rest of Italy fit]]+CIo</f>
        <v>73359.624871559659</v>
      </c>
      <c r="AA101" s="10">
        <f>MAX(Tabella8[[#This Row],[rest of Italy fit]]-CIo,0)</f>
        <v>68493.712458388691</v>
      </c>
      <c r="AC101" s="73" t="s">
        <v>182</v>
      </c>
      <c r="AD101" s="106">
        <v>56048</v>
      </c>
      <c r="AE101" s="7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 s="84"/>
      <c r="AY101" s="84"/>
      <c r="AZ101"/>
      <c r="BA101" s="33"/>
      <c r="BB101" s="33"/>
      <c r="BC101"/>
      <c r="BD101" s="100"/>
      <c r="BE101" s="87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</row>
    <row r="102" spans="2:378" x14ac:dyDescent="0.3">
      <c r="B102" s="9">
        <v>43925</v>
      </c>
      <c r="C102" s="4">
        <v>95</v>
      </c>
      <c r="D102" s="10">
        <f>'dpc-covid19-ita-andamento-naz'!L42</f>
        <v>124632</v>
      </c>
      <c r="E102" s="10">
        <f>Tabella8[[#This Row],[Italy cumulative]]*NOT(ISBLANK(Tabella8[[#This Row],[Italy cumulative]]))</f>
        <v>124632</v>
      </c>
      <c r="F102" s="10">
        <f>Tabella8[[#This Row],[Lombardy fit]]+Tabella8[[#This Row],[rest of Italy fit]]</f>
        <v>121433.49072542376</v>
      </c>
      <c r="G102" s="91">
        <f>Tabella8[[#This Row],[Italy sum of regions]]/K_sum</f>
        <v>0.51673829629045798</v>
      </c>
      <c r="H102" s="10">
        <f>Tabella8[[#This Row],[Italy sum of regions]]*NOT(ISBLANK(Tabella8[[#This Row],[Italy cumulative]]))</f>
        <v>121433.49072542376</v>
      </c>
      <c r="I102" s="152">
        <f>IFERROR(Kt*_xlfn.LOGNORM.DIST((Tabella8[[#This Row],[Day]]-Days_back),mu_t,sigma_t,TRUE),0)</f>
        <v>121073.97150995432</v>
      </c>
      <c r="J102" s="129">
        <f>Tabella8[[#This Row],[Italy fit]]/Kt</f>
        <v>0.51520852998077848</v>
      </c>
      <c r="K102" s="10">
        <f>Tabella8[[#This Row],[Italy fit]]*NOT(ISBLANK(Tabella8[[#This Row],[Italy cumulative]]))</f>
        <v>121073.97150995432</v>
      </c>
      <c r="L102" s="10">
        <f>Tabella8[[#This Row],[Italy sum of regions]]+CI</f>
        <v>126323.13290441733</v>
      </c>
      <c r="M102" s="10">
        <f>MAX(Tabella8[[#This Row],[Italy sum of regions]]-CI,0)</f>
        <v>116543.84854643019</v>
      </c>
      <c r="N102" s="75">
        <f t="shared" si="0"/>
        <v>49118</v>
      </c>
      <c r="O102" s="10">
        <f>Tabella8[[#This Row],[Lombardy]]*NOT(ISBLANK(Tabella8[[#This Row],[Lombardy]]))</f>
        <v>49118</v>
      </c>
      <c r="P102" s="127">
        <f>IFERROR(Kr*_xlfn.LOGNORM.DIST((Tabella8[[#This Row],[Day]]-pr),mu_r,sigma_r,TRUE),0)</f>
        <v>47273.725307568522</v>
      </c>
      <c r="Q102" s="127">
        <f>Tabella8[[#This Row],[Lombardy fit]]/Kr</f>
        <v>0.54337615296055775</v>
      </c>
      <c r="R102" s="10">
        <f>Tabella8[[#This Row],[Lombardy fit]]*NOT(ISBLANK(Tabella8[[#This Row],[Lombardy]]))</f>
        <v>47273.725307568522</v>
      </c>
      <c r="S102" s="10">
        <f>Tabella8[[#This Row],[Lombardy fit]]+CIr</f>
        <v>50249.18673113198</v>
      </c>
      <c r="T102" s="10">
        <f>MAX(Tabella8[[#This Row],[Lombardy fit]]-CIr,0)</f>
        <v>44298.263884005064</v>
      </c>
      <c r="U102" s="10">
        <f>Tabella8[[#This Row],[Italy cumulative]]-Tabella8[[#This Row],[Lombardy]]</f>
        <v>75514</v>
      </c>
      <c r="V102" s="10">
        <f>Tabella8[[#This Row],[rest of Italy ]]*NOT(ISBLANK(Tabella8[[#This Row],[rest of Italy ]]))</f>
        <v>75514</v>
      </c>
      <c r="W102" s="128">
        <f>IFERROR(Ko*_xlfn.LOGNORM.DIST((Tabella8[[#This Row],[Day]]-po),mu_o,sigma_o,TRUE),0)</f>
        <v>74159.765417855233</v>
      </c>
      <c r="X102" s="128">
        <f>Tabella8[[#This Row],[rest of Italy fit]]/Ko</f>
        <v>0.50107955439801466</v>
      </c>
      <c r="Y102" s="23">
        <f>Tabella8[[#This Row],[rest of Italy fit]]*NOT(ISBLANK(Tabella8[[#This Row],[rest of Italy ]]))</f>
        <v>74159.765417855233</v>
      </c>
      <c r="Z102" s="10">
        <f>Tabella8[[#This Row],[rest of Italy fit]]+CIo</f>
        <v>76592.721624440717</v>
      </c>
      <c r="AA102" s="10">
        <f>MAX(Tabella8[[#This Row],[rest of Italy fit]]-CIo,0)</f>
        <v>71726.809211269749</v>
      </c>
      <c r="AC102" s="73" t="s">
        <v>183</v>
      </c>
      <c r="AD102" s="106">
        <v>57592</v>
      </c>
      <c r="AE102" s="71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 s="84"/>
      <c r="AY102" s="84"/>
      <c r="AZ102"/>
      <c r="BA102" s="33"/>
      <c r="BB102" s="33"/>
      <c r="BC102"/>
      <c r="BD102" s="100"/>
      <c r="BE102" s="87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</row>
    <row r="103" spans="2:378" x14ac:dyDescent="0.3">
      <c r="B103" s="9">
        <v>43926</v>
      </c>
      <c r="C103" s="4">
        <v>96</v>
      </c>
      <c r="D103" s="10">
        <f>'dpc-covid19-ita-andamento-naz'!L43</f>
        <v>128948</v>
      </c>
      <c r="E103" s="10">
        <f>Tabella8[[#This Row],[Italy cumulative]]*NOT(ISBLANK(Tabella8[[#This Row],[Italy cumulative]]))</f>
        <v>128948</v>
      </c>
      <c r="F103" s="10">
        <f>Tabella8[[#This Row],[Lombardy fit]]+Tabella8[[#This Row],[rest of Italy fit]]</f>
        <v>126182.5504247365</v>
      </c>
      <c r="G103" s="91">
        <f>Tabella8[[#This Row],[Italy sum of regions]]/K_sum</f>
        <v>0.5369470624499797</v>
      </c>
      <c r="H103" s="10">
        <f>Tabella8[[#This Row],[Italy sum of regions]]*NOT(ISBLANK(Tabella8[[#This Row],[Italy cumulative]]))</f>
        <v>126182.5504247365</v>
      </c>
      <c r="I103" s="152">
        <f>IFERROR(Kt*_xlfn.LOGNORM.DIST((Tabella8[[#This Row],[Day]]-Days_back),mu_t,sigma_t,TRUE),0)</f>
        <v>125794.92860924851</v>
      </c>
      <c r="J103" s="129">
        <f>Tabella8[[#This Row],[Italy fit]]/Kt</f>
        <v>0.53529771460812592</v>
      </c>
      <c r="K103" s="10">
        <f>Tabella8[[#This Row],[Italy fit]]*NOT(ISBLANK(Tabella8[[#This Row],[Italy cumulative]]))</f>
        <v>125794.92860924851</v>
      </c>
      <c r="L103" s="10">
        <f>Tabella8[[#This Row],[Italy sum of regions]]+CI</f>
        <v>131072.19260373007</v>
      </c>
      <c r="M103" s="10">
        <f>MAX(Tabella8[[#This Row],[Italy sum of regions]]-CI,0)</f>
        <v>121292.90824574293</v>
      </c>
      <c r="N103" s="75">
        <f t="shared" si="0"/>
        <v>50455</v>
      </c>
      <c r="O103" s="10">
        <f>Tabella8[[#This Row],[Lombardy]]*NOT(ISBLANK(Tabella8[[#This Row],[Lombardy]]))</f>
        <v>50455</v>
      </c>
      <c r="P103" s="127">
        <f>IFERROR(Kr*_xlfn.LOGNORM.DIST((Tabella8[[#This Row],[Day]]-pr),mu_r,sigma_r,TRUE),0)</f>
        <v>48846.056127844786</v>
      </c>
      <c r="Q103" s="127">
        <f>Tabella8[[#This Row],[Lombardy fit]]/Kr</f>
        <v>0.56144892100971022</v>
      </c>
      <c r="R103" s="10">
        <f>Tabella8[[#This Row],[Lombardy fit]]*NOT(ISBLANK(Tabella8[[#This Row],[Lombardy]]))</f>
        <v>48846.056127844786</v>
      </c>
      <c r="S103" s="10">
        <f>Tabella8[[#This Row],[Lombardy fit]]+CIr</f>
        <v>51821.517551408237</v>
      </c>
      <c r="T103" s="10">
        <f>MAX(Tabella8[[#This Row],[Lombardy fit]]-CIr,0)</f>
        <v>45870.594704281335</v>
      </c>
      <c r="U103" s="10">
        <f>Tabella8[[#This Row],[Italy cumulative]]-Tabella8[[#This Row],[Lombardy]]</f>
        <v>78493</v>
      </c>
      <c r="V103" s="10">
        <f>Tabella8[[#This Row],[rest of Italy ]]*NOT(ISBLANK(Tabella8[[#This Row],[rest of Italy ]]))</f>
        <v>78493</v>
      </c>
      <c r="W103" s="128">
        <f>IFERROR(Ko*_xlfn.LOGNORM.DIST((Tabella8[[#This Row],[Day]]-po),mu_o,sigma_o,TRUE),0)</f>
        <v>77336.494296891717</v>
      </c>
      <c r="X103" s="128">
        <f>Tabella8[[#This Row],[rest of Italy fit]]/Ko</f>
        <v>0.52254394121453029</v>
      </c>
      <c r="Y103" s="23">
        <f>Tabella8[[#This Row],[rest of Italy fit]]*NOT(ISBLANK(Tabella8[[#This Row],[rest of Italy ]]))</f>
        <v>77336.494296891717</v>
      </c>
      <c r="Z103" s="10">
        <f>Tabella8[[#This Row],[rest of Italy fit]]+CIo</f>
        <v>79769.450503477201</v>
      </c>
      <c r="AA103" s="10">
        <f>MAX(Tabella8[[#This Row],[rest of Italy fit]]-CIo,0)</f>
        <v>74903.538090306232</v>
      </c>
      <c r="AC103" s="73" t="s">
        <v>184</v>
      </c>
      <c r="AD103" s="106">
        <v>59052</v>
      </c>
      <c r="AE103" s="71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 s="84"/>
      <c r="AY103" s="84"/>
      <c r="AZ103"/>
      <c r="BA103" s="33"/>
      <c r="BB103" s="33"/>
      <c r="BC103"/>
      <c r="BD103" s="100"/>
      <c r="BE103" s="87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</row>
    <row r="104" spans="2:378" x14ac:dyDescent="0.3">
      <c r="B104" s="9">
        <v>43927</v>
      </c>
      <c r="C104" s="4">
        <v>97</v>
      </c>
      <c r="D104" s="10">
        <f>'dpc-covid19-ita-andamento-naz'!L44</f>
        <v>132547</v>
      </c>
      <c r="E104" s="10">
        <f>Tabella8[[#This Row],[Italy cumulative]]*NOT(ISBLANK(Tabella8[[#This Row],[Italy cumulative]]))</f>
        <v>132547</v>
      </c>
      <c r="F104" s="10">
        <f>Tabella8[[#This Row],[Lombardy fit]]+Tabella8[[#This Row],[rest of Italy fit]]</f>
        <v>130833.31904764526</v>
      </c>
      <c r="G104" s="91">
        <f>Tabella8[[#This Row],[Italy sum of regions]]/K_sum</f>
        <v>0.55673756867924551</v>
      </c>
      <c r="H104" s="10">
        <f>Tabella8[[#This Row],[Italy sum of regions]]*NOT(ISBLANK(Tabella8[[#This Row],[Italy cumulative]]))</f>
        <v>130833.31904764526</v>
      </c>
      <c r="I104" s="152">
        <f>IFERROR(Kt*_xlfn.LOGNORM.DIST((Tabella8[[#This Row],[Day]]-Days_back),mu_t,sigma_t,TRUE),0)</f>
        <v>130422.74641050897</v>
      </c>
      <c r="J104" s="129">
        <f>Tabella8[[#This Row],[Italy fit]]/Kt</f>
        <v>0.55499056168888972</v>
      </c>
      <c r="K104" s="10">
        <f>Tabella8[[#This Row],[Italy fit]]*NOT(ISBLANK(Tabella8[[#This Row],[Italy cumulative]]))</f>
        <v>130422.74641050897</v>
      </c>
      <c r="L104" s="10">
        <f>Tabella8[[#This Row],[Italy sum of regions]]+CI</f>
        <v>135722.96122663881</v>
      </c>
      <c r="M104" s="10">
        <f>MAX(Tabella8[[#This Row],[Italy sum of regions]]-CI,0)</f>
        <v>125943.67686865169</v>
      </c>
      <c r="N104" s="75">
        <f t="shared" si="0"/>
        <v>51534</v>
      </c>
      <c r="O104" s="10">
        <f>Tabella8[[#This Row],[Lombardy]]*NOT(ISBLANK(Tabella8[[#This Row],[Lombardy]]))</f>
        <v>51534</v>
      </c>
      <c r="P104" s="127">
        <f>IFERROR(Kr*_xlfn.LOGNORM.DIST((Tabella8[[#This Row],[Day]]-pr),mu_r,sigma_r,TRUE),0)</f>
        <v>50383.497090705459</v>
      </c>
      <c r="Q104" s="127">
        <f>Tabella8[[#This Row],[Lombardy fit]]/Kr</f>
        <v>0.5791206562150053</v>
      </c>
      <c r="R104" s="10">
        <f>Tabella8[[#This Row],[Lombardy fit]]*NOT(ISBLANK(Tabella8[[#This Row],[Lombardy]]))</f>
        <v>50383.497090705459</v>
      </c>
      <c r="S104" s="10">
        <f>Tabella8[[#This Row],[Lombardy fit]]+CIr</f>
        <v>53358.958514268917</v>
      </c>
      <c r="T104" s="10">
        <f>MAX(Tabella8[[#This Row],[Lombardy fit]]-CIr,0)</f>
        <v>47408.035667142001</v>
      </c>
      <c r="U104" s="10">
        <f>Tabella8[[#This Row],[Italy cumulative]]-Tabella8[[#This Row],[Lombardy]]</f>
        <v>81013</v>
      </c>
      <c r="V104" s="10">
        <f>Tabella8[[#This Row],[rest of Italy ]]*NOT(ISBLANK(Tabella8[[#This Row],[rest of Italy ]]))</f>
        <v>81013</v>
      </c>
      <c r="W104" s="128">
        <f>IFERROR(Ko*_xlfn.LOGNORM.DIST((Tabella8[[#This Row],[Day]]-po),mu_o,sigma_o,TRUE),0)</f>
        <v>80449.821956939806</v>
      </c>
      <c r="X104" s="128">
        <f>Tabella8[[#This Row],[rest of Italy fit]]/Ko</f>
        <v>0.54357994136639032</v>
      </c>
      <c r="Y104" s="23">
        <f>Tabella8[[#This Row],[rest of Italy fit]]*NOT(ISBLANK(Tabella8[[#This Row],[rest of Italy ]]))</f>
        <v>80449.821956939806</v>
      </c>
      <c r="Z104" s="10">
        <f>Tabella8[[#This Row],[rest of Italy fit]]+CIo</f>
        <v>82882.77816352529</v>
      </c>
      <c r="AA104" s="10">
        <f>MAX(Tabella8[[#This Row],[rest of Italy fit]]-CIo,0)</f>
        <v>78016.865750354322</v>
      </c>
      <c r="AC104" s="73" t="s">
        <v>185</v>
      </c>
      <c r="AD104" s="106">
        <v>60314</v>
      </c>
      <c r="AE104" s="71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 s="84"/>
      <c r="AY104" s="84"/>
      <c r="AZ104"/>
      <c r="BA104" s="33"/>
      <c r="BB104" s="33"/>
      <c r="BC104"/>
      <c r="BD104" s="100"/>
      <c r="BE104" s="87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</row>
    <row r="105" spans="2:378" x14ac:dyDescent="0.3">
      <c r="B105" s="9">
        <v>43928</v>
      </c>
      <c r="C105" s="4">
        <v>98</v>
      </c>
      <c r="D105" s="10">
        <f>'dpc-covid19-ita-andamento-naz'!L45</f>
        <v>135586</v>
      </c>
      <c r="E105" s="10">
        <f>Tabella8[[#This Row],[Italy cumulative]]*NOT(ISBLANK(Tabella8[[#This Row],[Italy cumulative]]))</f>
        <v>135586</v>
      </c>
      <c r="F105" s="10">
        <f>Tabella8[[#This Row],[Lombardy fit]]+Tabella8[[#This Row],[rest of Italy fit]]</f>
        <v>135377.90400714288</v>
      </c>
      <c r="G105" s="91">
        <f>Tabella8[[#This Row],[Italy sum of regions]]/K_sum</f>
        <v>0.57607622949916693</v>
      </c>
      <c r="H105" s="10">
        <f>Tabella8[[#This Row],[Italy sum of regions]]*NOT(ISBLANK(Tabella8[[#This Row],[Italy cumulative]]))</f>
        <v>135377.90400714288</v>
      </c>
      <c r="I105" s="152">
        <f>IFERROR(Kt*_xlfn.LOGNORM.DIST((Tabella8[[#This Row],[Day]]-Days_back),mu_t,sigma_t,TRUE),0)</f>
        <v>134949.53866653281</v>
      </c>
      <c r="J105" s="129">
        <f>Tabella8[[#This Row],[Italy fit]]/Kt</f>
        <v>0.57425351271517755</v>
      </c>
      <c r="K105" s="10">
        <f>Tabella8[[#This Row],[Italy fit]]*NOT(ISBLANK(Tabella8[[#This Row],[Italy cumulative]]))</f>
        <v>134949.53866653281</v>
      </c>
      <c r="L105" s="10">
        <f>Tabella8[[#This Row],[Italy sum of regions]]+CI</f>
        <v>140267.54618613643</v>
      </c>
      <c r="M105" s="10">
        <f>MAX(Tabella8[[#This Row],[Italy sum of regions]]-CI,0)</f>
        <v>130488.26182814931</v>
      </c>
      <c r="N105" s="75">
        <f t="shared" si="0"/>
        <v>52325</v>
      </c>
      <c r="O105" s="10">
        <f>Tabella8[[#This Row],[Lombardy]]*NOT(ISBLANK(Tabella8[[#This Row],[Lombardy]]))</f>
        <v>52325</v>
      </c>
      <c r="P105" s="127">
        <f>IFERROR(Kr*_xlfn.LOGNORM.DIST((Tabella8[[#This Row],[Day]]-pr),mu_r,sigma_r,TRUE),0)</f>
        <v>51884.31597367175</v>
      </c>
      <c r="Q105" s="127">
        <f>Tabella8[[#This Row],[Lombardy fit]]/Kr</f>
        <v>0.59637144797323849</v>
      </c>
      <c r="R105" s="10">
        <f>Tabella8[[#This Row],[Lombardy fit]]*NOT(ISBLANK(Tabella8[[#This Row],[Lombardy]]))</f>
        <v>51884.31597367175</v>
      </c>
      <c r="S105" s="10">
        <f>Tabella8[[#This Row],[Lombardy fit]]+CIr</f>
        <v>54859.777397235201</v>
      </c>
      <c r="T105" s="10">
        <f>MAX(Tabella8[[#This Row],[Lombardy fit]]-CIr,0)</f>
        <v>48908.854550108299</v>
      </c>
      <c r="U105" s="10">
        <f>Tabella8[[#This Row],[Italy cumulative]]-Tabella8[[#This Row],[Lombardy]]</f>
        <v>83261</v>
      </c>
      <c r="V105" s="10">
        <f>Tabella8[[#This Row],[rest of Italy ]]*NOT(ISBLANK(Tabella8[[#This Row],[rest of Italy ]]))</f>
        <v>83261</v>
      </c>
      <c r="W105" s="128">
        <f>IFERROR(Ko*_xlfn.LOGNORM.DIST((Tabella8[[#This Row],[Day]]-po),mu_o,sigma_o,TRUE),0)</f>
        <v>83493.588033471126</v>
      </c>
      <c r="X105" s="128">
        <f>Tabella8[[#This Row],[rest of Italy fit]]/Ko</f>
        <v>0.56414593076409814</v>
      </c>
      <c r="Y105" s="23">
        <f>Tabella8[[#This Row],[rest of Italy fit]]*NOT(ISBLANK(Tabella8[[#This Row],[rest of Italy ]]))</f>
        <v>83493.588033471126</v>
      </c>
      <c r="Z105" s="10">
        <f>Tabella8[[#This Row],[rest of Italy fit]]+CIo</f>
        <v>85926.54424005661</v>
      </c>
      <c r="AA105" s="10">
        <f>MAX(Tabella8[[#This Row],[rest of Italy fit]]-CIo,0)</f>
        <v>81060.631826885641</v>
      </c>
      <c r="AC105" s="73" t="s">
        <v>186</v>
      </c>
      <c r="AD105" s="106">
        <v>61326</v>
      </c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 s="84"/>
      <c r="AY105" s="84"/>
      <c r="AZ105"/>
      <c r="BA105" s="33"/>
      <c r="BB105" s="33"/>
      <c r="BC105"/>
      <c r="BD105" s="100"/>
      <c r="BE105" s="87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</row>
    <row r="106" spans="2:378" x14ac:dyDescent="0.3">
      <c r="B106" s="9">
        <v>43929</v>
      </c>
      <c r="C106" s="4">
        <v>99</v>
      </c>
      <c r="D106" s="10">
        <f>'dpc-covid19-ita-andamento-naz'!L46</f>
        <v>139422</v>
      </c>
      <c r="E106" s="10">
        <f>Tabella8[[#This Row],[Italy cumulative]]*NOT(ISBLANK(Tabella8[[#This Row],[Italy cumulative]]))</f>
        <v>139422</v>
      </c>
      <c r="F106" s="10">
        <f>Tabella8[[#This Row],[Lombardy fit]]+Tabella8[[#This Row],[rest of Italy fit]]</f>
        <v>139809.53939077051</v>
      </c>
      <c r="G106" s="91">
        <f>Tabella8[[#This Row],[Italy sum of regions]]/K_sum</f>
        <v>0.59493425379078702</v>
      </c>
      <c r="H106" s="10">
        <f>Tabella8[[#This Row],[Italy sum of regions]]*NOT(ISBLANK(Tabella8[[#This Row],[Italy cumulative]]))</f>
        <v>139809.53939077051</v>
      </c>
      <c r="I106" s="152">
        <f>IFERROR(Kt*_xlfn.LOGNORM.DIST((Tabella8[[#This Row],[Day]]-Days_back),mu_t,sigma_t,TRUE),0)</f>
        <v>139368.46624883637</v>
      </c>
      <c r="J106" s="129">
        <f>Tabella8[[#This Row],[Italy fit]]/Kt</f>
        <v>0.59305746500464995</v>
      </c>
      <c r="K106" s="10">
        <f>Tabella8[[#This Row],[Italy fit]]*NOT(ISBLANK(Tabella8[[#This Row],[Italy cumulative]]))</f>
        <v>139368.46624883637</v>
      </c>
      <c r="L106" s="10">
        <f>Tabella8[[#This Row],[Italy sum of regions]]+CI</f>
        <v>144699.18156976407</v>
      </c>
      <c r="M106" s="10">
        <f>MAX(Tabella8[[#This Row],[Italy sum of regions]]-CI,0)</f>
        <v>134919.89721177696</v>
      </c>
      <c r="N106" s="75">
        <f t="shared" si="0"/>
        <v>53414</v>
      </c>
      <c r="O106" s="10">
        <f>Tabella8[[#This Row],[Lombardy]]*NOT(ISBLANK(Tabella8[[#This Row],[Lombardy]]))</f>
        <v>53414</v>
      </c>
      <c r="P106" s="127">
        <f>IFERROR(Kr*_xlfn.LOGNORM.DIST((Tabella8[[#This Row],[Day]]-pr),mu_r,sigma_r,TRUE),0)</f>
        <v>53347.059256157372</v>
      </c>
      <c r="Q106" s="127">
        <f>Tabella8[[#This Row],[Lombardy fit]]/Kr</f>
        <v>0.61318458915123419</v>
      </c>
      <c r="R106" s="10">
        <f>Tabella8[[#This Row],[Lombardy fit]]*NOT(ISBLANK(Tabella8[[#This Row],[Lombardy]]))</f>
        <v>53347.059256157372</v>
      </c>
      <c r="S106" s="10">
        <f>Tabella8[[#This Row],[Lombardy fit]]+CIr</f>
        <v>56322.520679720823</v>
      </c>
      <c r="T106" s="10">
        <f>MAX(Tabella8[[#This Row],[Lombardy fit]]-CIr,0)</f>
        <v>50371.597832593921</v>
      </c>
      <c r="U106" s="10">
        <f>Tabella8[[#This Row],[Italy cumulative]]-Tabella8[[#This Row],[Lombardy]]</f>
        <v>86008</v>
      </c>
      <c r="V106" s="10">
        <f>Tabella8[[#This Row],[rest of Italy ]]*NOT(ISBLANK(Tabella8[[#This Row],[rest of Italy ]]))</f>
        <v>86008</v>
      </c>
      <c r="W106" s="128">
        <f>IFERROR(Ko*_xlfn.LOGNORM.DIST((Tabella8[[#This Row],[Day]]-po),mu_o,sigma_o,TRUE),0)</f>
        <v>86462.480134613143</v>
      </c>
      <c r="X106" s="128">
        <f>Tabella8[[#This Row],[rest of Italy fit]]/Ko</f>
        <v>0.58420601486379575</v>
      </c>
      <c r="Y106" s="23">
        <f>Tabella8[[#This Row],[rest of Italy fit]]*NOT(ISBLANK(Tabella8[[#This Row],[rest of Italy ]]))</f>
        <v>86462.480134613143</v>
      </c>
      <c r="Z106" s="10">
        <f>Tabella8[[#This Row],[rest of Italy fit]]+CIo</f>
        <v>88895.436341198627</v>
      </c>
      <c r="AA106" s="10">
        <f>MAX(Tabella8[[#This Row],[rest of Italy fit]]-CIo,0)</f>
        <v>84029.523928027658</v>
      </c>
      <c r="AC106" s="73" t="s">
        <v>191</v>
      </c>
      <c r="AD106" s="106">
        <v>62153</v>
      </c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 s="84"/>
      <c r="AY106" s="84"/>
      <c r="AZ106"/>
      <c r="BA106" s="33"/>
      <c r="BB106" s="33"/>
      <c r="BC106"/>
      <c r="BD106" s="100"/>
      <c r="BE106" s="87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</row>
    <row r="107" spans="2:378" x14ac:dyDescent="0.3">
      <c r="B107" s="9">
        <v>43930</v>
      </c>
      <c r="C107" s="4">
        <v>100</v>
      </c>
      <c r="D107" s="10">
        <f>'dpc-covid19-ita-andamento-naz'!L47</f>
        <v>143626</v>
      </c>
      <c r="E107" s="10">
        <f>Tabella8[[#This Row],[Italy cumulative]]*NOT(ISBLANK(Tabella8[[#This Row],[Italy cumulative]]))</f>
        <v>143626</v>
      </c>
      <c r="F107" s="10">
        <f>Tabella8[[#This Row],[Lombardy fit]]+Tabella8[[#This Row],[rest of Italy fit]]</f>
        <v>144122.53820318717</v>
      </c>
      <c r="G107" s="91">
        <f>Tabella8[[#This Row],[Italy sum of regions]]/K_sum</f>
        <v>0.61328744157215698</v>
      </c>
      <c r="H107" s="10">
        <f>Tabella8[[#This Row],[Italy sum of regions]]*NOT(ISBLANK(Tabella8[[#This Row],[Italy cumulative]]))</f>
        <v>144122.53820318717</v>
      </c>
      <c r="I107" s="152">
        <f>IFERROR(Kt*_xlfn.LOGNORM.DIST((Tabella8[[#This Row],[Day]]-Days_back),mu_t,sigma_t,TRUE),0)</f>
        <v>143673.69954644406</v>
      </c>
      <c r="J107" s="129">
        <f>Tabella8[[#This Row],[Italy fit]]/Kt</f>
        <v>0.61137761169532323</v>
      </c>
      <c r="K107" s="10">
        <f>Tabella8[[#This Row],[Italy fit]]*NOT(ISBLANK(Tabella8[[#This Row],[Italy cumulative]]))</f>
        <v>143673.69954644406</v>
      </c>
      <c r="L107" s="10">
        <f>Tabella8[[#This Row],[Italy sum of regions]]+CI</f>
        <v>149012.18038218073</v>
      </c>
      <c r="M107" s="10">
        <f>MAX(Tabella8[[#This Row],[Italy sum of regions]]-CI,0)</f>
        <v>139232.89602419361</v>
      </c>
      <c r="N107" s="75">
        <f t="shared" si="0"/>
        <v>54802</v>
      </c>
      <c r="O107" s="10">
        <f>Tabella8[[#This Row],[Lombardy]]*NOT(ISBLANK(Tabella8[[#This Row],[Lombardy]]))</f>
        <v>54802</v>
      </c>
      <c r="P107" s="127">
        <f>IFERROR(Kr*_xlfn.LOGNORM.DIST((Tabella8[[#This Row],[Day]]-pr),mu_r,sigma_r,TRUE),0)</f>
        <v>54770.537022930162</v>
      </c>
      <c r="Q107" s="127">
        <f>Tabella8[[#This Row],[Lombardy fit]]/Kr</f>
        <v>0.62954640256241567</v>
      </c>
      <c r="R107" s="10">
        <f>Tabella8[[#This Row],[Lombardy fit]]*NOT(ISBLANK(Tabella8[[#This Row],[Lombardy]]))</f>
        <v>54770.537022930162</v>
      </c>
      <c r="S107" s="10">
        <f>Tabella8[[#This Row],[Lombardy fit]]+CIr</f>
        <v>57745.998446493613</v>
      </c>
      <c r="T107" s="10">
        <f>MAX(Tabella8[[#This Row],[Lombardy fit]]-CIr,0)</f>
        <v>51795.075599366712</v>
      </c>
      <c r="U107" s="10">
        <f>Tabella8[[#This Row],[Italy cumulative]]-Tabella8[[#This Row],[Lombardy]]</f>
        <v>88824</v>
      </c>
      <c r="V107" s="10">
        <f>Tabella8[[#This Row],[rest of Italy ]]*NOT(ISBLANK(Tabella8[[#This Row],[rest of Italy ]]))</f>
        <v>88824</v>
      </c>
      <c r="W107" s="128">
        <f>IFERROR(Ko*_xlfn.LOGNORM.DIST((Tabella8[[#This Row],[Day]]-po),mu_o,sigma_o,TRUE),0)</f>
        <v>89352.001180257022</v>
      </c>
      <c r="X107" s="128">
        <f>Tabella8[[#This Row],[rest of Italy fit]]/Ko</f>
        <v>0.60372980798553511</v>
      </c>
      <c r="Y107" s="23">
        <f>Tabella8[[#This Row],[rest of Italy fit]]*NOT(ISBLANK(Tabella8[[#This Row],[rest of Italy ]]))</f>
        <v>89352.001180257022</v>
      </c>
      <c r="Z107" s="10">
        <f>Tabella8[[#This Row],[rest of Italy fit]]+CIo</f>
        <v>91784.957386842507</v>
      </c>
      <c r="AA107" s="10">
        <f>MAX(Tabella8[[#This Row],[rest of Italy fit]]-CIo,0)</f>
        <v>86919.044973671538</v>
      </c>
      <c r="AC107" s="73" t="s">
        <v>192</v>
      </c>
      <c r="AD107" s="106">
        <v>63094</v>
      </c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 s="84"/>
      <c r="AY107" s="84"/>
      <c r="AZ107"/>
      <c r="BA107" s="33"/>
      <c r="BB107" s="33"/>
      <c r="BC107"/>
      <c r="BD107" s="100"/>
      <c r="BE107" s="8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</row>
    <row r="108" spans="2:378" x14ac:dyDescent="0.3">
      <c r="B108" s="9">
        <v>43931</v>
      </c>
      <c r="C108" s="4">
        <v>101</v>
      </c>
      <c r="D108" s="10">
        <f>'dpc-covid19-ita-andamento-naz'!L48</f>
        <v>147577</v>
      </c>
      <c r="E108" s="10">
        <f>Tabella8[[#This Row],[Italy cumulative]]*NOT(ISBLANK(Tabella8[[#This Row],[Italy cumulative]]))</f>
        <v>147577</v>
      </c>
      <c r="F108" s="10">
        <f>Tabella8[[#This Row],[Lombardy fit]]+Tabella8[[#This Row],[rest of Italy fit]]</f>
        <v>148312.23778828976</v>
      </c>
      <c r="G108" s="91">
        <f>Tabella8[[#This Row],[Italy sum of regions]]/K_sum</f>
        <v>0.63111595175202184</v>
      </c>
      <c r="H108" s="10">
        <f>Tabella8[[#This Row],[Italy sum of regions]]*NOT(ISBLANK(Tabella8[[#This Row],[Italy cumulative]]))</f>
        <v>148312.23778828976</v>
      </c>
      <c r="I108" s="152">
        <f>IFERROR(Kt*_xlfn.LOGNORM.DIST((Tabella8[[#This Row],[Day]]-Days_back),mu_t,sigma_t,TRUE),0)</f>
        <v>147860.37412487992</v>
      </c>
      <c r="J108" s="129">
        <f>Tabella8[[#This Row],[Italy fit]]/Kt</f>
        <v>0.62919325306037499</v>
      </c>
      <c r="K108" s="10">
        <f>Tabella8[[#This Row],[Italy fit]]*NOT(ISBLANK(Tabella8[[#This Row],[Italy cumulative]]))</f>
        <v>147860.37412487992</v>
      </c>
      <c r="L108" s="10">
        <f>Tabella8[[#This Row],[Italy sum of regions]]+CI</f>
        <v>153201.87996728331</v>
      </c>
      <c r="M108" s="10">
        <f>MAX(Tabella8[[#This Row],[Italy sum of regions]]-CI,0)</f>
        <v>143422.5956092962</v>
      </c>
      <c r="N108" s="75">
        <f t="shared" si="0"/>
        <v>56048</v>
      </c>
      <c r="O108" s="10">
        <f>Tabella8[[#This Row],[Lombardy]]*NOT(ISBLANK(Tabella8[[#This Row],[Lombardy]]))</f>
        <v>56048</v>
      </c>
      <c r="P108" s="127">
        <f>IFERROR(Kr*_xlfn.LOGNORM.DIST((Tabella8[[#This Row],[Day]]-pr),mu_r,sigma_r,TRUE),0)</f>
        <v>56153.80711118412</v>
      </c>
      <c r="Q108" s="127">
        <f>Tabella8[[#This Row],[Lombardy fit]]/Kr</f>
        <v>0.64544605874924277</v>
      </c>
      <c r="R108" s="10">
        <f>Tabella8[[#This Row],[Lombardy fit]]*NOT(ISBLANK(Tabella8[[#This Row],[Lombardy]]))</f>
        <v>56153.80711118412</v>
      </c>
      <c r="S108" s="10">
        <f>Tabella8[[#This Row],[Lombardy fit]]+CIr</f>
        <v>59129.268534747578</v>
      </c>
      <c r="T108" s="10">
        <f>MAX(Tabella8[[#This Row],[Lombardy fit]]-CIr,0)</f>
        <v>53178.345687620662</v>
      </c>
      <c r="U108" s="10">
        <f>Tabella8[[#This Row],[Italy cumulative]]-Tabella8[[#This Row],[Lombardy]]</f>
        <v>91529</v>
      </c>
      <c r="V108" s="10">
        <f>Tabella8[[#This Row],[rest of Italy ]]*NOT(ISBLANK(Tabella8[[#This Row],[rest of Italy ]]))</f>
        <v>91529</v>
      </c>
      <c r="W108" s="128">
        <f>IFERROR(Ko*_xlfn.LOGNORM.DIST((Tabella8[[#This Row],[Day]]-po),mu_o,sigma_o,TRUE),0)</f>
        <v>92158.430677105629</v>
      </c>
      <c r="X108" s="128">
        <f>Tabella8[[#This Row],[rest of Italy fit]]/Ko</f>
        <v>0.62269217165816571</v>
      </c>
      <c r="Y108" s="23">
        <f>Tabella8[[#This Row],[rest of Italy fit]]*NOT(ISBLANK(Tabella8[[#This Row],[rest of Italy ]]))</f>
        <v>92158.430677105629</v>
      </c>
      <c r="Z108" s="10">
        <f>Tabella8[[#This Row],[rest of Italy fit]]+CIo</f>
        <v>94591.386883691113</v>
      </c>
      <c r="AA108" s="10">
        <f>MAX(Tabella8[[#This Row],[rest of Italy fit]]-CIo,0)</f>
        <v>89725.474470520145</v>
      </c>
      <c r="AC108" s="73" t="s">
        <v>193</v>
      </c>
      <c r="AD108" s="106">
        <v>64135</v>
      </c>
      <c r="BA108" s="33"/>
      <c r="BB108" s="33"/>
      <c r="BD108" s="87"/>
      <c r="BE108" s="87"/>
    </row>
    <row r="109" spans="2:378" x14ac:dyDescent="0.3">
      <c r="B109" s="9">
        <v>43932</v>
      </c>
      <c r="C109" s="4">
        <v>102</v>
      </c>
      <c r="D109" s="10">
        <f>'dpc-covid19-ita-andamento-naz'!L49</f>
        <v>152271</v>
      </c>
      <c r="E109" s="10">
        <f>Tabella8[[#This Row],[Italy cumulative]]*NOT(ISBLANK(Tabella8[[#This Row],[Italy cumulative]]))</f>
        <v>152271</v>
      </c>
      <c r="F109" s="10">
        <f>Tabella8[[#This Row],[Lombardy fit]]+Tabella8[[#This Row],[rest of Italy fit]]</f>
        <v>152374.94016345244</v>
      </c>
      <c r="G109" s="91">
        <f>Tabella8[[#This Row],[Italy sum of regions]]/K_sum</f>
        <v>0.64840404823294784</v>
      </c>
      <c r="H109" s="10">
        <f>Tabella8[[#This Row],[Italy sum of regions]]*NOT(ISBLANK(Tabella8[[#This Row],[Italy cumulative]]))</f>
        <v>152374.94016345244</v>
      </c>
      <c r="I109" s="152">
        <f>IFERROR(Kt*_xlfn.LOGNORM.DIST((Tabella8[[#This Row],[Day]]-Days_back),mu_t,sigma_t,TRUE),0)</f>
        <v>151924.54112074536</v>
      </c>
      <c r="J109" s="129">
        <f>Tabella8[[#This Row],[Italy fit]]/Kt</f>
        <v>0.64648758542118367</v>
      </c>
      <c r="K109" s="10">
        <f>Tabella8[[#This Row],[Italy fit]]*NOT(ISBLANK(Tabella8[[#This Row],[Italy cumulative]]))</f>
        <v>151924.54112074536</v>
      </c>
      <c r="L109" s="10">
        <f>Tabella8[[#This Row],[Italy sum of regions]]+CI</f>
        <v>157264.582342446</v>
      </c>
      <c r="M109" s="10">
        <f>MAX(Tabella8[[#This Row],[Italy sum of regions]]-CI,0)</f>
        <v>147485.29798445888</v>
      </c>
      <c r="N109" s="75">
        <f t="shared" si="0"/>
        <v>57592</v>
      </c>
      <c r="O109" s="10">
        <f>Tabella8[[#This Row],[Lombardy]]*NOT(ISBLANK(Tabella8[[#This Row],[Lombardy]]))</f>
        <v>57592</v>
      </c>
      <c r="P109" s="127">
        <f>IFERROR(Kr*_xlfn.LOGNORM.DIST((Tabella8[[#This Row],[Day]]-pr),mu_r,sigma_r,TRUE),0)</f>
        <v>57496.158785785505</v>
      </c>
      <c r="Q109" s="127">
        <f>Tabella8[[#This Row],[Lombardy fit]]/Kr</f>
        <v>0.66087538834236215</v>
      </c>
      <c r="R109" s="10">
        <f>Tabella8[[#This Row],[Lombardy fit]]*NOT(ISBLANK(Tabella8[[#This Row],[Lombardy]]))</f>
        <v>57496.158785785505</v>
      </c>
      <c r="S109" s="10">
        <f>Tabella8[[#This Row],[Lombardy fit]]+CIr</f>
        <v>60471.620209348956</v>
      </c>
      <c r="T109" s="10">
        <f>MAX(Tabella8[[#This Row],[Lombardy fit]]-CIr,0)</f>
        <v>54520.697362222054</v>
      </c>
      <c r="U109" s="10">
        <f>Tabella8[[#This Row],[Italy cumulative]]-Tabella8[[#This Row],[Lombardy]]</f>
        <v>94679</v>
      </c>
      <c r="V109" s="10">
        <f>Tabella8[[#This Row],[rest of Italy ]]*NOT(ISBLANK(Tabella8[[#This Row],[rest of Italy ]]))</f>
        <v>94679</v>
      </c>
      <c r="W109" s="128">
        <f>IFERROR(Ko*_xlfn.LOGNORM.DIST((Tabella8[[#This Row],[Day]]-po),mu_o,sigma_o,TRUE),0)</f>
        <v>94878.781377666935</v>
      </c>
      <c r="X109" s="128">
        <f>Tabella8[[#This Row],[rest of Italy fit]]/Ko</f>
        <v>0.64107292177466202</v>
      </c>
      <c r="Y109" s="23">
        <f>Tabella8[[#This Row],[rest of Italy fit]]*NOT(ISBLANK(Tabella8[[#This Row],[rest of Italy ]]))</f>
        <v>94878.781377666935</v>
      </c>
      <c r="Z109" s="10">
        <f>Tabella8[[#This Row],[rest of Italy fit]]+CIo</f>
        <v>97311.73758425242</v>
      </c>
      <c r="AA109" s="10">
        <f>MAX(Tabella8[[#This Row],[rest of Italy fit]]-CIo,0)</f>
        <v>92445.825171081451</v>
      </c>
      <c r="AC109" s="73" t="s">
        <v>194</v>
      </c>
      <c r="AD109" s="106">
        <v>65381</v>
      </c>
      <c r="BA109" s="33"/>
      <c r="BB109" s="33"/>
      <c r="BD109" s="87"/>
      <c r="BE109" s="87"/>
    </row>
    <row r="110" spans="2:378" x14ac:dyDescent="0.3">
      <c r="B110" s="9">
        <v>43933</v>
      </c>
      <c r="C110" s="4">
        <v>103</v>
      </c>
      <c r="D110" s="10">
        <f>'dpc-covid19-ita-andamento-naz'!L50</f>
        <v>156363</v>
      </c>
      <c r="E110" s="10">
        <f>Tabella8[[#This Row],[Italy cumulative]]*NOT(ISBLANK(Tabella8[[#This Row],[Italy cumulative]]))</f>
        <v>156363</v>
      </c>
      <c r="F110" s="10">
        <f>Tabella8[[#This Row],[Lombardy fit]]+Tabella8[[#This Row],[rest of Italy fit]]</f>
        <v>156307.84881447605</v>
      </c>
      <c r="G110" s="91">
        <f>Tabella8[[#This Row],[Italy sum of regions]]/K_sum</f>
        <v>0.6651398309536406</v>
      </c>
      <c r="H110" s="10">
        <f>Tabella8[[#This Row],[Italy sum of regions]]*NOT(ISBLANK(Tabella8[[#This Row],[Italy cumulative]]))</f>
        <v>156307.84881447605</v>
      </c>
      <c r="I110" s="152">
        <f>IFERROR(Kt*_xlfn.LOGNORM.DIST((Tabella8[[#This Row],[Day]]-Days_back),mu_t,sigma_t,TRUE),0)</f>
        <v>155863.11371396549</v>
      </c>
      <c r="J110" s="129">
        <f>Tabella8[[#This Row],[Italy fit]]/Kt</f>
        <v>0.66324747336959122</v>
      </c>
      <c r="K110" s="10">
        <f>Tabella8[[#This Row],[Italy fit]]*NOT(ISBLANK(Tabella8[[#This Row],[Italy cumulative]]))</f>
        <v>155863.11371396549</v>
      </c>
      <c r="L110" s="10">
        <f>Tabella8[[#This Row],[Italy sum of regions]]+CI</f>
        <v>161197.4909934696</v>
      </c>
      <c r="M110" s="10">
        <f>MAX(Tabella8[[#This Row],[Italy sum of regions]]-CI,0)</f>
        <v>151418.20663548249</v>
      </c>
      <c r="N110" s="75">
        <f t="shared" si="0"/>
        <v>59052</v>
      </c>
      <c r="O110" s="10">
        <f>Tabella8[[#This Row],[Lombardy]]*NOT(ISBLANK(Tabella8[[#This Row],[Lombardy]]))</f>
        <v>59052</v>
      </c>
      <c r="P110" s="127">
        <f>IFERROR(Kr*_xlfn.LOGNORM.DIST((Tabella8[[#This Row],[Day]]-pr),mu_r,sigma_r,TRUE),0)</f>
        <v>58797.096191230899</v>
      </c>
      <c r="Q110" s="127">
        <f>Tabella8[[#This Row],[Lombardy fit]]/Kr</f>
        <v>0.67582869185322869</v>
      </c>
      <c r="R110" s="10">
        <f>Tabella8[[#This Row],[Lombardy fit]]*NOT(ISBLANK(Tabella8[[#This Row],[Lombardy]]))</f>
        <v>58797.096191230899</v>
      </c>
      <c r="S110" s="10">
        <f>Tabella8[[#This Row],[Lombardy fit]]+CIr</f>
        <v>61772.55761479435</v>
      </c>
      <c r="T110" s="10">
        <f>MAX(Tabella8[[#This Row],[Lombardy fit]]-CIr,0)</f>
        <v>55821.634767667449</v>
      </c>
      <c r="U110" s="10">
        <f>Tabella8[[#This Row],[Italy cumulative]]-Tabella8[[#This Row],[Lombardy]]</f>
        <v>97311</v>
      </c>
      <c r="V110" s="10">
        <f>Tabella8[[#This Row],[rest of Italy ]]*NOT(ISBLANK(Tabella8[[#This Row],[rest of Italy ]]))</f>
        <v>97311</v>
      </c>
      <c r="W110" s="128">
        <f>IFERROR(Ko*_xlfn.LOGNORM.DIST((Tabella8[[#This Row],[Day]]-po),mu_o,sigma_o,TRUE),0)</f>
        <v>97510.752623245149</v>
      </c>
      <c r="X110" s="128">
        <f>Tabella8[[#This Row],[rest of Italy fit]]/Ko</f>
        <v>0.65885651334202677</v>
      </c>
      <c r="Y110" s="23">
        <f>Tabella8[[#This Row],[rest of Italy fit]]*NOT(ISBLANK(Tabella8[[#This Row],[rest of Italy ]]))</f>
        <v>97510.752623245149</v>
      </c>
      <c r="Z110" s="10">
        <f>Tabella8[[#This Row],[rest of Italy fit]]+CIo</f>
        <v>99943.708829830633</v>
      </c>
      <c r="AA110" s="10">
        <f>MAX(Tabella8[[#This Row],[rest of Italy fit]]-CIo,0)</f>
        <v>95077.796416659665</v>
      </c>
      <c r="AC110" s="73" t="s">
        <v>266</v>
      </c>
      <c r="AD110" s="106">
        <v>66236</v>
      </c>
      <c r="BA110" s="33"/>
      <c r="BB110" s="33"/>
      <c r="BD110" s="87"/>
      <c r="BE110" s="87"/>
    </row>
    <row r="111" spans="2:378" x14ac:dyDescent="0.3">
      <c r="B111" s="9">
        <v>43934</v>
      </c>
      <c r="C111" s="4">
        <v>104</v>
      </c>
      <c r="D111" s="10">
        <f>'dpc-covid19-ita-andamento-naz'!L51</f>
        <v>159516</v>
      </c>
      <c r="E111" s="10">
        <f>Tabella8[[#This Row],[Italy cumulative]]*NOT(ISBLANK(Tabella8[[#This Row],[Italy cumulative]]))</f>
        <v>159516</v>
      </c>
      <c r="F111" s="10">
        <f>Tabella8[[#This Row],[Lombardy fit]]+Tabella8[[#This Row],[rest of Italy fit]]</f>
        <v>160109.00331601998</v>
      </c>
      <c r="G111" s="91">
        <f>Tabella8[[#This Row],[Italy sum of regions]]/K_sum</f>
        <v>0.68131495767799644</v>
      </c>
      <c r="H111" s="10">
        <f>Tabella8[[#This Row],[Italy sum of regions]]*NOT(ISBLANK(Tabella8[[#This Row],[Italy cumulative]]))</f>
        <v>160109.00331601998</v>
      </c>
      <c r="I111" s="152">
        <f>IFERROR(Kt*_xlfn.LOGNORM.DIST((Tabella8[[#This Row],[Day]]-Days_back),mu_t,sigma_t,TRUE),0)</f>
        <v>159673.81088277901</v>
      </c>
      <c r="J111" s="129">
        <f>Tabella8[[#This Row],[Italy fit]]/Kt</f>
        <v>0.67946321042736924</v>
      </c>
      <c r="K111" s="10">
        <f>Tabella8[[#This Row],[Italy fit]]*NOT(ISBLANK(Tabella8[[#This Row],[Italy cumulative]]))</f>
        <v>159673.81088277901</v>
      </c>
      <c r="L111" s="10">
        <f>Tabella8[[#This Row],[Italy sum of regions]]+CI</f>
        <v>164998.64549501354</v>
      </c>
      <c r="M111" s="10">
        <f>MAX(Tabella8[[#This Row],[Italy sum of regions]]-CI,0)</f>
        <v>155219.36113702643</v>
      </c>
      <c r="N111" s="75">
        <f t="shared" si="0"/>
        <v>60314</v>
      </c>
      <c r="O111" s="10">
        <f>Tabella8[[#This Row],[Lombardy]]*NOT(ISBLANK(Tabella8[[#This Row],[Lombardy]]))</f>
        <v>60314</v>
      </c>
      <c r="P111" s="127">
        <f>IFERROR(Kr*_xlfn.LOGNORM.DIST((Tabella8[[#This Row],[Day]]-pr),mu_r,sigma_r,TRUE),0)</f>
        <v>60056.3217947015</v>
      </c>
      <c r="Q111" s="127">
        <f>Tabella8[[#This Row],[Lombardy fit]]/Kr</f>
        <v>0.69030254936438507</v>
      </c>
      <c r="R111" s="10">
        <f>Tabella8[[#This Row],[Lombardy fit]]*NOT(ISBLANK(Tabella8[[#This Row],[Lombardy]]))</f>
        <v>60056.3217947015</v>
      </c>
      <c r="S111" s="10">
        <f>Tabella8[[#This Row],[Lombardy fit]]+CIr</f>
        <v>63031.783218264958</v>
      </c>
      <c r="T111" s="10">
        <f>MAX(Tabella8[[#This Row],[Lombardy fit]]-CIr,0)</f>
        <v>57080.860371138042</v>
      </c>
      <c r="U111" s="10">
        <f>Tabella8[[#This Row],[Italy cumulative]]-Tabella8[[#This Row],[Lombardy]]</f>
        <v>99202</v>
      </c>
      <c r="V111" s="10">
        <f>Tabella8[[#This Row],[rest of Italy ]]*NOT(ISBLANK(Tabella8[[#This Row],[rest of Italy ]]))</f>
        <v>99202</v>
      </c>
      <c r="W111" s="128">
        <f>IFERROR(Ko*_xlfn.LOGNORM.DIST((Tabella8[[#This Row],[Day]]-po),mu_o,sigma_o,TRUE),0)</f>
        <v>100052.68152131849</v>
      </c>
      <c r="X111" s="128">
        <f>Tabella8[[#This Row],[rest of Italy fit]]/Ko</f>
        <v>0.67603171059866962</v>
      </c>
      <c r="Y111" s="23">
        <f>Tabella8[[#This Row],[rest of Italy fit]]*NOT(ISBLANK(Tabella8[[#This Row],[rest of Italy ]]))</f>
        <v>100052.68152131849</v>
      </c>
      <c r="Z111" s="10">
        <f>Tabella8[[#This Row],[rest of Italy fit]]+CIo</f>
        <v>102485.63772790397</v>
      </c>
      <c r="AA111" s="10">
        <f>MAX(Tabella8[[#This Row],[rest of Italy fit]]-CIo,0)</f>
        <v>97619.725314733005</v>
      </c>
      <c r="AC111" s="73" t="s">
        <v>267</v>
      </c>
      <c r="AD111" s="106">
        <v>66971</v>
      </c>
      <c r="BA111" s="33"/>
      <c r="BB111" s="33"/>
      <c r="BD111" s="87"/>
      <c r="BE111" s="87"/>
    </row>
    <row r="112" spans="2:378" x14ac:dyDescent="0.3">
      <c r="B112" s="9">
        <v>43935</v>
      </c>
      <c r="C112" s="4">
        <v>105</v>
      </c>
      <c r="D112" s="10">
        <f>'dpc-covid19-ita-andamento-naz'!L52</f>
        <v>162488</v>
      </c>
      <c r="E112" s="10">
        <f>Tabella8[[#This Row],[Italy cumulative]]*NOT(ISBLANK(Tabella8[[#This Row],[Italy cumulative]]))</f>
        <v>162488</v>
      </c>
      <c r="F112" s="10">
        <f>Tabella8[[#This Row],[Lombardy fit]]+Tabella8[[#This Row],[rest of Italy fit]]</f>
        <v>163777.21296308562</v>
      </c>
      <c r="G112" s="91">
        <f>Tabella8[[#This Row],[Italy sum of regions]]/K_sum</f>
        <v>0.69692436157586257</v>
      </c>
      <c r="H112" s="10">
        <f>Tabella8[[#This Row],[Italy sum of regions]]*NOT(ISBLANK(Tabella8[[#This Row],[Italy cumulative]]))</f>
        <v>163777.21296308562</v>
      </c>
      <c r="I112" s="152">
        <f>IFERROR(Kt*_xlfn.LOGNORM.DIST((Tabella8[[#This Row],[Day]]-Days_back),mu_t,sigma_t,TRUE),0)</f>
        <v>163355.09950958795</v>
      </c>
      <c r="J112" s="129">
        <f>Tabella8[[#This Row],[Italy fit]]/Kt</f>
        <v>0.69512827268806543</v>
      </c>
      <c r="K112" s="10">
        <f>Tabella8[[#This Row],[Italy fit]]*NOT(ISBLANK(Tabella8[[#This Row],[Italy cumulative]]))</f>
        <v>163355.09950958795</v>
      </c>
      <c r="L112" s="10">
        <f>Tabella8[[#This Row],[Italy sum of regions]]+CI</f>
        <v>168666.85514207918</v>
      </c>
      <c r="M112" s="10">
        <f>MAX(Tabella8[[#This Row],[Italy sum of regions]]-CI,0)</f>
        <v>158887.57078409207</v>
      </c>
      <c r="N112" s="75">
        <f t="shared" si="0"/>
        <v>61326</v>
      </c>
      <c r="O112" s="10">
        <f>Tabella8[[#This Row],[Lombardy]]*NOT(ISBLANK(Tabella8[[#This Row],[Lombardy]]))</f>
        <v>61326</v>
      </c>
      <c r="P112" s="127">
        <f>IFERROR(Kr*_xlfn.LOGNORM.DIST((Tabella8[[#This Row],[Day]]-pr),mu_r,sigma_r,TRUE),0)</f>
        <v>61273.720002643167</v>
      </c>
      <c r="Q112" s="127">
        <f>Tabella8[[#This Row],[Lombardy fit]]/Kr</f>
        <v>0.70429563221428926</v>
      </c>
      <c r="R112" s="10">
        <f>Tabella8[[#This Row],[Lombardy fit]]*NOT(ISBLANK(Tabella8[[#This Row],[Lombardy]]))</f>
        <v>61273.720002643167</v>
      </c>
      <c r="S112" s="10">
        <f>Tabella8[[#This Row],[Lombardy fit]]+CIr</f>
        <v>64249.181426206618</v>
      </c>
      <c r="T112" s="10">
        <f>MAX(Tabella8[[#This Row],[Lombardy fit]]-CIr,0)</f>
        <v>58298.258579079717</v>
      </c>
      <c r="U112" s="10">
        <f>Tabella8[[#This Row],[Italy cumulative]]-Tabella8[[#This Row],[Lombardy]]</f>
        <v>101162</v>
      </c>
      <c r="V112" s="10">
        <f>Tabella8[[#This Row],[rest of Italy ]]*NOT(ISBLANK(Tabella8[[#This Row],[rest of Italy ]]))</f>
        <v>101162</v>
      </c>
      <c r="W112" s="128">
        <f>IFERROR(Ko*_xlfn.LOGNORM.DIST((Tabella8[[#This Row],[Day]]-po),mu_o,sigma_o,TRUE),0)</f>
        <v>102503.49296044245</v>
      </c>
      <c r="X112" s="128">
        <f>Tabella8[[#This Row],[rest of Italy fit]]/Ko</f>
        <v>0.69259124927722804</v>
      </c>
      <c r="Y112" s="23">
        <f>Tabella8[[#This Row],[rest of Italy fit]]*NOT(ISBLANK(Tabella8[[#This Row],[rest of Italy ]]))</f>
        <v>102503.49296044245</v>
      </c>
      <c r="Z112" s="10">
        <f>Tabella8[[#This Row],[rest of Italy fit]]+CIo</f>
        <v>104936.44916702794</v>
      </c>
      <c r="AA112" s="10">
        <f>MAX(Tabella8[[#This Row],[rest of Italy fit]]-CIo,0)</f>
        <v>100070.53675385697</v>
      </c>
      <c r="AC112" s="73" t="s">
        <v>268</v>
      </c>
      <c r="AD112" s="106">
        <v>67931</v>
      </c>
      <c r="BA112" s="33"/>
      <c r="BB112" s="33"/>
      <c r="BD112" s="87"/>
      <c r="BE112" s="87"/>
    </row>
    <row r="113" spans="2:57" x14ac:dyDescent="0.3">
      <c r="B113" s="9">
        <v>43936</v>
      </c>
      <c r="C113" s="4">
        <v>106</v>
      </c>
      <c r="D113" s="10">
        <f>'dpc-covid19-ita-andamento-naz'!L53</f>
        <v>165155</v>
      </c>
      <c r="E113" s="10">
        <f>Tabella8[[#This Row],[Italy cumulative]]*NOT(ISBLANK(Tabella8[[#This Row],[Italy cumulative]]))</f>
        <v>165155</v>
      </c>
      <c r="F113" s="10">
        <f>Tabella8[[#This Row],[Lombardy fit]]+Tabella8[[#This Row],[rest of Italy fit]]</f>
        <v>167311.99042796053</v>
      </c>
      <c r="G113" s="91">
        <f>Tabella8[[#This Row],[Italy sum of regions]]/K_sum</f>
        <v>0.71196596891214037</v>
      </c>
      <c r="H113" s="10">
        <f>Tabella8[[#This Row],[Italy sum of regions]]*NOT(ISBLANK(Tabella8[[#This Row],[Italy cumulative]]))</f>
        <v>167311.99042796053</v>
      </c>
      <c r="I113" s="152">
        <f>IFERROR(Kt*_xlfn.LOGNORM.DIST((Tabella8[[#This Row],[Day]]-Days_back),mu_t,sigma_t,TRUE),0)</f>
        <v>166906.13577190106</v>
      </c>
      <c r="J113" s="129">
        <f>Tabella8[[#This Row],[Italy fit]]/Kt</f>
        <v>0.71023906941669468</v>
      </c>
      <c r="K113" s="10">
        <f>Tabella8[[#This Row],[Italy fit]]*NOT(ISBLANK(Tabella8[[#This Row],[Italy cumulative]]))</f>
        <v>166906.13577190106</v>
      </c>
      <c r="L113" s="10">
        <f>Tabella8[[#This Row],[Italy sum of regions]]+CI</f>
        <v>172201.63260695408</v>
      </c>
      <c r="M113" s="10">
        <f>MAX(Tabella8[[#This Row],[Italy sum of regions]]-CI,0)</f>
        <v>162422.34824896697</v>
      </c>
      <c r="N113" s="75">
        <f t="shared" si="0"/>
        <v>62153</v>
      </c>
      <c r="O113" s="10">
        <f>Tabella8[[#This Row],[Lombardy]]*NOT(ISBLANK(Tabella8[[#This Row],[Lombardy]]))</f>
        <v>62153</v>
      </c>
      <c r="P113" s="127">
        <f>IFERROR(Kr*_xlfn.LOGNORM.DIST((Tabella8[[#This Row],[Day]]-pr),mu_r,sigma_r,TRUE),0)</f>
        <v>62449.3411037525</v>
      </c>
      <c r="Q113" s="127">
        <f>Tabella8[[#This Row],[Lombardy fit]]/Kr</f>
        <v>0.71780851843393678</v>
      </c>
      <c r="R113" s="10">
        <f>Tabella8[[#This Row],[Lombardy fit]]*NOT(ISBLANK(Tabella8[[#This Row],[Lombardy]]))</f>
        <v>62449.3411037525</v>
      </c>
      <c r="S113" s="10">
        <f>Tabella8[[#This Row],[Lombardy fit]]+CIr</f>
        <v>65424.802527315958</v>
      </c>
      <c r="T113" s="10">
        <f>MAX(Tabella8[[#This Row],[Lombardy fit]]-CIr,0)</f>
        <v>59473.879680189042</v>
      </c>
      <c r="U113" s="10">
        <f>Tabella8[[#This Row],[Italy cumulative]]-Tabella8[[#This Row],[Lombardy]]</f>
        <v>103002</v>
      </c>
      <c r="V113" s="10">
        <f>Tabella8[[#This Row],[rest of Italy ]]*NOT(ISBLANK(Tabella8[[#This Row],[rest of Italy ]]))</f>
        <v>103002</v>
      </c>
      <c r="W113" s="128">
        <f>IFERROR(Ko*_xlfn.LOGNORM.DIST((Tabella8[[#This Row],[Day]]-po),mu_o,sigma_o,TRUE),0)</f>
        <v>104862.64932420803</v>
      </c>
      <c r="X113" s="128">
        <f>Tabella8[[#This Row],[rest of Italy fit]]/Ko</f>
        <v>0.70853149683397509</v>
      </c>
      <c r="Y113" s="23">
        <f>Tabella8[[#This Row],[rest of Italy fit]]*NOT(ISBLANK(Tabella8[[#This Row],[rest of Italy ]]))</f>
        <v>104862.64932420803</v>
      </c>
      <c r="Z113" s="10">
        <f>Tabella8[[#This Row],[rest of Italy fit]]+CIo</f>
        <v>107295.60553079352</v>
      </c>
      <c r="AA113" s="10">
        <f>MAX(Tabella8[[#This Row],[rest of Italy fit]]-CIo,0)</f>
        <v>102429.69311762255</v>
      </c>
      <c r="AC113" s="73" t="s">
        <v>290</v>
      </c>
      <c r="AD113" s="106">
        <v>69092</v>
      </c>
      <c r="BA113" s="33"/>
      <c r="BB113" s="33"/>
      <c r="BD113" s="87"/>
      <c r="BE113" s="87"/>
    </row>
    <row r="114" spans="2:57" x14ac:dyDescent="0.3">
      <c r="B114" s="9">
        <v>43937</v>
      </c>
      <c r="C114" s="4">
        <v>107</v>
      </c>
      <c r="D114" s="10">
        <f>'dpc-covid19-ita-andamento-naz'!L54</f>
        <v>168941</v>
      </c>
      <c r="E114" s="10">
        <f>Tabella8[[#This Row],[Italy cumulative]]*NOT(ISBLANK(Tabella8[[#This Row],[Italy cumulative]]))</f>
        <v>168941</v>
      </c>
      <c r="F114" s="10">
        <f>Tabella8[[#This Row],[Lombardy fit]]+Tabella8[[#This Row],[rest of Italy fit]]</f>
        <v>170713.48629632263</v>
      </c>
      <c r="G114" s="91">
        <f>Tabella8[[#This Row],[Italy sum of regions]]/K_sum</f>
        <v>0.72644042047699586</v>
      </c>
      <c r="H114" s="10">
        <f>Tabella8[[#This Row],[Italy sum of regions]]*NOT(ISBLANK(Tabella8[[#This Row],[Italy cumulative]]))</f>
        <v>170713.48629632263</v>
      </c>
      <c r="I114" s="152">
        <f>IFERROR(Kt*_xlfn.LOGNORM.DIST((Tabella8[[#This Row],[Day]]-Days_back),mu_t,sigma_t,TRUE),0)</f>
        <v>170326.70662412138</v>
      </c>
      <c r="J114" s="129">
        <f>Tabella8[[#This Row],[Italy fit]]/Kt</f>
        <v>0.72479469403600139</v>
      </c>
      <c r="K114" s="10">
        <f>Tabella8[[#This Row],[Italy fit]]*NOT(ISBLANK(Tabella8[[#This Row],[Italy cumulative]]))</f>
        <v>170326.70662412138</v>
      </c>
      <c r="L114" s="10">
        <f>Tabella8[[#This Row],[Italy sum of regions]]+CI</f>
        <v>175603.12847531619</v>
      </c>
      <c r="M114" s="10">
        <f>MAX(Tabella8[[#This Row],[Italy sum of regions]]-CI,0)</f>
        <v>165823.84411732908</v>
      </c>
      <c r="N114" s="75">
        <f t="shared" si="0"/>
        <v>63094</v>
      </c>
      <c r="O114" s="10">
        <f>Tabella8[[#This Row],[Lombardy]]*NOT(ISBLANK(Tabella8[[#This Row],[Lombardy]]))</f>
        <v>63094</v>
      </c>
      <c r="P114" s="127">
        <f>IFERROR(Kr*_xlfn.LOGNORM.DIST((Tabella8[[#This Row],[Day]]-pr),mu_r,sigma_r,TRUE),0)</f>
        <v>63583.38566421374</v>
      </c>
      <c r="Q114" s="127">
        <f>Tabella8[[#This Row],[Lombardy fit]]/Kr</f>
        <v>0.73084351338176712</v>
      </c>
      <c r="R114" s="10">
        <f>Tabella8[[#This Row],[Lombardy fit]]*NOT(ISBLANK(Tabella8[[#This Row],[Lombardy]]))</f>
        <v>63583.38566421374</v>
      </c>
      <c r="S114" s="10">
        <f>Tabella8[[#This Row],[Lombardy fit]]+CIr</f>
        <v>66558.847087777191</v>
      </c>
      <c r="T114" s="10">
        <f>MAX(Tabella8[[#This Row],[Lombardy fit]]-CIr,0)</f>
        <v>60607.924240650289</v>
      </c>
      <c r="U114" s="10">
        <f>Tabella8[[#This Row],[Italy cumulative]]-Tabella8[[#This Row],[Lombardy]]</f>
        <v>105847</v>
      </c>
      <c r="V114" s="10">
        <f>Tabella8[[#This Row],[rest of Italy ]]*NOT(ISBLANK(Tabella8[[#This Row],[rest of Italy ]]))</f>
        <v>105847</v>
      </c>
      <c r="W114" s="128">
        <f>IFERROR(Ko*_xlfn.LOGNORM.DIST((Tabella8[[#This Row],[Day]]-po),mu_o,sigma_o,TRUE),0)</f>
        <v>107130.10063210889</v>
      </c>
      <c r="X114" s="128">
        <f>Tabella8[[#This Row],[rest of Italy fit]]/Ko</f>
        <v>0.72385211556274742</v>
      </c>
      <c r="Y114" s="23">
        <f>Tabella8[[#This Row],[rest of Italy fit]]*NOT(ISBLANK(Tabella8[[#This Row],[rest of Italy ]]))</f>
        <v>107130.10063210889</v>
      </c>
      <c r="Z114" s="10">
        <f>Tabella8[[#This Row],[rest of Italy fit]]+CIo</f>
        <v>109563.05683869438</v>
      </c>
      <c r="AA114" s="10">
        <f>MAX(Tabella8[[#This Row],[rest of Italy fit]]-CIo,0)</f>
        <v>104697.14442552341</v>
      </c>
      <c r="AC114" s="73" t="s">
        <v>347</v>
      </c>
      <c r="AD114" s="106">
        <v>70165</v>
      </c>
      <c r="BA114" s="33"/>
      <c r="BB114" s="33"/>
      <c r="BD114" s="87"/>
      <c r="BE114" s="87"/>
    </row>
    <row r="115" spans="2:57" x14ac:dyDescent="0.3">
      <c r="B115" s="9">
        <v>43938</v>
      </c>
      <c r="C115" s="4">
        <v>108</v>
      </c>
      <c r="D115" s="10">
        <f>'dpc-covid19-ita-andamento-naz'!L55</f>
        <v>172434</v>
      </c>
      <c r="E115" s="10">
        <f>Tabella8[[#This Row],[Italy cumulative]]*NOT(ISBLANK(Tabella8[[#This Row],[Italy cumulative]]))</f>
        <v>172434</v>
      </c>
      <c r="F115" s="10">
        <f>Tabella8[[#This Row],[Lombardy fit]]+Tabella8[[#This Row],[rest of Italy fit]]</f>
        <v>173982.42518758285</v>
      </c>
      <c r="G115" s="91">
        <f>Tabella8[[#This Row],[Italy sum of regions]]/K_sum</f>
        <v>0.74035079975750984</v>
      </c>
      <c r="H115" s="10">
        <f>Tabella8[[#This Row],[Italy sum of regions]]*NOT(ISBLANK(Tabella8[[#This Row],[Italy cumulative]]))</f>
        <v>173982.42518758285</v>
      </c>
      <c r="I115" s="152">
        <f>IFERROR(Kt*_xlfn.LOGNORM.DIST((Tabella8[[#This Row],[Day]]-Days_back),mu_t,sigma_t,TRUE),0)</f>
        <v>173617.17205452768</v>
      </c>
      <c r="J115" s="129">
        <f>Tabella8[[#This Row],[Italy fit]]/Kt</f>
        <v>0.73879667841141961</v>
      </c>
      <c r="K115" s="10">
        <f>Tabella8[[#This Row],[Italy fit]]*NOT(ISBLANK(Tabella8[[#This Row],[Italy cumulative]]))</f>
        <v>173617.17205452768</v>
      </c>
      <c r="L115" s="10">
        <f>Tabella8[[#This Row],[Italy sum of regions]]+CI</f>
        <v>178872.0673665764</v>
      </c>
      <c r="M115" s="10">
        <f>MAX(Tabella8[[#This Row],[Italy sum of regions]]-CI,0)</f>
        <v>169092.78300858929</v>
      </c>
      <c r="N115" s="75">
        <f t="shared" si="0"/>
        <v>64135</v>
      </c>
      <c r="O115" s="10">
        <f>Tabella8[[#This Row],[Lombardy]]*NOT(ISBLANK(Tabella8[[#This Row],[Lombardy]]))</f>
        <v>64135</v>
      </c>
      <c r="P115" s="127">
        <f>IFERROR(Kr*_xlfn.LOGNORM.DIST((Tabella8[[#This Row],[Day]]-pr),mu_r,sigma_r,TRUE),0)</f>
        <v>64676.189476553751</v>
      </c>
      <c r="Q115" s="127">
        <f>Tabella8[[#This Row],[Lombardy fit]]/Kr</f>
        <v>0.74340447674199717</v>
      </c>
      <c r="R115" s="10">
        <f>Tabella8[[#This Row],[Lombardy fit]]*NOT(ISBLANK(Tabella8[[#This Row],[Lombardy]]))</f>
        <v>64676.189476553751</v>
      </c>
      <c r="S115" s="10">
        <f>Tabella8[[#This Row],[Lombardy fit]]+CIr</f>
        <v>67651.650900117209</v>
      </c>
      <c r="T115" s="10">
        <f>MAX(Tabella8[[#This Row],[Lombardy fit]]-CIr,0)</f>
        <v>61700.728052990293</v>
      </c>
      <c r="U115" s="10">
        <f>Tabella8[[#This Row],[Italy cumulative]]-Tabella8[[#This Row],[Lombardy]]</f>
        <v>108299</v>
      </c>
      <c r="V115" s="10">
        <f>Tabella8[[#This Row],[rest of Italy ]]*NOT(ISBLANK(Tabella8[[#This Row],[rest of Italy ]]))</f>
        <v>108299</v>
      </c>
      <c r="W115" s="128">
        <f>IFERROR(Ko*_xlfn.LOGNORM.DIST((Tabella8[[#This Row],[Day]]-po),mu_o,sigma_o,TRUE),0)</f>
        <v>109306.23571102909</v>
      </c>
      <c r="X115" s="128">
        <f>Tabella8[[#This Row],[rest of Italy fit]]/Ko</f>
        <v>0.73855573267252705</v>
      </c>
      <c r="Y115" s="23">
        <f>Tabella8[[#This Row],[rest of Italy fit]]*NOT(ISBLANK(Tabella8[[#This Row],[rest of Italy ]]))</f>
        <v>109306.23571102909</v>
      </c>
      <c r="Z115" s="10">
        <f>Tabella8[[#This Row],[rest of Italy fit]]+CIo</f>
        <v>111739.19191761457</v>
      </c>
      <c r="AA115" s="10">
        <f>MAX(Tabella8[[#This Row],[rest of Italy fit]]-CIo,0)</f>
        <v>106873.27950444361</v>
      </c>
      <c r="AC115" s="73" t="s">
        <v>369</v>
      </c>
      <c r="AD115" s="106">
        <v>71256</v>
      </c>
      <c r="BA115" s="33"/>
      <c r="BB115" s="33"/>
      <c r="BD115" s="87"/>
      <c r="BE115" s="87"/>
    </row>
    <row r="116" spans="2:57" x14ac:dyDescent="0.3">
      <c r="B116" s="9">
        <v>43939</v>
      </c>
      <c r="C116" s="4">
        <v>109</v>
      </c>
      <c r="D116" s="10">
        <f>'dpc-covid19-ita-andamento-naz'!L56</f>
        <v>175925</v>
      </c>
      <c r="E116" s="10">
        <f>Tabella8[[#This Row],[Italy cumulative]]*NOT(ISBLANK(Tabella8[[#This Row],[Italy cumulative]]))</f>
        <v>175925</v>
      </c>
      <c r="F116" s="10">
        <f>Tabella8[[#This Row],[Lombardy fit]]+Tabella8[[#This Row],[rest of Italy fit]]</f>
        <v>177120.04402895441</v>
      </c>
      <c r="G116" s="91">
        <f>Tabella8[[#This Row],[Italy sum of regions]]/K_sum</f>
        <v>0.75370237027412457</v>
      </c>
      <c r="H116" s="10">
        <f>Tabella8[[#This Row],[Italy sum of regions]]*NOT(ISBLANK(Tabella8[[#This Row],[Italy cumulative]]))</f>
        <v>177120.04402895441</v>
      </c>
      <c r="I116" s="152">
        <f>IFERROR(Kt*_xlfn.LOGNORM.DIST((Tabella8[[#This Row],[Day]]-Days_back),mu_t,sigma_t,TRUE),0)</f>
        <v>176778.40868871909</v>
      </c>
      <c r="J116" s="129">
        <f>Tabella8[[#This Row],[Italy fit]]/Kt</f>
        <v>0.75224875286566539</v>
      </c>
      <c r="K116" s="10">
        <f>Tabella8[[#This Row],[Italy fit]]*NOT(ISBLANK(Tabella8[[#This Row],[Italy cumulative]]))</f>
        <v>176778.40868871909</v>
      </c>
      <c r="L116" s="10">
        <f>Tabella8[[#This Row],[Italy sum of regions]]+CI</f>
        <v>182009.68620794796</v>
      </c>
      <c r="M116" s="10">
        <f>MAX(Tabella8[[#This Row],[Italy sum of regions]]-CI,0)</f>
        <v>172230.40184996085</v>
      </c>
      <c r="N116" s="75">
        <f t="shared" si="0"/>
        <v>65381</v>
      </c>
      <c r="O116" s="10">
        <f>Tabella8[[#This Row],[Lombardy]]*NOT(ISBLANK(Tabella8[[#This Row],[Lombardy]]))</f>
        <v>65381</v>
      </c>
      <c r="P116" s="127">
        <f>IFERROR(Kr*_xlfn.LOGNORM.DIST((Tabella8[[#This Row],[Day]]-pr),mu_r,sigma_r,TRUE),0)</f>
        <v>65728.209141519241</v>
      </c>
      <c r="Q116" s="127">
        <f>Tabella8[[#This Row],[Lombardy fit]]/Kr</f>
        <v>0.75549665679907174</v>
      </c>
      <c r="R116" s="10">
        <f>Tabella8[[#This Row],[Lombardy fit]]*NOT(ISBLANK(Tabella8[[#This Row],[Lombardy]]))</f>
        <v>65728.209141519241</v>
      </c>
      <c r="S116" s="10">
        <f>Tabella8[[#This Row],[Lombardy fit]]+CIr</f>
        <v>68703.670565082692</v>
      </c>
      <c r="T116" s="10">
        <f>MAX(Tabella8[[#This Row],[Lombardy fit]]-CIr,0)</f>
        <v>62752.74771795579</v>
      </c>
      <c r="U116" s="10">
        <f>Tabella8[[#This Row],[Italy cumulative]]-Tabella8[[#This Row],[Lombardy]]</f>
        <v>110544</v>
      </c>
      <c r="V116" s="10">
        <f>Tabella8[[#This Row],[rest of Italy ]]*NOT(ISBLANK(Tabella8[[#This Row],[rest of Italy ]]))</f>
        <v>110544</v>
      </c>
      <c r="W116" s="128">
        <f>IFERROR(Ko*_xlfn.LOGNORM.DIST((Tabella8[[#This Row],[Day]]-po),mu_o,sigma_o,TRUE),0)</f>
        <v>111391.83488743517</v>
      </c>
      <c r="X116" s="128">
        <f>Tabella8[[#This Row],[rest of Italy fit]]/Ko</f>
        <v>0.75264762064005308</v>
      </c>
      <c r="Y116" s="23">
        <f>Tabella8[[#This Row],[rest of Italy fit]]*NOT(ISBLANK(Tabella8[[#This Row],[rest of Italy ]]))</f>
        <v>111391.83488743517</v>
      </c>
      <c r="Z116" s="10">
        <f>Tabella8[[#This Row],[rest of Italy fit]]+CIo</f>
        <v>113824.79109402065</v>
      </c>
      <c r="AA116" s="10">
        <f>MAX(Tabella8[[#This Row],[rest of Italy fit]]-CIo,0)</f>
        <v>108958.87868084968</v>
      </c>
      <c r="AC116" s="73" t="s">
        <v>396</v>
      </c>
      <c r="AD116" s="106">
        <v>71969</v>
      </c>
      <c r="BA116" s="33"/>
      <c r="BB116" s="33"/>
      <c r="BD116" s="87"/>
      <c r="BE116" s="87"/>
    </row>
    <row r="117" spans="2:57" x14ac:dyDescent="0.3">
      <c r="B117" s="9">
        <v>43940</v>
      </c>
      <c r="C117" s="4">
        <v>110</v>
      </c>
      <c r="D117" s="10">
        <f>'dpc-covid19-ita-andamento-naz'!L57</f>
        <v>178972</v>
      </c>
      <c r="E117" s="10">
        <f>Tabella8[[#This Row],[Italy cumulative]]*NOT(ISBLANK(Tabella8[[#This Row],[Italy cumulative]]))</f>
        <v>178972</v>
      </c>
      <c r="F117" s="10">
        <f>Tabella8[[#This Row],[Lombardy fit]]+Tabella8[[#This Row],[rest of Italy fit]]</f>
        <v>180128.03293061454</v>
      </c>
      <c r="G117" s="91">
        <f>Tabella8[[#This Row],[Italy sum of regions]]/K_sum</f>
        <v>0.76650232398556839</v>
      </c>
      <c r="H117" s="10">
        <f>Tabella8[[#This Row],[Italy sum of regions]]*NOT(ISBLANK(Tabella8[[#This Row],[Italy cumulative]]))</f>
        <v>180128.03293061454</v>
      </c>
      <c r="I117" s="152">
        <f>IFERROR(Kt*_xlfn.LOGNORM.DIST((Tabella8[[#This Row],[Day]]-Days_back),mu_t,sigma_t,TRUE),0)</f>
        <v>179811.75520674791</v>
      </c>
      <c r="J117" s="129">
        <f>Tabella8[[#This Row],[Italy fit]]/Kt</f>
        <v>0.76515661391115408</v>
      </c>
      <c r="K117" s="10">
        <f>Tabella8[[#This Row],[Italy fit]]*NOT(ISBLANK(Tabella8[[#This Row],[Italy cumulative]]))</f>
        <v>179811.75520674791</v>
      </c>
      <c r="L117" s="10">
        <f>Tabella8[[#This Row],[Italy sum of regions]]+CI</f>
        <v>185017.6751096081</v>
      </c>
      <c r="M117" s="10">
        <f>MAX(Tabella8[[#This Row],[Italy sum of regions]]-CI,0)</f>
        <v>175238.39075162099</v>
      </c>
      <c r="N117" s="75">
        <f t="shared" si="0"/>
        <v>66236</v>
      </c>
      <c r="O117" s="10">
        <f>Tabella8[[#This Row],[Lombardy]]*NOT(ISBLANK(Tabella8[[#This Row],[Lombardy]]))</f>
        <v>66236</v>
      </c>
      <c r="P117" s="127">
        <f>IFERROR(Kr*_xlfn.LOGNORM.DIST((Tabella8[[#This Row],[Day]]-pr),mu_r,sigma_r,TRUE),0)</f>
        <v>66740.0083428785</v>
      </c>
      <c r="Q117" s="127">
        <f>Tabella8[[#This Row],[Lombardy fit]]/Kr</f>
        <v>0.76712653267676434</v>
      </c>
      <c r="R117" s="10">
        <f>Tabella8[[#This Row],[Lombardy fit]]*NOT(ISBLANK(Tabella8[[#This Row],[Lombardy]]))</f>
        <v>66740.0083428785</v>
      </c>
      <c r="S117" s="10">
        <f>Tabella8[[#This Row],[Lombardy fit]]+CIr</f>
        <v>69715.469766441951</v>
      </c>
      <c r="T117" s="10">
        <f>MAX(Tabella8[[#This Row],[Lombardy fit]]-CIr,0)</f>
        <v>63764.546919315049</v>
      </c>
      <c r="U117" s="10">
        <f>Tabella8[[#This Row],[Italy cumulative]]-Tabella8[[#This Row],[Lombardy]]</f>
        <v>112736</v>
      </c>
      <c r="V117" s="10">
        <f>Tabella8[[#This Row],[rest of Italy ]]*NOT(ISBLANK(Tabella8[[#This Row],[rest of Italy ]]))</f>
        <v>112736</v>
      </c>
      <c r="W117" s="128">
        <f>IFERROR(Ko*_xlfn.LOGNORM.DIST((Tabella8[[#This Row],[Day]]-po),mu_o,sigma_o,TRUE),0)</f>
        <v>113388.02458773604</v>
      </c>
      <c r="X117" s="128">
        <f>Tabella8[[#This Row],[rest of Italy fit]]/Ko</f>
        <v>0.76613539045546086</v>
      </c>
      <c r="Y117" s="23">
        <f>Tabella8[[#This Row],[rest of Italy fit]]*NOT(ISBLANK(Tabella8[[#This Row],[rest of Italy ]]))</f>
        <v>113388.02458773604</v>
      </c>
      <c r="Z117" s="10">
        <f>Tabella8[[#This Row],[rest of Italy fit]]+CIo</f>
        <v>115820.98079432153</v>
      </c>
      <c r="AA117" s="10">
        <f>MAX(Tabella8[[#This Row],[rest of Italy fit]]-CIo,0)</f>
        <v>110955.06838115056</v>
      </c>
      <c r="AC117" s="73" t="s">
        <v>4363</v>
      </c>
      <c r="AD117" s="106">
        <v>72889</v>
      </c>
      <c r="BA117" s="33"/>
      <c r="BB117" s="33"/>
      <c r="BD117" s="87"/>
      <c r="BE117" s="87"/>
    </row>
    <row r="118" spans="2:57" x14ac:dyDescent="0.3">
      <c r="B118" s="9">
        <v>43941</v>
      </c>
      <c r="C118" s="4">
        <v>111</v>
      </c>
      <c r="D118" s="10">
        <f>'dpc-covid19-ita-andamento-naz'!L58</f>
        <v>181228</v>
      </c>
      <c r="E118" s="10">
        <f>Tabella8[[#This Row],[Italy cumulative]]*NOT(ISBLANK(Tabella8[[#This Row],[Italy cumulative]]))</f>
        <v>181228</v>
      </c>
      <c r="F118" s="10">
        <f>Tabella8[[#This Row],[Lombardy fit]]+Tabella8[[#This Row],[rest of Italy fit]]</f>
        <v>183008.4790006371</v>
      </c>
      <c r="G118" s="91">
        <f>Tabella8[[#This Row],[Italy sum of regions]]/K_sum</f>
        <v>0.7787595422034449</v>
      </c>
      <c r="H118" s="10">
        <f>Tabella8[[#This Row],[Italy sum of regions]]*NOT(ISBLANK(Tabella8[[#This Row],[Italy cumulative]]))</f>
        <v>183008.4790006371</v>
      </c>
      <c r="I118" s="152">
        <f>IFERROR(Kt*_xlfn.LOGNORM.DIST((Tabella8[[#This Row],[Day]]-Days_back),mu_t,sigma_t,TRUE),0)</f>
        <v>182718.95994659094</v>
      </c>
      <c r="J118" s="129">
        <f>Tabella8[[#This Row],[Italy fit]]/Kt</f>
        <v>0.77752770128598692</v>
      </c>
      <c r="K118" s="10">
        <f>Tabella8[[#This Row],[Italy fit]]*NOT(ISBLANK(Tabella8[[#This Row],[Italy cumulative]]))</f>
        <v>182718.95994659094</v>
      </c>
      <c r="L118" s="10">
        <f>Tabella8[[#This Row],[Italy sum of regions]]+CI</f>
        <v>187898.12117963066</v>
      </c>
      <c r="M118" s="10">
        <f>MAX(Tabella8[[#This Row],[Italy sum of regions]]-CI,0)</f>
        <v>178118.83682164355</v>
      </c>
      <c r="N118" s="75">
        <f t="shared" si="0"/>
        <v>66971</v>
      </c>
      <c r="O118" s="10">
        <f>Tabella8[[#This Row],[Lombardy]]*NOT(ISBLANK(Tabella8[[#This Row],[Lombardy]]))</f>
        <v>66971</v>
      </c>
      <c r="P118" s="127">
        <f>IFERROR(Kr*_xlfn.LOGNORM.DIST((Tabella8[[#This Row],[Day]]-pr),mu_r,sigma_r,TRUE),0)</f>
        <v>67712.244857883314</v>
      </c>
      <c r="Q118" s="127">
        <f>Tabella8[[#This Row],[Lombardy fit]]/Kr</f>
        <v>0.77830166503314158</v>
      </c>
      <c r="R118" s="10">
        <f>Tabella8[[#This Row],[Lombardy fit]]*NOT(ISBLANK(Tabella8[[#This Row],[Lombardy]]))</f>
        <v>67712.244857883314</v>
      </c>
      <c r="S118" s="10">
        <f>Tabella8[[#This Row],[Lombardy fit]]+CIr</f>
        <v>70687.706281446764</v>
      </c>
      <c r="T118" s="10">
        <f>MAX(Tabella8[[#This Row],[Lombardy fit]]-CIr,0)</f>
        <v>64736.783434319863</v>
      </c>
      <c r="U118" s="10">
        <f>Tabella8[[#This Row],[Italy cumulative]]-Tabella8[[#This Row],[Lombardy]]</f>
        <v>114257</v>
      </c>
      <c r="V118" s="10">
        <f>Tabella8[[#This Row],[rest of Italy ]]*NOT(ISBLANK(Tabella8[[#This Row],[rest of Italy ]]))</f>
        <v>114257</v>
      </c>
      <c r="W118" s="128">
        <f>IFERROR(Ko*_xlfn.LOGNORM.DIST((Tabella8[[#This Row],[Day]]-po),mu_o,sigma_o,TRUE),0)</f>
        <v>115296.23414275379</v>
      </c>
      <c r="X118" s="128">
        <f>Tabella8[[#This Row],[rest of Italy fit]]/Ko</f>
        <v>0.77902869976056432</v>
      </c>
      <c r="Y118" s="23">
        <f>Tabella8[[#This Row],[rest of Italy fit]]*NOT(ISBLANK(Tabella8[[#This Row],[rest of Italy ]]))</f>
        <v>115296.23414275379</v>
      </c>
      <c r="Z118" s="10">
        <f>Tabella8[[#This Row],[rest of Italy fit]]+CIo</f>
        <v>117729.19034933927</v>
      </c>
      <c r="AA118" s="10">
        <f>MAX(Tabella8[[#This Row],[rest of Italy fit]]-CIo,0)</f>
        <v>112863.27793616831</v>
      </c>
      <c r="AC118" s="73" t="s">
        <v>4401</v>
      </c>
      <c r="AD118" s="106">
        <v>73479</v>
      </c>
      <c r="BA118" s="33"/>
      <c r="BB118" s="33"/>
      <c r="BD118" s="87"/>
      <c r="BE118" s="87"/>
    </row>
    <row r="119" spans="2:57" x14ac:dyDescent="0.3">
      <c r="B119" s="9">
        <v>43942</v>
      </c>
      <c r="C119" s="4">
        <v>112</v>
      </c>
      <c r="D119" s="10">
        <f>'dpc-covid19-ita-andamento-naz'!L59</f>
        <v>183957</v>
      </c>
      <c r="E119" s="10">
        <f>Tabella8[[#This Row],[Italy cumulative]]*NOT(ISBLANK(Tabella8[[#This Row],[Italy cumulative]]))</f>
        <v>183957</v>
      </c>
      <c r="F119" s="10">
        <f>Tabella8[[#This Row],[Lombardy fit]]+Tabella8[[#This Row],[rest of Italy fit]]</f>
        <v>185763.81334280915</v>
      </c>
      <c r="G119" s="91">
        <f>Tabella8[[#This Row],[Italy sum of regions]]/K_sum</f>
        <v>0.79048437005101069</v>
      </c>
      <c r="H119" s="10">
        <f>Tabella8[[#This Row],[Italy sum of regions]]*NOT(ISBLANK(Tabella8[[#This Row],[Italy cumulative]]))</f>
        <v>185763.81334280915</v>
      </c>
      <c r="I119" s="152">
        <f>IFERROR(Kt*_xlfn.LOGNORM.DIST((Tabella8[[#This Row],[Day]]-Days_back),mu_t,sigma_t,TRUE),0)</f>
        <v>185502.13098157951</v>
      </c>
      <c r="J119" s="129">
        <f>Tabella8[[#This Row],[Italy fit]]/Kt</f>
        <v>0.78937098551742602</v>
      </c>
      <c r="K119" s="10">
        <f>Tabella8[[#This Row],[Italy fit]]*NOT(ISBLANK(Tabella8[[#This Row],[Italy cumulative]]))</f>
        <v>185502.13098157951</v>
      </c>
      <c r="L119" s="10">
        <f>Tabella8[[#This Row],[Italy sum of regions]]+CI</f>
        <v>190653.45552180271</v>
      </c>
      <c r="M119" s="10">
        <f>MAX(Tabella8[[#This Row],[Italy sum of regions]]-CI,0)</f>
        <v>180874.1711638156</v>
      </c>
      <c r="N119" s="75">
        <f t="shared" si="0"/>
        <v>67931</v>
      </c>
      <c r="O119" s="10">
        <f>Tabella8[[#This Row],[Lombardy]]*NOT(ISBLANK(Tabella8[[#This Row],[Lombardy]]))</f>
        <v>67931</v>
      </c>
      <c r="P119" s="127">
        <f>IFERROR(Kr*_xlfn.LOGNORM.DIST((Tabella8[[#This Row],[Day]]-pr),mu_r,sigma_r,TRUE),0)</f>
        <v>68645.658331171959</v>
      </c>
      <c r="Q119" s="127">
        <f>Tabella8[[#This Row],[Lombardy fit]]/Kr</f>
        <v>0.78903055553071222</v>
      </c>
      <c r="R119" s="10">
        <f>Tabella8[[#This Row],[Lombardy fit]]*NOT(ISBLANK(Tabella8[[#This Row],[Lombardy]]))</f>
        <v>68645.658331171959</v>
      </c>
      <c r="S119" s="10">
        <f>Tabella8[[#This Row],[Lombardy fit]]+CIr</f>
        <v>71621.11975473541</v>
      </c>
      <c r="T119" s="10">
        <f>MAX(Tabella8[[#This Row],[Lombardy fit]]-CIr,0)</f>
        <v>65670.196907608508</v>
      </c>
      <c r="U119" s="10">
        <f>Tabella8[[#This Row],[Italy cumulative]]-Tabella8[[#This Row],[Lombardy]]</f>
        <v>116026</v>
      </c>
      <c r="V119" s="10">
        <f>Tabella8[[#This Row],[rest of Italy ]]*NOT(ISBLANK(Tabella8[[#This Row],[rest of Italy ]]))</f>
        <v>116026</v>
      </c>
      <c r="W119" s="128">
        <f>IFERROR(Ko*_xlfn.LOGNORM.DIST((Tabella8[[#This Row],[Day]]-po),mu_o,sigma_o,TRUE),0)</f>
        <v>117118.15501163721</v>
      </c>
      <c r="X119" s="128">
        <f>Tabella8[[#This Row],[rest of Italy fit]]/Ko</f>
        <v>0.79133897733472647</v>
      </c>
      <c r="Y119" s="23">
        <f>Tabella8[[#This Row],[rest of Italy fit]]*NOT(ISBLANK(Tabella8[[#This Row],[rest of Italy ]]))</f>
        <v>117118.15501163721</v>
      </c>
      <c r="Z119" s="10">
        <f>Tabella8[[#This Row],[rest of Italy fit]]+CIo</f>
        <v>119551.11121822269</v>
      </c>
      <c r="AA119" s="10">
        <f>MAX(Tabella8[[#This Row],[rest of Italy fit]]-CIo,0)</f>
        <v>114685.19880505172</v>
      </c>
      <c r="AC119" s="73" t="s">
        <v>4452</v>
      </c>
      <c r="AD119" s="106">
        <v>74348</v>
      </c>
      <c r="BA119" s="33"/>
      <c r="BB119" s="33"/>
      <c r="BD119" s="87"/>
      <c r="BE119" s="87"/>
    </row>
    <row r="120" spans="2:57" x14ac:dyDescent="0.3">
      <c r="B120" s="9">
        <v>43943</v>
      </c>
      <c r="C120" s="4">
        <v>113</v>
      </c>
      <c r="D120" s="10">
        <f>'dpc-covid19-ita-andamento-naz'!L60</f>
        <v>187327</v>
      </c>
      <c r="E120" s="10">
        <f>Tabella8[[#This Row],[Italy cumulative]]*NOT(ISBLANK(Tabella8[[#This Row],[Italy cumulative]]))</f>
        <v>187327</v>
      </c>
      <c r="F120" s="10">
        <f>Tabella8[[#This Row],[Lombardy fit]]+Tabella8[[#This Row],[rest of Italy fit]]</f>
        <v>188396.76139740302</v>
      </c>
      <c r="G120" s="91">
        <f>Tabella8[[#This Row],[Italy sum of regions]]/K_sum</f>
        <v>0.80168840514729622</v>
      </c>
      <c r="H120" s="10">
        <f>Tabella8[[#This Row],[Italy sum of regions]]*NOT(ISBLANK(Tabella8[[#This Row],[Italy cumulative]]))</f>
        <v>188396.76139740302</v>
      </c>
      <c r="I120" s="152">
        <f>IFERROR(Kt*_xlfn.LOGNORM.DIST((Tabella8[[#This Row],[Day]]-Days_back),mu_t,sigma_t,TRUE),0)</f>
        <v>188163.68888382229</v>
      </c>
      <c r="J120" s="129">
        <f>Tabella8[[#This Row],[Italy fit]]/Kt</f>
        <v>0.80069676691512703</v>
      </c>
      <c r="K120" s="10">
        <f>Tabella8[[#This Row],[Italy fit]]*NOT(ISBLANK(Tabella8[[#This Row],[Italy cumulative]]))</f>
        <v>188163.68888382229</v>
      </c>
      <c r="L120" s="10">
        <f>Tabella8[[#This Row],[Italy sum of regions]]+CI</f>
        <v>193286.40357639658</v>
      </c>
      <c r="M120" s="10">
        <f>MAX(Tabella8[[#This Row],[Italy sum of regions]]-CI,0)</f>
        <v>183507.11921840947</v>
      </c>
      <c r="N120" s="75">
        <f t="shared" si="0"/>
        <v>69092</v>
      </c>
      <c r="O120" s="10">
        <f>Tabella8[[#This Row],[Lombardy]]*NOT(ISBLANK(Tabella8[[#This Row],[Lombardy]]))</f>
        <v>69092</v>
      </c>
      <c r="P120" s="127">
        <f>IFERROR(Kr*_xlfn.LOGNORM.DIST((Tabella8[[#This Row],[Day]]-pr),mu_r,sigma_r,TRUE),0)</f>
        <v>69541.058826994791</v>
      </c>
      <c r="Q120" s="127">
        <f>Tabella8[[#This Row],[Lombardy fit]]/Kr</f>
        <v>0.79932251525281373</v>
      </c>
      <c r="R120" s="10">
        <f>Tabella8[[#This Row],[Lombardy fit]]*NOT(ISBLANK(Tabella8[[#This Row],[Lombardy]]))</f>
        <v>69541.058826994791</v>
      </c>
      <c r="S120" s="10">
        <f>Tabella8[[#This Row],[Lombardy fit]]+CIr</f>
        <v>72516.520250558242</v>
      </c>
      <c r="T120" s="10">
        <f>MAX(Tabella8[[#This Row],[Lombardy fit]]-CIr,0)</f>
        <v>66565.59740343134</v>
      </c>
      <c r="U120" s="10">
        <f>Tabella8[[#This Row],[Italy cumulative]]-Tabella8[[#This Row],[Lombardy]]</f>
        <v>118235</v>
      </c>
      <c r="V120" s="10">
        <f>Tabella8[[#This Row],[rest of Italy ]]*NOT(ISBLANK(Tabella8[[#This Row],[rest of Italy ]]))</f>
        <v>118235</v>
      </c>
      <c r="W120" s="128">
        <f>IFERROR(Ko*_xlfn.LOGNORM.DIST((Tabella8[[#This Row],[Day]]-po),mu_o,sigma_o,TRUE),0)</f>
        <v>118855.70257040823</v>
      </c>
      <c r="X120" s="128">
        <f>Tabella8[[#This Row],[rest of Italy fit]]/Ko</f>
        <v>0.80307916490933173</v>
      </c>
      <c r="Y120" s="23">
        <f>Tabella8[[#This Row],[rest of Italy fit]]*NOT(ISBLANK(Tabella8[[#This Row],[rest of Italy ]]))</f>
        <v>118855.70257040823</v>
      </c>
      <c r="Z120" s="10">
        <f>Tabella8[[#This Row],[rest of Italy fit]]+CIo</f>
        <v>121288.65877699372</v>
      </c>
      <c r="AA120" s="10">
        <f>MAX(Tabella8[[#This Row],[rest of Italy fit]]-CIo,0)</f>
        <v>116422.74636382275</v>
      </c>
      <c r="AC120" s="73" t="s">
        <v>135</v>
      </c>
      <c r="AD120" s="12">
        <v>2258987</v>
      </c>
      <c r="BA120" s="33"/>
      <c r="BB120" s="33"/>
      <c r="BD120" s="87"/>
      <c r="BE120" s="87"/>
    </row>
    <row r="121" spans="2:57" x14ac:dyDescent="0.3">
      <c r="B121" s="9">
        <v>43944</v>
      </c>
      <c r="C121" s="4">
        <v>114</v>
      </c>
      <c r="D121" s="10">
        <f>'dpc-covid19-ita-andamento-naz'!L61</f>
        <v>189973</v>
      </c>
      <c r="E121" s="10">
        <f>Tabella8[[#This Row],[Italy cumulative]]*NOT(ISBLANK(Tabella8[[#This Row],[Italy cumulative]]))</f>
        <v>189973</v>
      </c>
      <c r="F121" s="10">
        <f>Tabella8[[#This Row],[Lombardy fit]]+Tabella8[[#This Row],[rest of Italy fit]]</f>
        <v>190910.29671371981</v>
      </c>
      <c r="G121" s="91">
        <f>Tabella8[[#This Row],[Italy sum of regions]]/K_sum</f>
        <v>0.81238430089451041</v>
      </c>
      <c r="H121" s="10">
        <f>Tabella8[[#This Row],[Italy sum of regions]]*NOT(ISBLANK(Tabella8[[#This Row],[Italy cumulative]]))</f>
        <v>190910.29671371981</v>
      </c>
      <c r="I121" s="152">
        <f>IFERROR(Kt*_xlfn.LOGNORM.DIST((Tabella8[[#This Row],[Day]]-Days_back),mu_t,sigma_t,TRUE),0)</f>
        <v>190706.32231918254</v>
      </c>
      <c r="J121" s="129">
        <f>Tabella8[[#This Row],[Italy fit]]/Kt</f>
        <v>0.81151648661354492</v>
      </c>
      <c r="K121" s="10">
        <f>Tabella8[[#This Row],[Italy fit]]*NOT(ISBLANK(Tabella8[[#This Row],[Italy cumulative]]))</f>
        <v>190706.32231918254</v>
      </c>
      <c r="L121" s="10">
        <f>Tabella8[[#This Row],[Italy sum of regions]]+CI</f>
        <v>195799.93889271337</v>
      </c>
      <c r="M121" s="10">
        <f>MAX(Tabella8[[#This Row],[Italy sum of regions]]-CI,0)</f>
        <v>186020.65453472626</v>
      </c>
      <c r="N121" s="75">
        <f t="shared" si="0"/>
        <v>70165</v>
      </c>
      <c r="O121" s="10">
        <f>Tabella8[[#This Row],[Lombardy]]*NOT(ISBLANK(Tabella8[[#This Row],[Lombardy]]))</f>
        <v>70165</v>
      </c>
      <c r="P121" s="127">
        <f>IFERROR(Kr*_xlfn.LOGNORM.DIST((Tabella8[[#This Row],[Day]]-pr),mu_r,sigma_r,TRUE),0)</f>
        <v>70399.316163647018</v>
      </c>
      <c r="Q121" s="127">
        <f>Tabella8[[#This Row],[Lombardy fit]]/Kr</f>
        <v>0.80918754211088528</v>
      </c>
      <c r="R121" s="10">
        <f>Tabella8[[#This Row],[Lombardy fit]]*NOT(ISBLANK(Tabella8[[#This Row],[Lombardy]]))</f>
        <v>70399.316163647018</v>
      </c>
      <c r="S121" s="10">
        <f>Tabella8[[#This Row],[Lombardy fit]]+CIr</f>
        <v>73374.777587210468</v>
      </c>
      <c r="T121" s="10">
        <f>MAX(Tabella8[[#This Row],[Lombardy fit]]-CIr,0)</f>
        <v>67423.854740083567</v>
      </c>
      <c r="U121" s="10">
        <f>Tabella8[[#This Row],[Italy cumulative]]-Tabella8[[#This Row],[Lombardy]]</f>
        <v>119808</v>
      </c>
      <c r="V121" s="10">
        <f>Tabella8[[#This Row],[rest of Italy ]]*NOT(ISBLANK(Tabella8[[#This Row],[rest of Italy ]]))</f>
        <v>119808</v>
      </c>
      <c r="W121" s="128">
        <f>IFERROR(Ko*_xlfn.LOGNORM.DIST((Tabella8[[#This Row],[Day]]-po),mu_o,sigma_o,TRUE),0)</f>
        <v>120510.9805500728</v>
      </c>
      <c r="X121" s="128">
        <f>Tabella8[[#This Row],[rest of Italy fit]]/Ko</f>
        <v>0.81426347688472356</v>
      </c>
      <c r="Y121" s="23">
        <f>Tabella8[[#This Row],[rest of Italy fit]]*NOT(ISBLANK(Tabella8[[#This Row],[rest of Italy ]]))</f>
        <v>120510.9805500728</v>
      </c>
      <c r="Z121" s="10">
        <f>Tabella8[[#This Row],[rest of Italy fit]]+CIo</f>
        <v>122943.93675665828</v>
      </c>
      <c r="AA121" s="10">
        <f>MAX(Tabella8[[#This Row],[rest of Italy fit]]-CIo,0)</f>
        <v>118078.02434348731</v>
      </c>
      <c r="BA121" s="33"/>
      <c r="BB121" s="33"/>
      <c r="BD121" s="87"/>
      <c r="BE121" s="87"/>
    </row>
    <row r="122" spans="2:57" x14ac:dyDescent="0.3">
      <c r="B122" s="9">
        <v>43945</v>
      </c>
      <c r="C122" s="4">
        <v>115</v>
      </c>
      <c r="D122" s="10">
        <f>'dpc-covid19-ita-andamento-naz'!L62</f>
        <v>192994</v>
      </c>
      <c r="E122" s="10">
        <f>Tabella8[[#This Row],[Italy cumulative]]*NOT(ISBLANK(Tabella8[[#This Row],[Italy cumulative]]))</f>
        <v>192994</v>
      </c>
      <c r="F122" s="10">
        <f>Tabella8[[#This Row],[Lombardy fit]]+Tabella8[[#This Row],[rest of Italy fit]]</f>
        <v>193307.598182883</v>
      </c>
      <c r="G122" s="91">
        <f>Tabella8[[#This Row],[Italy sum of regions]]/K_sum</f>
        <v>0.82258558448991514</v>
      </c>
      <c r="H122" s="10">
        <f>Tabella8[[#This Row],[Italy sum of regions]]*NOT(ISBLANK(Tabella8[[#This Row],[Italy cumulative]]))</f>
        <v>193307.598182883</v>
      </c>
      <c r="I122" s="152">
        <f>IFERROR(Kt*_xlfn.LOGNORM.DIST((Tabella8[[#This Row],[Day]]-Days_back),mu_t,sigma_t,TRUE),0)</f>
        <v>193132.94656158893</v>
      </c>
      <c r="J122" s="129">
        <f>Tabella8[[#This Row],[Italy fit]]/Kt</f>
        <v>0.82184255003703743</v>
      </c>
      <c r="K122" s="10">
        <f>Tabella8[[#This Row],[Italy fit]]*NOT(ISBLANK(Tabella8[[#This Row],[Italy cumulative]]))</f>
        <v>193132.94656158893</v>
      </c>
      <c r="L122" s="10">
        <f>Tabella8[[#This Row],[Italy sum of regions]]+CI</f>
        <v>198197.24036187655</v>
      </c>
      <c r="M122" s="10">
        <f>MAX(Tabella8[[#This Row],[Italy sum of regions]]-CI,0)</f>
        <v>188417.95600388944</v>
      </c>
      <c r="N122" s="75">
        <f t="shared" si="0"/>
        <v>71256</v>
      </c>
      <c r="O122" s="10">
        <f>Tabella8[[#This Row],[Lombardy]]*NOT(ISBLANK(Tabella8[[#This Row],[Lombardy]]))</f>
        <v>71256</v>
      </c>
      <c r="P122" s="127">
        <f>IFERROR(Kr*_xlfn.LOGNORM.DIST((Tabella8[[#This Row],[Day]]-pr),mu_r,sigma_r,TRUE),0)</f>
        <v>71221.350024725776</v>
      </c>
      <c r="Q122" s="127">
        <f>Tabella8[[#This Row],[Lombardy fit]]/Kr</f>
        <v>0.81863620718075603</v>
      </c>
      <c r="R122" s="10">
        <f>Tabella8[[#This Row],[Lombardy fit]]*NOT(ISBLANK(Tabella8[[#This Row],[Lombardy]]))</f>
        <v>71221.350024725776</v>
      </c>
      <c r="S122" s="10">
        <f>Tabella8[[#This Row],[Lombardy fit]]+CIr</f>
        <v>74196.811448289227</v>
      </c>
      <c r="T122" s="10">
        <f>MAX(Tabella8[[#This Row],[Lombardy fit]]-CIr,0)</f>
        <v>68245.888601162325</v>
      </c>
      <c r="U122" s="10">
        <f>Tabella8[[#This Row],[Italy cumulative]]-Tabella8[[#This Row],[Lombardy]]</f>
        <v>121738</v>
      </c>
      <c r="V122" s="10">
        <f>Tabella8[[#This Row],[rest of Italy ]]*NOT(ISBLANK(Tabella8[[#This Row],[rest of Italy ]]))</f>
        <v>121738</v>
      </c>
      <c r="W122" s="128">
        <f>IFERROR(Ko*_xlfn.LOGNORM.DIST((Tabella8[[#This Row],[Day]]-po),mu_o,sigma_o,TRUE),0)</f>
        <v>122086.24815815724</v>
      </c>
      <c r="X122" s="128">
        <f>Tabella8[[#This Row],[rest of Italy fit]]/Ko</f>
        <v>0.82490717817839743</v>
      </c>
      <c r="Y122" s="23">
        <f>Tabella8[[#This Row],[rest of Italy fit]]*NOT(ISBLANK(Tabella8[[#This Row],[rest of Italy ]]))</f>
        <v>122086.24815815724</v>
      </c>
      <c r="Z122" s="10">
        <f>Tabella8[[#This Row],[rest of Italy fit]]+CIo</f>
        <v>124519.20436474272</v>
      </c>
      <c r="AA122" s="10">
        <f>MAX(Tabella8[[#This Row],[rest of Italy fit]]-CIo,0)</f>
        <v>119653.29195157175</v>
      </c>
      <c r="BA122" s="33"/>
      <c r="BB122" s="33"/>
      <c r="BD122" s="87"/>
      <c r="BE122" s="87"/>
    </row>
    <row r="123" spans="2:57" x14ac:dyDescent="0.3">
      <c r="B123" s="9">
        <v>43946</v>
      </c>
      <c r="C123" s="4">
        <v>116</v>
      </c>
      <c r="D123" s="10">
        <f>'dpc-covid19-ita-andamento-naz'!L63</f>
        <v>195351</v>
      </c>
      <c r="E123" s="10">
        <f>Tabella8[[#This Row],[Italy cumulative]]*NOT(ISBLANK(Tabella8[[#This Row],[Italy cumulative]]))</f>
        <v>195351</v>
      </c>
      <c r="F123" s="10">
        <f>Tabella8[[#This Row],[Lombardy fit]]+Tabella8[[#This Row],[rest of Italy fit]]</f>
        <v>195592.01070900948</v>
      </c>
      <c r="G123" s="91">
        <f>Tabella8[[#This Row],[Italy sum of regions]]/K_sum</f>
        <v>0.83230648956909392</v>
      </c>
      <c r="H123" s="10">
        <f>Tabella8[[#This Row],[Italy sum of regions]]*NOT(ISBLANK(Tabella8[[#This Row],[Italy cumulative]]))</f>
        <v>195592.01070900948</v>
      </c>
      <c r="I123" s="152">
        <f>IFERROR(Kt*_xlfn.LOGNORM.DIST((Tabella8[[#This Row],[Day]]-Days_back),mu_t,sigma_t,TRUE),0)</f>
        <v>195446.66496482416</v>
      </c>
      <c r="J123" s="129">
        <f>Tabella8[[#This Row],[Italy fit]]/Kt</f>
        <v>0.83168816294998538</v>
      </c>
      <c r="K123" s="10">
        <f>Tabella8[[#This Row],[Italy fit]]*NOT(ISBLANK(Tabella8[[#This Row],[Italy cumulative]]))</f>
        <v>195446.66496482416</v>
      </c>
      <c r="L123" s="10">
        <f>Tabella8[[#This Row],[Italy sum of regions]]+CI</f>
        <v>200481.65288800304</v>
      </c>
      <c r="M123" s="10">
        <f>MAX(Tabella8[[#This Row],[Italy sum of regions]]-CI,0)</f>
        <v>190702.36853001593</v>
      </c>
      <c r="N123" s="75">
        <f t="shared" si="0"/>
        <v>71969</v>
      </c>
      <c r="O123" s="10">
        <f>Tabella8[[#This Row],[Lombardy]]*NOT(ISBLANK(Tabella8[[#This Row],[Lombardy]]))</f>
        <v>71969</v>
      </c>
      <c r="P123" s="127">
        <f>IFERROR(Kr*_xlfn.LOGNORM.DIST((Tabella8[[#This Row],[Day]]-pr),mu_r,sigma_r,TRUE),0)</f>
        <v>72008.120834134315</v>
      </c>
      <c r="Q123" s="127">
        <f>Tabella8[[#This Row],[Lombardy fit]]/Kr</f>
        <v>0.82767954981763581</v>
      </c>
      <c r="R123" s="10">
        <f>Tabella8[[#This Row],[Lombardy fit]]*NOT(ISBLANK(Tabella8[[#This Row],[Lombardy]]))</f>
        <v>72008.120834134315</v>
      </c>
      <c r="S123" s="10">
        <f>Tabella8[[#This Row],[Lombardy fit]]+CIr</f>
        <v>74983.582257697766</v>
      </c>
      <c r="T123" s="10">
        <f>MAX(Tabella8[[#This Row],[Lombardy fit]]-CIr,0)</f>
        <v>69032.659410570865</v>
      </c>
      <c r="U123" s="10">
        <f>Tabella8[[#This Row],[Italy cumulative]]-Tabella8[[#This Row],[Lombardy]]</f>
        <v>123382</v>
      </c>
      <c r="V123" s="10">
        <f>Tabella8[[#This Row],[rest of Italy ]]*NOT(ISBLANK(Tabella8[[#This Row],[rest of Italy ]]))</f>
        <v>123382</v>
      </c>
      <c r="W123" s="128">
        <f>IFERROR(Ko*_xlfn.LOGNORM.DIST((Tabella8[[#This Row],[Day]]-po),mu_o,sigma_o,TRUE),0)</f>
        <v>123583.88987487515</v>
      </c>
      <c r="X123" s="128">
        <f>Tabella8[[#This Row],[rest of Italy fit]]/Ko</f>
        <v>0.83502638014502351</v>
      </c>
      <c r="Y123" s="23">
        <f>Tabella8[[#This Row],[rest of Italy fit]]*NOT(ISBLANK(Tabella8[[#This Row],[rest of Italy ]]))</f>
        <v>123583.88987487515</v>
      </c>
      <c r="Z123" s="10">
        <f>Tabella8[[#This Row],[rest of Italy fit]]+CIo</f>
        <v>126016.84608146064</v>
      </c>
      <c r="AA123" s="10">
        <f>MAX(Tabella8[[#This Row],[rest of Italy fit]]-CIo,0)</f>
        <v>121150.93366828967</v>
      </c>
      <c r="BA123" s="33"/>
      <c r="BB123" s="33"/>
      <c r="BD123" s="87"/>
      <c r="BE123" s="87"/>
    </row>
    <row r="124" spans="2:57" x14ac:dyDescent="0.3">
      <c r="B124" s="9">
        <v>43947</v>
      </c>
      <c r="C124" s="4">
        <v>117</v>
      </c>
      <c r="D124" s="10">
        <f>'dpc-covid19-ita-andamento-naz'!L64</f>
        <v>197675</v>
      </c>
      <c r="E124" s="10">
        <f>Tabella8[[#This Row],[Italy cumulative]]*NOT(ISBLANK(Tabella8[[#This Row],[Italy cumulative]]))</f>
        <v>197675</v>
      </c>
      <c r="F124" s="10">
        <f>Tabella8[[#This Row],[Lombardy fit]]+Tabella8[[#This Row],[rest of Italy fit]]</f>
        <v>197767.00925557717</v>
      </c>
      <c r="G124" s="91">
        <f>Tabella8[[#This Row],[Italy sum of regions]]/K_sum</f>
        <v>0.84156180321176022</v>
      </c>
      <c r="H124" s="10">
        <f>Tabella8[[#This Row],[Italy sum of regions]]*NOT(ISBLANK(Tabella8[[#This Row],[Italy cumulative]]))</f>
        <v>197767.00925557717</v>
      </c>
      <c r="I124" s="152">
        <f>IFERROR(Kt*_xlfn.LOGNORM.DIST((Tabella8[[#This Row],[Day]]-Days_back),mu_t,sigma_t,TRUE),0)</f>
        <v>197650.73338786166</v>
      </c>
      <c r="J124" s="129">
        <f>Tabella8[[#This Row],[Italy fit]]/Kt</f>
        <v>0.84106718007520487</v>
      </c>
      <c r="K124" s="10">
        <f>Tabella8[[#This Row],[Italy fit]]*NOT(ISBLANK(Tabella8[[#This Row],[Italy cumulative]]))</f>
        <v>197650.73338786166</v>
      </c>
      <c r="L124" s="10">
        <f>Tabella8[[#This Row],[Italy sum of regions]]+CI</f>
        <v>202656.65143457073</v>
      </c>
      <c r="M124" s="10">
        <f>MAX(Tabella8[[#This Row],[Italy sum of regions]]-CI,0)</f>
        <v>192877.36707658361</v>
      </c>
      <c r="N124" s="75">
        <f t="shared" si="0"/>
        <v>72889</v>
      </c>
      <c r="O124" s="10">
        <f>Tabella8[[#This Row],[Lombardy]]*NOT(ISBLANK(Tabella8[[#This Row],[Lombardy]]))</f>
        <v>72889</v>
      </c>
      <c r="P124" s="127">
        <f>IFERROR(Kr*_xlfn.LOGNORM.DIST((Tabella8[[#This Row],[Day]]-pr),mu_r,sigma_r,TRUE),0)</f>
        <v>72760.621375470975</v>
      </c>
      <c r="Q124" s="127">
        <f>Tabella8[[#This Row],[Lombardy fit]]/Kr</f>
        <v>0.83632898132725264</v>
      </c>
      <c r="R124" s="10">
        <f>Tabella8[[#This Row],[Lombardy fit]]*NOT(ISBLANK(Tabella8[[#This Row],[Lombardy]]))</f>
        <v>72760.621375470975</v>
      </c>
      <c r="S124" s="10">
        <f>Tabella8[[#This Row],[Lombardy fit]]+CIr</f>
        <v>75736.082799034426</v>
      </c>
      <c r="T124" s="10">
        <f>MAX(Tabella8[[#This Row],[Lombardy fit]]-CIr,0)</f>
        <v>69785.159951907524</v>
      </c>
      <c r="U124" s="10">
        <f>Tabella8[[#This Row],[Italy cumulative]]-Tabella8[[#This Row],[Lombardy]]</f>
        <v>124786</v>
      </c>
      <c r="V124" s="10">
        <f>Tabella8[[#This Row],[rest of Italy ]]*NOT(ISBLANK(Tabella8[[#This Row],[rest of Italy ]]))</f>
        <v>124786</v>
      </c>
      <c r="W124" s="128">
        <f>IFERROR(Ko*_xlfn.LOGNORM.DIST((Tabella8[[#This Row],[Day]]-po),mu_o,sigma_o,TRUE),0)</f>
        <v>125006.38788010621</v>
      </c>
      <c r="X124" s="128">
        <f>Tabella8[[#This Row],[rest of Italy fit]]/Ko</f>
        <v>0.8446378542722276</v>
      </c>
      <c r="Y124" s="23">
        <f>Tabella8[[#This Row],[rest of Italy fit]]*NOT(ISBLANK(Tabella8[[#This Row],[rest of Italy ]]))</f>
        <v>125006.38788010621</v>
      </c>
      <c r="Z124" s="10">
        <f>Tabella8[[#This Row],[rest of Italy fit]]+CIo</f>
        <v>127439.34408669169</v>
      </c>
      <c r="AA124" s="10">
        <f>MAX(Tabella8[[#This Row],[rest of Italy fit]]-CIo,0)</f>
        <v>122573.43167352072</v>
      </c>
      <c r="BA124" s="33"/>
      <c r="BB124" s="33"/>
      <c r="BD124" s="87"/>
      <c r="BE124" s="87"/>
    </row>
    <row r="125" spans="2:57" x14ac:dyDescent="0.3">
      <c r="B125" s="9">
        <v>43948</v>
      </c>
      <c r="C125" s="4">
        <v>118</v>
      </c>
      <c r="D125" s="10">
        <f>'dpc-covid19-ita-andamento-naz'!L65</f>
        <v>199414</v>
      </c>
      <c r="E125" s="10">
        <f>Tabella8[[#This Row],[Italy cumulative]]*NOT(ISBLANK(Tabella8[[#This Row],[Italy cumulative]]))</f>
        <v>199414</v>
      </c>
      <c r="F125" s="10">
        <f>Tabella8[[#This Row],[Lombardy fit]]+Tabella8[[#This Row],[rest of Italy fit]]</f>
        <v>199836.1661705788</v>
      </c>
      <c r="G125" s="91">
        <f>Tabella8[[#This Row],[Italy sum of regions]]/K_sum</f>
        <v>0.85036672689984882</v>
      </c>
      <c r="H125" s="10">
        <f>Tabella8[[#This Row],[Italy sum of regions]]*NOT(ISBLANK(Tabella8[[#This Row],[Italy cumulative]]))</f>
        <v>199836.1661705788</v>
      </c>
      <c r="I125" s="152">
        <f>IFERROR(Kt*_xlfn.LOGNORM.DIST((Tabella8[[#This Row],[Day]]-Days_back),mu_t,sigma_t,TRUE),0)</f>
        <v>199748.52753466243</v>
      </c>
      <c r="J125" s="129">
        <f>Tabella8[[#This Row],[Italy fit]]/Kt</f>
        <v>0.84999396611432187</v>
      </c>
      <c r="K125" s="10">
        <f>Tabella8[[#This Row],[Italy fit]]*NOT(ISBLANK(Tabella8[[#This Row],[Italy cumulative]]))</f>
        <v>199748.52753466243</v>
      </c>
      <c r="L125" s="10">
        <f>Tabella8[[#This Row],[Italy sum of regions]]+CI</f>
        <v>204725.80834957235</v>
      </c>
      <c r="M125" s="10">
        <f>MAX(Tabella8[[#This Row],[Italy sum of regions]]-CI,0)</f>
        <v>194946.52399158524</v>
      </c>
      <c r="N125" s="75">
        <f t="shared" si="0"/>
        <v>73479</v>
      </c>
      <c r="O125" s="10">
        <f>Tabella8[[#This Row],[Lombardy]]*NOT(ISBLANK(Tabella8[[#This Row],[Lombardy]]))</f>
        <v>73479</v>
      </c>
      <c r="P125" s="127">
        <f>IFERROR(Kr*_xlfn.LOGNORM.DIST((Tabella8[[#This Row],[Day]]-pr),mu_r,sigma_r,TRUE),0)</f>
        <v>73479.869131409956</v>
      </c>
      <c r="Q125" s="127">
        <f>Tabella8[[#This Row],[Lombardy fit]]/Kr</f>
        <v>0.84459619691275811</v>
      </c>
      <c r="R125" s="10">
        <f>Tabella8[[#This Row],[Lombardy fit]]*NOT(ISBLANK(Tabella8[[#This Row],[Lombardy]]))</f>
        <v>73479.869131409956</v>
      </c>
      <c r="S125" s="10">
        <f>Tabella8[[#This Row],[Lombardy fit]]+CIr</f>
        <v>76455.330554973407</v>
      </c>
      <c r="T125" s="10">
        <f>MAX(Tabella8[[#This Row],[Lombardy fit]]-CIr,0)</f>
        <v>70504.407707846505</v>
      </c>
      <c r="U125" s="10">
        <f>Tabella8[[#This Row],[Italy cumulative]]-Tabella8[[#This Row],[Lombardy]]</f>
        <v>125935</v>
      </c>
      <c r="V125" s="10">
        <f>Tabella8[[#This Row],[rest of Italy ]]*NOT(ISBLANK(Tabella8[[#This Row],[rest of Italy ]]))</f>
        <v>125935</v>
      </c>
      <c r="W125" s="128">
        <f>IFERROR(Ko*_xlfn.LOGNORM.DIST((Tabella8[[#This Row],[Day]]-po),mu_o,sigma_o,TRUE),0)</f>
        <v>126356.29703916883</v>
      </c>
      <c r="X125" s="128">
        <f>Tabella8[[#This Row],[rest of Italy fit]]/Ko</f>
        <v>0.85375886316552219</v>
      </c>
      <c r="Y125" s="23">
        <f>Tabella8[[#This Row],[rest of Italy fit]]*NOT(ISBLANK(Tabella8[[#This Row],[rest of Italy ]]))</f>
        <v>126356.29703916883</v>
      </c>
      <c r="Z125" s="10">
        <f>Tabella8[[#This Row],[rest of Italy fit]]+CIo</f>
        <v>128789.25324575431</v>
      </c>
      <c r="AA125" s="10">
        <f>MAX(Tabella8[[#This Row],[rest of Italy fit]]-CIo,0)</f>
        <v>123923.34083258334</v>
      </c>
      <c r="BA125" s="33"/>
      <c r="BB125" s="33"/>
      <c r="BD125" s="87"/>
      <c r="BE125" s="87"/>
    </row>
    <row r="126" spans="2:57" x14ac:dyDescent="0.3">
      <c r="B126" s="9">
        <v>43949</v>
      </c>
      <c r="C126" s="4">
        <v>119</v>
      </c>
      <c r="D126" s="10">
        <f>'dpc-covid19-ita-andamento-naz'!L66</f>
        <v>201505</v>
      </c>
      <c r="E126" s="10">
        <f>Tabella8[[#This Row],[Italy cumulative]]*NOT(ISBLANK(Tabella8[[#This Row],[Italy cumulative]]))</f>
        <v>201505</v>
      </c>
      <c r="F126" s="10">
        <f>Tabella8[[#This Row],[Lombardy fit]]+Tabella8[[#This Row],[rest of Italy fit]]</f>
        <v>201803.12166798054</v>
      </c>
      <c r="G126" s="91">
        <f>Tabella8[[#This Row],[Italy sum of regions]]/K_sum</f>
        <v>0.85873675090669166</v>
      </c>
      <c r="H126" s="10">
        <f>Tabella8[[#This Row],[Italy sum of regions]]*NOT(ISBLANK(Tabella8[[#This Row],[Italy cumulative]]))</f>
        <v>201803.12166798054</v>
      </c>
      <c r="I126" s="152">
        <f>IFERROR(Kt*_xlfn.LOGNORM.DIST((Tabella8[[#This Row],[Day]]-Days_back),mu_t,sigma_t,TRUE),0)</f>
        <v>201743.51314047718</v>
      </c>
      <c r="J126" s="129">
        <f>Tabella8[[#This Row],[Italy fit]]/Kt</f>
        <v>0.85848326888093773</v>
      </c>
      <c r="K126" s="10">
        <f>Tabella8[[#This Row],[Italy fit]]*NOT(ISBLANK(Tabella8[[#This Row],[Italy cumulative]]))</f>
        <v>201743.51314047718</v>
      </c>
      <c r="L126" s="10">
        <f>Tabella8[[#This Row],[Italy sum of regions]]+CI</f>
        <v>206692.76384697409</v>
      </c>
      <c r="M126" s="10">
        <f>MAX(Tabella8[[#This Row],[Italy sum of regions]]-CI,0)</f>
        <v>196913.47948898698</v>
      </c>
      <c r="N126" s="75">
        <f t="shared" si="0"/>
        <v>74348</v>
      </c>
      <c r="O126" s="10">
        <f>Tabella8[[#This Row],[Lombardy]]*NOT(ISBLANK(Tabella8[[#This Row],[Lombardy]]))</f>
        <v>74348</v>
      </c>
      <c r="P126" s="127">
        <f>IFERROR(Kr*_xlfn.LOGNORM.DIST((Tabella8[[#This Row],[Day]]-pr),mu_r,sigma_r,TRUE),0)</f>
        <v>74166.8993147609</v>
      </c>
      <c r="Q126" s="127">
        <f>Tabella8[[#This Row],[Lombardy fit]]/Kr</f>
        <v>0.8524930955719644</v>
      </c>
      <c r="R126" s="10">
        <f>Tabella8[[#This Row],[Lombardy fit]]*NOT(ISBLANK(Tabella8[[#This Row],[Lombardy]]))</f>
        <v>74166.8993147609</v>
      </c>
      <c r="S126" s="10">
        <f>Tabella8[[#This Row],[Lombardy fit]]+CIr</f>
        <v>77142.360738324351</v>
      </c>
      <c r="T126" s="10">
        <f>MAX(Tabella8[[#This Row],[Lombardy fit]]-CIr,0)</f>
        <v>71191.437891197449</v>
      </c>
      <c r="U126" s="10">
        <f>Tabella8[[#This Row],[Italy cumulative]]-Tabella8[[#This Row],[Lombardy]]</f>
        <v>127157</v>
      </c>
      <c r="V126" s="10">
        <f>Tabella8[[#This Row],[rest of Italy ]]*NOT(ISBLANK(Tabella8[[#This Row],[rest of Italy ]]))</f>
        <v>127157</v>
      </c>
      <c r="W126" s="128">
        <f>IFERROR(Ko*_xlfn.LOGNORM.DIST((Tabella8[[#This Row],[Day]]-po),mu_o,sigma_o,TRUE),0)</f>
        <v>127636.22235321964</v>
      </c>
      <c r="X126" s="128">
        <f>Tabella8[[#This Row],[rest of Italy fit]]/Ko</f>
        <v>0.86240700818612259</v>
      </c>
      <c r="Y126" s="23">
        <f>Tabella8[[#This Row],[rest of Italy fit]]*NOT(ISBLANK(Tabella8[[#This Row],[rest of Italy ]]))</f>
        <v>127636.22235321964</v>
      </c>
      <c r="Z126" s="10">
        <f>Tabella8[[#This Row],[rest of Italy fit]]+CIo</f>
        <v>130069.17855980512</v>
      </c>
      <c r="AA126" s="10">
        <f>MAX(Tabella8[[#This Row],[rest of Italy fit]]-CIo,0)</f>
        <v>125203.26614663415</v>
      </c>
      <c r="BA126" s="33"/>
      <c r="BB126" s="33"/>
      <c r="BD126" s="87"/>
      <c r="BE126" s="87"/>
    </row>
    <row r="127" spans="2:57" x14ac:dyDescent="0.3">
      <c r="B127" s="9">
        <v>43950</v>
      </c>
      <c r="C127" s="4">
        <v>120</v>
      </c>
      <c r="D127" s="10"/>
      <c r="E127" s="10">
        <f>Tabella8[[#This Row],[Italy cumulative]]*NOT(ISBLANK(Tabella8[[#This Row],[Italy cumulative]]))</f>
        <v>0</v>
      </c>
      <c r="F127" s="10">
        <f>Tabella8[[#This Row],[Lombardy fit]]+Tabella8[[#This Row],[rest of Italy fit]]</f>
        <v>203671.5573232102</v>
      </c>
      <c r="G127" s="91">
        <f>Tabella8[[#This Row],[Italy sum of regions]]/K_sum</f>
        <v>0.86668754151185357</v>
      </c>
      <c r="H127" s="10">
        <f>Tabella8[[#This Row],[Italy sum of regions]]*NOT(ISBLANK(Tabella8[[#This Row],[Italy cumulative]]))</f>
        <v>0</v>
      </c>
      <c r="I127" s="152">
        <f>IFERROR(Kt*_xlfn.LOGNORM.DIST((Tabella8[[#This Row],[Day]]-Days_back),mu_t,sigma_t,TRUE),0)</f>
        <v>203639.218913466</v>
      </c>
      <c r="J127" s="129">
        <f>Tabella8[[#This Row],[Italy fit]]/Kt</f>
        <v>0.86655010415855438</v>
      </c>
      <c r="K127" s="10">
        <f>Tabella8[[#This Row],[Italy fit]]*NOT(ISBLANK(Tabella8[[#This Row],[Italy cumulative]]))</f>
        <v>0</v>
      </c>
      <c r="L127" s="10"/>
      <c r="M127" s="10"/>
      <c r="N127" s="76"/>
      <c r="O127" s="10">
        <f>Tabella8[[#This Row],[Lombardy]]*NOT(ISBLANK(Tabella8[[#This Row],[Lombardy]]))</f>
        <v>0</v>
      </c>
      <c r="P127" s="127">
        <f>IFERROR(Kr*_xlfn.LOGNORM.DIST((Tabella8[[#This Row],[Day]]-pr),mu_r,sigma_r,TRUE),0)</f>
        <v>74822.758559943803</v>
      </c>
      <c r="Q127" s="127">
        <f>Tabella8[[#This Row],[Lombardy fit]]/Kr</f>
        <v>0.86003170758556091</v>
      </c>
      <c r="R127" s="10">
        <f>Tabella8[[#This Row],[Lombardy fit]]*NOT(ISBLANK(Tabella8[[#This Row],[Lombardy]]))</f>
        <v>0</v>
      </c>
      <c r="V127" s="10">
        <f>Tabella8[[#This Row],[rest of Italy ]]*NOT(ISBLANK(Tabella8[[#This Row],[rest of Italy ]]))</f>
        <v>0</v>
      </c>
      <c r="W127" s="128">
        <f>IFERROR(Ko*_xlfn.LOGNORM.DIST((Tabella8[[#This Row],[Day]]-po),mu_o,sigma_o,TRUE),0)</f>
        <v>128848.7987632664</v>
      </c>
      <c r="X127" s="128">
        <f>Tabella8[[#This Row],[rest of Italy fit]]/Ko</f>
        <v>0.87060009299155927</v>
      </c>
      <c r="Y127" s="23">
        <f>Tabella8[[#This Row],[rest of Italy fit]]*NOT(ISBLANK(Tabella8[[#This Row],[rest of Italy ]]))</f>
        <v>0</v>
      </c>
      <c r="BA127" s="33"/>
      <c r="BB127" s="33"/>
      <c r="BD127" s="87"/>
      <c r="BE127" s="87"/>
    </row>
    <row r="128" spans="2:57" x14ac:dyDescent="0.3">
      <c r="B128" s="9">
        <v>43951</v>
      </c>
      <c r="C128" s="4">
        <v>121</v>
      </c>
      <c r="D128" s="10"/>
      <c r="E128" s="10">
        <f>Tabella8[[#This Row],[Italy cumulative]]*NOT(ISBLANK(Tabella8[[#This Row],[Italy cumulative]]))</f>
        <v>0</v>
      </c>
      <c r="F128" s="10">
        <f>Tabella8[[#This Row],[Lombardy fit]]+Tabella8[[#This Row],[rest of Italy fit]]</f>
        <v>205445.17242604817</v>
      </c>
      <c r="G128" s="91">
        <f>Tabella8[[#This Row],[Italy sum of regions]]/K_sum</f>
        <v>0.87423484037512866</v>
      </c>
      <c r="H128" s="10">
        <f>Tabella8[[#This Row],[Italy sum of regions]]*NOT(ISBLANK(Tabella8[[#This Row],[Italy cumulative]]))</f>
        <v>0</v>
      </c>
      <c r="I128" s="152">
        <f>IFERROR(Kt*_xlfn.LOGNORM.DIST((Tabella8[[#This Row],[Day]]-Days_back),mu_t,sigma_t,TRUE),0)</f>
        <v>205439.21212223719</v>
      </c>
      <c r="J128" s="129">
        <f>Tabella8[[#This Row],[Italy fit]]/Kt</f>
        <v>0.8742096518177318</v>
      </c>
      <c r="K128" s="10">
        <f>Tabella8[[#This Row],[Italy fit]]*NOT(ISBLANK(Tabella8[[#This Row],[Italy cumulative]]))</f>
        <v>0</v>
      </c>
      <c r="L128" s="10"/>
      <c r="M128" s="10"/>
      <c r="N128" s="76"/>
      <c r="O128" s="10">
        <f>Tabella8[[#This Row],[Lombardy]]*NOT(ISBLANK(Tabella8[[#This Row],[Lombardy]]))</f>
        <v>0</v>
      </c>
      <c r="P128" s="127">
        <f>IFERROR(Kr*_xlfn.LOGNORM.DIST((Tabella8[[#This Row],[Day]]-pr),mu_r,sigma_r,TRUE),0)</f>
        <v>75448.499241512851</v>
      </c>
      <c r="Q128" s="127">
        <f>Tabella8[[#This Row],[Lombardy fit]]/Kr</f>
        <v>0.86722412921279135</v>
      </c>
      <c r="R128" s="10">
        <f>Tabella8[[#This Row],[Lombardy fit]]*NOT(ISBLANK(Tabella8[[#This Row],[Lombardy]]))</f>
        <v>0</v>
      </c>
      <c r="V128" s="10">
        <f>Tabella8[[#This Row],[rest of Italy ]]*NOT(ISBLANK(Tabella8[[#This Row],[rest of Italy ]]))</f>
        <v>0</v>
      </c>
      <c r="W128" s="128">
        <f>IFERROR(Ko*_xlfn.LOGNORM.DIST((Tabella8[[#This Row],[Day]]-po),mu_o,sigma_o,TRUE),0)</f>
        <v>129996.67318453532</v>
      </c>
      <c r="X128" s="128">
        <f>Tabella8[[#This Row],[rest of Italy fit]]/Ko</f>
        <v>0.87835600214625331</v>
      </c>
      <c r="Y128" s="23">
        <f>Tabella8[[#This Row],[rest of Italy fit]]*NOT(ISBLANK(Tabella8[[#This Row],[rest of Italy ]]))</f>
        <v>0</v>
      </c>
      <c r="BA128" s="33"/>
      <c r="BB128" s="33"/>
      <c r="BD128" s="87"/>
      <c r="BE128" s="87"/>
    </row>
    <row r="129" spans="2:57" x14ac:dyDescent="0.3">
      <c r="B129" s="9">
        <v>43952</v>
      </c>
      <c r="C129" s="4">
        <v>122</v>
      </c>
      <c r="D129" s="10"/>
      <c r="E129" s="10">
        <f>Tabella8[[#This Row],[Italy cumulative]]*NOT(ISBLANK(Tabella8[[#This Row],[Italy cumulative]]))</f>
        <v>0</v>
      </c>
      <c r="F129" s="10">
        <f>Tabella8[[#This Row],[Lombardy fit]]+Tabella8[[#This Row],[rest of Italy fit]]</f>
        <v>207127.66302461133</v>
      </c>
      <c r="G129" s="91">
        <f>Tabella8[[#This Row],[Italy sum of regions]]/K_sum</f>
        <v>0.88139437536199716</v>
      </c>
      <c r="H129" s="10">
        <f>Tabella8[[#This Row],[Italy sum of regions]]*NOT(ISBLANK(Tabella8[[#This Row],[Italy cumulative]]))</f>
        <v>0</v>
      </c>
      <c r="I129" s="152">
        <f>IFERROR(Kt*_xlfn.LOGNORM.DIST((Tabella8[[#This Row],[Day]]-Days_back),mu_t,sigma_t,TRUE),0)</f>
        <v>207147.07670611676</v>
      </c>
      <c r="J129" s="129">
        <f>Tabella8[[#This Row],[Italy fit]]/Kt</f>
        <v>0.88147716266827392</v>
      </c>
      <c r="K129" s="10">
        <f>Tabella8[[#This Row],[Italy fit]]*NOT(ISBLANK(Tabella8[[#This Row],[Italy cumulative]]))</f>
        <v>0</v>
      </c>
      <c r="L129" s="10"/>
      <c r="M129" s="10"/>
      <c r="N129" s="76"/>
      <c r="O129" s="10">
        <f>Tabella8[[#This Row],[Lombardy]]*NOT(ISBLANK(Tabella8[[#This Row],[Lombardy]]))</f>
        <v>0</v>
      </c>
      <c r="P129" s="127">
        <f>IFERROR(Kr*_xlfn.LOGNORM.DIST((Tabella8[[#This Row],[Day]]-pr),mu_r,sigma_r,TRUE),0)</f>
        <v>76045.1743849841</v>
      </c>
      <c r="Q129" s="127">
        <f>Tabella8[[#This Row],[Lombardy fit]]/Kr</f>
        <v>0.87408246419521951</v>
      </c>
      <c r="R129" s="10">
        <f>Tabella8[[#This Row],[Lombardy fit]]*NOT(ISBLANK(Tabella8[[#This Row],[Lombardy]]))</f>
        <v>0</v>
      </c>
      <c r="V129" s="10">
        <f>Tabella8[[#This Row],[rest of Italy ]]*NOT(ISBLANK(Tabella8[[#This Row],[rest of Italy ]]))</f>
        <v>0</v>
      </c>
      <c r="W129" s="128">
        <f>IFERROR(Ko*_xlfn.LOGNORM.DIST((Tabella8[[#This Row],[Day]]-po),mu_o,sigma_o,TRUE),0)</f>
        <v>131082.48863962723</v>
      </c>
      <c r="X129" s="128">
        <f>Tabella8[[#This Row],[rest of Italy fit]]/Ko</f>
        <v>0.88569259391310018</v>
      </c>
      <c r="Y129" s="23">
        <f>Tabella8[[#This Row],[rest of Italy fit]]*NOT(ISBLANK(Tabella8[[#This Row],[rest of Italy ]]))</f>
        <v>0</v>
      </c>
      <c r="BA129" s="33"/>
      <c r="BB129" s="33"/>
      <c r="BD129" s="87"/>
      <c r="BE129" s="87"/>
    </row>
    <row r="130" spans="2:57" x14ac:dyDescent="0.3">
      <c r="B130" s="9">
        <v>43953</v>
      </c>
      <c r="C130" s="4">
        <v>123</v>
      </c>
      <c r="D130" s="10"/>
      <c r="E130" s="10">
        <f>Tabella8[[#This Row],[Italy cumulative]]*NOT(ISBLANK(Tabella8[[#This Row],[Italy cumulative]]))</f>
        <v>0</v>
      </c>
      <c r="F130" s="10">
        <f>Tabella8[[#This Row],[Lombardy fit]]+Tabella8[[#This Row],[rest of Italy fit]]</f>
        <v>208722.70348841036</v>
      </c>
      <c r="G130" s="91">
        <f>Tabella8[[#This Row],[Italy sum of regions]]/K_sum</f>
        <v>0.88818178208854448</v>
      </c>
      <c r="H130" s="10">
        <f>Tabella8[[#This Row],[Italy sum of regions]]*NOT(ISBLANK(Tabella8[[#This Row],[Italy cumulative]]))</f>
        <v>0</v>
      </c>
      <c r="I130" s="152">
        <f>IFERROR(Kt*_xlfn.LOGNORM.DIST((Tabella8[[#This Row],[Day]]-Days_back),mu_t,sigma_t,TRUE),0)</f>
        <v>208766.39377502905</v>
      </c>
      <c r="J130" s="129">
        <f>Tabella8[[#This Row],[Italy fit]]/Kt</f>
        <v>0.88836787547997431</v>
      </c>
      <c r="K130" s="10">
        <f>Tabella8[[#This Row],[Italy fit]]*NOT(ISBLANK(Tabella8[[#This Row],[Italy cumulative]]))</f>
        <v>0</v>
      </c>
      <c r="L130" s="10"/>
      <c r="M130" s="10"/>
      <c r="N130" s="76"/>
      <c r="O130" s="10">
        <f>Tabella8[[#This Row],[Lombardy]]*NOT(ISBLANK(Tabella8[[#This Row],[Lombardy]]))</f>
        <v>0</v>
      </c>
      <c r="P130" s="127">
        <f>IFERROR(Kr*_xlfn.LOGNORM.DIST((Tabella8[[#This Row],[Day]]-pr),mu_r,sigma_r,TRUE),0)</f>
        <v>76613.833134465094</v>
      </c>
      <c r="Q130" s="127">
        <f>Tabella8[[#This Row],[Lombardy fit]]/Kr</f>
        <v>0.88061877166051827</v>
      </c>
      <c r="R130" s="10">
        <f>Tabella8[[#This Row],[Lombardy fit]]*NOT(ISBLANK(Tabella8[[#This Row],[Lombardy]]))</f>
        <v>0</v>
      </c>
      <c r="V130" s="10">
        <f>Tabella8[[#This Row],[rest of Italy ]]*NOT(ISBLANK(Tabella8[[#This Row],[rest of Italy ]]))</f>
        <v>0</v>
      </c>
      <c r="W130" s="128">
        <f>IFERROR(Ko*_xlfn.LOGNORM.DIST((Tabella8[[#This Row],[Day]]-po),mu_o,sigma_o,TRUE),0)</f>
        <v>132108.87035394527</v>
      </c>
      <c r="X130" s="128">
        <f>Tabella8[[#This Row],[rest of Italy fit]]/Ko</f>
        <v>0.89262760630364535</v>
      </c>
      <c r="Y130" s="23">
        <f>Tabella8[[#This Row],[rest of Italy fit]]*NOT(ISBLANK(Tabella8[[#This Row],[rest of Italy ]]))</f>
        <v>0</v>
      </c>
      <c r="BD130" s="87"/>
      <c r="BE130" s="87"/>
    </row>
    <row r="131" spans="2:57" x14ac:dyDescent="0.3">
      <c r="B131" s="9">
        <v>43954</v>
      </c>
      <c r="C131" s="4">
        <v>124</v>
      </c>
      <c r="D131" s="10"/>
      <c r="E131" s="10">
        <f>Tabella8[[#This Row],[Italy cumulative]]*NOT(ISBLANK(Tabella8[[#This Row],[Italy cumulative]]))</f>
        <v>0</v>
      </c>
      <c r="F131" s="10">
        <f>Tabella8[[#This Row],[Lombardy fit]]+Tabella8[[#This Row],[rest of Italy fit]]</f>
        <v>210233.93041607417</v>
      </c>
      <c r="G131" s="91">
        <f>Tabella8[[#This Row],[Italy sum of regions]]/K_sum</f>
        <v>0.89461253544368757</v>
      </c>
      <c r="H131" s="10">
        <f>Tabella8[[#This Row],[Italy sum of regions]]*NOT(ISBLANK(Tabella8[[#This Row],[Italy cumulative]]))</f>
        <v>0</v>
      </c>
      <c r="I131" s="152">
        <f>IFERROR(Kt*_xlfn.LOGNORM.DIST((Tabella8[[#This Row],[Day]]-Days_back),mu_t,sigma_t,TRUE),0)</f>
        <v>210300.72435927263</v>
      </c>
      <c r="J131" s="129">
        <f>Tabella8[[#This Row],[Italy fit]]/Kt</f>
        <v>0.89489694357738692</v>
      </c>
      <c r="K131" s="10">
        <f>Tabella8[[#This Row],[Italy fit]]*NOT(ISBLANK(Tabella8[[#This Row],[Italy cumulative]]))</f>
        <v>0</v>
      </c>
      <c r="L131" s="10"/>
      <c r="M131" s="10"/>
      <c r="N131" s="76"/>
      <c r="O131" s="10">
        <f>Tabella8[[#This Row],[Lombardy]]*NOT(ISBLANK(Tabella8[[#This Row],[Lombardy]]))</f>
        <v>0</v>
      </c>
      <c r="P131" s="127">
        <f>IFERROR(Kr*_xlfn.LOGNORM.DIST((Tabella8[[#This Row],[Day]]-pr),mu_r,sigma_r,TRUE),0)</f>
        <v>77155.516741352141</v>
      </c>
      <c r="Q131" s="127">
        <f>Tabella8[[#This Row],[Lombardy fit]]/Kr</f>
        <v>0.88684502001554188</v>
      </c>
      <c r="R131" s="10">
        <f>Tabella8[[#This Row],[Lombardy fit]]*NOT(ISBLANK(Tabella8[[#This Row],[Lombardy]]))</f>
        <v>0</v>
      </c>
      <c r="V131" s="10">
        <f>Tabella8[[#This Row],[rest of Italy ]]*NOT(ISBLANK(Tabella8[[#This Row],[rest of Italy ]]))</f>
        <v>0</v>
      </c>
      <c r="W131" s="128">
        <f>IFERROR(Ko*_xlfn.LOGNORM.DIST((Tabella8[[#This Row],[Day]]-po),mu_o,sigma_o,TRUE),0)</f>
        <v>133078.41367472205</v>
      </c>
      <c r="X131" s="128">
        <f>Tabella8[[#This Row],[rest of Italy fit]]/Ko</f>
        <v>0.89917857544988045</v>
      </c>
      <c r="Y131" s="23">
        <f>Tabella8[[#This Row],[rest of Italy fit]]*NOT(ISBLANK(Tabella8[[#This Row],[rest of Italy ]]))</f>
        <v>0</v>
      </c>
      <c r="BD131" s="87"/>
      <c r="BE131" s="87"/>
    </row>
    <row r="132" spans="2:57" x14ac:dyDescent="0.3">
      <c r="B132" s="9">
        <v>43955</v>
      </c>
      <c r="C132" s="4">
        <v>125</v>
      </c>
      <c r="D132" s="10"/>
      <c r="E132" s="10">
        <f>Tabella8[[#This Row],[Italy cumulative]]*NOT(ISBLANK(Tabella8[[#This Row],[Italy cumulative]]))</f>
        <v>0</v>
      </c>
      <c r="F132" s="10">
        <f>Tabella8[[#This Row],[Lombardy fit]]+Tabella8[[#This Row],[rest of Italy fit]]</f>
        <v>211664.92871370498</v>
      </c>
      <c r="G132" s="91">
        <f>Tabella8[[#This Row],[Italy sum of regions]]/K_sum</f>
        <v>0.90070189034812886</v>
      </c>
      <c r="H132" s="10">
        <f>Tabella8[[#This Row],[Italy sum of regions]]*NOT(ISBLANK(Tabella8[[#This Row],[Italy cumulative]]))</f>
        <v>0</v>
      </c>
      <c r="I132" s="152">
        <f>IFERROR(Kt*_xlfn.LOGNORM.DIST((Tabella8[[#This Row],[Day]]-Days_back),mu_t,sigma_t,TRUE),0)</f>
        <v>211753.59426572785</v>
      </c>
      <c r="J132" s="129">
        <f>Tabella8[[#This Row],[Italy fit]]/Kt</f>
        <v>0.9010793703981389</v>
      </c>
      <c r="K132" s="10">
        <f>Tabella8[[#This Row],[Italy fit]]*NOT(ISBLANK(Tabella8[[#This Row],[Italy cumulative]]))</f>
        <v>0</v>
      </c>
      <c r="L132" s="10"/>
      <c r="M132" s="10"/>
      <c r="N132" s="76"/>
      <c r="O132" s="10">
        <f>Tabella8[[#This Row],[Lombardy]]*NOT(ISBLANK(Tabella8[[#This Row],[Lombardy]]))</f>
        <v>0</v>
      </c>
      <c r="P132" s="127">
        <f>IFERROR(Kr*_xlfn.LOGNORM.DIST((Tabella8[[#This Row],[Day]]-pr),mu_r,sigma_r,TRUE),0)</f>
        <v>77671.255038565258</v>
      </c>
      <c r="Q132" s="127">
        <f>Tabella8[[#This Row],[Lombardy fit]]/Kr</f>
        <v>0.89277304642029032</v>
      </c>
      <c r="R132" s="10">
        <f>Tabella8[[#This Row],[Lombardy fit]]*NOT(ISBLANK(Tabella8[[#This Row],[Lombardy]]))</f>
        <v>0</v>
      </c>
      <c r="V132" s="10">
        <f>Tabella8[[#This Row],[rest of Italy ]]*NOT(ISBLANK(Tabella8[[#This Row],[rest of Italy ]]))</f>
        <v>0</v>
      </c>
      <c r="W132" s="128">
        <f>IFERROR(Ko*_xlfn.LOGNORM.DIST((Tabella8[[#This Row],[Day]]-po),mu_o,sigma_o,TRUE),0)</f>
        <v>133993.67367513973</v>
      </c>
      <c r="X132" s="128">
        <f>Tabella8[[#This Row],[rest of Italy fit]]/Ko</f>
        <v>0.90536276536180271</v>
      </c>
      <c r="Y132" s="23">
        <f>Tabella8[[#This Row],[rest of Italy fit]]*NOT(ISBLANK(Tabella8[[#This Row],[rest of Italy ]]))</f>
        <v>0</v>
      </c>
      <c r="BD132" s="87"/>
      <c r="BE132" s="87"/>
    </row>
    <row r="133" spans="2:57" x14ac:dyDescent="0.3">
      <c r="B133" s="9">
        <v>43956</v>
      </c>
      <c r="C133" s="4">
        <v>126</v>
      </c>
      <c r="D133" s="1"/>
      <c r="E133" s="10">
        <f>Tabella8[[#This Row],[Italy cumulative]]*NOT(ISBLANK(Tabella8[[#This Row],[Italy cumulative]]))</f>
        <v>0</v>
      </c>
      <c r="F133" s="10">
        <f>Tabella8[[#This Row],[Lombardy fit]]+Tabella8[[#This Row],[rest of Italy fit]]</f>
        <v>213019.21967243735</v>
      </c>
      <c r="G133" s="91">
        <f>Tabella8[[#This Row],[Italy sum of regions]]/K_sum</f>
        <v>0.90646483102056086</v>
      </c>
      <c r="H133" s="10">
        <f>Tabella8[[#This Row],[Italy sum of regions]]*NOT(ISBLANK(Tabella8[[#This Row],[Italy cumulative]]))</f>
        <v>0</v>
      </c>
      <c r="I133" s="152">
        <f>IFERROR(Kt*_xlfn.LOGNORM.DIST((Tabella8[[#This Row],[Day]]-Days_back),mu_t,sigma_t,TRUE),0)</f>
        <v>213128.4808956983</v>
      </c>
      <c r="J133" s="129">
        <f>Tabella8[[#This Row],[Italy fit]]/Kt</f>
        <v>0.90692995339862359</v>
      </c>
      <c r="K133" s="23">
        <f>Tabella8[[#This Row],[Italy fit]]*NOT(ISBLANK(Tabella8[[#This Row],[Italy cumulative]]))</f>
        <v>0</v>
      </c>
      <c r="N133" s="76"/>
      <c r="O133" s="10">
        <f>Tabella8[[#This Row],[Lombardy]]*NOT(ISBLANK(Tabella8[[#This Row],[Lombardy]]))</f>
        <v>0</v>
      </c>
      <c r="P133" s="127">
        <f>IFERROR(Kr*_xlfn.LOGNORM.DIST((Tabella8[[#This Row],[Day]]-pr),mu_r,sigma_r,TRUE),0)</f>
        <v>78162.063365355221</v>
      </c>
      <c r="Q133" s="127">
        <f>Tabella8[[#This Row],[Lombardy fit]]/Kr</f>
        <v>0.89841452144086464</v>
      </c>
      <c r="R133" s="23">
        <f>Tabella8[[#This Row],[Lombardy fit]]*NOT(ISBLANK(Tabella8[[#This Row],[Lombardy]]))</f>
        <v>0</v>
      </c>
      <c r="V133" s="10">
        <f>Tabella8[[#This Row],[rest of Italy ]]*NOT(ISBLANK(Tabella8[[#This Row],[rest of Italy ]]))</f>
        <v>0</v>
      </c>
      <c r="W133" s="128">
        <f>IFERROR(Ko*_xlfn.LOGNORM.DIST((Tabella8[[#This Row],[Day]]-po),mu_o,sigma_o,TRUE),0)</f>
        <v>134857.15630708213</v>
      </c>
      <c r="X133" s="128">
        <f>Tabella8[[#This Row],[rest of Italy fit]]/Ko</f>
        <v>0.91119710814870625</v>
      </c>
      <c r="Y133" s="23">
        <f>Tabella8[[#This Row],[rest of Italy fit]]*NOT(ISBLANK(Tabella8[[#This Row],[rest of Italy ]]))</f>
        <v>0</v>
      </c>
      <c r="BD133" s="87"/>
      <c r="BE133" s="87"/>
    </row>
    <row r="134" spans="2:57" x14ac:dyDescent="0.3">
      <c r="B134" s="9">
        <v>43957</v>
      </c>
      <c r="C134" s="4">
        <v>127</v>
      </c>
      <c r="D134" s="1"/>
      <c r="E134" s="10">
        <f>Tabella8[[#This Row],[Italy cumulative]]*NOT(ISBLANK(Tabella8[[#This Row],[Italy cumulative]]))</f>
        <v>0</v>
      </c>
      <c r="F134" s="10">
        <f>Tabella8[[#This Row],[Lombardy fit]]+Tabella8[[#This Row],[rest of Italy fit]]</f>
        <v>214300.25087818265</v>
      </c>
      <c r="G134" s="91">
        <f>Tabella8[[#This Row],[Italy sum of regions]]/K_sum</f>
        <v>0.91191602804040528</v>
      </c>
      <c r="H134" s="10">
        <f>Tabella8[[#This Row],[Italy sum of regions]]*NOT(ISBLANK(Tabella8[[#This Row],[Italy cumulative]]))</f>
        <v>0</v>
      </c>
      <c r="I134" s="152">
        <f>IFERROR(Kt*_xlfn.LOGNORM.DIST((Tabella8[[#This Row],[Day]]-Days_back),mu_t,sigma_t,TRUE),0)</f>
        <v>214428.80188025994</v>
      </c>
      <c r="J134" s="129">
        <f>Tabella8[[#This Row],[Italy fit]]/Kt</f>
        <v>0.91246323569377052</v>
      </c>
      <c r="K134" s="23">
        <f>Tabella8[[#This Row],[Italy fit]]*NOT(ISBLANK(Tabella8[[#This Row],[Italy cumulative]]))</f>
        <v>0</v>
      </c>
      <c r="N134" s="76"/>
      <c r="O134" s="10">
        <f>Tabella8[[#This Row],[Lombardy]]*NOT(ISBLANK(Tabella8[[#This Row],[Lombardy]]))</f>
        <v>0</v>
      </c>
      <c r="P134" s="127">
        <f>IFERROR(Kr*_xlfn.LOGNORM.DIST((Tabella8[[#This Row],[Day]]-pr),mu_r,sigma_r,TRUE),0)</f>
        <v>78628.939908572895</v>
      </c>
      <c r="Q134" s="127">
        <f>Tabella8[[#This Row],[Lombardy fit]]/Kr</f>
        <v>0.90378091848934361</v>
      </c>
      <c r="R134" s="23">
        <f>Tabella8[[#This Row],[Lombardy fit]]*NOT(ISBLANK(Tabella8[[#This Row],[Lombardy]]))</f>
        <v>0</v>
      </c>
      <c r="V134" s="10">
        <f>Tabella8[[#This Row],[rest of Italy ]]*NOT(ISBLANK(Tabella8[[#This Row],[rest of Italy ]]))</f>
        <v>0</v>
      </c>
      <c r="W134" s="128">
        <f>IFERROR(Ko*_xlfn.LOGNORM.DIST((Tabella8[[#This Row],[Day]]-po),mu_o,sigma_o,TRUE),0)</f>
        <v>135671.31096960977</v>
      </c>
      <c r="X134" s="128">
        <f>Tabella8[[#This Row],[rest of Italy fit]]/Ko</f>
        <v>0.91669815380616992</v>
      </c>
      <c r="Y134" s="23">
        <f>Tabella8[[#This Row],[rest of Italy fit]]*NOT(ISBLANK(Tabella8[[#This Row],[rest of Italy ]]))</f>
        <v>0</v>
      </c>
      <c r="BD134" s="87"/>
      <c r="BE134" s="87"/>
    </row>
    <row r="135" spans="2:57" x14ac:dyDescent="0.3">
      <c r="B135" s="9">
        <v>43958</v>
      </c>
      <c r="C135" s="4">
        <v>128</v>
      </c>
      <c r="D135" s="1"/>
      <c r="E135" s="10">
        <f>Tabella8[[#This Row],[Italy cumulative]]*NOT(ISBLANK(Tabella8[[#This Row],[Italy cumulative]]))</f>
        <v>0</v>
      </c>
      <c r="F135" s="10">
        <f>Tabella8[[#This Row],[Lombardy fit]]+Tabella8[[#This Row],[rest of Italy fit]]</f>
        <v>215511.38779234685</v>
      </c>
      <c r="G135" s="91">
        <f>Tabella8[[#This Row],[Italy sum of regions]]/K_sum</f>
        <v>0.91706980252107795</v>
      </c>
      <c r="H135" s="10">
        <f>Tabella8[[#This Row],[Italy sum of regions]]*NOT(ISBLANK(Tabella8[[#This Row],[Italy cumulative]]))</f>
        <v>0</v>
      </c>
      <c r="I135" s="152">
        <f>IFERROR(Kt*_xlfn.LOGNORM.DIST((Tabella8[[#This Row],[Day]]-Days_back),mu_t,sigma_t,TRUE),0)</f>
        <v>215657.90539131587</v>
      </c>
      <c r="J135" s="129">
        <f>Tabella8[[#This Row],[Italy fit]]/Kt</f>
        <v>0.9176934648274806</v>
      </c>
      <c r="K135" s="23">
        <f>Tabella8[[#This Row],[Italy fit]]*NOT(ISBLANK(Tabella8[[#This Row],[Italy cumulative]]))</f>
        <v>0</v>
      </c>
      <c r="N135" s="76"/>
      <c r="O135" s="10">
        <f>Tabella8[[#This Row],[Lombardy]]*NOT(ISBLANK(Tabella8[[#This Row],[Lombardy]]))</f>
        <v>0</v>
      </c>
      <c r="P135" s="127">
        <f>IFERROR(Kr*_xlfn.LOGNORM.DIST((Tabella8[[#This Row],[Day]]-pr),mu_r,sigma_r,TRUE),0)</f>
        <v>79072.86342737946</v>
      </c>
      <c r="Q135" s="127">
        <f>Tabella8[[#This Row],[Lombardy fit]]/Kr</f>
        <v>0.90888348767102822</v>
      </c>
      <c r="R135" s="23">
        <f>Tabella8[[#This Row],[Lombardy fit]]*NOT(ISBLANK(Tabella8[[#This Row],[Lombardy]]))</f>
        <v>0</v>
      </c>
      <c r="V135" s="10">
        <f>Tabella8[[#This Row],[rest of Italy ]]*NOT(ISBLANK(Tabella8[[#This Row],[rest of Italy ]]))</f>
        <v>0</v>
      </c>
      <c r="W135" s="128">
        <f>IFERROR(Ko*_xlfn.LOGNORM.DIST((Tabella8[[#This Row],[Day]]-po),mu_o,sigma_o,TRUE),0)</f>
        <v>136438.52436496739</v>
      </c>
      <c r="X135" s="128">
        <f>Tabella8[[#This Row],[rest of Italy fit]]/Ko</f>
        <v>0.92188202870258951</v>
      </c>
      <c r="Y135" s="23">
        <f>Tabella8[[#This Row],[rest of Italy fit]]*NOT(ISBLANK(Tabella8[[#This Row],[rest of Italy ]]))</f>
        <v>0</v>
      </c>
      <c r="BD135" s="87"/>
      <c r="BE135" s="87"/>
    </row>
    <row r="136" spans="2:57" x14ac:dyDescent="0.3">
      <c r="B136" s="9">
        <v>43959</v>
      </c>
      <c r="C136" s="4">
        <v>129</v>
      </c>
      <c r="D136" s="1"/>
      <c r="E136" s="10">
        <f>Tabella8[[#This Row],[Italy cumulative]]*NOT(ISBLANK(Tabella8[[#This Row],[Italy cumulative]]))</f>
        <v>0</v>
      </c>
      <c r="F136" s="10">
        <f>Tabella8[[#This Row],[Lombardy fit]]+Tabella8[[#This Row],[rest of Italy fit]]</f>
        <v>216655.90684917575</v>
      </c>
      <c r="G136" s="91">
        <f>Tabella8[[#This Row],[Italy sum of regions]]/K_sum</f>
        <v>0.9219400967369874</v>
      </c>
      <c r="H136" s="10">
        <f>Tabella8[[#This Row],[Italy sum of regions]]*NOT(ISBLANK(Tabella8[[#This Row],[Italy cumulative]]))</f>
        <v>0</v>
      </c>
      <c r="I136" s="152">
        <f>IFERROR(Kt*_xlfn.LOGNORM.DIST((Tabella8[[#This Row],[Day]]-Days_back),mu_t,sigma_t,TRUE),0)</f>
        <v>216819.06199021783</v>
      </c>
      <c r="J136" s="129">
        <f>Tabella8[[#This Row],[Italy fit]]/Kt</f>
        <v>0.92263455808589878</v>
      </c>
      <c r="K136" s="23">
        <f>Tabella8[[#This Row],[Italy fit]]*NOT(ISBLANK(Tabella8[[#This Row],[Italy cumulative]]))</f>
        <v>0</v>
      </c>
      <c r="N136" s="76"/>
      <c r="O136" s="10">
        <f>Tabella8[[#This Row],[Lombardy]]*NOT(ISBLANK(Tabella8[[#This Row],[Lombardy]]))</f>
        <v>0</v>
      </c>
      <c r="P136" s="127">
        <f>IFERROR(Kr*_xlfn.LOGNORM.DIST((Tabella8[[#This Row],[Day]]-pr),mu_r,sigma_r,TRUE),0)</f>
        <v>79494.791329642132</v>
      </c>
      <c r="Q136" s="127">
        <f>Tabella8[[#This Row],[Lombardy fit]]/Kr</f>
        <v>0.91373323367404746</v>
      </c>
      <c r="R136" s="23">
        <f>Tabella8[[#This Row],[Lombardy fit]]*NOT(ISBLANK(Tabella8[[#This Row],[Lombardy]]))</f>
        <v>0</v>
      </c>
      <c r="V136" s="10">
        <f>Tabella8[[#This Row],[rest of Italy ]]*NOT(ISBLANK(Tabella8[[#This Row],[rest of Italy ]]))</f>
        <v>0</v>
      </c>
      <c r="W136" s="128">
        <f>IFERROR(Ko*_xlfn.LOGNORM.DIST((Tabella8[[#This Row],[Day]]-po),mu_o,sigma_o,TRUE),0)</f>
        <v>137161.11551953363</v>
      </c>
      <c r="X136" s="128">
        <f>Tabella8[[#This Row],[rest of Italy fit]]/Ko</f>
        <v>0.92676440193694198</v>
      </c>
      <c r="Y136" s="23">
        <f>Tabella8[[#This Row],[rest of Italy fit]]*NOT(ISBLANK(Tabella8[[#This Row],[rest of Italy ]]))</f>
        <v>0</v>
      </c>
      <c r="BD136" s="87"/>
      <c r="BE136" s="87"/>
    </row>
    <row r="137" spans="2:57" x14ac:dyDescent="0.3">
      <c r="B137" s="9">
        <v>43960</v>
      </c>
      <c r="C137" s="4">
        <v>130</v>
      </c>
      <c r="D137" s="1"/>
      <c r="E137" s="10">
        <f>Tabella8[[#This Row],[Italy cumulative]]*NOT(ISBLANK(Tabella8[[#This Row],[Italy cumulative]]))</f>
        <v>0</v>
      </c>
      <c r="F137" s="10">
        <f>Tabella8[[#This Row],[Lombardy fit]]+Tabella8[[#This Row],[rest of Italy fit]]</f>
        <v>217736.9899230242</v>
      </c>
      <c r="G137" s="91">
        <f>Tabella8[[#This Row],[Italy sum of regions]]/K_sum</f>
        <v>0.92654045057999812</v>
      </c>
      <c r="H137" s="10">
        <f>Tabella8[[#This Row],[Italy sum of regions]]*NOT(ISBLANK(Tabella8[[#This Row],[Italy cumulative]]))</f>
        <v>0</v>
      </c>
      <c r="I137" s="152">
        <f>IFERROR(Kt*_xlfn.LOGNORM.DIST((Tabella8[[#This Row],[Day]]-Days_back),mu_t,sigma_t,TRUE),0)</f>
        <v>217915.45788052466</v>
      </c>
      <c r="J137" s="129">
        <f>Tabella8[[#This Row],[Italy fit]]/Kt</f>
        <v>0.92730007378574109</v>
      </c>
      <c r="K137" s="23">
        <f>Tabella8[[#This Row],[Italy fit]]*NOT(ISBLANK(Tabella8[[#This Row],[Italy cumulative]]))</f>
        <v>0</v>
      </c>
      <c r="N137" s="76"/>
      <c r="O137" s="10">
        <f>Tabella8[[#This Row],[Lombardy]]*NOT(ISBLANK(Tabella8[[#This Row],[Lombardy]]))</f>
        <v>0</v>
      </c>
      <c r="P137" s="127">
        <f>IFERROR(Kr*_xlfn.LOGNORM.DIST((Tabella8[[#This Row],[Day]]-pr),mu_r,sigma_r,TRUE),0)</f>
        <v>79895.658069660931</v>
      </c>
      <c r="Q137" s="127">
        <f>Tabella8[[#This Row],[Lombardy fit]]/Kr</f>
        <v>0.91834089735242452</v>
      </c>
      <c r="R137" s="23">
        <f>Tabella8[[#This Row],[Lombardy fit]]*NOT(ISBLANK(Tabella8[[#This Row],[Lombardy]]))</f>
        <v>0</v>
      </c>
      <c r="V137" s="10">
        <f>Tabella8[[#This Row],[rest of Italy ]]*NOT(ISBLANK(Tabella8[[#This Row],[rest of Italy ]]))</f>
        <v>0</v>
      </c>
      <c r="W137" s="128">
        <f>IFERROR(Ko*_xlfn.LOGNORM.DIST((Tabella8[[#This Row],[Day]]-po),mu_o,sigma_o,TRUE),0)</f>
        <v>137841.33185336328</v>
      </c>
      <c r="X137" s="128">
        <f>Tabella8[[#This Row],[rest of Italy fit]]/Ko</f>
        <v>0.93136045878163576</v>
      </c>
      <c r="Y137" s="23">
        <f>Tabella8[[#This Row],[rest of Italy fit]]*NOT(ISBLANK(Tabella8[[#This Row],[rest of Italy ]]))</f>
        <v>0</v>
      </c>
      <c r="BD137" s="87"/>
      <c r="BE137" s="87"/>
    </row>
    <row r="138" spans="2:57" x14ac:dyDescent="0.3">
      <c r="B138" s="9">
        <v>43961</v>
      </c>
      <c r="C138" s="4">
        <v>131</v>
      </c>
      <c r="D138" s="1"/>
      <c r="E138" s="10">
        <f>Tabella8[[#This Row],[Italy cumulative]]*NOT(ISBLANK(Tabella8[[#This Row],[Italy cumulative]]))</f>
        <v>0</v>
      </c>
      <c r="F138" s="10">
        <f>Tabella8[[#This Row],[Lombardy fit]]+Tabella8[[#This Row],[rest of Italy fit]]</f>
        <v>218757.72002700187</v>
      </c>
      <c r="G138" s="91">
        <f>Tabella8[[#This Row],[Italy sum of regions]]/K_sum</f>
        <v>0.93088398325579369</v>
      </c>
      <c r="H138" s="10">
        <f>Tabella8[[#This Row],[Italy sum of regions]]*NOT(ISBLANK(Tabella8[[#This Row],[Italy cumulative]]))</f>
        <v>0</v>
      </c>
      <c r="I138" s="152">
        <f>IFERROR(Kt*_xlfn.LOGNORM.DIST((Tabella8[[#This Row],[Day]]-Days_back),mu_t,sigma_t,TRUE),0)</f>
        <v>218950.18943699327</v>
      </c>
      <c r="J138" s="129">
        <f>Tabella8[[#This Row],[Italy fit]]/Kt</f>
        <v>0.93170318799339791</v>
      </c>
      <c r="K138" s="23">
        <f>Tabella8[[#This Row],[Italy fit]]*NOT(ISBLANK(Tabella8[[#This Row],[Italy cumulative]]))</f>
        <v>0</v>
      </c>
      <c r="N138" s="76"/>
      <c r="O138" s="10">
        <f>Tabella8[[#This Row],[Lombardy]]*NOT(ISBLANK(Tabella8[[#This Row],[Lombardy]]))</f>
        <v>0</v>
      </c>
      <c r="P138" s="127">
        <f>IFERROR(Kr*_xlfn.LOGNORM.DIST((Tabella8[[#This Row],[Day]]-pr),mu_r,sigma_r,TRUE),0)</f>
        <v>80276.373838365733</v>
      </c>
      <c r="Q138" s="127">
        <f>Tabella8[[#This Row],[Lombardy fit]]/Kr</f>
        <v>0.92271694067087051</v>
      </c>
      <c r="R138" s="23">
        <f>Tabella8[[#This Row],[Lombardy fit]]*NOT(ISBLANK(Tabella8[[#This Row],[Lombardy]]))</f>
        <v>0</v>
      </c>
      <c r="V138" s="10">
        <f>Tabella8[[#This Row],[rest of Italy ]]*NOT(ISBLANK(Tabella8[[#This Row],[rest of Italy ]]))</f>
        <v>0</v>
      </c>
      <c r="W138" s="128">
        <f>IFERROR(Ko*_xlfn.LOGNORM.DIST((Tabella8[[#This Row],[Day]]-po),mu_o,sigma_o,TRUE),0)</f>
        <v>138481.34618863615</v>
      </c>
      <c r="X138" s="128">
        <f>Tabella8[[#This Row],[rest of Italy fit]]/Ko</f>
        <v>0.9356848804693243</v>
      </c>
      <c r="Y138" s="23">
        <f>Tabella8[[#This Row],[rest of Italy fit]]*NOT(ISBLANK(Tabella8[[#This Row],[rest of Italy ]]))</f>
        <v>0</v>
      </c>
      <c r="BD138" s="87"/>
      <c r="BE138" s="87"/>
    </row>
    <row r="139" spans="2:57" x14ac:dyDescent="0.3">
      <c r="B139" s="9">
        <v>43962</v>
      </c>
      <c r="C139" s="4">
        <v>132</v>
      </c>
      <c r="D139" s="1"/>
      <c r="E139" s="10">
        <f>Tabella8[[#This Row],[Italy cumulative]]*NOT(ISBLANK(Tabella8[[#This Row],[Italy cumulative]]))</f>
        <v>0</v>
      </c>
      <c r="F139" s="10">
        <f>Tabella8[[#This Row],[Lombardy fit]]+Tabella8[[#This Row],[rest of Italy fit]]</f>
        <v>219721.07811292523</v>
      </c>
      <c r="G139" s="91">
        <f>Tabella8[[#This Row],[Italy sum of regions]]/K_sum</f>
        <v>0.93498337966665102</v>
      </c>
      <c r="H139" s="10">
        <f>Tabella8[[#This Row],[Italy sum of regions]]*NOT(ISBLANK(Tabella8[[#This Row],[Italy cumulative]]))</f>
        <v>0</v>
      </c>
      <c r="I139" s="152">
        <f>IFERROR(Kt*_xlfn.LOGNORM.DIST((Tabella8[[#This Row],[Day]]-Days_back),mu_t,sigma_t,TRUE),0)</f>
        <v>219926.25888901411</v>
      </c>
      <c r="J139" s="129">
        <f>Tabella8[[#This Row],[Italy fit]]/Kt</f>
        <v>0.93585667615656976</v>
      </c>
      <c r="K139" s="23">
        <f>Tabella8[[#This Row],[Italy fit]]*NOT(ISBLANK(Tabella8[[#This Row],[Italy cumulative]]))</f>
        <v>0</v>
      </c>
      <c r="N139" s="76"/>
      <c r="O139" s="10">
        <f>Tabella8[[#This Row],[Lombardy]]*NOT(ISBLANK(Tabella8[[#This Row],[Lombardy]]))</f>
        <v>0</v>
      </c>
      <c r="P139" s="127">
        <f>IFERROR(Kr*_xlfn.LOGNORM.DIST((Tabella8[[#This Row],[Day]]-pr),mu_r,sigma_r,TRUE),0)</f>
        <v>80637.823518680394</v>
      </c>
      <c r="Q139" s="127">
        <f>Tabella8[[#This Row],[Lombardy fit]]/Kr</f>
        <v>0.92687153469747574</v>
      </c>
      <c r="R139" s="23">
        <f>Tabella8[[#This Row],[Lombardy fit]]*NOT(ISBLANK(Tabella8[[#This Row],[Lombardy]]))</f>
        <v>0</v>
      </c>
      <c r="V139" s="10">
        <f>Tabella8[[#This Row],[rest of Italy ]]*NOT(ISBLANK(Tabella8[[#This Row],[rest of Italy ]]))</f>
        <v>0</v>
      </c>
      <c r="W139" s="128">
        <f>IFERROR(Ko*_xlfn.LOGNORM.DIST((Tabella8[[#This Row],[Day]]-po),mu_o,sigma_o,TRUE),0)</f>
        <v>139083.25459424485</v>
      </c>
      <c r="X139" s="128">
        <f>Tabella8[[#This Row],[rest of Italy fit]]/Ko</f>
        <v>0.93975182962930925</v>
      </c>
      <c r="Y139" s="23">
        <f>Tabella8[[#This Row],[rest of Italy fit]]*NOT(ISBLANK(Tabella8[[#This Row],[rest of Italy ]]))</f>
        <v>0</v>
      </c>
      <c r="BD139" s="87"/>
      <c r="BE139" s="87"/>
    </row>
    <row r="140" spans="2:57" x14ac:dyDescent="0.3">
      <c r="B140" s="9">
        <v>43963</v>
      </c>
      <c r="C140" s="4">
        <v>133</v>
      </c>
      <c r="D140" s="1"/>
      <c r="E140" s="10">
        <f>Tabella8[[#This Row],[Italy cumulative]]*NOT(ISBLANK(Tabella8[[#This Row],[Italy cumulative]]))</f>
        <v>0</v>
      </c>
      <c r="F140" s="10">
        <f>Tabella8[[#This Row],[Lombardy fit]]+Tabella8[[#This Row],[rest of Italy fit]]</f>
        <v>220629.94085111681</v>
      </c>
      <c r="G140" s="91">
        <f>Tabella8[[#This Row],[Italy sum of regions]]/K_sum</f>
        <v>0.938850880963776</v>
      </c>
      <c r="H140" s="10">
        <f>Tabella8[[#This Row],[Italy sum of regions]]*NOT(ISBLANK(Tabella8[[#This Row],[Italy cumulative]]))</f>
        <v>0</v>
      </c>
      <c r="I140" s="152">
        <f>IFERROR(Kt*_xlfn.LOGNORM.DIST((Tabella8[[#This Row],[Day]]-Days_back),mu_t,sigma_t,TRUE),0)</f>
        <v>220846.57104323604</v>
      </c>
      <c r="J140" s="129">
        <f>Tabella8[[#This Row],[Italy fit]]/Kt</f>
        <v>0.93977289915798623</v>
      </c>
      <c r="K140" s="23">
        <f>Tabella8[[#This Row],[Italy fit]]*NOT(ISBLANK(Tabella8[[#This Row],[Italy cumulative]]))</f>
        <v>0</v>
      </c>
      <c r="N140" s="76"/>
      <c r="O140" s="10">
        <f>Tabella8[[#This Row],[Lombardy]]*NOT(ISBLANK(Tabella8[[#This Row],[Lombardy]]))</f>
        <v>0</v>
      </c>
      <c r="P140" s="127">
        <f>IFERROR(Kr*_xlfn.LOGNORM.DIST((Tabella8[[#This Row],[Day]]-pr),mu_r,sigma_r,TRUE),0)</f>
        <v>80980.86588033702</v>
      </c>
      <c r="Q140" s="127">
        <f>Tabella8[[#This Row],[Lombardy fit]]/Kr</f>
        <v>0.93081455034870142</v>
      </c>
      <c r="R140" s="23">
        <f>Tabella8[[#This Row],[Lombardy fit]]*NOT(ISBLANK(Tabella8[[#This Row],[Lombardy]]))</f>
        <v>0</v>
      </c>
      <c r="V140" s="10">
        <f>Tabella8[[#This Row],[rest of Italy ]]*NOT(ISBLANK(Tabella8[[#This Row],[rest of Italy ]]))</f>
        <v>0</v>
      </c>
      <c r="W140" s="128">
        <f>IFERROR(Ko*_xlfn.LOGNORM.DIST((Tabella8[[#This Row],[Day]]-po),mu_o,sigma_o,TRUE),0)</f>
        <v>139649.07497077979</v>
      </c>
      <c r="X140" s="128">
        <f>Tabella8[[#This Row],[rest of Italy fit]]/Ko</f>
        <v>0.94357494072662651</v>
      </c>
      <c r="Y140" s="23">
        <f>Tabella8[[#This Row],[rest of Italy fit]]*NOT(ISBLANK(Tabella8[[#This Row],[rest of Italy ]]))</f>
        <v>0</v>
      </c>
      <c r="BD140" s="87"/>
      <c r="BE140" s="87"/>
    </row>
    <row r="141" spans="2:57" x14ac:dyDescent="0.3">
      <c r="B141" s="9">
        <v>43964</v>
      </c>
      <c r="C141" s="4">
        <v>134</v>
      </c>
      <c r="D141" s="1"/>
      <c r="E141" s="10">
        <f>Tabella8[[#This Row],[Italy cumulative]]*NOT(ISBLANK(Tabella8[[#This Row],[Italy cumulative]]))</f>
        <v>0</v>
      </c>
      <c r="F141" s="10">
        <f>Tabella8[[#This Row],[Lombardy fit]]+Tabella8[[#This Row],[rest of Italy fit]]</f>
        <v>221487.07927720773</v>
      </c>
      <c r="G141" s="91">
        <f>Tabella8[[#This Row],[Italy sum of regions]]/K_sum</f>
        <v>0.94249827878901682</v>
      </c>
      <c r="H141" s="10">
        <f>Tabella8[[#This Row],[Italy sum of regions]]*NOT(ISBLANK(Tabella8[[#This Row],[Italy cumulative]]))</f>
        <v>0</v>
      </c>
      <c r="I141" s="152">
        <f>IFERROR(Kt*_xlfn.LOGNORM.DIST((Tabella8[[#This Row],[Day]]-Days_back),mu_t,sigma_t,TRUE),0)</f>
        <v>221713.93093691496</v>
      </c>
      <c r="J141" s="129">
        <f>Tabella8[[#This Row],[Italy fit]]/Kt</f>
        <v>0.94346379332965269</v>
      </c>
      <c r="K141" s="23">
        <f>Tabella8[[#This Row],[Italy fit]]*NOT(ISBLANK(Tabella8[[#This Row],[Italy cumulative]]))</f>
        <v>0</v>
      </c>
      <c r="N141" s="76"/>
      <c r="O141" s="10">
        <f>Tabella8[[#This Row],[Lombardy]]*NOT(ISBLANK(Tabella8[[#This Row],[Lombardy]]))</f>
        <v>0</v>
      </c>
      <c r="P141" s="127">
        <f>IFERROR(Kr*_xlfn.LOGNORM.DIST((Tabella8[[#This Row],[Day]]-pr),mu_r,sigma_r,TRUE),0)</f>
        <v>81306.332990023977</v>
      </c>
      <c r="Q141" s="127">
        <f>Tabella8[[#This Row],[Lombardy fit]]/Kr</f>
        <v>0.93455555160947101</v>
      </c>
      <c r="R141" s="23">
        <f>Tabella8[[#This Row],[Lombardy fit]]*NOT(ISBLANK(Tabella8[[#This Row],[Lombardy]]))</f>
        <v>0</v>
      </c>
      <c r="V141" s="10">
        <f>Tabella8[[#This Row],[rest of Italy ]]*NOT(ISBLANK(Tabella8[[#This Row],[rest of Italy ]]))</f>
        <v>0</v>
      </c>
      <c r="W141" s="128">
        <f>IFERROR(Ko*_xlfn.LOGNORM.DIST((Tabella8[[#This Row],[Day]]-po),mu_o,sigma_o,TRUE),0)</f>
        <v>140180.74628718375</v>
      </c>
      <c r="X141" s="128">
        <f>Tabella8[[#This Row],[rest of Italy fit]]/Ko</f>
        <v>0.94716731490430628</v>
      </c>
      <c r="Y141" s="23">
        <f>Tabella8[[#This Row],[rest of Italy fit]]*NOT(ISBLANK(Tabella8[[#This Row],[rest of Italy ]]))</f>
        <v>0</v>
      </c>
      <c r="BD141" s="87"/>
      <c r="BE141" s="87"/>
    </row>
    <row r="142" spans="2:57" x14ac:dyDescent="0.3">
      <c r="B142" s="9">
        <v>43965</v>
      </c>
      <c r="C142" s="4">
        <v>135</v>
      </c>
      <c r="D142" s="1"/>
      <c r="E142" s="10">
        <f>Tabella8[[#This Row],[Italy cumulative]]*NOT(ISBLANK(Tabella8[[#This Row],[Italy cumulative]]))</f>
        <v>0</v>
      </c>
      <c r="F142" s="10">
        <f>Tabella8[[#This Row],[Lombardy fit]]+Tabella8[[#This Row],[rest of Italy fit]]</f>
        <v>222295.15820159164</v>
      </c>
      <c r="G142" s="91">
        <f>Tabella8[[#This Row],[Italy sum of regions]]/K_sum</f>
        <v>0.94593691276190106</v>
      </c>
      <c r="H142" s="10">
        <f>Tabella8[[#This Row],[Italy sum of regions]]*NOT(ISBLANK(Tabella8[[#This Row],[Italy cumulative]]))</f>
        <v>0</v>
      </c>
      <c r="I142" s="152">
        <f>IFERROR(Kt*_xlfn.LOGNORM.DIST((Tabella8[[#This Row],[Day]]-Days_back),mu_t,sigma_t,TRUE),0)</f>
        <v>222531.04232043843</v>
      </c>
      <c r="J142" s="129">
        <f>Tabella8[[#This Row],[Italy fit]]/Kt</f>
        <v>0.94694086399550648</v>
      </c>
      <c r="K142" s="23">
        <f>Tabella8[[#This Row],[Italy fit]]*NOT(ISBLANK(Tabella8[[#This Row],[Italy cumulative]]))</f>
        <v>0</v>
      </c>
      <c r="N142" s="76"/>
      <c r="O142" s="10">
        <f>Tabella8[[#This Row],[Lombardy]]*NOT(ISBLANK(Tabella8[[#This Row],[Lombardy]]))</f>
        <v>0</v>
      </c>
      <c r="P142" s="127">
        <f>IFERROR(Kr*_xlfn.LOGNORM.DIST((Tabella8[[#This Row],[Day]]-pr),mu_r,sigma_r,TRUE),0)</f>
        <v>81615.02981433706</v>
      </c>
      <c r="Q142" s="127">
        <f>Tabella8[[#This Row],[Lombardy fit]]/Kr</f>
        <v>0.93810379096939145</v>
      </c>
      <c r="R142" s="23">
        <f>Tabella8[[#This Row],[Lombardy fit]]*NOT(ISBLANK(Tabella8[[#This Row],[Lombardy]]))</f>
        <v>0</v>
      </c>
      <c r="V142" s="10">
        <f>Tabella8[[#This Row],[rest of Italy ]]*NOT(ISBLANK(Tabella8[[#This Row],[rest of Italy ]]))</f>
        <v>0</v>
      </c>
      <c r="W142" s="128">
        <f>IFERROR(Ko*_xlfn.LOGNORM.DIST((Tabella8[[#This Row],[Day]]-po),mu_o,sigma_o,TRUE),0)</f>
        <v>140680.12838725458</v>
      </c>
      <c r="X142" s="128">
        <f>Tabella8[[#This Row],[rest of Italy fit]]/Ko</f>
        <v>0.95054151867595937</v>
      </c>
      <c r="Y142" s="23">
        <f>Tabella8[[#This Row],[rest of Italy fit]]*NOT(ISBLANK(Tabella8[[#This Row],[rest of Italy ]]))</f>
        <v>0</v>
      </c>
    </row>
    <row r="143" spans="2:57" x14ac:dyDescent="0.3">
      <c r="B143" s="9">
        <v>43966</v>
      </c>
      <c r="C143" s="4">
        <v>136</v>
      </c>
      <c r="D143" s="1"/>
      <c r="E143" s="10">
        <f>Tabella8[[#This Row],[Italy cumulative]]*NOT(ISBLANK(Tabella8[[#This Row],[Italy cumulative]]))</f>
        <v>0</v>
      </c>
      <c r="F143" s="10">
        <f>Tabella8[[#This Row],[Lombardy fit]]+Tabella8[[#This Row],[rest of Italy fit]]</f>
        <v>223056.73628546734</v>
      </c>
      <c r="G143" s="91">
        <f>Tabella8[[#This Row],[Italy sum of regions]]/K_sum</f>
        <v>0.94917767080322191</v>
      </c>
      <c r="H143" s="10">
        <f>Tabella8[[#This Row],[Italy sum of regions]]*NOT(ISBLANK(Tabella8[[#This Row],[Italy cumulative]]))</f>
        <v>0</v>
      </c>
      <c r="I143" s="152">
        <f>IFERROR(Kt*_xlfn.LOGNORM.DIST((Tabella8[[#This Row],[Day]]-Days_back),mu_t,sigma_t,TRUE),0)</f>
        <v>223300.50687441678</v>
      </c>
      <c r="J143" s="129">
        <f>Tabella8[[#This Row],[Italy fit]]/Kt</f>
        <v>0.95021518213988909</v>
      </c>
      <c r="K143" s="23">
        <f>Tabella8[[#This Row],[Italy fit]]*NOT(ISBLANK(Tabella8[[#This Row],[Italy cumulative]]))</f>
        <v>0</v>
      </c>
      <c r="N143" s="76"/>
      <c r="O143" s="10">
        <f>Tabella8[[#This Row],[Lombardy]]*NOT(ISBLANK(Tabella8[[#This Row],[Lombardy]]))</f>
        <v>0</v>
      </c>
      <c r="P143" s="127">
        <f>IFERROR(Kr*_xlfn.LOGNORM.DIST((Tabella8[[#This Row],[Day]]-pr),mu_r,sigma_r,TRUE),0)</f>
        <v>81907.733994565613</v>
      </c>
      <c r="Q143" s="127">
        <f>Tabella8[[#This Row],[Lombardy fit]]/Kr</f>
        <v>0.9414682068340875</v>
      </c>
      <c r="R143" s="23">
        <f>Tabella8[[#This Row],[Lombardy fit]]*NOT(ISBLANK(Tabella8[[#This Row],[Lombardy]]))</f>
        <v>0</v>
      </c>
      <c r="V143" s="10">
        <f>Tabella8[[#This Row],[rest of Italy ]]*NOT(ISBLANK(Tabella8[[#This Row],[rest of Italy ]]))</f>
        <v>0</v>
      </c>
      <c r="W143" s="128">
        <f>IFERROR(Ko*_xlfn.LOGNORM.DIST((Tabella8[[#This Row],[Day]]-po),mu_o,sigma_o,TRUE),0)</f>
        <v>141149.00229090173</v>
      </c>
      <c r="X143" s="128">
        <f>Tabella8[[#This Row],[rest of Italy fit]]/Ko</f>
        <v>0.95370958596129374</v>
      </c>
      <c r="Y143" s="23">
        <f>Tabella8[[#This Row],[rest of Italy fit]]*NOT(ISBLANK(Tabella8[[#This Row],[rest of Italy ]]))</f>
        <v>0</v>
      </c>
    </row>
    <row r="144" spans="2:57" x14ac:dyDescent="0.3">
      <c r="B144" s="9">
        <v>43967</v>
      </c>
      <c r="C144" s="4">
        <v>137</v>
      </c>
      <c r="D144" s="1"/>
      <c r="E144" s="10">
        <f>Tabella8[[#This Row],[Italy cumulative]]*NOT(ISBLANK(Tabella8[[#This Row],[Italy cumulative]]))</f>
        <v>0</v>
      </c>
      <c r="F144" s="10">
        <f>Tabella8[[#This Row],[Lombardy fit]]+Tabella8[[#This Row],[rest of Italy fit]]</f>
        <v>223774.2666954124</v>
      </c>
      <c r="G144" s="91">
        <f>Tabella8[[#This Row],[Italy sum of regions]]/K_sum</f>
        <v>0.95223099192045779</v>
      </c>
      <c r="H144" s="10">
        <f>Tabella8[[#This Row],[Italy sum of regions]]*NOT(ISBLANK(Tabella8[[#This Row],[Italy cumulative]]))</f>
        <v>0</v>
      </c>
      <c r="I144" s="152">
        <f>IFERROR(Kt*_xlfn.LOGNORM.DIST((Tabella8[[#This Row],[Day]]-Days_back),mu_t,sigma_t,TRUE),0)</f>
        <v>224024.82407359386</v>
      </c>
      <c r="J144" s="129">
        <f>Tabella8[[#This Row],[Italy fit]]/Kt</f>
        <v>0.9532973838284422</v>
      </c>
      <c r="K144" s="23">
        <f>Tabella8[[#This Row],[Italy fit]]*NOT(ISBLANK(Tabella8[[#This Row],[Italy cumulative]]))</f>
        <v>0</v>
      </c>
      <c r="N144" s="76"/>
      <c r="O144" s="10">
        <f>Tabella8[[#This Row],[Lombardy]]*NOT(ISBLANK(Tabella8[[#This Row],[Lombardy]]))</f>
        <v>0</v>
      </c>
      <c r="P144" s="127">
        <f>IFERROR(Kr*_xlfn.LOGNORM.DIST((Tabella8[[#This Row],[Day]]-pr),mu_r,sigma_r,TRUE),0)</f>
        <v>82185.195773867905</v>
      </c>
      <c r="Q144" s="127">
        <f>Tabella8[[#This Row],[Lombardy fit]]/Kr</f>
        <v>0.94465742268813679</v>
      </c>
      <c r="R144" s="23">
        <f>Tabella8[[#This Row],[Lombardy fit]]*NOT(ISBLANK(Tabella8[[#This Row],[Lombardy]]))</f>
        <v>0</v>
      </c>
      <c r="V144" s="10">
        <f>Tabella8[[#This Row],[rest of Italy ]]*NOT(ISBLANK(Tabella8[[#This Row],[rest of Italy ]]))</f>
        <v>0</v>
      </c>
      <c r="W144" s="128">
        <f>IFERROR(Ko*_xlfn.LOGNORM.DIST((Tabella8[[#This Row],[Day]]-po),mu_o,sigma_o,TRUE),0)</f>
        <v>141589.07092154451</v>
      </c>
      <c r="X144" s="128">
        <f>Tabella8[[#This Row],[rest of Italy fit]]/Ko</f>
        <v>0.9566830230009683</v>
      </c>
      <c r="Y144" s="23">
        <f>Tabella8[[#This Row],[rest of Italy fit]]*NOT(ISBLANK(Tabella8[[#This Row],[rest of Italy ]]))</f>
        <v>0</v>
      </c>
    </row>
    <row r="145" spans="2:25" x14ac:dyDescent="0.3">
      <c r="B145" s="9">
        <v>43968</v>
      </c>
      <c r="C145" s="4">
        <v>138</v>
      </c>
      <c r="D145" s="1"/>
      <c r="E145" s="10">
        <f>Tabella8[[#This Row],[Italy cumulative]]*NOT(ISBLANK(Tabella8[[#This Row],[Italy cumulative]]))</f>
        <v>0</v>
      </c>
      <c r="F145" s="10">
        <f>Tabella8[[#This Row],[Lombardy fit]]+Tabella8[[#This Row],[rest of Italy fit]]</f>
        <v>224450.09825610532</v>
      </c>
      <c r="G145" s="91">
        <f>Tabella8[[#This Row],[Italy sum of regions]]/K_sum</f>
        <v>0.95510687111297343</v>
      </c>
      <c r="H145" s="10">
        <f>Tabella8[[#This Row],[Italy sum of regions]]*NOT(ISBLANK(Tabella8[[#This Row],[Italy cumulative]]))</f>
        <v>0</v>
      </c>
      <c r="I145" s="152">
        <f>IFERROR(Kt*_xlfn.LOGNORM.DIST((Tabella8[[#This Row],[Day]]-Days_back),mu_t,sigma_t,TRUE),0)</f>
        <v>224706.39161655519</v>
      </c>
      <c r="J145" s="129">
        <f>Tabella8[[#This Row],[Italy fit]]/Kt</f>
        <v>0.95619767203665429</v>
      </c>
      <c r="K145" s="23">
        <f>Tabella8[[#This Row],[Italy fit]]*NOT(ISBLANK(Tabella8[[#This Row],[Italy cumulative]]))</f>
        <v>0</v>
      </c>
      <c r="N145" s="76"/>
      <c r="O145" s="10">
        <f>Tabella8[[#This Row],[Lombardy]]*NOT(ISBLANK(Tabella8[[#This Row],[Lombardy]]))</f>
        <v>0</v>
      </c>
      <c r="P145" s="127">
        <f>IFERROR(Kr*_xlfn.LOGNORM.DIST((Tabella8[[#This Row],[Day]]-pr),mu_r,sigma_r,TRUE),0)</f>
        <v>82448.138058862911</v>
      </c>
      <c r="Q145" s="127">
        <f>Tabella8[[#This Row],[Lombardy fit]]/Kr</f>
        <v>0.947679747803022</v>
      </c>
      <c r="R145" s="23">
        <f>Tabella8[[#This Row],[Lombardy fit]]*NOT(ISBLANK(Tabella8[[#This Row],[Lombardy]]))</f>
        <v>0</v>
      </c>
      <c r="V145" s="10">
        <f>Tabella8[[#This Row],[rest of Italy ]]*NOT(ISBLANK(Tabella8[[#This Row],[rest of Italy ]]))</f>
        <v>0</v>
      </c>
      <c r="W145" s="128">
        <f>IFERROR(Ko*_xlfn.LOGNORM.DIST((Tabella8[[#This Row],[Day]]-po),mu_o,sigma_o,TRUE),0)</f>
        <v>142001.96019724241</v>
      </c>
      <c r="X145" s="128">
        <f>Tabella8[[#This Row],[rest of Italy fit]]/Ko</f>
        <v>0.95947281572909648</v>
      </c>
      <c r="Y145" s="23">
        <f>Tabella8[[#This Row],[rest of Italy fit]]*NOT(ISBLANK(Tabella8[[#This Row],[rest of Italy ]]))</f>
        <v>0</v>
      </c>
    </row>
    <row r="146" spans="2:25" x14ac:dyDescent="0.3">
      <c r="B146" s="9">
        <v>43969</v>
      </c>
      <c r="C146" s="4">
        <v>139</v>
      </c>
      <c r="D146" s="1"/>
      <c r="E146" s="10">
        <f>Tabella8[[#This Row],[Italy cumulative]]*NOT(ISBLANK(Tabella8[[#This Row],[Italy cumulative]]))</f>
        <v>0</v>
      </c>
      <c r="F146" s="10">
        <f>Tabella8[[#This Row],[Lombardy fit]]+Tabella8[[#This Row],[rest of Italy fit]]</f>
        <v>225086.47702811612</v>
      </c>
      <c r="G146" s="91">
        <f>Tabella8[[#This Row],[Italy sum of regions]]/K_sum</f>
        <v>0.95781486608602273</v>
      </c>
      <c r="H146" s="10">
        <f>Tabella8[[#This Row],[Italy sum of regions]]*NOT(ISBLANK(Tabella8[[#This Row],[Italy cumulative]]))</f>
        <v>0</v>
      </c>
      <c r="I146" s="152">
        <f>IFERROR(Kt*_xlfn.LOGNORM.DIST((Tabella8[[#This Row],[Day]]-Days_back),mu_t,sigma_t,TRUE),0)</f>
        <v>225347.50634673334</v>
      </c>
      <c r="J146" s="129">
        <f>Tabella8[[#This Row],[Italy fit]]/Kt</f>
        <v>0.95892582056903264</v>
      </c>
      <c r="K146" s="23">
        <f>Tabella8[[#This Row],[Italy fit]]*NOT(ISBLANK(Tabella8[[#This Row],[Italy cumulative]]))</f>
        <v>0</v>
      </c>
      <c r="N146" s="76"/>
      <c r="O146" s="10">
        <f>Tabella8[[#This Row],[Lombardy]]*NOT(ISBLANK(Tabella8[[#This Row],[Lombardy]]))</f>
        <v>0</v>
      </c>
      <c r="P146" s="127">
        <f>IFERROR(Kr*_xlfn.LOGNORM.DIST((Tabella8[[#This Row],[Day]]-pr),mu_r,sigma_r,TRUE),0)</f>
        <v>82697.256599083383</v>
      </c>
      <c r="Q146" s="127">
        <f>Tabella8[[#This Row],[Lombardy fit]]/Kr</f>
        <v>0.95054317929980903</v>
      </c>
      <c r="R146" s="23">
        <f>Tabella8[[#This Row],[Lombardy fit]]*NOT(ISBLANK(Tabella8[[#This Row],[Lombardy]]))</f>
        <v>0</v>
      </c>
      <c r="V146" s="10">
        <f>Tabella8[[#This Row],[rest of Italy ]]*NOT(ISBLANK(Tabella8[[#This Row],[rest of Italy ]]))</f>
        <v>0</v>
      </c>
      <c r="W146" s="128">
        <f>IFERROR(Ko*_xlfn.LOGNORM.DIST((Tabella8[[#This Row],[Day]]-po),mu_o,sigma_o,TRUE),0)</f>
        <v>142389.22042903272</v>
      </c>
      <c r="X146" s="128">
        <f>Tabella8[[#This Row],[rest of Italy fit]]/Ko</f>
        <v>0.96208943922147394</v>
      </c>
      <c r="Y146" s="23">
        <f>Tabella8[[#This Row],[rest of Italy fit]]*NOT(ISBLANK(Tabella8[[#This Row],[rest of Italy ]]))</f>
        <v>0</v>
      </c>
    </row>
    <row r="147" spans="2:25" x14ac:dyDescent="0.3">
      <c r="B147" s="9">
        <v>43970</v>
      </c>
      <c r="C147" s="4">
        <v>140</v>
      </c>
      <c r="D147" s="1"/>
      <c r="E147" s="10">
        <f>Tabella8[[#This Row],[Italy cumulative]]*NOT(ISBLANK(Tabella8[[#This Row],[Italy cumulative]]))</f>
        <v>0</v>
      </c>
      <c r="F147" s="10">
        <f>Tabella8[[#This Row],[Lombardy fit]]+Tabella8[[#This Row],[rest of Italy fit]]</f>
        <v>225685.54824459017</v>
      </c>
      <c r="G147" s="91">
        <f>Tabella8[[#This Row],[Italy sum of regions]]/K_sum</f>
        <v>0.96036410549195739</v>
      </c>
      <c r="H147" s="10">
        <f>Tabella8[[#This Row],[Italy sum of regions]]*NOT(ISBLANK(Tabella8[[#This Row],[Italy cumulative]]))</f>
        <v>0</v>
      </c>
      <c r="I147" s="152">
        <f>IFERROR(Kt*_xlfn.LOGNORM.DIST((Tabella8[[#This Row],[Day]]-Days_back),mu_t,sigma_t,TRUE),0)</f>
        <v>225950.36559648617</v>
      </c>
      <c r="J147" s="129">
        <f>Tabella8[[#This Row],[Italy fit]]/Kt</f>
        <v>0.96149117977858778</v>
      </c>
      <c r="K147" s="23">
        <f>Tabella8[[#This Row],[Italy fit]]*NOT(ISBLANK(Tabella8[[#This Row],[Italy cumulative]]))</f>
        <v>0</v>
      </c>
      <c r="N147" s="76"/>
      <c r="O147" s="10">
        <f>Tabella8[[#This Row],[Lombardy]]*NOT(ISBLANK(Tabella8[[#This Row],[Lombardy]]))</f>
        <v>0</v>
      </c>
      <c r="P147" s="127">
        <f>IFERROR(Kr*_xlfn.LOGNORM.DIST((Tabella8[[#This Row],[Day]]-pr),mu_r,sigma_r,TRUE),0)</f>
        <v>82933.220269088051</v>
      </c>
      <c r="Q147" s="127">
        <f>Tabella8[[#This Row],[Lombardy fit]]/Kr</f>
        <v>0.95325540539181663</v>
      </c>
      <c r="R147" s="23">
        <f>Tabella8[[#This Row],[Lombardy fit]]*NOT(ISBLANK(Tabella8[[#This Row],[Lombardy]]))</f>
        <v>0</v>
      </c>
      <c r="V147" s="10">
        <f>Tabella8[[#This Row],[rest of Italy ]]*NOT(ISBLANK(Tabella8[[#This Row],[rest of Italy ]]))</f>
        <v>0</v>
      </c>
      <c r="W147" s="128">
        <f>IFERROR(Ko*_xlfn.LOGNORM.DIST((Tabella8[[#This Row],[Day]]-po),mu_o,sigma_o,TRUE),0)</f>
        <v>142752.32797550212</v>
      </c>
      <c r="X147" s="128">
        <f>Tabella8[[#This Row],[rest of Italy fit]]/Ko</f>
        <v>0.96454286887511786</v>
      </c>
      <c r="Y147" s="23">
        <f>Tabella8[[#This Row],[rest of Italy fit]]*NOT(ISBLANK(Tabella8[[#This Row],[rest of Italy ]]))</f>
        <v>0</v>
      </c>
    </row>
    <row r="148" spans="2:25" x14ac:dyDescent="0.3">
      <c r="B148" s="9">
        <v>43971</v>
      </c>
      <c r="C148" s="4">
        <v>141</v>
      </c>
      <c r="D148" s="1"/>
      <c r="E148" s="10">
        <f>Tabella8[[#This Row],[Italy cumulative]]*NOT(ISBLANK(Tabella8[[#This Row],[Italy cumulative]]))</f>
        <v>0</v>
      </c>
      <c r="F148" s="10">
        <f>Tabella8[[#This Row],[Lombardy fit]]+Tabella8[[#This Row],[rest of Italy fit]]</f>
        <v>226249.35854714314</v>
      </c>
      <c r="G148" s="91">
        <f>Tabella8[[#This Row],[Italy sum of regions]]/K_sum</f>
        <v>0.96276329844467412</v>
      </c>
      <c r="H148" s="10">
        <f>Tabella8[[#This Row],[Italy sum of regions]]*NOT(ISBLANK(Tabella8[[#This Row],[Italy cumulative]]))</f>
        <v>0</v>
      </c>
      <c r="I148" s="152">
        <f>IFERROR(Kt*_xlfn.LOGNORM.DIST((Tabella8[[#This Row],[Day]]-Days_back),mu_t,sigma_t,TRUE),0)</f>
        <v>226517.06889202536</v>
      </c>
      <c r="J148" s="129">
        <f>Tabella8[[#This Row],[Italy fit]]/Kt</f>
        <v>0.96390268382184952</v>
      </c>
      <c r="K148" s="23">
        <f>Tabella8[[#This Row],[Italy fit]]*NOT(ISBLANK(Tabella8[[#This Row],[Italy cumulative]]))</f>
        <v>0</v>
      </c>
      <c r="N148" s="76"/>
      <c r="O148" s="10">
        <f>Tabella8[[#This Row],[Lombardy]]*NOT(ISBLANK(Tabella8[[#This Row],[Lombardy]]))</f>
        <v>0</v>
      </c>
      <c r="P148" s="127">
        <f>IFERROR(Kr*_xlfn.LOGNORM.DIST((Tabella8[[#This Row],[Day]]-pr),mu_r,sigma_r,TRUE),0)</f>
        <v>83156.671439319733</v>
      </c>
      <c r="Q148" s="127">
        <f>Tabella8[[#This Row],[Lombardy fit]]/Kr</f>
        <v>0.95582380964735325</v>
      </c>
      <c r="R148" s="23">
        <f>Tabella8[[#This Row],[Lombardy fit]]*NOT(ISBLANK(Tabella8[[#This Row],[Lombardy]]))</f>
        <v>0</v>
      </c>
      <c r="V148" s="10">
        <f>Tabella8[[#This Row],[rest of Italy ]]*NOT(ISBLANK(Tabella8[[#This Row],[rest of Italy ]]))</f>
        <v>0</v>
      </c>
      <c r="W148" s="128">
        <f>IFERROR(Ko*_xlfn.LOGNORM.DIST((Tabella8[[#This Row],[Day]]-po),mu_o,sigma_o,TRUE),0)</f>
        <v>143092.68710782341</v>
      </c>
      <c r="X148" s="128">
        <f>Tabella8[[#This Row],[rest of Italy fit]]/Ko</f>
        <v>0.96684259300986797</v>
      </c>
      <c r="Y148" s="23">
        <f>Tabella8[[#This Row],[rest of Italy fit]]*NOT(ISBLANK(Tabella8[[#This Row],[rest of Italy ]]))</f>
        <v>0</v>
      </c>
    </row>
    <row r="149" spans="2:25" x14ac:dyDescent="0.3">
      <c r="B149" s="9">
        <v>43972</v>
      </c>
      <c r="C149" s="4">
        <v>142</v>
      </c>
      <c r="D149" s="1"/>
      <c r="E149" s="10">
        <f>Tabella8[[#This Row],[Italy cumulative]]*NOT(ISBLANK(Tabella8[[#This Row],[Italy cumulative]]))</f>
        <v>0</v>
      </c>
      <c r="F149" s="10">
        <f>Tabella8[[#This Row],[Lombardy fit]]+Tabella8[[#This Row],[rest of Italy fit]]</f>
        <v>226779.85846735528</v>
      </c>
      <c r="G149" s="91">
        <f>Tabella8[[#This Row],[Italy sum of regions]]/K_sum</f>
        <v>0.96502074507916547</v>
      </c>
      <c r="H149" s="10">
        <f>Tabella8[[#This Row],[Italy sum of regions]]*NOT(ISBLANK(Tabella8[[#This Row],[Italy cumulative]]))</f>
        <v>0</v>
      </c>
      <c r="I149" s="152">
        <f>IFERROR(Kt*_xlfn.LOGNORM.DIST((Tabella8[[#This Row],[Day]]-Days_back),mu_t,sigma_t,TRUE),0)</f>
        <v>227049.61996266877</v>
      </c>
      <c r="J149" s="129">
        <f>Tabella8[[#This Row],[Italy fit]]/Kt</f>
        <v>0.96616885920887996</v>
      </c>
      <c r="K149" s="23">
        <f>Tabella8[[#This Row],[Italy fit]]*NOT(ISBLANK(Tabella8[[#This Row],[Italy cumulative]]))</f>
        <v>0</v>
      </c>
      <c r="N149" s="76"/>
      <c r="O149" s="10">
        <f>Tabella8[[#This Row],[Lombardy]]*NOT(ISBLANK(Tabella8[[#This Row],[Lombardy]]))</f>
        <v>0</v>
      </c>
      <c r="P149" s="127">
        <f>IFERROR(Kr*_xlfn.LOGNORM.DIST((Tabella8[[#This Row],[Day]]-pr),mu_r,sigma_r,TRUE),0)</f>
        <v>83368.226423014072</v>
      </c>
      <c r="Q149" s="127">
        <f>Tabella8[[#This Row],[Lombardy fit]]/Kr</f>
        <v>0.95825547612659856</v>
      </c>
      <c r="R149" s="23">
        <f>Tabella8[[#This Row],[Lombardy fit]]*NOT(ISBLANK(Tabella8[[#This Row],[Lombardy]]))</f>
        <v>0</v>
      </c>
      <c r="V149" s="10">
        <f>Tabella8[[#This Row],[rest of Italy ]]*NOT(ISBLANK(Tabella8[[#This Row],[rest of Italy ]]))</f>
        <v>0</v>
      </c>
      <c r="W149" s="128">
        <f>IFERROR(Ko*_xlfn.LOGNORM.DIST((Tabella8[[#This Row],[Day]]-po),mu_o,sigma_o,TRUE),0)</f>
        <v>143411.63204434121</v>
      </c>
      <c r="X149" s="128">
        <f>Tabella8[[#This Row],[rest of Italy fit]]/Ko</f>
        <v>0.96899762661558864</v>
      </c>
      <c r="Y149" s="23">
        <f>Tabella8[[#This Row],[rest of Italy fit]]*NOT(ISBLANK(Tabella8[[#This Row],[rest of Italy ]]))</f>
        <v>0</v>
      </c>
    </row>
    <row r="150" spans="2:25" x14ac:dyDescent="0.3">
      <c r="B150" s="9">
        <v>43973</v>
      </c>
      <c r="C150" s="4">
        <v>143</v>
      </c>
      <c r="D150" s="1"/>
      <c r="E150" s="10">
        <f>Tabella8[[#This Row],[Italy cumulative]]*NOT(ISBLANK(Tabella8[[#This Row],[Italy cumulative]]))</f>
        <v>0</v>
      </c>
      <c r="F150" s="10">
        <f>Tabella8[[#This Row],[Lombardy fit]]+Tabella8[[#This Row],[rest of Italy fit]]</f>
        <v>227278.90510590805</v>
      </c>
      <c r="G150" s="91">
        <f>Tabella8[[#This Row],[Italy sum of regions]]/K_sum</f>
        <v>0.96714434795210213</v>
      </c>
      <c r="H150" s="10">
        <f>Tabella8[[#This Row],[Italy sum of regions]]*NOT(ISBLANK(Tabella8[[#This Row],[Italy cumulative]]))</f>
        <v>0</v>
      </c>
      <c r="I150" s="152">
        <f>IFERROR(Kt*_xlfn.LOGNORM.DIST((Tabella8[[#This Row],[Day]]-Days_back),mu_t,sigma_t,TRUE),0)</f>
        <v>227549.92900327404</v>
      </c>
      <c r="J150" s="129">
        <f>Tabella8[[#This Row],[Italy fit]]/Kt</f>
        <v>0.96829783443065287</v>
      </c>
      <c r="K150" s="23">
        <f>Tabella8[[#This Row],[Italy fit]]*NOT(ISBLANK(Tabella8[[#This Row],[Italy cumulative]]))</f>
        <v>0</v>
      </c>
      <c r="N150" s="76"/>
      <c r="O150" s="10">
        <f>Tabella8[[#This Row],[Lombardy]]*NOT(ISBLANK(Tabella8[[#This Row],[Lombardy]]))</f>
        <v>0</v>
      </c>
      <c r="P150" s="127">
        <f>IFERROR(Kr*_xlfn.LOGNORM.DIST((Tabella8[[#This Row],[Day]]-pr),mu_r,sigma_r,TRUE),0)</f>
        <v>83568.475987613274</v>
      </c>
      <c r="Q150" s="127">
        <f>Tabella8[[#This Row],[Lombardy fit]]/Kr</f>
        <v>0.96055719525992267</v>
      </c>
      <c r="R150" s="23">
        <f>Tabella8[[#This Row],[Lombardy fit]]*NOT(ISBLANK(Tabella8[[#This Row],[Lombardy]]))</f>
        <v>0</v>
      </c>
      <c r="V150" s="10">
        <f>Tabella8[[#This Row],[rest of Italy ]]*NOT(ISBLANK(Tabella8[[#This Row],[rest of Italy ]]))</f>
        <v>0</v>
      </c>
      <c r="W150" s="128">
        <f>IFERROR(Ko*_xlfn.LOGNORM.DIST((Tabella8[[#This Row],[Day]]-po),mu_o,sigma_o,TRUE),0)</f>
        <v>143710.42911829479</v>
      </c>
      <c r="X150" s="128">
        <f>Tabella8[[#This Row],[rest of Italy fit]]/Ko</f>
        <v>0.97101652599894672</v>
      </c>
      <c r="Y150" s="23">
        <f>Tabella8[[#This Row],[rest of Italy fit]]*NOT(ISBLANK(Tabella8[[#This Row],[rest of Italy ]]))</f>
        <v>0</v>
      </c>
    </row>
    <row r="151" spans="2:25" x14ac:dyDescent="0.3">
      <c r="B151" s="9">
        <v>43974</v>
      </c>
      <c r="C151" s="4">
        <v>144</v>
      </c>
      <c r="D151" s="1"/>
      <c r="E151" s="10">
        <f>Tabella8[[#This Row],[Italy cumulative]]*NOT(ISBLANK(Tabella8[[#This Row],[Italy cumulative]]))</f>
        <v>0</v>
      </c>
      <c r="F151" s="10">
        <f>Tabella8[[#This Row],[Lombardy fit]]+Tabella8[[#This Row],[rest of Italy fit]]</f>
        <v>227748.2649666428</v>
      </c>
      <c r="G151" s="91">
        <f>Tabella8[[#This Row],[Italy sum of regions]]/K_sum</f>
        <v>0.96914162410165805</v>
      </c>
      <c r="H151" s="10">
        <f>Tabella8[[#This Row],[Italy sum of regions]]*NOT(ISBLANK(Tabella8[[#This Row],[Italy cumulative]]))</f>
        <v>0</v>
      </c>
      <c r="I151" s="152">
        <f>IFERROR(Kt*_xlfn.LOGNORM.DIST((Tabella8[[#This Row],[Day]]-Days_back),mu_t,sigma_t,TRUE),0)</f>
        <v>228019.81514376547</v>
      </c>
      <c r="J151" s="129">
        <f>Tabella8[[#This Row],[Italy fit]]/Kt</f>
        <v>0.97029735046768173</v>
      </c>
      <c r="K151" s="23">
        <f>Tabella8[[#This Row],[Italy fit]]*NOT(ISBLANK(Tabella8[[#This Row],[Italy cumulative]]))</f>
        <v>0</v>
      </c>
      <c r="N151" s="76"/>
      <c r="O151" s="10">
        <f>Tabella8[[#This Row],[Lombardy]]*NOT(ISBLANK(Tabella8[[#This Row],[Lombardy]]))</f>
        <v>0</v>
      </c>
      <c r="P151" s="127">
        <f>IFERROR(Kr*_xlfn.LOGNORM.DIST((Tabella8[[#This Row],[Day]]-pr),mu_r,sigma_r,TRUE),0)</f>
        <v>83757.985920216946</v>
      </c>
      <c r="Q151" s="127">
        <f>Tabella8[[#This Row],[Lombardy fit]]/Kr</f>
        <v>0.96273547034732121</v>
      </c>
      <c r="R151" s="23">
        <f>Tabella8[[#This Row],[Lombardy fit]]*NOT(ISBLANK(Tabella8[[#This Row],[Lombardy]]))</f>
        <v>0</v>
      </c>
      <c r="V151" s="10">
        <f>Tabella8[[#This Row],[rest of Italy ]]*NOT(ISBLANK(Tabella8[[#This Row],[rest of Italy ]]))</f>
        <v>0</v>
      </c>
      <c r="W151" s="128">
        <f>IFERROR(Ko*_xlfn.LOGNORM.DIST((Tabella8[[#This Row],[Day]]-po),mu_o,sigma_o,TRUE),0)</f>
        <v>143990.27904642586</v>
      </c>
      <c r="X151" s="128">
        <f>Tabella8[[#This Row],[rest of Italy fit]]/Ko</f>
        <v>0.97290740411184418</v>
      </c>
      <c r="Y151" s="23">
        <f>Tabella8[[#This Row],[rest of Italy fit]]*NOT(ISBLANK(Tabella8[[#This Row],[rest of Italy ]]))</f>
        <v>0</v>
      </c>
    </row>
    <row r="152" spans="2:25" x14ac:dyDescent="0.3">
      <c r="B152" s="9">
        <v>43975</v>
      </c>
      <c r="C152" s="4">
        <v>145</v>
      </c>
      <c r="D152" s="1"/>
      <c r="E152" s="10">
        <f>Tabella8[[#This Row],[Italy cumulative]]*NOT(ISBLANK(Tabella8[[#This Row],[Italy cumulative]]))</f>
        <v>0</v>
      </c>
      <c r="F152" s="10">
        <f>Tabella8[[#This Row],[Lombardy fit]]+Tabella8[[#This Row],[rest of Italy fit]]</f>
        <v>228189.61690765643</v>
      </c>
      <c r="G152" s="91">
        <f>Tabella8[[#This Row],[Italy sum of regions]]/K_sum</f>
        <v>0.97101971760536487</v>
      </c>
      <c r="H152" s="10">
        <f>Tabella8[[#This Row],[Italy sum of regions]]*NOT(ISBLANK(Tabella8[[#This Row],[Italy cumulative]]))</f>
        <v>0</v>
      </c>
      <c r="I152" s="152">
        <f>IFERROR(Kt*_xlfn.LOGNORM.DIST((Tabella8[[#This Row],[Day]]-Days_back),mu_t,sigma_t,TRUE),0)</f>
        <v>228461.00908439638</v>
      </c>
      <c r="J152" s="129">
        <f>Tabella8[[#This Row],[Italy fit]]/Kt</f>
        <v>0.97217477200390501</v>
      </c>
      <c r="K152" s="23">
        <f>Tabella8[[#This Row],[Italy fit]]*NOT(ISBLANK(Tabella8[[#This Row],[Italy cumulative]]))</f>
        <v>0</v>
      </c>
      <c r="N152" s="76"/>
      <c r="O152" s="10">
        <f>Tabella8[[#This Row],[Lombardy]]*NOT(ISBLANK(Tabella8[[#This Row],[Lombardy]]))</f>
        <v>0</v>
      </c>
      <c r="P152" s="127">
        <f>IFERROR(Kr*_xlfn.LOGNORM.DIST((Tabella8[[#This Row],[Day]]-pr),mu_r,sigma_r,TRUE),0)</f>
        <v>83937.297637611147</v>
      </c>
      <c r="Q152" s="127">
        <f>Tabella8[[#This Row],[Lombardy fit]]/Kr</f>
        <v>0.96479652457024312</v>
      </c>
      <c r="R152" s="23">
        <f>Tabella8[[#This Row],[Lombardy fit]]*NOT(ISBLANK(Tabella8[[#This Row],[Lombardy]]))</f>
        <v>0</v>
      </c>
      <c r="V152" s="10">
        <f>Tabella8[[#This Row],[rest of Italy ]]*NOT(ISBLANK(Tabella8[[#This Row],[rest of Italy ]]))</f>
        <v>0</v>
      </c>
      <c r="W152" s="128">
        <f>IFERROR(Ko*_xlfn.LOGNORM.DIST((Tabella8[[#This Row],[Day]]-po),mu_o,sigma_o,TRUE),0)</f>
        <v>144252.31927004526</v>
      </c>
      <c r="X152" s="128">
        <f>Tabella8[[#This Row],[rest of Italy fit]]/Ko</f>
        <v>0.97467794636943816</v>
      </c>
      <c r="Y152" s="23">
        <f>Tabella8[[#This Row],[rest of Italy fit]]*NOT(ISBLANK(Tabella8[[#This Row],[rest of Italy ]]))</f>
        <v>0</v>
      </c>
    </row>
    <row r="153" spans="2:25" x14ac:dyDescent="0.3">
      <c r="B153" s="9">
        <v>43976</v>
      </c>
      <c r="C153" s="4">
        <v>146</v>
      </c>
      <c r="D153" s="1"/>
      <c r="E153" s="10">
        <f>Tabella8[[#This Row],[Italy cumulative]]*NOT(ISBLANK(Tabella8[[#This Row],[Italy cumulative]]))</f>
        <v>0</v>
      </c>
      <c r="F153" s="10">
        <f>Tabella8[[#This Row],[Lombardy fit]]+Tabella8[[#This Row],[rest of Italy fit]]</f>
        <v>228604.5551759933</v>
      </c>
      <c r="G153" s="91">
        <f>Tabella8[[#This Row],[Italy sum of regions]]/K_sum</f>
        <v>0.97278541249369621</v>
      </c>
      <c r="H153" s="10">
        <f>Tabella8[[#This Row],[Italy sum of regions]]*NOT(ISBLANK(Tabella8[[#This Row],[Italy cumulative]]))</f>
        <v>0</v>
      </c>
      <c r="I153" s="152">
        <f>IFERROR(Kt*_xlfn.LOGNORM.DIST((Tabella8[[#This Row],[Day]]-Days_back),mu_t,sigma_t,TRUE),0)</f>
        <v>228875.15585979028</v>
      </c>
      <c r="J153" s="129">
        <f>Tabella8[[#This Row],[Italy fit]]/Kt</f>
        <v>0.97393709918856686</v>
      </c>
      <c r="K153" s="23">
        <f>Tabella8[[#This Row],[Italy fit]]*NOT(ISBLANK(Tabella8[[#This Row],[Italy cumulative]]))</f>
        <v>0</v>
      </c>
      <c r="N153" s="76"/>
      <c r="O153" s="10">
        <f>Tabella8[[#This Row],[Lombardy]]*NOT(ISBLANK(Tabella8[[#This Row],[Lombardy]]))</f>
        <v>0</v>
      </c>
      <c r="P153" s="127">
        <f>IFERROR(Kr*_xlfn.LOGNORM.DIST((Tabella8[[#This Row],[Day]]-pr),mu_r,sigma_r,TRUE),0)</f>
        <v>84106.928832356643</v>
      </c>
      <c r="Q153" s="127">
        <f>Tabella8[[#This Row],[Lombardy fit]]/Kr</f>
        <v>0.96674630841789244</v>
      </c>
      <c r="R153" s="23">
        <f>Tabella8[[#This Row],[Lombardy fit]]*NOT(ISBLANK(Tabella8[[#This Row],[Lombardy]]))</f>
        <v>0</v>
      </c>
      <c r="V153" s="10">
        <f>Tabella8[[#This Row],[rest of Italy ]]*NOT(ISBLANK(Tabella8[[#This Row],[rest of Italy ]]))</f>
        <v>0</v>
      </c>
      <c r="W153" s="128">
        <f>IFERROR(Ko*_xlfn.LOGNORM.DIST((Tabella8[[#This Row],[Day]]-po),mu_o,sigma_o,TRUE),0)</f>
        <v>144497.62634363666</v>
      </c>
      <c r="X153" s="128">
        <f>Tabella8[[#This Row],[rest of Italy fit]]/Ko</f>
        <v>0.97633542678935681</v>
      </c>
      <c r="Y153" s="23">
        <f>Tabella8[[#This Row],[rest of Italy fit]]*NOT(ISBLANK(Tabella8[[#This Row],[rest of Italy ]]))</f>
        <v>0</v>
      </c>
    </row>
    <row r="154" spans="2:25" x14ac:dyDescent="0.3">
      <c r="B154" s="9">
        <v>43977</v>
      </c>
      <c r="C154" s="4">
        <v>147</v>
      </c>
      <c r="D154" s="1"/>
      <c r="E154" s="10">
        <f>Tabella8[[#This Row],[Italy cumulative]]*NOT(ISBLANK(Tabella8[[#This Row],[Italy cumulative]]))</f>
        <v>0</v>
      </c>
      <c r="F154" s="10">
        <f>Tabella8[[#This Row],[Lombardy fit]]+Tabella8[[#This Row],[rest of Italy fit]]</f>
        <v>228994.59249656362</v>
      </c>
      <c r="G154" s="91">
        <f>Tabella8[[#This Row],[Italy sum of regions]]/K_sum</f>
        <v>0.97444514589440134</v>
      </c>
      <c r="H154" s="10">
        <f>Tabella8[[#This Row],[Italy sum of regions]]*NOT(ISBLANK(Tabella8[[#This Row],[Italy cumulative]]))</f>
        <v>0</v>
      </c>
      <c r="I154" s="152">
        <f>IFERROR(Kt*_xlfn.LOGNORM.DIST((Tabella8[[#This Row],[Day]]-Days_back),mu_t,sigma_t,TRUE),0)</f>
        <v>229263.8176988872</v>
      </c>
      <c r="J154" s="129">
        <f>Tabella8[[#This Row],[Italy fit]]/Kt</f>
        <v>0.97559097980620479</v>
      </c>
      <c r="K154" s="23">
        <f>Tabella8[[#This Row],[Italy fit]]*NOT(ISBLANK(Tabella8[[#This Row],[Italy cumulative]]))</f>
        <v>0</v>
      </c>
      <c r="N154" s="76"/>
      <c r="O154" s="10">
        <f>Tabella8[[#This Row],[Lombardy]]*NOT(ISBLANK(Tabella8[[#This Row],[Lombardy]]))</f>
        <v>0</v>
      </c>
      <c r="P154" s="127">
        <f>IFERROR(Kr*_xlfn.LOGNORM.DIST((Tabella8[[#This Row],[Day]]-pr),mu_r,sigma_r,TRUE),0)</f>
        <v>84267.37414729064</v>
      </c>
      <c r="Q154" s="127">
        <f>Tabella8[[#This Row],[Lombardy fit]]/Kr</f>
        <v>0.96859050744012232</v>
      </c>
      <c r="R154" s="23">
        <f>Tabella8[[#This Row],[Lombardy fit]]*NOT(ISBLANK(Tabella8[[#This Row],[Lombardy]]))</f>
        <v>0</v>
      </c>
      <c r="V154" s="10">
        <f>Tabella8[[#This Row],[rest of Italy ]]*NOT(ISBLANK(Tabella8[[#This Row],[rest of Italy ]]))</f>
        <v>0</v>
      </c>
      <c r="W154" s="128">
        <f>IFERROR(Ko*_xlfn.LOGNORM.DIST((Tabella8[[#This Row],[Day]]-po),mu_o,sigma_o,TRUE),0)</f>
        <v>144727.218349273</v>
      </c>
      <c r="X154" s="128">
        <f>Tabella8[[#This Row],[rest of Italy fit]]/Ko</f>
        <v>0.97788672430532642</v>
      </c>
      <c r="Y154" s="23">
        <f>Tabella8[[#This Row],[rest of Italy fit]]*NOT(ISBLANK(Tabella8[[#This Row],[rest of Italy ]]))</f>
        <v>0</v>
      </c>
    </row>
    <row r="155" spans="2:25" x14ac:dyDescent="0.3">
      <c r="B155" s="9">
        <v>43978</v>
      </c>
      <c r="C155" s="4">
        <v>148</v>
      </c>
      <c r="D155" s="1"/>
      <c r="E155" s="10">
        <f>Tabella8[[#This Row],[Italy cumulative]]*NOT(ISBLANK(Tabella8[[#This Row],[Italy cumulative]]))</f>
        <v>0</v>
      </c>
      <c r="F155" s="10">
        <f>Tabella8[[#This Row],[Lombardy fit]]+Tabella8[[#This Row],[rest of Italy fit]]</f>
        <v>229361.16318963227</v>
      </c>
      <c r="G155" s="91">
        <f>Tabella8[[#This Row],[Italy sum of regions]]/K_sum</f>
        <v>0.9760050212984166</v>
      </c>
      <c r="H155" s="10">
        <f>Tabella8[[#This Row],[Italy sum of regions]]*NOT(ISBLANK(Tabella8[[#This Row],[Italy cumulative]]))</f>
        <v>0</v>
      </c>
      <c r="I155" s="152">
        <f>IFERROR(Kt*_xlfn.LOGNORM.DIST((Tabella8[[#This Row],[Day]]-Days_back),mu_t,sigma_t,TRUE),0)</f>
        <v>229628.47695168926</v>
      </c>
      <c r="J155" s="129">
        <f>Tabella8[[#This Row],[Italy fit]]/Kt</f>
        <v>0.97714272173088912</v>
      </c>
      <c r="K155" s="23">
        <f>Tabella8[[#This Row],[Italy fit]]*NOT(ISBLANK(Tabella8[[#This Row],[Italy cumulative]]))</f>
        <v>0</v>
      </c>
      <c r="N155" s="76"/>
      <c r="O155" s="10">
        <f>Tabella8[[#This Row],[Lombardy]]*NOT(ISBLANK(Tabella8[[#This Row],[Lombardy]]))</f>
        <v>0</v>
      </c>
      <c r="P155" s="127">
        <f>IFERROR(Kr*_xlfn.LOGNORM.DIST((Tabella8[[#This Row],[Day]]-pr),mu_r,sigma_r,TRUE),0)</f>
        <v>84419.10587160557</v>
      </c>
      <c r="Q155" s="127">
        <f>Tabella8[[#This Row],[Lombardy fit]]/Kr</f>
        <v>0.97033455024833992</v>
      </c>
      <c r="R155" s="23">
        <f>Tabella8[[#This Row],[Lombardy fit]]*NOT(ISBLANK(Tabella8[[#This Row],[Lombardy]]))</f>
        <v>0</v>
      </c>
      <c r="V155" s="10">
        <f>Tabella8[[#This Row],[rest of Italy ]]*NOT(ISBLANK(Tabella8[[#This Row],[rest of Italy ]]))</f>
        <v>0</v>
      </c>
      <c r="W155" s="128">
        <f>IFERROR(Ko*_xlfn.LOGNORM.DIST((Tabella8[[#This Row],[Day]]-po),mu_o,sigma_o,TRUE),0)</f>
        <v>144942.05731802669</v>
      </c>
      <c r="X155" s="128">
        <f>Tabella8[[#This Row],[rest of Italy fit]]/Ko</f>
        <v>0.97933833912805224</v>
      </c>
      <c r="Y155" s="23">
        <f>Tabella8[[#This Row],[rest of Italy fit]]*NOT(ISBLANK(Tabella8[[#This Row],[rest of Italy ]]))</f>
        <v>0</v>
      </c>
    </row>
    <row r="156" spans="2:25" x14ac:dyDescent="0.3">
      <c r="B156" s="9">
        <v>43979</v>
      </c>
      <c r="C156" s="4">
        <v>149</v>
      </c>
      <c r="D156" s="1"/>
      <c r="E156" s="10">
        <f>Tabella8[[#This Row],[Italy cumulative]]*NOT(ISBLANK(Tabella8[[#This Row],[Italy cumulative]]))</f>
        <v>0</v>
      </c>
      <c r="F156" s="10">
        <f>Tabella8[[#This Row],[Lombardy fit]]+Tabella8[[#This Row],[rest of Italy fit]]</f>
        <v>229705.62629460136</v>
      </c>
      <c r="G156" s="91">
        <f>Tabella8[[#This Row],[Italy sum of regions]]/K_sum</f>
        <v>0.97747082185255796</v>
      </c>
      <c r="H156" s="10">
        <f>Tabella8[[#This Row],[Italy sum of regions]]*NOT(ISBLANK(Tabella8[[#This Row],[Italy cumulative]]))</f>
        <v>0</v>
      </c>
      <c r="I156" s="152">
        <f>IFERROR(Kt*_xlfn.LOGNORM.DIST((Tabella8[[#This Row],[Day]]-Days_back),mu_t,sigma_t,TRUE),0)</f>
        <v>229970.53905716853</v>
      </c>
      <c r="J156" s="129">
        <f>Tabella8[[#This Row],[Italy fit]]/Kt</f>
        <v>0.97859830555562244</v>
      </c>
      <c r="K156" s="23">
        <f>Tabella8[[#This Row],[Italy fit]]*NOT(ISBLANK(Tabella8[[#This Row],[Italy cumulative]]))</f>
        <v>0</v>
      </c>
      <c r="N156" s="76"/>
      <c r="O156" s="10">
        <f>Tabella8[[#This Row],[Lombardy]]*NOT(ISBLANK(Tabella8[[#This Row],[Lombardy]]))</f>
        <v>0</v>
      </c>
      <c r="P156" s="127">
        <f>IFERROR(Kr*_xlfn.LOGNORM.DIST((Tabella8[[#This Row],[Day]]-pr),mu_r,sigma_r,TRUE),0)</f>
        <v>84562.574652415191</v>
      </c>
      <c r="Q156" s="127">
        <f>Tabella8[[#This Row],[Lombardy fit]]/Kr</f>
        <v>0.97198361669442745</v>
      </c>
      <c r="R156" s="23">
        <f>Tabella8[[#This Row],[Lombardy fit]]*NOT(ISBLANK(Tabella8[[#This Row],[Lombardy]]))</f>
        <v>0</v>
      </c>
      <c r="V156" s="10">
        <f>Tabella8[[#This Row],[rest of Italy ]]*NOT(ISBLANK(Tabella8[[#This Row],[rest of Italy ]]))</f>
        <v>0</v>
      </c>
      <c r="W156" s="128">
        <f>IFERROR(Ko*_xlfn.LOGNORM.DIST((Tabella8[[#This Row],[Day]]-po),mu_o,sigma_o,TRUE),0)</f>
        <v>145143.05164218618</v>
      </c>
      <c r="X156" s="128">
        <f>Tabella8[[#This Row],[rest of Italy fit]]/Ko</f>
        <v>0.98069640904398159</v>
      </c>
      <c r="Y156" s="23">
        <f>Tabella8[[#This Row],[rest of Italy fit]]*NOT(ISBLANK(Tabella8[[#This Row],[rest of Italy ]]))</f>
        <v>0</v>
      </c>
    </row>
    <row r="157" spans="2:25" x14ac:dyDescent="0.3">
      <c r="B157" s="9">
        <v>43980</v>
      </c>
      <c r="C157" s="4">
        <v>150</v>
      </c>
      <c r="D157" s="1"/>
      <c r="E157" s="10">
        <f>Tabella8[[#This Row],[Italy cumulative]]*NOT(ISBLANK(Tabella8[[#This Row],[Italy cumulative]]))</f>
        <v>0</v>
      </c>
      <c r="F157" s="10">
        <f>Tabella8[[#This Row],[Lombardy fit]]+Tabella8[[#This Row],[rest of Italy fit]]</f>
        <v>230029.26868087053</v>
      </c>
      <c r="G157" s="91">
        <f>Tabella8[[#This Row],[Italy sum of regions]]/K_sum</f>
        <v>0.97884802359722545</v>
      </c>
      <c r="H157" s="10">
        <f>Tabella8[[#This Row],[Italy sum of regions]]*NOT(ISBLANK(Tabella8[[#This Row],[Italy cumulative]]))</f>
        <v>0</v>
      </c>
      <c r="I157" s="152">
        <f>IFERROR(Kt*_xlfn.LOGNORM.DIST((Tabella8[[#This Row],[Day]]-Days_back),mu_t,sigma_t,TRUE),0)</f>
        <v>230291.33552987993</v>
      </c>
      <c r="J157" s="129">
        <f>Tabella8[[#This Row],[Italy fit]]/Kt</f>
        <v>0.97996339730133319</v>
      </c>
      <c r="K157" s="23">
        <f>Tabella8[[#This Row],[Italy fit]]*NOT(ISBLANK(Tabella8[[#This Row],[Italy cumulative]]))</f>
        <v>0</v>
      </c>
      <c r="N157" s="76"/>
      <c r="O157" s="10">
        <f>Tabella8[[#This Row],[Lombardy]]*NOT(ISBLANK(Tabella8[[#This Row],[Lombardy]]))</f>
        <v>0</v>
      </c>
      <c r="P157" s="127">
        <f>IFERROR(Kr*_xlfn.LOGNORM.DIST((Tabella8[[#This Row],[Day]]-pr),mu_r,sigma_r,TRUE),0)</f>
        <v>84698.210216405729</v>
      </c>
      <c r="Q157" s="127">
        <f>Tabella8[[#This Row],[Lombardy fit]]/Kr</f>
        <v>0.97354264616558306</v>
      </c>
      <c r="R157" s="23">
        <f>Tabella8[[#This Row],[Lombardy fit]]*NOT(ISBLANK(Tabella8[[#This Row],[Lombardy]]))</f>
        <v>0</v>
      </c>
      <c r="V157" s="10">
        <f>Tabella8[[#This Row],[rest of Italy ]]*NOT(ISBLANK(Tabella8[[#This Row],[rest of Italy ]]))</f>
        <v>0</v>
      </c>
      <c r="W157" s="128">
        <f>IFERROR(Ko*_xlfn.LOGNORM.DIST((Tabella8[[#This Row],[Day]]-po),mu_o,sigma_o,TRUE),0)</f>
        <v>145331.05846446479</v>
      </c>
      <c r="X157" s="128">
        <f>Tabella8[[#This Row],[rest of Italy fit]]/Ko</f>
        <v>0.98196672555860842</v>
      </c>
      <c r="Y157" s="23">
        <f>Tabella8[[#This Row],[rest of Italy fit]]*NOT(ISBLANK(Tabella8[[#This Row],[rest of Italy ]]))</f>
        <v>0</v>
      </c>
    </row>
    <row r="158" spans="2:25" x14ac:dyDescent="0.3">
      <c r="B158" s="9">
        <v>43981</v>
      </c>
      <c r="C158" s="4">
        <v>151</v>
      </c>
      <c r="D158" s="1"/>
      <c r="E158" s="10">
        <f>Tabella8[[#This Row],[Italy cumulative]]*NOT(ISBLANK(Tabella8[[#This Row],[Italy cumulative]]))</f>
        <v>0</v>
      </c>
      <c r="F158" s="10">
        <f>Tabella8[[#This Row],[Lombardy fit]]+Tabella8[[#This Row],[rest of Italy fit]]</f>
        <v>230333.30812932408</v>
      </c>
      <c r="G158" s="91">
        <f>Tabella8[[#This Row],[Italy sum of regions]]/K_sum</f>
        <v>0.98014180857911493</v>
      </c>
      <c r="H158" s="10">
        <f>Tabella8[[#This Row],[Italy sum of regions]]*NOT(ISBLANK(Tabella8[[#This Row],[Italy cumulative]]))</f>
        <v>0</v>
      </c>
      <c r="I158" s="152">
        <f>IFERROR(Kt*_xlfn.LOGNORM.DIST((Tabella8[[#This Row],[Day]]-Days_back),mu_t,sigma_t,TRUE),0)</f>
        <v>230592.1269457241</v>
      </c>
      <c r="J158" s="129">
        <f>Tabella8[[#This Row],[Italy fit]]/Kt</f>
        <v>0.98124336112225374</v>
      </c>
      <c r="K158" s="23">
        <f>Tabella8[[#This Row],[Italy fit]]*NOT(ISBLANK(Tabella8[[#This Row],[Italy cumulative]]))</f>
        <v>0</v>
      </c>
      <c r="N158" s="76"/>
      <c r="O158" s="10">
        <f>Tabella8[[#This Row],[Lombardy]]*NOT(ISBLANK(Tabella8[[#This Row],[Lombardy]]))</f>
        <v>0</v>
      </c>
      <c r="P158" s="127">
        <f>IFERROR(Kr*_xlfn.LOGNORM.DIST((Tabella8[[#This Row],[Day]]-pr),mu_r,sigma_r,TRUE),0)</f>
        <v>84826.422096802387</v>
      </c>
      <c r="Q158" s="127">
        <f>Tabella8[[#This Row],[Lombardy fit]]/Kr</f>
        <v>0.97501634594025732</v>
      </c>
      <c r="R158" s="23">
        <f>Tabella8[[#This Row],[Lombardy fit]]*NOT(ISBLANK(Tabella8[[#This Row],[Lombardy]]))</f>
        <v>0</v>
      </c>
      <c r="V158" s="10">
        <f>Tabella8[[#This Row],[rest of Italy ]]*NOT(ISBLANK(Tabella8[[#This Row],[rest of Italy ]]))</f>
        <v>0</v>
      </c>
      <c r="W158" s="128">
        <f>IFERROR(Ko*_xlfn.LOGNORM.DIST((Tabella8[[#This Row],[Day]]-po),mu_o,sigma_o,TRUE),0)</f>
        <v>145506.8860325217</v>
      </c>
      <c r="X158" s="128">
        <f>Tabella8[[#This Row],[rest of Italy fit]]/Ko</f>
        <v>0.98315474980540063</v>
      </c>
      <c r="Y158" s="23">
        <f>Tabella8[[#This Row],[rest of Italy fit]]*NOT(ISBLANK(Tabella8[[#This Row],[rest of Italy ]]))</f>
        <v>0</v>
      </c>
    </row>
    <row r="159" spans="2:25" x14ac:dyDescent="0.3">
      <c r="B159" s="9">
        <v>43982</v>
      </c>
      <c r="C159" s="4">
        <v>152</v>
      </c>
      <c r="D159" s="1"/>
      <c r="E159" s="10">
        <f>Tabella8[[#This Row],[Italy cumulative]]*NOT(ISBLANK(Tabella8[[#This Row],[Italy cumulative]]))</f>
        <v>0</v>
      </c>
      <c r="F159" s="10">
        <f>Tabella8[[#This Row],[Lombardy fit]]+Tabella8[[#This Row],[rest of Italy fit]]</f>
        <v>230618.8963704842</v>
      </c>
      <c r="G159" s="91">
        <f>Tabella8[[#This Row],[Italy sum of regions]]/K_sum</f>
        <v>0.98135707777953141</v>
      </c>
      <c r="H159" s="10">
        <f>Tabella8[[#This Row],[Italy sum of regions]]*NOT(ISBLANK(Tabella8[[#This Row],[Italy cumulative]]))</f>
        <v>0</v>
      </c>
      <c r="I159" s="152">
        <f>IFERROR(Kt*_xlfn.LOGNORM.DIST((Tabella8[[#This Row],[Day]]-Days_back),mu_t,sigma_t,TRUE),0)</f>
        <v>230874.10590995103</v>
      </c>
      <c r="J159" s="129">
        <f>Tabella8[[#This Row],[Italy fit]]/Kt</f>
        <v>0.98244327193572634</v>
      </c>
      <c r="K159" s="23">
        <f>Tabella8[[#This Row],[Italy fit]]*NOT(ISBLANK(Tabella8[[#This Row],[Italy cumulative]]))</f>
        <v>0</v>
      </c>
      <c r="N159" s="76"/>
      <c r="O159" s="10">
        <f>Tabella8[[#This Row],[Lombardy]]*NOT(ISBLANK(Tabella8[[#This Row],[Lombardy]]))</f>
        <v>0</v>
      </c>
      <c r="P159" s="127">
        <f>IFERROR(Kr*_xlfn.LOGNORM.DIST((Tabella8[[#This Row],[Day]]-pr),mu_r,sigma_r,TRUE),0)</f>
        <v>84947.600361458666</v>
      </c>
      <c r="Q159" s="127">
        <f>Tabella8[[#This Row],[Lombardy fit]]/Kr</f>
        <v>0.97640919955699612</v>
      </c>
      <c r="R159" s="23">
        <f>Tabella8[[#This Row],[Lombardy fit]]*NOT(ISBLANK(Tabella8[[#This Row],[Lombardy]]))</f>
        <v>0</v>
      </c>
      <c r="V159" s="10">
        <f>Tabella8[[#This Row],[rest of Italy ]]*NOT(ISBLANK(Tabella8[[#This Row],[rest of Italy ]]))</f>
        <v>0</v>
      </c>
      <c r="W159" s="128">
        <f>IFERROR(Ko*_xlfn.LOGNORM.DIST((Tabella8[[#This Row],[Day]]-po),mu_o,sigma_o,TRUE),0)</f>
        <v>145671.29600902554</v>
      </c>
      <c r="X159" s="128">
        <f>Tabella8[[#This Row],[rest of Italy fit]]/Ko</f>
        <v>0.98426562815434027</v>
      </c>
      <c r="Y159" s="23">
        <f>Tabella8[[#This Row],[rest of Italy fit]]*NOT(ISBLANK(Tabella8[[#This Row],[rest of Italy ]]))</f>
        <v>0</v>
      </c>
    </row>
    <row r="160" spans="2:25" x14ac:dyDescent="0.3">
      <c r="B160" s="9">
        <v>43983</v>
      </c>
      <c r="C160" s="4">
        <v>153</v>
      </c>
      <c r="D160" s="1"/>
      <c r="E160" s="10">
        <f>Tabella8[[#This Row],[Italy cumulative]]*NOT(ISBLANK(Tabella8[[#This Row],[Italy cumulative]]))</f>
        <v>0</v>
      </c>
      <c r="F160" s="10">
        <f>Tabella8[[#This Row],[Lombardy fit]]+Tabella8[[#This Row],[rest of Italy fit]]</f>
        <v>230887.12206760075</v>
      </c>
      <c r="G160" s="91">
        <f>Tabella8[[#This Row],[Italy sum of regions]]/K_sum</f>
        <v>0.98249846380838834</v>
      </c>
      <c r="H160" s="10">
        <f>Tabella8[[#This Row],[Italy sum of regions]]*NOT(ISBLANK(Tabella8[[#This Row],[Italy cumulative]]))</f>
        <v>0</v>
      </c>
      <c r="I160" s="152">
        <f>IFERROR(Kt*_xlfn.LOGNORM.DIST((Tabella8[[#This Row],[Day]]-Days_back),mu_t,sigma_t,TRUE),0)</f>
        <v>231138.39999289124</v>
      </c>
      <c r="J160" s="129">
        <f>Tabella8[[#This Row],[Italy fit]]/Kt</f>
        <v>0.98356792791467917</v>
      </c>
      <c r="K160" s="23">
        <f>Tabella8[[#This Row],[Italy fit]]*NOT(ISBLANK(Tabella8[[#This Row],[Italy cumulative]]))</f>
        <v>0</v>
      </c>
      <c r="N160" s="76"/>
      <c r="O160" s="10">
        <f>Tabella8[[#This Row],[Lombardy]]*NOT(ISBLANK(Tabella8[[#This Row],[Lombardy]]))</f>
        <v>0</v>
      </c>
      <c r="P160" s="127">
        <f>IFERROR(Kr*_xlfn.LOGNORM.DIST((Tabella8[[#This Row],[Day]]-pr),mu_r,sigma_r,TRUE),0)</f>
        <v>85062.116338405118</v>
      </c>
      <c r="Q160" s="127">
        <f>Tabella8[[#This Row],[Lombardy fit]]/Kr</f>
        <v>0.97772547515408181</v>
      </c>
      <c r="R160" s="23">
        <f>Tabella8[[#This Row],[Lombardy fit]]*NOT(ISBLANK(Tabella8[[#This Row],[Lombardy]]))</f>
        <v>0</v>
      </c>
      <c r="V160" s="10">
        <f>Tabella8[[#This Row],[rest of Italy ]]*NOT(ISBLANK(Tabella8[[#This Row],[rest of Italy ]]))</f>
        <v>0</v>
      </c>
      <c r="W160" s="128">
        <f>IFERROR(Ko*_xlfn.LOGNORM.DIST((Tabella8[[#This Row],[Day]]-po),mu_o,sigma_o,TRUE),0)</f>
        <v>145825.00572919563</v>
      </c>
      <c r="X160" s="128">
        <f>Tabella8[[#This Row],[rest of Italy fit]]/Ko</f>
        <v>0.98530420746558134</v>
      </c>
      <c r="Y160" s="23">
        <f>Tabella8[[#This Row],[rest of Italy fit]]*NOT(ISBLANK(Tabella8[[#This Row],[rest of Italy ]]))</f>
        <v>0</v>
      </c>
    </row>
    <row r="161" spans="2:25" x14ac:dyDescent="0.3">
      <c r="B161" s="9">
        <v>43984</v>
      </c>
      <c r="C161" s="4">
        <v>154</v>
      </c>
      <c r="D161" s="1"/>
      <c r="E161" s="10">
        <f>Tabella8[[#This Row],[Italy cumulative]]*NOT(ISBLANK(Tabella8[[#This Row],[Italy cumulative]]))</f>
        <v>0</v>
      </c>
      <c r="F161" s="10">
        <f>Tabella8[[#This Row],[Lombardy fit]]+Tabella8[[#This Row],[rest of Italy fit]]</f>
        <v>231139.01373494638</v>
      </c>
      <c r="G161" s="91">
        <f>Tabella8[[#This Row],[Italy sum of regions]]/K_sum</f>
        <v>0.98357034332248594</v>
      </c>
      <c r="H161" s="10">
        <f>Tabella8[[#This Row],[Italy sum of regions]]*NOT(ISBLANK(Tabella8[[#This Row],[Italy cumulative]]))</f>
        <v>0</v>
      </c>
      <c r="I161" s="152">
        <f>IFERROR(Kt*_xlfn.LOGNORM.DIST((Tabella8[[#This Row],[Day]]-Days_back),mu_t,sigma_t,TRUE),0)</f>
        <v>231386.07462107181</v>
      </c>
      <c r="J161" s="129">
        <f>Tabella8[[#This Row],[Italy fit]]/Kt</f>
        <v>0.98462186279025199</v>
      </c>
      <c r="K161" s="23">
        <f>Tabella8[[#This Row],[Italy fit]]*NOT(ISBLANK(Tabella8[[#This Row],[Italy cumulative]]))</f>
        <v>0</v>
      </c>
      <c r="N161" s="76"/>
      <c r="O161" s="10">
        <f>Tabella8[[#This Row],[Lombardy]]*NOT(ISBLANK(Tabella8[[#This Row],[Lombardy]]))</f>
        <v>0</v>
      </c>
      <c r="P161" s="127">
        <f>IFERROR(Kr*_xlfn.LOGNORM.DIST((Tabella8[[#This Row],[Day]]-pr),mu_r,sigma_r,TRUE),0)</f>
        <v>85170.323335674941</v>
      </c>
      <c r="Q161" s="127">
        <f>Tabella8[[#This Row],[Lombardy fit]]/Kr</f>
        <v>0.97896923374339018</v>
      </c>
      <c r="R161" s="23">
        <f>Tabella8[[#This Row],[Lombardy fit]]*NOT(ISBLANK(Tabella8[[#This Row],[Lombardy]]))</f>
        <v>0</v>
      </c>
      <c r="V161" s="10">
        <f>Tabella8[[#This Row],[rest of Italy ]]*NOT(ISBLANK(Tabella8[[#This Row],[rest of Italy ]]))</f>
        <v>0</v>
      </c>
      <c r="W161" s="128">
        <f>IFERROR(Ko*_xlfn.LOGNORM.DIST((Tabella8[[#This Row],[Day]]-po),mu_o,sigma_o,TRUE),0)</f>
        <v>145968.69039927144</v>
      </c>
      <c r="X161" s="128">
        <f>Tabella8[[#This Row],[rest of Italy fit]]/Ko</f>
        <v>0.98627504994397563</v>
      </c>
      <c r="Y161" s="23">
        <f>Tabella8[[#This Row],[rest of Italy fit]]*NOT(ISBLANK(Tabella8[[#This Row],[rest of Italy ]]))</f>
        <v>0</v>
      </c>
    </row>
    <row r="162" spans="2:25" x14ac:dyDescent="0.3">
      <c r="B162" s="9">
        <v>43985</v>
      </c>
      <c r="C162" s="4">
        <v>155</v>
      </c>
      <c r="D162" s="1"/>
      <c r="E162" s="10">
        <f>Tabella8[[#This Row],[Italy cumulative]]*NOT(ISBLANK(Tabella8[[#This Row],[Italy cumulative]]))</f>
        <v>0</v>
      </c>
      <c r="F162" s="10">
        <f>Tabella8[[#This Row],[Lombardy fit]]+Tabella8[[#This Row],[rest of Italy fit]]</f>
        <v>231375.54258336208</v>
      </c>
      <c r="G162" s="91">
        <f>Tabella8[[#This Row],[Italy sum of regions]]/K_sum</f>
        <v>0.98457684913421661</v>
      </c>
      <c r="H162" s="10">
        <f>Tabella8[[#This Row],[Italy sum of regions]]*NOT(ISBLANK(Tabella8[[#This Row],[Italy cumulative]]))</f>
        <v>0</v>
      </c>
      <c r="I162" s="152">
        <f>IFERROR(Kt*_xlfn.LOGNORM.DIST((Tabella8[[#This Row],[Day]]-Days_back),mu_t,sigma_t,TRUE),0)</f>
        <v>231618.13591332614</v>
      </c>
      <c r="J162" s="129">
        <f>Tabella8[[#This Row],[Italy fit]]/Kt</f>
        <v>0.98560935792035076</v>
      </c>
      <c r="K162" s="23">
        <f>Tabella8[[#This Row],[Italy fit]]*NOT(ISBLANK(Tabella8[[#This Row],[Italy cumulative]]))</f>
        <v>0</v>
      </c>
      <c r="N162" s="76"/>
      <c r="O162" s="10">
        <f>Tabella8[[#This Row],[Lombardy]]*NOT(ISBLANK(Tabella8[[#This Row],[Lombardy]]))</f>
        <v>0</v>
      </c>
      <c r="P162" s="127">
        <f>IFERROR(Kr*_xlfn.LOGNORM.DIST((Tabella8[[#This Row],[Day]]-pr),mu_r,sigma_r,TRUE),0)</f>
        <v>85272.55735266082</v>
      </c>
      <c r="Q162" s="127">
        <f>Tabella8[[#This Row],[Lombardy fit]]/Kr</f>
        <v>0.98014433738690598</v>
      </c>
      <c r="R162" s="23">
        <f>Tabella8[[#This Row],[Lombardy fit]]*NOT(ISBLANK(Tabella8[[#This Row],[Lombardy]]))</f>
        <v>0</v>
      </c>
      <c r="V162" s="10">
        <f>Tabella8[[#This Row],[rest of Italy ]]*NOT(ISBLANK(Tabella8[[#This Row],[rest of Italy ]]))</f>
        <v>0</v>
      </c>
      <c r="W162" s="128">
        <f>IFERROR(Ko*_xlfn.LOGNORM.DIST((Tabella8[[#This Row],[Day]]-po),mu_o,sigma_o,TRUE),0)</f>
        <v>146102.98523070125</v>
      </c>
      <c r="X162" s="128">
        <f>Tabella8[[#This Row],[rest of Italy fit]]/Ko</f>
        <v>0.98718244755926798</v>
      </c>
      <c r="Y162" s="23">
        <f>Tabella8[[#This Row],[rest of Italy fit]]*NOT(ISBLANK(Tabella8[[#This Row],[rest of Italy ]]))</f>
        <v>0</v>
      </c>
    </row>
    <row r="163" spans="2:25" x14ac:dyDescent="0.3">
      <c r="B163" s="9">
        <v>43986</v>
      </c>
      <c r="C163" s="4">
        <v>156</v>
      </c>
      <c r="D163" s="1"/>
      <c r="E163" s="10">
        <f>Tabella8[[#This Row],[Italy cumulative]]*NOT(ISBLANK(Tabella8[[#This Row],[Italy cumulative]]))</f>
        <v>0</v>
      </c>
      <c r="F163" s="10">
        <f>Tabella8[[#This Row],[Lombardy fit]]+Tabella8[[#This Row],[rest of Italy fit]]</f>
        <v>231597.62528667797</v>
      </c>
      <c r="G163" s="91">
        <f>Tabella8[[#This Row],[Italy sum of regions]]/K_sum</f>
        <v>0.98552188198356883</v>
      </c>
      <c r="H163" s="10">
        <f>Tabella8[[#This Row],[Italy sum of regions]]*NOT(ISBLANK(Tabella8[[#This Row],[Italy cumulative]]))</f>
        <v>0</v>
      </c>
      <c r="I163" s="152">
        <f>IFERROR(Kt*_xlfn.LOGNORM.DIST((Tabella8[[#This Row],[Day]]-Days_back),mu_t,sigma_t,TRUE),0)</f>
        <v>231835.53345326131</v>
      </c>
      <c r="J163" s="129">
        <f>Tabella8[[#This Row],[Italy fit]]/Kt</f>
        <v>0.9865344540873846</v>
      </c>
      <c r="K163" s="23">
        <f>Tabella8[[#This Row],[Italy fit]]*NOT(ISBLANK(Tabella8[[#This Row],[Italy cumulative]]))</f>
        <v>0</v>
      </c>
      <c r="N163" s="76"/>
      <c r="O163" s="10">
        <f>Tabella8[[#This Row],[Lombardy]]*NOT(ISBLANK(Tabella8[[#This Row],[Lombardy]]))</f>
        <v>0</v>
      </c>
      <c r="P163" s="127">
        <f>IFERROR(Kr*_xlfn.LOGNORM.DIST((Tabella8[[#This Row],[Day]]-pr),mu_r,sigma_r,TRUE),0)</f>
        <v>85369.137780653706</v>
      </c>
      <c r="Q163" s="127">
        <f>Tabella8[[#This Row],[Lombardy fit]]/Kr</f>
        <v>0.98125445724889315</v>
      </c>
      <c r="R163" s="23">
        <f>Tabella8[[#This Row],[Lombardy fit]]*NOT(ISBLANK(Tabella8[[#This Row],[Lombardy]]))</f>
        <v>0</v>
      </c>
      <c r="V163" s="10">
        <f>Tabella8[[#This Row],[rest of Italy ]]*NOT(ISBLANK(Tabella8[[#This Row],[rest of Italy ]]))</f>
        <v>0</v>
      </c>
      <c r="W163" s="128">
        <f>IFERROR(Ko*_xlfn.LOGNORM.DIST((Tabella8[[#This Row],[Day]]-po),mu_o,sigma_o,TRUE),0)</f>
        <v>146228.48750602425</v>
      </c>
      <c r="X163" s="128">
        <f>Tabella8[[#This Row],[rest of Italy fit]]/Ko</f>
        <v>0.9880304360047607</v>
      </c>
      <c r="Y163" s="23">
        <f>Tabella8[[#This Row],[rest of Italy fit]]*NOT(ISBLANK(Tabella8[[#This Row],[rest of Italy ]]))</f>
        <v>0</v>
      </c>
    </row>
    <row r="164" spans="2:25" x14ac:dyDescent="0.3">
      <c r="B164" s="9">
        <v>43987</v>
      </c>
      <c r="C164" s="4">
        <v>157</v>
      </c>
      <c r="D164" s="1"/>
      <c r="E164" s="10">
        <f>Tabella8[[#This Row],[Italy cumulative]]*NOT(ISBLANK(Tabella8[[#This Row],[Italy cumulative]]))</f>
        <v>0</v>
      </c>
      <c r="F164" s="10">
        <f>Tabella8[[#This Row],[Lombardy fit]]+Tabella8[[#This Row],[rest of Italy fit]]</f>
        <v>231806.12666402874</v>
      </c>
      <c r="G164" s="91">
        <f>Tabella8[[#This Row],[Italy sum of regions]]/K_sum</f>
        <v>0.98640912195223662</v>
      </c>
      <c r="H164" s="10">
        <f>Tabella8[[#This Row],[Italy sum of regions]]*NOT(ISBLANK(Tabella8[[#This Row],[Italy cumulative]]))</f>
        <v>0</v>
      </c>
      <c r="I164" s="152">
        <f>IFERROR(Kt*_xlfn.LOGNORM.DIST((Tabella8[[#This Row],[Day]]-Days_back),mu_t,sigma_t,TRUE),0)</f>
        <v>232039.16299101591</v>
      </c>
      <c r="J164" s="129">
        <f>Tabella8[[#This Row],[Italy fit]]/Kt</f>
        <v>0.98740096299511126</v>
      </c>
      <c r="K164" s="23">
        <f>Tabella8[[#This Row],[Italy fit]]*NOT(ISBLANK(Tabella8[[#This Row],[Italy cumulative]]))</f>
        <v>0</v>
      </c>
      <c r="N164" s="76"/>
      <c r="O164" s="10">
        <f>Tabella8[[#This Row],[Lombardy]]*NOT(ISBLANK(Tabella8[[#This Row],[Lombardy]]))</f>
        <v>0</v>
      </c>
      <c r="P164" s="127">
        <f>IFERROR(Kr*_xlfn.LOGNORM.DIST((Tabella8[[#This Row],[Day]]-pr),mu_r,sigma_r,TRUE),0)</f>
        <v>85460.368090571821</v>
      </c>
      <c r="Q164" s="127">
        <f>Tabella8[[#This Row],[Lombardy fit]]/Kr</f>
        <v>0.98230308150082557</v>
      </c>
      <c r="R164" s="23">
        <f>Tabella8[[#This Row],[Lombardy fit]]*NOT(ISBLANK(Tabella8[[#This Row],[Lombardy]]))</f>
        <v>0</v>
      </c>
      <c r="V164" s="10">
        <f>Tabella8[[#This Row],[rest of Italy ]]*NOT(ISBLANK(Tabella8[[#This Row],[rest of Italy ]]))</f>
        <v>0</v>
      </c>
      <c r="W164" s="128">
        <f>IFERROR(Ko*_xlfn.LOGNORM.DIST((Tabella8[[#This Row],[Day]]-po),mu_o,sigma_o,TRUE),0)</f>
        <v>146345.7585734569</v>
      </c>
      <c r="X164" s="128">
        <f>Tabella8[[#This Row],[rest of Italy fit]]/Ko</f>
        <v>0.9888228081742495</v>
      </c>
      <c r="Y164" s="23">
        <f>Tabella8[[#This Row],[rest of Italy fit]]*NOT(ISBLANK(Tabella8[[#This Row],[rest of Italy ]]))</f>
        <v>0</v>
      </c>
    </row>
    <row r="165" spans="2:25" x14ac:dyDescent="0.3">
      <c r="B165" s="9">
        <v>43988</v>
      </c>
      <c r="C165" s="4">
        <v>158</v>
      </c>
      <c r="D165" s="1"/>
      <c r="E165" s="10">
        <f>Tabella8[[#This Row],[Italy cumulative]]*NOT(ISBLANK(Tabella8[[#This Row],[Italy cumulative]]))</f>
        <v>0</v>
      </c>
      <c r="F165" s="10">
        <f>Tabella8[[#This Row],[Lombardy fit]]+Tabella8[[#This Row],[rest of Italy fit]]</f>
        <v>232001.86227431142</v>
      </c>
      <c r="G165" s="91">
        <f>Tabella8[[#This Row],[Italy sum of regions]]/K_sum</f>
        <v>0.98724203950386613</v>
      </c>
      <c r="H165" s="10">
        <f>Tabella8[[#This Row],[Italy sum of regions]]*NOT(ISBLANK(Tabella8[[#This Row],[Italy cumulative]]))</f>
        <v>0</v>
      </c>
      <c r="I165" s="152">
        <f>IFERROR(Kt*_xlfn.LOGNORM.DIST((Tabella8[[#This Row],[Day]]-Days_back),mu_t,sigma_t,TRUE),0)</f>
        <v>232229.86906863999</v>
      </c>
      <c r="J165" s="129">
        <f>Tabella8[[#This Row],[Italy fit]]/Kt</f>
        <v>0.98821247844046878</v>
      </c>
      <c r="K165" s="23">
        <f>Tabella8[[#This Row],[Italy fit]]*NOT(ISBLANK(Tabella8[[#This Row],[Italy cumulative]]))</f>
        <v>0</v>
      </c>
      <c r="N165" s="76"/>
      <c r="O165" s="10">
        <f>Tabella8[[#This Row],[Lombardy]]*NOT(ISBLANK(Tabella8[[#This Row],[Lombardy]]))</f>
        <v>0</v>
      </c>
      <c r="P165" s="127">
        <f>IFERROR(Kr*_xlfn.LOGNORM.DIST((Tabella8[[#This Row],[Day]]-pr),mu_r,sigma_r,TRUE),0)</f>
        <v>85546.536506210832</v>
      </c>
      <c r="Q165" s="127">
        <f>Tabella8[[#This Row],[Lombardy fit]]/Kr</f>
        <v>0.98329352305989459</v>
      </c>
      <c r="R165" s="23">
        <f>Tabella8[[#This Row],[Lombardy fit]]*NOT(ISBLANK(Tabella8[[#This Row],[Lombardy]]))</f>
        <v>0</v>
      </c>
      <c r="V165" s="10">
        <f>Tabella8[[#This Row],[rest of Italy ]]*NOT(ISBLANK(Tabella8[[#This Row],[rest of Italy ]]))</f>
        <v>0</v>
      </c>
      <c r="W165" s="128">
        <f>IFERROR(Ko*_xlfn.LOGNORM.DIST((Tabella8[[#This Row],[Day]]-po),mu_o,sigma_o,TRUE),0)</f>
        <v>146455.32576810059</v>
      </c>
      <c r="X165" s="128">
        <f>Tabella8[[#This Row],[rest of Italy fit]]/Ko</f>
        <v>0.98956312714315886</v>
      </c>
      <c r="Y165" s="23">
        <f>Tabella8[[#This Row],[rest of Italy fit]]*NOT(ISBLANK(Tabella8[[#This Row],[rest of Italy ]]))</f>
        <v>0</v>
      </c>
    </row>
    <row r="166" spans="2:25" x14ac:dyDescent="0.3">
      <c r="B166" s="9">
        <v>43989</v>
      </c>
      <c r="C166" s="4">
        <v>159</v>
      </c>
      <c r="D166" s="1"/>
      <c r="E166" s="10">
        <f>Tabella8[[#This Row],[Italy cumulative]]*NOT(ISBLANK(Tabella8[[#This Row],[Italy cumulative]]))</f>
        <v>0</v>
      </c>
      <c r="F166" s="10">
        <f>Tabella8[[#This Row],[Lombardy fit]]+Tabella8[[#This Row],[rest of Italy fit]]</f>
        <v>232185.60092011085</v>
      </c>
      <c r="G166" s="91">
        <f>Tabella8[[#This Row],[Italy sum of regions]]/K_sum</f>
        <v>0.98802390613905822</v>
      </c>
      <c r="H166" s="10">
        <f>Tabella8[[#This Row],[Italy sum of regions]]*NOT(ISBLANK(Tabella8[[#This Row],[Italy cumulative]]))</f>
        <v>0</v>
      </c>
      <c r="I166" s="152">
        <f>IFERROR(Kt*_xlfn.LOGNORM.DIST((Tabella8[[#This Row],[Day]]-Days_back),mu_t,sigma_t,TRUE),0)</f>
        <v>232408.44756466881</v>
      </c>
      <c r="J166" s="129">
        <f>Tabella8[[#This Row],[Italy fit]]/Kt</f>
        <v>0.98897238714155256</v>
      </c>
      <c r="K166" s="23">
        <f>Tabella8[[#This Row],[Italy fit]]*NOT(ISBLANK(Tabella8[[#This Row],[Italy cumulative]]))</f>
        <v>0</v>
      </c>
      <c r="N166" s="76"/>
      <c r="O166" s="10">
        <f>Tabella8[[#This Row],[Lombardy]]*NOT(ISBLANK(Tabella8[[#This Row],[Lombardy]]))</f>
        <v>0</v>
      </c>
      <c r="P166" s="127">
        <f>IFERROR(Kr*_xlfn.LOGNORM.DIST((Tabella8[[#This Row],[Day]]-pr),mu_r,sigma_r,TRUE),0)</f>
        <v>85627.916661635274</v>
      </c>
      <c r="Q166" s="127">
        <f>Tabella8[[#This Row],[Lombardy fit]]/Kr</f>
        <v>0.98422892714523302</v>
      </c>
      <c r="R166" s="23">
        <f>Tabella8[[#This Row],[Lombardy fit]]*NOT(ISBLANK(Tabella8[[#This Row],[Lombardy]]))</f>
        <v>0</v>
      </c>
      <c r="V166" s="10">
        <f>Tabella8[[#This Row],[rest of Italy ]]*NOT(ISBLANK(Tabella8[[#This Row],[rest of Italy ]]))</f>
        <v>0</v>
      </c>
      <c r="W166" s="128">
        <f>IFERROR(Ko*_xlfn.LOGNORM.DIST((Tabella8[[#This Row],[Day]]-po),mu_o,sigma_o,TRUE),0)</f>
        <v>146557.68425847558</v>
      </c>
      <c r="X166" s="128">
        <f>Tabella8[[#This Row],[rest of Italy fit]]/Ko</f>
        <v>0.99025473864512303</v>
      </c>
      <c r="Y166" s="23">
        <f>Tabella8[[#This Row],[rest of Italy fit]]*NOT(ISBLANK(Tabella8[[#This Row],[rest of Italy ]]))</f>
        <v>0</v>
      </c>
    </row>
    <row r="167" spans="2:25" x14ac:dyDescent="0.3">
      <c r="B167" s="9">
        <v>43990</v>
      </c>
      <c r="C167" s="4">
        <v>160</v>
      </c>
      <c r="D167" s="1"/>
      <c r="E167" s="10">
        <f>Tabella8[[#This Row],[Italy cumulative]]*NOT(ISBLANK(Tabella8[[#This Row],[Italy cumulative]]))</f>
        <v>0</v>
      </c>
      <c r="F167" s="10">
        <f>Tabella8[[#This Row],[Lombardy fit]]+Tabella8[[#This Row],[rest of Italy fit]]</f>
        <v>232358.06705935643</v>
      </c>
      <c r="G167" s="91">
        <f>Tabella8[[#This Row],[Italy sum of regions]]/K_sum</f>
        <v>0.98875780465773844</v>
      </c>
      <c r="H167" s="10">
        <f>Tabella8[[#This Row],[Italy sum of regions]]*NOT(ISBLANK(Tabella8[[#This Row],[Italy cumulative]]))</f>
        <v>0</v>
      </c>
      <c r="I167" s="152">
        <f>IFERROR(Kt*_xlfn.LOGNORM.DIST((Tabella8[[#This Row],[Day]]-Days_back),mu_t,sigma_t,TRUE),0)</f>
        <v>232575.6481545617</v>
      </c>
      <c r="J167" s="129">
        <f>Tabella8[[#This Row],[Italy fit]]/Kt</f>
        <v>0.98968387920757073</v>
      </c>
      <c r="K167" s="23">
        <f>Tabella8[[#This Row],[Italy fit]]*NOT(ISBLANK(Tabella8[[#This Row],[Italy cumulative]]))</f>
        <v>0</v>
      </c>
      <c r="N167" s="76"/>
      <c r="O167" s="10">
        <f>Tabella8[[#This Row],[Lombardy]]*NOT(ISBLANK(Tabella8[[#This Row],[Lombardy]]))</f>
        <v>0</v>
      </c>
      <c r="P167" s="127">
        <f>IFERROR(Kr*_xlfn.LOGNORM.DIST((Tabella8[[#This Row],[Day]]-pr),mu_r,sigma_r,TRUE),0)</f>
        <v>85704.768241591519</v>
      </c>
      <c r="Q167" s="127">
        <f>Tabella8[[#This Row],[Lombardy fit]]/Kr</f>
        <v>0.98511227863898299</v>
      </c>
      <c r="R167" s="23">
        <f>Tabella8[[#This Row],[Lombardy fit]]*NOT(ISBLANK(Tabella8[[#This Row],[Lombardy]]))</f>
        <v>0</v>
      </c>
      <c r="V167" s="10">
        <f>Tabella8[[#This Row],[rest of Italy ]]*NOT(ISBLANK(Tabella8[[#This Row],[rest of Italy ]]))</f>
        <v>0</v>
      </c>
      <c r="W167" s="128">
        <f>IFERROR(Ko*_xlfn.LOGNORM.DIST((Tabella8[[#This Row],[Day]]-po),mu_o,sigma_o,TRUE),0)</f>
        <v>146653.29881776491</v>
      </c>
      <c r="X167" s="128">
        <f>Tabella8[[#This Row],[rest of Italy fit]]/Ko</f>
        <v>0.99090078303985252</v>
      </c>
      <c r="Y167" s="23">
        <f>Tabella8[[#This Row],[rest of Italy fit]]*NOT(ISBLANK(Tabella8[[#This Row],[rest of Italy ]]))</f>
        <v>0</v>
      </c>
    </row>
    <row r="168" spans="2:25" x14ac:dyDescent="0.3">
      <c r="B168" s="9">
        <v>43991</v>
      </c>
      <c r="C168" s="4">
        <v>161</v>
      </c>
      <c r="D168" s="1"/>
      <c r="E168" s="10">
        <f>Tabella8[[#This Row],[Italy cumulative]]*NOT(ISBLANK(Tabella8[[#This Row],[Italy cumulative]]))</f>
        <v>0</v>
      </c>
      <c r="F168" s="10">
        <f>Tabella8[[#This Row],[Lombardy fit]]+Tabella8[[#This Row],[rest of Italy fit]]</f>
        <v>232519.94312379044</v>
      </c>
      <c r="G168" s="91">
        <f>Tabella8[[#This Row],[Italy sum of regions]]/K_sum</f>
        <v>0.98944663902498042</v>
      </c>
      <c r="H168" s="10">
        <f>Tabella8[[#This Row],[Italy sum of regions]]*NOT(ISBLANK(Tabella8[[#This Row],[Italy cumulative]]))</f>
        <v>0</v>
      </c>
      <c r="I168" s="152">
        <f>IFERROR(Kt*_xlfn.LOGNORM.DIST((Tabella8[[#This Row],[Day]]-Days_back),mu_t,sigma_t,TRUE),0)</f>
        <v>232732.17668464207</v>
      </c>
      <c r="J168" s="129">
        <f>Tabella8[[#This Row],[Italy fit]]/Kt</f>
        <v>0.99034995824071881</v>
      </c>
      <c r="K168" s="23">
        <f>Tabella8[[#This Row],[Italy fit]]*NOT(ISBLANK(Tabella8[[#This Row],[Italy cumulative]]))</f>
        <v>0</v>
      </c>
      <c r="N168" s="76"/>
      <c r="O168" s="10">
        <f>Tabella8[[#This Row],[Lombardy]]*NOT(ISBLANK(Tabella8[[#This Row],[Lombardy]]))</f>
        <v>0</v>
      </c>
      <c r="P168" s="127">
        <f>IFERROR(Kr*_xlfn.LOGNORM.DIST((Tabella8[[#This Row],[Day]]-pr),mu_r,sigma_r,TRUE),0)</f>
        <v>85777.337604053508</v>
      </c>
      <c r="Q168" s="127">
        <f>Tabella8[[#This Row],[Lombardy fit]]/Kr</f>
        <v>0.98594640924199439</v>
      </c>
      <c r="R168" s="23">
        <f>Tabella8[[#This Row],[Lombardy fit]]*NOT(ISBLANK(Tabella8[[#This Row],[Lombardy]]))</f>
        <v>0</v>
      </c>
      <c r="V168" s="10">
        <f>Tabella8[[#This Row],[rest of Italy ]]*NOT(ISBLANK(Tabella8[[#This Row],[rest of Italy ]]))</f>
        <v>0</v>
      </c>
      <c r="W168" s="128">
        <f>IFERROR(Ko*_xlfn.LOGNORM.DIST((Tabella8[[#This Row],[Day]]-po),mu_o,sigma_o,TRUE),0)</f>
        <v>146742.60551973694</v>
      </c>
      <c r="X168" s="128">
        <f>Tabella8[[#This Row],[rest of Italy fit]]/Ko</f>
        <v>0.99150420677207118</v>
      </c>
      <c r="Y168" s="23">
        <f>Tabella8[[#This Row],[rest of Italy fit]]*NOT(ISBLANK(Tabella8[[#This Row],[rest of Italy ]]))</f>
        <v>0</v>
      </c>
    </row>
    <row r="169" spans="2:25" x14ac:dyDescent="0.3">
      <c r="B169" s="9">
        <v>43992</v>
      </c>
      <c r="C169" s="4">
        <v>162</v>
      </c>
      <c r="D169" s="1"/>
      <c r="E169" s="10">
        <f>Tabella8[[#This Row],[Italy cumulative]]*NOT(ISBLANK(Tabella8[[#This Row],[Italy cumulative]]))</f>
        <v>0</v>
      </c>
      <c r="F169" s="10">
        <f>Tabella8[[#This Row],[Lombardy fit]]+Tabella8[[#This Row],[rest of Italy fit]]</f>
        <v>232671.8717440301</v>
      </c>
      <c r="G169" s="91">
        <f>Tabella8[[#This Row],[Italy sum of regions]]/K_sum</f>
        <v>0.99009314383935587</v>
      </c>
      <c r="H169" s="10">
        <f>Tabella8[[#This Row],[Italy sum of regions]]*NOT(ISBLANK(Tabella8[[#This Row],[Italy cumulative]]))</f>
        <v>0</v>
      </c>
      <c r="I169" s="152">
        <f>IFERROR(Kt*_xlfn.LOGNORM.DIST((Tabella8[[#This Row],[Day]]-Days_back),mu_t,sigma_t,TRUE),0)</f>
        <v>232878.6974580216</v>
      </c>
      <c r="J169" s="129">
        <f>Tabella8[[#This Row],[Italy fit]]/Kt</f>
        <v>0.99097345106352019</v>
      </c>
      <c r="K169" s="23">
        <f>Tabella8[[#This Row],[Italy fit]]*NOT(ISBLANK(Tabella8[[#This Row],[Italy cumulative]]))</f>
        <v>0</v>
      </c>
      <c r="N169" s="76"/>
      <c r="O169" s="10">
        <f>Tabella8[[#This Row],[Lombardy]]*NOT(ISBLANK(Tabella8[[#This Row],[Lombardy]]))</f>
        <v>0</v>
      </c>
      <c r="P169" s="127">
        <f>IFERROR(Kr*_xlfn.LOGNORM.DIST((Tabella8[[#This Row],[Day]]-pr),mu_r,sigma_r,TRUE),0)</f>
        <v>85845.858384218838</v>
      </c>
      <c r="Q169" s="127">
        <f>Tabella8[[#This Row],[Lombardy fit]]/Kr</f>
        <v>0.98673400441630843</v>
      </c>
      <c r="R169" s="23">
        <f>Tabella8[[#This Row],[Lombardy fit]]*NOT(ISBLANK(Tabella8[[#This Row],[Lombardy]]))</f>
        <v>0</v>
      </c>
      <c r="V169" s="10">
        <f>Tabella8[[#This Row],[rest of Italy ]]*NOT(ISBLANK(Tabella8[[#This Row],[rest of Italy ]]))</f>
        <v>0</v>
      </c>
      <c r="W169" s="128">
        <f>IFERROR(Ko*_xlfn.LOGNORM.DIST((Tabella8[[#This Row],[Day]]-po),mu_o,sigma_o,TRUE),0)</f>
        <v>146826.01335981127</v>
      </c>
      <c r="X169" s="128">
        <f>Tabella8[[#This Row],[rest of Italy fit]]/Ko</f>
        <v>0.99206777332466545</v>
      </c>
      <c r="Y169" s="23">
        <f>Tabella8[[#This Row],[rest of Italy fit]]*NOT(ISBLANK(Tabella8[[#This Row],[rest of Italy ]]))</f>
        <v>0</v>
      </c>
    </row>
    <row r="170" spans="2:25" x14ac:dyDescent="0.3">
      <c r="B170" s="9">
        <v>43993</v>
      </c>
      <c r="C170" s="4">
        <v>163</v>
      </c>
      <c r="D170" s="1"/>
      <c r="E170" s="10">
        <f>Tabella8[[#This Row],[Italy cumulative]]*NOT(ISBLANK(Tabella8[[#This Row],[Italy cumulative]]))</f>
        <v>0</v>
      </c>
      <c r="F170" s="10">
        <f>Tabella8[[#This Row],[Lombardy fit]]+Tabella8[[#This Row],[rest of Italy fit]]</f>
        <v>232814.45788160968</v>
      </c>
      <c r="G170" s="91">
        <f>Tabella8[[#This Row],[Italy sum of regions]]/K_sum</f>
        <v>0.99069989340545461</v>
      </c>
      <c r="H170" s="10">
        <f>Tabella8[[#This Row],[Italy sum of regions]]*NOT(ISBLANK(Tabella8[[#This Row],[Italy cumulative]]))</f>
        <v>0</v>
      </c>
      <c r="I170" s="152">
        <f>IFERROR(Kt*_xlfn.LOGNORM.DIST((Tabella8[[#This Row],[Day]]-Days_back),mu_t,sigma_t,TRUE),0)</f>
        <v>233015.83543172845</v>
      </c>
      <c r="J170" s="129">
        <f>Tabella8[[#This Row],[Italy fit]]/Kt</f>
        <v>0.99155701706830968</v>
      </c>
      <c r="K170" s="23">
        <f>Tabella8[[#This Row],[Italy fit]]*NOT(ISBLANK(Tabella8[[#This Row],[Italy cumulative]]))</f>
        <v>0</v>
      </c>
      <c r="N170" s="76"/>
      <c r="O170" s="10">
        <f>Tabella8[[#This Row],[Lombardy]]*NOT(ISBLANK(Tabella8[[#This Row],[Lombardy]]))</f>
        <v>0</v>
      </c>
      <c r="P170" s="127">
        <f>IFERROR(Kr*_xlfn.LOGNORM.DIST((Tabella8[[#This Row],[Day]]-pr),mu_r,sigma_r,TRUE),0)</f>
        <v>85910.552079455883</v>
      </c>
      <c r="Q170" s="127">
        <f>Tabella8[[#This Row],[Lombardy fit]]/Kr</f>
        <v>0.98747761010868829</v>
      </c>
      <c r="R170" s="23">
        <f>Tabella8[[#This Row],[Lombardy fit]]*NOT(ISBLANK(Tabella8[[#This Row],[Lombardy]]))</f>
        <v>0</v>
      </c>
      <c r="V170" s="10">
        <f>Tabella8[[#This Row],[rest of Italy ]]*NOT(ISBLANK(Tabella8[[#This Row],[rest of Italy ]]))</f>
        <v>0</v>
      </c>
      <c r="W170" s="128">
        <f>IFERROR(Ko*_xlfn.LOGNORM.DIST((Tabella8[[#This Row],[Day]]-po),mu_o,sigma_o,TRUE),0)</f>
        <v>146903.90580215378</v>
      </c>
      <c r="X170" s="128">
        <f>Tabella8[[#This Row],[rest of Italy fit]]/Ko</f>
        <v>0.9925940736720309</v>
      </c>
      <c r="Y170" s="23">
        <f>Tabella8[[#This Row],[rest of Italy fit]]*NOT(ISBLANK(Tabella8[[#This Row],[rest of Italy ]]))</f>
        <v>0</v>
      </c>
    </row>
    <row r="171" spans="2:25" x14ac:dyDescent="0.3">
      <c r="B171" s="9">
        <v>43994</v>
      </c>
      <c r="C171" s="4">
        <v>164</v>
      </c>
      <c r="D171" s="1"/>
      <c r="E171" s="10">
        <f>Tabella8[[#This Row],[Italy cumulative]]*NOT(ISBLANK(Tabella8[[#This Row],[Italy cumulative]]))</f>
        <v>0</v>
      </c>
      <c r="F171" s="10">
        <f>Tabella8[[#This Row],[Lombardy fit]]+Tabella8[[#This Row],[rest of Italy fit]]</f>
        <v>232948.27086890029</v>
      </c>
      <c r="G171" s="91">
        <f>Tabella8[[#This Row],[Italy sum of regions]]/K_sum</f>
        <v>0.99126931041439514</v>
      </c>
      <c r="H171" s="10">
        <f>Tabella8[[#This Row],[Italy sum of regions]]*NOT(ISBLANK(Tabella8[[#This Row],[Italy cumulative]]))</f>
        <v>0</v>
      </c>
      <c r="I171" s="152">
        <f>IFERROR(Kt*_xlfn.LOGNORM.DIST((Tabella8[[#This Row],[Day]]-Days_back),mu_t,sigma_t,TRUE),0)</f>
        <v>233144.17832489943</v>
      </c>
      <c r="J171" s="129">
        <f>Tabella8[[#This Row],[Italy fit]]/Kt</f>
        <v>0.99210315718826647</v>
      </c>
      <c r="K171" s="23">
        <f>Tabella8[[#This Row],[Italy fit]]*NOT(ISBLANK(Tabella8[[#This Row],[Italy cumulative]]))</f>
        <v>0</v>
      </c>
      <c r="N171" s="76"/>
      <c r="O171" s="10">
        <f>Tabella8[[#This Row],[Lombardy]]*NOT(ISBLANK(Tabella8[[#This Row],[Lombardy]]))</f>
        <v>0</v>
      </c>
      <c r="P171" s="127">
        <f>IFERROR(Kr*_xlfn.LOGNORM.DIST((Tabella8[[#This Row],[Day]]-pr),mu_r,sigma_r,TRUE),0)</f>
        <v>85971.628614863439</v>
      </c>
      <c r="Q171" s="127">
        <f>Tabella8[[#This Row],[Lombardy fit]]/Kr</f>
        <v>0.98817963925130392</v>
      </c>
      <c r="R171" s="23">
        <f>Tabella8[[#This Row],[Lombardy fit]]*NOT(ISBLANK(Tabella8[[#This Row],[Lombardy]]))</f>
        <v>0</v>
      </c>
      <c r="V171" s="10">
        <f>Tabella8[[#This Row],[rest of Italy ]]*NOT(ISBLANK(Tabella8[[#This Row],[rest of Italy ]]))</f>
        <v>0</v>
      </c>
      <c r="W171" s="128">
        <f>IFERROR(Ko*_xlfn.LOGNORM.DIST((Tabella8[[#This Row],[Day]]-po),mu_o,sigma_o,TRUE),0)</f>
        <v>146976.64225403685</v>
      </c>
      <c r="X171" s="128">
        <f>Tabella8[[#This Row],[rest of Italy fit]]/Ko</f>
        <v>0.99308553624196627</v>
      </c>
      <c r="Y171" s="23">
        <f>Tabella8[[#This Row],[rest of Italy fit]]*NOT(ISBLANK(Tabella8[[#This Row],[rest of Italy ]]))</f>
        <v>0</v>
      </c>
    </row>
    <row r="172" spans="2:25" x14ac:dyDescent="0.3">
      <c r="B172" s="9">
        <v>43995</v>
      </c>
      <c r="C172" s="4">
        <v>165</v>
      </c>
      <c r="D172" s="1"/>
      <c r="E172" s="10">
        <f>Tabella8[[#This Row],[Italy cumulative]]*NOT(ISBLANK(Tabella8[[#This Row],[Italy cumulative]]))</f>
        <v>0</v>
      </c>
      <c r="F172" s="10">
        <f>Tabella8[[#This Row],[Lombardy fit]]+Tabella8[[#This Row],[rest of Italy fit]]</f>
        <v>233073.84635823951</v>
      </c>
      <c r="G172" s="91">
        <f>Tabella8[[#This Row],[Italy sum of regions]]/K_sum</f>
        <v>0.99180367423799398</v>
      </c>
      <c r="H172" s="10">
        <f>Tabella8[[#This Row],[Italy sum of regions]]*NOT(ISBLANK(Tabella8[[#This Row],[Italy cumulative]]))</f>
        <v>0</v>
      </c>
      <c r="I172" s="152">
        <f>IFERROR(Kt*_xlfn.LOGNORM.DIST((Tabella8[[#This Row],[Day]]-Days_back),mu_t,sigma_t,TRUE),0)</f>
        <v>233264.27863844397</v>
      </c>
      <c r="J172" s="129">
        <f>Tabella8[[#This Row],[Italy fit]]/Kt</f>
        <v>0.99261422249173203</v>
      </c>
      <c r="K172" s="23">
        <f>Tabella8[[#This Row],[Italy fit]]*NOT(ISBLANK(Tabella8[[#This Row],[Italy cumulative]]))</f>
        <v>0</v>
      </c>
      <c r="N172" s="76"/>
      <c r="O172" s="10">
        <f>Tabella8[[#This Row],[Lombardy]]*NOT(ISBLANK(Tabella8[[#This Row],[Lombardy]]))</f>
        <v>0</v>
      </c>
      <c r="P172" s="127">
        <f>IFERROR(Kr*_xlfn.LOGNORM.DIST((Tabella8[[#This Row],[Day]]-pr),mu_r,sigma_r,TRUE),0)</f>
        <v>86029.286889247014</v>
      </c>
      <c r="Q172" s="127">
        <f>Tabella8[[#This Row],[Lombardy fit]]/Kr</f>
        <v>0.988842378037322</v>
      </c>
      <c r="R172" s="23">
        <f>Tabella8[[#This Row],[Lombardy fit]]*NOT(ISBLANK(Tabella8[[#This Row],[Lombardy]]))</f>
        <v>0</v>
      </c>
      <c r="V172" s="10">
        <f>Tabella8[[#This Row],[rest of Italy ]]*NOT(ISBLANK(Tabella8[[#This Row],[rest of Italy ]]))</f>
        <v>0</v>
      </c>
      <c r="W172" s="128">
        <f>IFERROR(Ko*_xlfn.LOGNORM.DIST((Tabella8[[#This Row],[Day]]-po),mu_o,sigma_o,TRUE),0)</f>
        <v>147044.55946899249</v>
      </c>
      <c r="X172" s="128">
        <f>Tabella8[[#This Row],[rest of Italy fit]]/Ko</f>
        <v>0.99354443639643919</v>
      </c>
      <c r="Y172" s="23">
        <f>Tabella8[[#This Row],[rest of Italy fit]]*NOT(ISBLANK(Tabella8[[#This Row],[rest of Italy ]]))</f>
        <v>0</v>
      </c>
    </row>
    <row r="173" spans="2:25" x14ac:dyDescent="0.3">
      <c r="B173" s="9">
        <v>43996</v>
      </c>
      <c r="C173" s="4">
        <v>166</v>
      </c>
      <c r="D173" s="1"/>
      <c r="E173" s="10">
        <f>Tabella8[[#This Row],[Italy cumulative]]*NOT(ISBLANK(Tabella8[[#This Row],[Italy cumulative]]))</f>
        <v>0</v>
      </c>
      <c r="F173" s="10">
        <f>Tabella8[[#This Row],[Lombardy fit]]+Tabella8[[#This Row],[rest of Italy fit]]</f>
        <v>233191.68818196113</v>
      </c>
      <c r="G173" s="91">
        <f>Tabella8[[#This Row],[Italy sum of regions]]/K_sum</f>
        <v>0.99230512884378608</v>
      </c>
      <c r="H173" s="10">
        <f>Tabella8[[#This Row],[Italy sum of regions]]*NOT(ISBLANK(Tabella8[[#This Row],[Italy cumulative]]))</f>
        <v>0</v>
      </c>
      <c r="I173" s="152">
        <f>IFERROR(Kt*_xlfn.LOGNORM.DIST((Tabella8[[#This Row],[Day]]-Days_back),mu_t,sigma_t,TRUE),0)</f>
        <v>233376.65558705977</v>
      </c>
      <c r="J173" s="129">
        <f>Tabella8[[#This Row],[Italy fit]]/Kt</f>
        <v>0.99309242240355455</v>
      </c>
      <c r="K173" s="23">
        <f>Tabella8[[#This Row],[Italy fit]]*NOT(ISBLANK(Tabella8[[#This Row],[Italy cumulative]]))</f>
        <v>0</v>
      </c>
      <c r="N173" s="76"/>
      <c r="O173" s="10">
        <f>Tabella8[[#This Row],[Lombardy]]*NOT(ISBLANK(Tabella8[[#This Row],[Lombardy]]))</f>
        <v>0</v>
      </c>
      <c r="P173" s="127">
        <f>IFERROR(Kr*_xlfn.LOGNORM.DIST((Tabella8[[#This Row],[Day]]-pr),mu_r,sigma_r,TRUE),0)</f>
        <v>86083.71530143969</v>
      </c>
      <c r="Q173" s="127">
        <f>Tabella8[[#This Row],[Lombardy fit]]/Kr</f>
        <v>0.98946799197057111</v>
      </c>
      <c r="R173" s="23">
        <f>Tabella8[[#This Row],[Lombardy fit]]*NOT(ISBLANK(Tabella8[[#This Row],[Lombardy]]))</f>
        <v>0</v>
      </c>
      <c r="V173" s="10">
        <f>Tabella8[[#This Row],[rest of Italy ]]*NOT(ISBLANK(Tabella8[[#This Row],[rest of Italy ]]))</f>
        <v>0</v>
      </c>
      <c r="W173" s="128">
        <f>IFERROR(Ko*_xlfn.LOGNORM.DIST((Tabella8[[#This Row],[Day]]-po),mu_o,sigma_o,TRUE),0)</f>
        <v>147107.97288052144</v>
      </c>
      <c r="X173" s="128">
        <f>Tabella8[[#This Row],[rest of Italy fit]]/Ko</f>
        <v>0.9939729054431351</v>
      </c>
      <c r="Y173" s="23">
        <f>Tabella8[[#This Row],[rest of Italy fit]]*NOT(ISBLANK(Tabella8[[#This Row],[rest of Italy ]]))</f>
        <v>0</v>
      </c>
    </row>
    <row r="174" spans="2:25" x14ac:dyDescent="0.3">
      <c r="B174" s="9">
        <v>43997</v>
      </c>
      <c r="C174" s="4">
        <v>167</v>
      </c>
      <c r="D174" s="1"/>
      <c r="E174" s="10">
        <f>Tabella8[[#This Row],[Italy cumulative]]*NOT(ISBLANK(Tabella8[[#This Row],[Italy cumulative]]))</f>
        <v>0</v>
      </c>
      <c r="F174" s="10">
        <f>Tabella8[[#This Row],[Lombardy fit]]+Tabella8[[#This Row],[rest of Italy fit]]</f>
        <v>233302.27012531471</v>
      </c>
      <c r="G174" s="91">
        <f>Tabella8[[#This Row],[Italy sum of regions]]/K_sum</f>
        <v>0.99277569033936408</v>
      </c>
      <c r="H174" s="10">
        <f>Tabella8[[#This Row],[Italy sum of regions]]*NOT(ISBLANK(Tabella8[[#This Row],[Italy cumulative]]))</f>
        <v>0</v>
      </c>
      <c r="I174" s="152">
        <f>IFERROR(Kt*_xlfn.LOGNORM.DIST((Tabella8[[#This Row],[Day]]-Days_back),mu_t,sigma_t,TRUE),0)</f>
        <v>233481.796944876</v>
      </c>
      <c r="J174" s="129">
        <f>Tabella8[[#This Row],[Italy fit]]/Kt</f>
        <v>0.99353983255889278</v>
      </c>
      <c r="K174" s="23">
        <f>Tabella8[[#This Row],[Italy fit]]*NOT(ISBLANK(Tabella8[[#This Row],[Italy cumulative]]))</f>
        <v>0</v>
      </c>
      <c r="N174" s="76"/>
      <c r="O174" s="10">
        <f>Tabella8[[#This Row],[Lombardy]]*NOT(ISBLANK(Tabella8[[#This Row],[Lombardy]]))</f>
        <v>0</v>
      </c>
      <c r="P174" s="127">
        <f>IFERROR(Kr*_xlfn.LOGNORM.DIST((Tabella8[[#This Row],[Day]]-pr),mu_r,sigma_r,TRUE),0)</f>
        <v>86135.092257003984</v>
      </c>
      <c r="Q174" s="127">
        <f>Tabella8[[#This Row],[Lombardy fit]]/Kr</f>
        <v>0.99005853168970093</v>
      </c>
      <c r="R174" s="23">
        <f>Tabella8[[#This Row],[Lombardy fit]]*NOT(ISBLANK(Tabella8[[#This Row],[Lombardy]]))</f>
        <v>0</v>
      </c>
      <c r="V174" s="10">
        <f>Tabella8[[#This Row],[rest of Italy ]]*NOT(ISBLANK(Tabella8[[#This Row],[rest of Italy ]]))</f>
        <v>0</v>
      </c>
      <c r="W174" s="128">
        <f>IFERROR(Ko*_xlfn.LOGNORM.DIST((Tabella8[[#This Row],[Day]]-po),mu_o,sigma_o,TRUE),0)</f>
        <v>147167.17786831071</v>
      </c>
      <c r="X174" s="128">
        <f>Tabella8[[#This Row],[rest of Italy fit]]/Ko</f>
        <v>0.99437293919098246</v>
      </c>
      <c r="Y174" s="23">
        <f>Tabella8[[#This Row],[rest of Italy fit]]*NOT(ISBLANK(Tabella8[[#This Row],[rest of Italy ]]))</f>
        <v>0</v>
      </c>
    </row>
    <row r="175" spans="2:25" x14ac:dyDescent="0.3">
      <c r="B175" s="9">
        <v>43998</v>
      </c>
      <c r="C175" s="4">
        <v>168</v>
      </c>
      <c r="D175" s="1"/>
      <c r="E175" s="10">
        <f>Tabella8[[#This Row],[Italy cumulative]]*NOT(ISBLANK(Tabella8[[#This Row],[Italy cumulative]]))</f>
        <v>0</v>
      </c>
      <c r="F175" s="10">
        <f>Tabella8[[#This Row],[Lombardy fit]]+Tabella8[[#This Row],[rest of Italy fit]]</f>
        <v>233406.03761450434</v>
      </c>
      <c r="G175" s="91">
        <f>Tabella8[[#This Row],[Italy sum of regions]]/K_sum</f>
        <v>0.99321725415552276</v>
      </c>
      <c r="H175" s="10">
        <f>Tabella8[[#This Row],[Italy sum of regions]]*NOT(ISBLANK(Tabella8[[#This Row],[Italy cumulative]]))</f>
        <v>0</v>
      </c>
      <c r="I175" s="152">
        <f>IFERROR(Kt*_xlfn.LOGNORM.DIST((Tabella8[[#This Row],[Day]]-Days_back),mu_t,sigma_t,TRUE),0)</f>
        <v>233580.16080633365</v>
      </c>
      <c r="J175" s="129">
        <f>Tabella8[[#This Row],[Italy fit]]/Kt</f>
        <v>0.99395840229632526</v>
      </c>
      <c r="K175" s="23">
        <f>Tabella8[[#This Row],[Italy fit]]*NOT(ISBLANK(Tabella8[[#This Row],[Italy cumulative]]))</f>
        <v>0</v>
      </c>
      <c r="N175" s="76"/>
      <c r="O175" s="10">
        <f>Tabella8[[#This Row],[Lombardy]]*NOT(ISBLANK(Tabella8[[#This Row],[Lombardy]]))</f>
        <v>0</v>
      </c>
      <c r="P175" s="127">
        <f>IFERROR(Kr*_xlfn.LOGNORM.DIST((Tabella8[[#This Row],[Day]]-pr),mu_r,sigma_r,TRUE),0)</f>
        <v>86183.586655444858</v>
      </c>
      <c r="Q175" s="127">
        <f>Tabella8[[#This Row],[Lombardy fit]]/Kr</f>
        <v>0.99061593856833174</v>
      </c>
      <c r="R175" s="23">
        <f>Tabella8[[#This Row],[Lombardy fit]]*NOT(ISBLANK(Tabella8[[#This Row],[Lombardy]]))</f>
        <v>0</v>
      </c>
      <c r="V175" s="10">
        <f>Tabella8[[#This Row],[rest of Italy ]]*NOT(ISBLANK(Tabella8[[#This Row],[rest of Italy ]]))</f>
        <v>0</v>
      </c>
      <c r="W175" s="128">
        <f>IFERROR(Ko*_xlfn.LOGNORM.DIST((Tabella8[[#This Row],[Day]]-po),mu_o,sigma_o,TRUE),0)</f>
        <v>147222.4509590595</v>
      </c>
      <c r="X175" s="128">
        <f>Tabella8[[#This Row],[rest of Italy fit]]/Ko</f>
        <v>0.99474640606384201</v>
      </c>
      <c r="Y175" s="23">
        <f>Tabella8[[#This Row],[rest of Italy fit]]*NOT(ISBLANK(Tabella8[[#This Row],[rest of Italy ]]))</f>
        <v>0</v>
      </c>
    </row>
    <row r="176" spans="2:25" x14ac:dyDescent="0.3">
      <c r="B176" s="9">
        <v>43999</v>
      </c>
      <c r="C176" s="4">
        <v>169</v>
      </c>
      <c r="D176" s="1"/>
      <c r="E176" s="10">
        <f>Tabella8[[#This Row],[Italy cumulative]]*NOT(ISBLANK(Tabella8[[#This Row],[Italy cumulative]]))</f>
        <v>0</v>
      </c>
      <c r="F176" s="10">
        <f>Tabella8[[#This Row],[Lombardy fit]]+Tabella8[[#This Row],[rest of Italy fit]]</f>
        <v>233503.40932226798</v>
      </c>
      <c r="G176" s="91">
        <f>Tabella8[[#This Row],[Italy sum of regions]]/K_sum</f>
        <v>0.99363160187851174</v>
      </c>
      <c r="H176" s="10">
        <f>Tabella8[[#This Row],[Italy sum of regions]]*NOT(ISBLANK(Tabella8[[#This Row],[Italy cumulative]]))</f>
        <v>0</v>
      </c>
      <c r="I176" s="152">
        <f>IFERROR(Kt*_xlfn.LOGNORM.DIST((Tabella8[[#This Row],[Day]]-Days_back),mu_t,sigma_t,TRUE),0)</f>
        <v>233672.17726419002</v>
      </c>
      <c r="J176" s="129">
        <f>Tabella8[[#This Row],[Italy fit]]/Kt</f>
        <v>0.99434996179829738</v>
      </c>
      <c r="K176" s="23">
        <f>Tabella8[[#This Row],[Italy fit]]*NOT(ISBLANK(Tabella8[[#This Row],[Italy cumulative]]))</f>
        <v>0</v>
      </c>
      <c r="N176" s="76"/>
      <c r="O176" s="10">
        <f>Tabella8[[#This Row],[Lombardy]]*NOT(ISBLANK(Tabella8[[#This Row],[Lombardy]]))</f>
        <v>0</v>
      </c>
      <c r="P176" s="127">
        <f>IFERROR(Kr*_xlfn.LOGNORM.DIST((Tabella8[[#This Row],[Day]]-pr),mu_r,sigma_r,TRUE),0)</f>
        <v>86229.358358144367</v>
      </c>
      <c r="Q176" s="127">
        <f>Tabella8[[#This Row],[Lombardy fit]]/Kr</f>
        <v>0.99114205009361345</v>
      </c>
      <c r="R176" s="23">
        <f>Tabella8[[#This Row],[Lombardy fit]]*NOT(ISBLANK(Tabella8[[#This Row],[Lombardy]]))</f>
        <v>0</v>
      </c>
      <c r="V176" s="10">
        <f>Tabella8[[#This Row],[rest of Italy ]]*NOT(ISBLANK(Tabella8[[#This Row],[rest of Italy ]]))</f>
        <v>0</v>
      </c>
      <c r="W176" s="128">
        <f>IFERROR(Ko*_xlfn.LOGNORM.DIST((Tabella8[[#This Row],[Day]]-po),mu_o,sigma_o,TRUE),0)</f>
        <v>147274.0509641236</v>
      </c>
      <c r="X176" s="128">
        <f>Tabella8[[#This Row],[rest of Italy fit]]/Ko</f>
        <v>0.99509505478729432</v>
      </c>
      <c r="Y176" s="23">
        <f>Tabella8[[#This Row],[rest of Italy fit]]*NOT(ISBLANK(Tabella8[[#This Row],[rest of Italy ]]))</f>
        <v>0</v>
      </c>
    </row>
    <row r="177" spans="2:25" x14ac:dyDescent="0.3">
      <c r="B177" s="9">
        <v>44000</v>
      </c>
      <c r="C177" s="4">
        <v>170</v>
      </c>
      <c r="D177" s="1"/>
      <c r="E177" s="10">
        <f>Tabella8[[#This Row],[Italy cumulative]]*NOT(ISBLANK(Tabella8[[#This Row],[Italy cumulative]]))</f>
        <v>0</v>
      </c>
      <c r="F177" s="10">
        <f>Tabella8[[#This Row],[Lombardy fit]]+Tabella8[[#This Row],[rest of Italy fit]]</f>
        <v>233594.77869356587</v>
      </c>
      <c r="G177" s="91">
        <f>Tabella8[[#This Row],[Italy sum of regions]]/K_sum</f>
        <v>0.99402040774232692</v>
      </c>
      <c r="H177" s="10">
        <f>Tabella8[[#This Row],[Italy sum of regions]]*NOT(ISBLANK(Tabella8[[#This Row],[Italy cumulative]]))</f>
        <v>0</v>
      </c>
      <c r="I177" s="152">
        <f>IFERROR(Kt*_xlfn.LOGNORM.DIST((Tabella8[[#This Row],[Day]]-Days_back),mu_t,sigma_t,TRUE),0)</f>
        <v>233758.25000675643</v>
      </c>
      <c r="J177" s="129">
        <f>Tabella8[[#This Row],[Italy fit]]/Kt</f>
        <v>0.99471622888787914</v>
      </c>
      <c r="K177" s="23">
        <f>Tabella8[[#This Row],[Italy fit]]*NOT(ISBLANK(Tabella8[[#This Row],[Italy cumulative]]))</f>
        <v>0</v>
      </c>
      <c r="N177" s="76"/>
      <c r="O177" s="10">
        <f>Tabella8[[#This Row],[Lombardy]]*NOT(ISBLANK(Tabella8[[#This Row],[Lombardy]]))</f>
        <v>0</v>
      </c>
      <c r="P177" s="127">
        <f>IFERROR(Kr*_xlfn.LOGNORM.DIST((Tabella8[[#This Row],[Day]]-pr),mu_r,sigma_r,TRUE),0)</f>
        <v>86272.558637297756</v>
      </c>
      <c r="Q177" s="127">
        <f>Tabella8[[#This Row],[Lombardy fit]]/Kr</f>
        <v>0.99163860502641099</v>
      </c>
      <c r="R177" s="23">
        <f>Tabella8[[#This Row],[Lombardy fit]]*NOT(ISBLANK(Tabella8[[#This Row],[Lombardy]]))</f>
        <v>0</v>
      </c>
      <c r="V177" s="10">
        <f>Tabella8[[#This Row],[rest of Italy ]]*NOT(ISBLANK(Tabella8[[#This Row],[rest of Italy ]]))</f>
        <v>0</v>
      </c>
      <c r="W177" s="128">
        <f>IFERROR(Ko*_xlfn.LOGNORM.DIST((Tabella8[[#This Row],[Day]]-po),mu_o,sigma_o,TRUE),0)</f>
        <v>147322.22005626812</v>
      </c>
      <c r="X177" s="128">
        <f>Tabella8[[#This Row],[rest of Italy fit]]/Ko</f>
        <v>0.99542052166399675</v>
      </c>
      <c r="Y177" s="23">
        <f>Tabella8[[#This Row],[rest of Italy fit]]*NOT(ISBLANK(Tabella8[[#This Row],[rest of Italy ]]))</f>
        <v>0</v>
      </c>
    </row>
    <row r="178" spans="2:25" x14ac:dyDescent="0.3">
      <c r="B178" s="9">
        <v>44001</v>
      </c>
      <c r="C178" s="4">
        <v>171</v>
      </c>
      <c r="D178" s="1"/>
      <c r="E178" s="10">
        <f>Tabella8[[#This Row],[Italy cumulative]]*NOT(ISBLANK(Tabella8[[#This Row],[Italy cumulative]]))</f>
        <v>0</v>
      </c>
      <c r="F178" s="10">
        <f>Tabella8[[#This Row],[Lombardy fit]]+Tabella8[[#This Row],[rest of Italy fit]]</f>
        <v>233680.51539405785</v>
      </c>
      <c r="G178" s="91">
        <f>Tabella8[[#This Row],[Italy sum of regions]]/K_sum</f>
        <v>0.99438524479244494</v>
      </c>
      <c r="H178" s="10">
        <f>Tabella8[[#This Row],[Italy sum of regions]]*NOT(ISBLANK(Tabella8[[#This Row],[Italy cumulative]]))</f>
        <v>0</v>
      </c>
      <c r="I178" s="152">
        <f>IFERROR(Kt*_xlfn.LOGNORM.DIST((Tabella8[[#This Row],[Day]]-Days_back),mu_t,sigma_t,TRUE),0)</f>
        <v>233838.75783666124</v>
      </c>
      <c r="J178" s="129">
        <f>Tabella8[[#This Row],[Italy fit]]/Kt</f>
        <v>0.99505881549158848</v>
      </c>
      <c r="K178" s="23">
        <f>Tabella8[[#This Row],[Italy fit]]*NOT(ISBLANK(Tabella8[[#This Row],[Italy cumulative]]))</f>
        <v>0</v>
      </c>
      <c r="N178" s="76"/>
      <c r="O178" s="10">
        <f>Tabella8[[#This Row],[Lombardy]]*NOT(ISBLANK(Tabella8[[#This Row],[Lombardy]]))</f>
        <v>0</v>
      </c>
      <c r="P178" s="127">
        <f>IFERROR(Kr*_xlfn.LOGNORM.DIST((Tabella8[[#This Row],[Day]]-pr),mu_r,sigma_r,TRUE),0)</f>
        <v>86313.330606188189</v>
      </c>
      <c r="Q178" s="127">
        <f>Tabella8[[#This Row],[Lombardy fit]]/Kr</f>
        <v>0.99210724834699071</v>
      </c>
      <c r="R178" s="23">
        <f>Tabella8[[#This Row],[Lombardy fit]]*NOT(ISBLANK(Tabella8[[#This Row],[Lombardy]]))</f>
        <v>0</v>
      </c>
      <c r="V178" s="10">
        <f>Tabella8[[#This Row],[rest of Italy ]]*NOT(ISBLANK(Tabella8[[#This Row],[rest of Italy ]]))</f>
        <v>0</v>
      </c>
      <c r="W178" s="128">
        <f>IFERROR(Ko*_xlfn.LOGNORM.DIST((Tabella8[[#This Row],[Day]]-po),mu_o,sigma_o,TRUE),0)</f>
        <v>147367.18478786966</v>
      </c>
      <c r="X178" s="128">
        <f>Tabella8[[#This Row],[rest of Italy fit]]/Ko</f>
        <v>0.99572433745342881</v>
      </c>
      <c r="Y178" s="23">
        <f>Tabella8[[#This Row],[rest of Italy fit]]*NOT(ISBLANK(Tabella8[[#This Row],[rest of Italy ]]))</f>
        <v>0</v>
      </c>
    </row>
    <row r="179" spans="2:25" x14ac:dyDescent="0.3">
      <c r="B179" s="9">
        <v>44002</v>
      </c>
      <c r="C179" s="4">
        <v>172</v>
      </c>
      <c r="D179" s="1"/>
      <c r="E179" s="10">
        <f>Tabella8[[#This Row],[Italy cumulative]]*NOT(ISBLANK(Tabella8[[#This Row],[Italy cumulative]]))</f>
        <v>0</v>
      </c>
      <c r="F179" s="10">
        <f>Tabella8[[#This Row],[Lombardy fit]]+Tabella8[[#This Row],[rest of Italy fit]]</f>
        <v>233760.96668412344</v>
      </c>
      <c r="G179" s="91">
        <f>Tabella8[[#This Row],[Italy sum of regions]]/K_sum</f>
        <v>0.99472759073271655</v>
      </c>
      <c r="H179" s="10">
        <f>Tabella8[[#This Row],[Italy sum of regions]]*NOT(ISBLANK(Tabella8[[#This Row],[Italy cumulative]]))</f>
        <v>0</v>
      </c>
      <c r="I179" s="152">
        <f>IFERROR(Kt*_xlfn.LOGNORM.DIST((Tabella8[[#This Row],[Day]]-Days_back),mu_t,sigma_t,TRUE),0)</f>
        <v>233914.05611356712</v>
      </c>
      <c r="J179" s="129">
        <f>Tabella8[[#This Row],[Italy fit]]/Kt</f>
        <v>0.99537923377861537</v>
      </c>
      <c r="K179" s="23">
        <f>Tabella8[[#This Row],[Italy fit]]*NOT(ISBLANK(Tabella8[[#This Row],[Italy cumulative]]))</f>
        <v>0</v>
      </c>
      <c r="N179" s="76"/>
      <c r="O179" s="10">
        <f>Tabella8[[#This Row],[Lombardy]]*NOT(ISBLANK(Tabella8[[#This Row],[Lombardy]]))</f>
        <v>0</v>
      </c>
      <c r="P179" s="127">
        <f>IFERROR(Kr*_xlfn.LOGNORM.DIST((Tabella8[[#This Row],[Day]]-pr),mu_r,sigma_r,TRUE),0)</f>
        <v>86351.809631186756</v>
      </c>
      <c r="Q179" s="127">
        <f>Tabella8[[#This Row],[Lombardy fit]]/Kr</f>
        <v>0.99254953599065232</v>
      </c>
      <c r="R179" s="23">
        <f>Tabella8[[#This Row],[Lombardy fit]]*NOT(ISBLANK(Tabella8[[#This Row],[Lombardy]]))</f>
        <v>0</v>
      </c>
      <c r="V179" s="10">
        <f>Tabella8[[#This Row],[rest of Italy ]]*NOT(ISBLANK(Tabella8[[#This Row],[rest of Italy ]]))</f>
        <v>0</v>
      </c>
      <c r="W179" s="128">
        <f>IFERROR(Ko*_xlfn.LOGNORM.DIST((Tabella8[[#This Row],[Day]]-po),mu_o,sigma_o,TRUE),0)</f>
        <v>147409.1570529367</v>
      </c>
      <c r="X179" s="128">
        <f>Tabella8[[#This Row],[rest of Italy fit]]/Ko</f>
        <v>0.9960079338720309</v>
      </c>
      <c r="Y179" s="23">
        <f>Tabella8[[#This Row],[rest of Italy fit]]*NOT(ISBLANK(Tabella8[[#This Row],[rest of Italy ]]))</f>
        <v>0</v>
      </c>
    </row>
    <row r="180" spans="2:25" x14ac:dyDescent="0.3">
      <c r="B180" s="9">
        <v>44003</v>
      </c>
      <c r="C180" s="4">
        <v>173</v>
      </c>
      <c r="D180" s="1"/>
      <c r="E180" s="10">
        <f>Tabella8[[#This Row],[Italy cumulative]]*NOT(ISBLANK(Tabella8[[#This Row],[Italy cumulative]]))</f>
        <v>0</v>
      </c>
      <c r="F180" s="10">
        <f>Tabella8[[#This Row],[Lombardy fit]]+Tabella8[[#This Row],[rest of Italy fit]]</f>
        <v>233836.45872122922</v>
      </c>
      <c r="G180" s="91">
        <f>Tabella8[[#This Row],[Italy sum of regions]]/K_sum</f>
        <v>0.99504883346735673</v>
      </c>
      <c r="H180" s="10">
        <f>Tabella8[[#This Row],[Italy sum of regions]]*NOT(ISBLANK(Tabella8[[#This Row],[Italy cumulative]]))</f>
        <v>0</v>
      </c>
      <c r="I180" s="152">
        <f>IFERROR(Kt*_xlfn.LOGNORM.DIST((Tabella8[[#This Row],[Day]]-Days_back),mu_t,sigma_t,TRUE),0)</f>
        <v>233984.47812337833</v>
      </c>
      <c r="J180" s="129">
        <f>Tabella8[[#This Row],[Italy fit]]/Kt</f>
        <v>0.9956789019872373</v>
      </c>
      <c r="K180" s="23">
        <f>Tabella8[[#This Row],[Italy fit]]*NOT(ISBLANK(Tabella8[[#This Row],[Italy cumulative]]))</f>
        <v>0</v>
      </c>
      <c r="N180" s="76"/>
      <c r="O180" s="10">
        <f>Tabella8[[#This Row],[Lombardy]]*NOT(ISBLANK(Tabella8[[#This Row],[Lombardy]]))</f>
        <v>0</v>
      </c>
      <c r="P180" s="127">
        <f>IFERROR(Kr*_xlfn.LOGNORM.DIST((Tabella8[[#This Row],[Day]]-pr),mu_r,sigma_r,TRUE),0)</f>
        <v>86388.123725904021</v>
      </c>
      <c r="Q180" s="127">
        <f>Tabella8[[#This Row],[Lombardy fit]]/Kr</f>
        <v>0.99296693937820713</v>
      </c>
      <c r="R180" s="23">
        <f>Tabella8[[#This Row],[Lombardy fit]]*NOT(ISBLANK(Tabella8[[#This Row],[Lombardy]]))</f>
        <v>0</v>
      </c>
      <c r="V180" s="10">
        <f>Tabella8[[#This Row],[rest of Italy ]]*NOT(ISBLANK(Tabella8[[#This Row],[rest of Italy ]]))</f>
        <v>0</v>
      </c>
      <c r="W180" s="128">
        <f>IFERROR(Ko*_xlfn.LOGNORM.DIST((Tabella8[[#This Row],[Day]]-po),mu_o,sigma_o,TRUE),0)</f>
        <v>147448.33499532519</v>
      </c>
      <c r="X180" s="128">
        <f>Tabella8[[#This Row],[rest of Italy fit]]/Ko</f>
        <v>0.99627264972979601</v>
      </c>
      <c r="Y180" s="23">
        <f>Tabella8[[#This Row],[rest of Italy fit]]*NOT(ISBLANK(Tabella8[[#This Row],[rest of Italy ]]))</f>
        <v>0</v>
      </c>
    </row>
    <row r="181" spans="2:25" x14ac:dyDescent="0.3">
      <c r="B181" s="9">
        <v>44004</v>
      </c>
      <c r="C181" s="4">
        <v>174</v>
      </c>
      <c r="D181" s="1"/>
      <c r="E181" s="10">
        <f>Tabella8[[#This Row],[Italy cumulative]]*NOT(ISBLANK(Tabella8[[#This Row],[Italy cumulative]]))</f>
        <v>0</v>
      </c>
      <c r="F181" s="10">
        <f>Tabella8[[#This Row],[Lombardy fit]]+Tabella8[[#This Row],[rest of Italy fit]]</f>
        <v>233907.29779346852</v>
      </c>
      <c r="G181" s="91">
        <f>Tabella8[[#This Row],[Italy sum of regions]]/K_sum</f>
        <v>0.99535027635004969</v>
      </c>
      <c r="H181" s="10">
        <f>Tabella8[[#This Row],[Italy sum of regions]]*NOT(ISBLANK(Tabella8[[#This Row],[Italy cumulative]]))</f>
        <v>0</v>
      </c>
      <c r="I181" s="152">
        <f>IFERROR(Kt*_xlfn.LOGNORM.DIST((Tabella8[[#This Row],[Day]]-Days_back),mu_t,sigma_t,TRUE),0)</f>
        <v>234050.33637654621</v>
      </c>
      <c r="J181" s="129">
        <f>Tabella8[[#This Row],[Italy fit]]/Kt</f>
        <v>0.99595914994952484</v>
      </c>
      <c r="K181" s="23">
        <f>Tabella8[[#This Row],[Italy fit]]*NOT(ISBLANK(Tabella8[[#This Row],[Italy cumulative]]))</f>
        <v>0</v>
      </c>
      <c r="N181" s="76"/>
      <c r="O181" s="10">
        <f>Tabella8[[#This Row],[Lombardy]]*NOT(ISBLANK(Tabella8[[#This Row],[Lombardy]]))</f>
        <v>0</v>
      </c>
      <c r="P181" s="127">
        <f>IFERROR(Kr*_xlfn.LOGNORM.DIST((Tabella8[[#This Row],[Day]]-pr),mu_r,sigma_r,TRUE),0)</f>
        <v>86422.393927951678</v>
      </c>
      <c r="Q181" s="127">
        <f>Tabella8[[#This Row],[Lombardy fit]]/Kr</f>
        <v>0.99336084974657102</v>
      </c>
      <c r="R181" s="23">
        <f>Tabella8[[#This Row],[Lombardy fit]]*NOT(ISBLANK(Tabella8[[#This Row],[Lombardy]]))</f>
        <v>0</v>
      </c>
      <c r="V181" s="10">
        <f>Tabella8[[#This Row],[rest of Italy ]]*NOT(ISBLANK(Tabella8[[#This Row],[rest of Italy ]]))</f>
        <v>0</v>
      </c>
      <c r="W181" s="128">
        <f>IFERROR(Ko*_xlfn.LOGNORM.DIST((Tabella8[[#This Row],[Day]]-po),mu_o,sigma_o,TRUE),0)</f>
        <v>147484.90386551686</v>
      </c>
      <c r="X181" s="128">
        <f>Tabella8[[#This Row],[rest of Italy fit]]/Ko</f>
        <v>0.99651973671931438</v>
      </c>
      <c r="Y181" s="23">
        <f>Tabella8[[#This Row],[rest of Italy fit]]*NOT(ISBLANK(Tabella8[[#This Row],[rest of Italy ]]))</f>
        <v>0</v>
      </c>
    </row>
    <row r="182" spans="2:25" x14ac:dyDescent="0.3">
      <c r="B182" s="9">
        <v>44005</v>
      </c>
      <c r="C182" s="4">
        <v>175</v>
      </c>
      <c r="D182" s="1"/>
      <c r="E182" s="10">
        <f>Tabella8[[#This Row],[Italy cumulative]]*NOT(ISBLANK(Tabella8[[#This Row],[Italy cumulative]]))</f>
        <v>0</v>
      </c>
      <c r="F182" s="10">
        <f>Tabella8[[#This Row],[Lombardy fit]]+Tabella8[[#This Row],[rest of Italy fit]]</f>
        <v>233973.77148710235</v>
      </c>
      <c r="G182" s="91">
        <f>Tabella8[[#This Row],[Italy sum of regions]]/K_sum</f>
        <v>0.99563314315220841</v>
      </c>
      <c r="H182" s="10">
        <f>Tabella8[[#This Row],[Italy sum of regions]]*NOT(ISBLANK(Tabella8[[#This Row],[Italy cumulative]]))</f>
        <v>0</v>
      </c>
      <c r="I182" s="152">
        <f>IFERROR(Kt*_xlfn.LOGNORM.DIST((Tabella8[[#This Row],[Day]]-Days_back),mu_t,sigma_t,TRUE),0)</f>
        <v>234111.9238381293</v>
      </c>
      <c r="J182" s="129">
        <f>Tabella8[[#This Row],[Italy fit]]/Kt</f>
        <v>0.99622122432564175</v>
      </c>
      <c r="K182" s="23">
        <f>Tabella8[[#This Row],[Italy fit]]*NOT(ISBLANK(Tabella8[[#This Row],[Italy cumulative]]))</f>
        <v>0</v>
      </c>
      <c r="N182" s="76"/>
      <c r="O182" s="10">
        <f>Tabella8[[#This Row],[Lombardy]]*NOT(ISBLANK(Tabella8[[#This Row],[Lombardy]]))</f>
        <v>0</v>
      </c>
      <c r="P182" s="127">
        <f>IFERROR(Kr*_xlfn.LOGNORM.DIST((Tabella8[[#This Row],[Day]]-pr),mu_r,sigma_r,TRUE),0)</f>
        <v>86454.7346587996</v>
      </c>
      <c r="Q182" s="127">
        <f>Tabella8[[#This Row],[Lombardy fit]]/Kr</f>
        <v>0.9937325822850529</v>
      </c>
      <c r="R182" s="23">
        <f>Tabella8[[#This Row],[Lombardy fit]]*NOT(ISBLANK(Tabella8[[#This Row],[Lombardy]]))</f>
        <v>0</v>
      </c>
      <c r="V182" s="10">
        <f>Tabella8[[#This Row],[rest of Italy ]]*NOT(ISBLANK(Tabella8[[#This Row],[rest of Italy ]]))</f>
        <v>0</v>
      </c>
      <c r="W182" s="128">
        <f>IFERROR(Ko*_xlfn.LOGNORM.DIST((Tabella8[[#This Row],[Day]]-po),mu_o,sigma_o,TRUE),0)</f>
        <v>147519.03682830275</v>
      </c>
      <c r="X182" s="128">
        <f>Tabella8[[#This Row],[rest of Italy fit]]/Ko</f>
        <v>0.99675036487309376</v>
      </c>
      <c r="Y182" s="23">
        <f>Tabella8[[#This Row],[rest of Italy fit]]*NOT(ISBLANK(Tabella8[[#This Row],[rest of Italy ]]))</f>
        <v>0</v>
      </c>
    </row>
    <row r="183" spans="2:25" x14ac:dyDescent="0.3">
      <c r="B183" s="9">
        <v>44006</v>
      </c>
      <c r="C183" s="4">
        <v>176</v>
      </c>
      <c r="D183" s="1"/>
      <c r="E183" s="10">
        <f>Tabella8[[#This Row],[Italy cumulative]]*NOT(ISBLANK(Tabella8[[#This Row],[Italy cumulative]]))</f>
        <v>0</v>
      </c>
      <c r="F183" s="10">
        <f>Tabella8[[#This Row],[Lombardy fit]]+Tabella8[[#This Row],[rest of Italy fit]]</f>
        <v>234036.1497909117</v>
      </c>
      <c r="G183" s="91">
        <f>Tabella8[[#This Row],[Italy sum of regions]]/K_sum</f>
        <v>0.99589858276234711</v>
      </c>
      <c r="H183" s="10">
        <f>Tabella8[[#This Row],[Italy sum of regions]]*NOT(ISBLANK(Tabella8[[#This Row],[Italy cumulative]]))</f>
        <v>0</v>
      </c>
      <c r="I183" s="152">
        <f>IFERROR(Kt*_xlfn.LOGNORM.DIST((Tabella8[[#This Row],[Day]]-Days_back),mu_t,sigma_t,TRUE),0)</f>
        <v>234169.51509228779</v>
      </c>
      <c r="J183" s="129">
        <f>Tabella8[[#This Row],[Italy fit]]/Kt</f>
        <v>0.99646629355914185</v>
      </c>
      <c r="K183" s="23">
        <f>Tabella8[[#This Row],[Italy fit]]*NOT(ISBLANK(Tabella8[[#This Row],[Italy cumulative]]))</f>
        <v>0</v>
      </c>
      <c r="N183" s="76"/>
      <c r="O183" s="10">
        <f>Tabella8[[#This Row],[Lombardy]]*NOT(ISBLANK(Tabella8[[#This Row],[Lombardy]]))</f>
        <v>0</v>
      </c>
      <c r="P183" s="127">
        <f>IFERROR(Kr*_xlfn.LOGNORM.DIST((Tabella8[[#This Row],[Day]]-pr),mu_r,sigma_r,TRUE),0)</f>
        <v>86485.254067232017</v>
      </c>
      <c r="Q183" s="127">
        <f>Tabella8[[#This Row],[Lombardy fit]]/Kr</f>
        <v>0.99408338008312669</v>
      </c>
      <c r="R183" s="23">
        <f>Tabella8[[#This Row],[Lombardy fit]]*NOT(ISBLANK(Tabella8[[#This Row],[Lombardy]]))</f>
        <v>0</v>
      </c>
      <c r="V183" s="10">
        <f>Tabella8[[#This Row],[rest of Italy ]]*NOT(ISBLANK(Tabella8[[#This Row],[rest of Italy ]]))</f>
        <v>0</v>
      </c>
      <c r="W183" s="128">
        <f>IFERROR(Ko*_xlfn.LOGNORM.DIST((Tabella8[[#This Row],[Day]]-po),mu_o,sigma_o,TRUE),0)</f>
        <v>147550.89572367969</v>
      </c>
      <c r="X183" s="128">
        <f>Tabella8[[#This Row],[rest of Italy fit]]/Ko</f>
        <v>0.99696562770475383</v>
      </c>
      <c r="Y183" s="23">
        <f>Tabella8[[#This Row],[rest of Italy fit]]*NOT(ISBLANK(Tabella8[[#This Row],[rest of Italy ]]))</f>
        <v>0</v>
      </c>
    </row>
    <row r="184" spans="2:25" x14ac:dyDescent="0.3">
      <c r="B184" s="9">
        <v>44007</v>
      </c>
      <c r="C184" s="4">
        <v>177</v>
      </c>
      <c r="D184" s="1"/>
      <c r="E184" s="10">
        <f>Tabella8[[#This Row],[Italy cumulative]]*NOT(ISBLANK(Tabella8[[#This Row],[Italy cumulative]]))</f>
        <v>0</v>
      </c>
      <c r="F184" s="10">
        <f>Tabella8[[#This Row],[Lombardy fit]]+Tabella8[[#This Row],[rest of Italy fit]]</f>
        <v>234094.68614014282</v>
      </c>
      <c r="G184" s="91">
        <f>Tabella8[[#This Row],[Italy sum of regions]]/K_sum</f>
        <v>0.99614767362840106</v>
      </c>
      <c r="H184" s="10">
        <f>Tabella8[[#This Row],[Italy sum of regions]]*NOT(ISBLANK(Tabella8[[#This Row],[Italy cumulative]]))</f>
        <v>0</v>
      </c>
      <c r="I184" s="152">
        <f>IFERROR(Kt*_xlfn.LOGNORM.DIST((Tabella8[[#This Row],[Day]]-Days_back),mu_t,sigma_t,TRUE),0)</f>
        <v>234223.36744389645</v>
      </c>
      <c r="J184" s="129">
        <f>Tabella8[[#This Row],[Italy fit]]/Kt</f>
        <v>0.99669545256468428</v>
      </c>
      <c r="K184" s="23">
        <f>Tabella8[[#This Row],[Italy fit]]*NOT(ISBLANK(Tabella8[[#This Row],[Italy cumulative]]))</f>
        <v>0</v>
      </c>
      <c r="N184" s="76"/>
      <c r="O184" s="10">
        <f>Tabella8[[#This Row],[Lombardy]]*NOT(ISBLANK(Tabella8[[#This Row],[Lombardy]]))</f>
        <v>0</v>
      </c>
      <c r="P184" s="127">
        <f>IFERROR(Kr*_xlfn.LOGNORM.DIST((Tabella8[[#This Row],[Day]]-pr),mu_r,sigma_r,TRUE),0)</f>
        <v>86514.054356922541</v>
      </c>
      <c r="Q184" s="127">
        <f>Tabella8[[#This Row],[Lombardy fit]]/Kr</f>
        <v>0.99441441789566143</v>
      </c>
      <c r="R184" s="23">
        <f>Tabella8[[#This Row],[Lombardy fit]]*NOT(ISBLANK(Tabella8[[#This Row],[Lombardy]]))</f>
        <v>0</v>
      </c>
      <c r="V184" s="10">
        <f>Tabella8[[#This Row],[rest of Italy ]]*NOT(ISBLANK(Tabella8[[#This Row],[rest of Italy ]]))</f>
        <v>0</v>
      </c>
      <c r="W184" s="128">
        <f>IFERROR(Ko*_xlfn.LOGNORM.DIST((Tabella8[[#This Row],[Day]]-po),mu_o,sigma_o,TRUE),0)</f>
        <v>147580.63178322028</v>
      </c>
      <c r="X184" s="128">
        <f>Tabella8[[#This Row],[rest of Italy fit]]/Ko</f>
        <v>0.99716654704936336</v>
      </c>
      <c r="Y184" s="23">
        <f>Tabella8[[#This Row],[rest of Italy fit]]*NOT(ISBLANK(Tabella8[[#This Row],[rest of Italy ]]))</f>
        <v>0</v>
      </c>
    </row>
    <row r="185" spans="2:25" x14ac:dyDescent="0.3">
      <c r="P185" s="151"/>
    </row>
    <row r="186" spans="2:25" x14ac:dyDescent="0.3">
      <c r="P186" s="151"/>
    </row>
  </sheetData>
  <scenarios current="0" show="0">
    <scenario name="Lombardy deaths LN" count="4" user="ampfn" comment="Creato da: ampfn il 4/25/2020">
      <inputCells r="AD41" val="26000.0002579026" numFmtId="1"/>
      <inputCells r="AD42" val="3.62338426554564" numFmtId="2"/>
      <inputCells r="AD43" val="0.341212438551302" numFmtId="2"/>
      <inputCells r="AD50" val="0" numFmtId="2"/>
    </scenario>
  </scenarios>
  <mergeCells count="32">
    <mergeCell ref="BD4:BE4"/>
    <mergeCell ref="BD5:BE5"/>
    <mergeCell ref="B2:K2"/>
    <mergeCell ref="AF3:AJ3"/>
    <mergeCell ref="B4:H4"/>
    <mergeCell ref="AF4:AJ4"/>
    <mergeCell ref="AF5:AJ5"/>
    <mergeCell ref="AF2:AJ2"/>
    <mergeCell ref="I3:L6"/>
    <mergeCell ref="D6:E6"/>
    <mergeCell ref="B5:G5"/>
    <mergeCell ref="AF6:AJ6"/>
    <mergeCell ref="M5:Q5"/>
    <mergeCell ref="S5:X5"/>
    <mergeCell ref="M6:Q6"/>
    <mergeCell ref="S6:X6"/>
    <mergeCell ref="BA5:BB5"/>
    <mergeCell ref="BA6:BB6"/>
    <mergeCell ref="BD6:BE6"/>
    <mergeCell ref="AX1:AY1"/>
    <mergeCell ref="BA1:BB1"/>
    <mergeCell ref="BA2:BB2"/>
    <mergeCell ref="BA3:BB3"/>
    <mergeCell ref="BA4:BB4"/>
    <mergeCell ref="AX4:AY4"/>
    <mergeCell ref="AX5:AY5"/>
    <mergeCell ref="AX6:AY6"/>
    <mergeCell ref="AX3:AY3"/>
    <mergeCell ref="AX2:AY2"/>
    <mergeCell ref="BD1:BE1"/>
    <mergeCell ref="BD2:BE2"/>
    <mergeCell ref="BD3:BE3"/>
  </mergeCells>
  <phoneticPr fontId="25" type="noConversion"/>
  <conditionalFormatting sqref="I8:I184">
    <cfRule type="cellIs" dxfId="10" priority="5" operator="lessThan">
      <formula>0.5</formula>
    </cfRule>
  </conditionalFormatting>
  <conditionalFormatting sqref="P8:P184 W8:W184">
    <cfRule type="cellIs" dxfId="9" priority="1" operator="lessThan">
      <formula>0.5</formula>
    </cfRule>
  </conditionalFormatting>
  <pageMargins left="0.7" right="0.7" top="0.75" bottom="0.75" header="0.3" footer="0.3"/>
  <pageSetup paperSize="9" orientation="portrait" r:id="rId2"/>
  <drawing r:id="rId3"/>
  <legacyDrawing r:id="rId4"/>
  <tableParts count="5">
    <tablePart r:id="rId5"/>
    <tablePart r:id="rId6"/>
    <tablePart r:id="rId7"/>
    <tablePart r:id="rId8"/>
    <tablePart r:id="rId9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5406D-92FD-4EA3-85D8-E2226734837A}">
  <dimension ref="B2:AZ281"/>
  <sheetViews>
    <sheetView topLeftCell="AK106" zoomScale="70" zoomScaleNormal="70" workbookViewId="0">
      <selection activeCell="BM59" sqref="BM59"/>
    </sheetView>
  </sheetViews>
  <sheetFormatPr defaultRowHeight="14.4" x14ac:dyDescent="0.3"/>
  <cols>
    <col min="1" max="1" width="2.77734375" style="2" customWidth="1"/>
    <col min="2" max="2" width="15.109375" style="2" bestFit="1" customWidth="1"/>
    <col min="3" max="3" width="14" style="2" bestFit="1" customWidth="1"/>
    <col min="4" max="4" width="13.44140625" style="2" customWidth="1"/>
    <col min="5" max="5" width="16.33203125" style="2" customWidth="1"/>
    <col min="6" max="6" width="20.109375" style="2" bestFit="1" customWidth="1"/>
    <col min="7" max="7" width="21.109375" style="151" bestFit="1" customWidth="1"/>
    <col min="8" max="8" width="19.88671875" style="105" customWidth="1"/>
    <col min="9" max="9" width="19.6640625" style="2" bestFit="1" customWidth="1"/>
    <col min="10" max="10" width="19.6640625" style="105" customWidth="1"/>
    <col min="11" max="11" width="19.6640625" style="2" customWidth="1"/>
    <col min="12" max="12" width="19.6640625" style="105" customWidth="1"/>
    <col min="13" max="13" width="14" style="2" bestFit="1" customWidth="1"/>
    <col min="14" max="14" width="14" style="2" customWidth="1"/>
    <col min="15" max="15" width="21.88671875" style="2" bestFit="1" customWidth="1"/>
    <col min="16" max="16" width="20.33203125" style="2" bestFit="1" customWidth="1"/>
    <col min="17" max="17" width="16.109375" style="2" bestFit="1" customWidth="1"/>
    <col min="18" max="18" width="20.6640625" style="2" bestFit="1" customWidth="1"/>
    <col min="19" max="19" width="20.5546875" style="2" bestFit="1" customWidth="1"/>
    <col min="20" max="20" width="21.109375" style="2" bestFit="1" customWidth="1"/>
    <col min="21" max="21" width="13.44140625" style="105" customWidth="1"/>
    <col min="22" max="22" width="19.5546875" style="2" bestFit="1" customWidth="1"/>
    <col min="23" max="23" width="19.5546875" style="105" customWidth="1"/>
    <col min="24" max="24" width="18.21875" style="2" customWidth="1"/>
    <col min="25" max="26" width="18.6640625" style="2" bestFit="1" customWidth="1"/>
    <col min="27" max="27" width="17.44140625" style="2" bestFit="1" customWidth="1"/>
    <col min="28" max="28" width="18.109375" style="2" bestFit="1" customWidth="1"/>
    <col min="29" max="29" width="21.88671875" style="2" bestFit="1" customWidth="1"/>
    <col min="30" max="30" width="21.109375" style="2" bestFit="1" customWidth="1"/>
    <col min="31" max="31" width="21.109375" style="105" customWidth="1"/>
    <col min="32" max="32" width="24" style="2" bestFit="1" customWidth="1"/>
    <col min="33" max="33" width="17.77734375" style="105" customWidth="1"/>
    <col min="34" max="34" width="23.33203125" style="2" bestFit="1" customWidth="1"/>
    <col min="35" max="35" width="21.5546875" style="2" bestFit="1" customWidth="1"/>
    <col min="36" max="36" width="19.33203125" style="2" bestFit="1" customWidth="1"/>
    <col min="37" max="37" width="1.77734375" style="2" customWidth="1"/>
    <col min="38" max="38" width="24.33203125" style="2" bestFit="1" customWidth="1"/>
    <col min="39" max="39" width="23.33203125" style="2" bestFit="1" customWidth="1"/>
    <col min="40" max="41" width="8.88671875" style="2"/>
    <col min="42" max="42" width="17.88671875" style="2" bestFit="1" customWidth="1"/>
    <col min="43" max="43" width="8.88671875" style="2"/>
    <col min="44" max="44" width="11" style="2" bestFit="1" customWidth="1"/>
    <col min="45" max="51" width="8.88671875" style="2"/>
    <col min="52" max="52" width="9.5546875" style="2" bestFit="1" customWidth="1"/>
    <col min="53" max="16384" width="8.88671875" style="2"/>
  </cols>
  <sheetData>
    <row r="2" spans="2:52" ht="24" thickBot="1" x14ac:dyDescent="0.5">
      <c r="B2" s="299" t="s">
        <v>11</v>
      </c>
      <c r="C2" s="299"/>
      <c r="D2" s="299"/>
      <c r="E2" s="299"/>
      <c r="F2" s="299"/>
    </row>
    <row r="3" spans="2:52" ht="17.399999999999999" customHeight="1" thickBot="1" x14ac:dyDescent="0.65">
      <c r="B3" s="11"/>
      <c r="F3" s="303"/>
      <c r="K3" s="304"/>
      <c r="L3" s="304"/>
      <c r="M3" s="304"/>
      <c r="N3" s="304"/>
      <c r="AJ3" s="90"/>
      <c r="AM3" s="94"/>
      <c r="AN3" s="68" t="s">
        <v>0</v>
      </c>
      <c r="AO3" s="300" t="s">
        <v>116</v>
      </c>
      <c r="AP3" s="300"/>
      <c r="AQ3" s="300"/>
      <c r="AR3" s="300"/>
      <c r="AS3" s="300"/>
    </row>
    <row r="4" spans="2:52" ht="20.399999999999999" thickBot="1" x14ac:dyDescent="0.45">
      <c r="B4" s="301" t="s">
        <v>310</v>
      </c>
      <c r="C4" s="301"/>
      <c r="D4" s="301"/>
      <c r="E4" s="301"/>
      <c r="F4" s="303"/>
      <c r="K4" s="304"/>
      <c r="L4" s="304"/>
      <c r="M4" s="304"/>
      <c r="N4" s="304"/>
      <c r="AJ4" s="90"/>
      <c r="AM4" s="92"/>
      <c r="AN4" s="103" t="s">
        <v>307</v>
      </c>
      <c r="AO4" s="300" t="s">
        <v>116</v>
      </c>
      <c r="AP4" s="300"/>
      <c r="AQ4" s="300"/>
      <c r="AR4" s="300"/>
      <c r="AS4" s="300"/>
    </row>
    <row r="5" spans="2:52" ht="18.600000000000001" thickTop="1" thickBot="1" x14ac:dyDescent="0.4">
      <c r="B5" s="313" t="s">
        <v>133</v>
      </c>
      <c r="C5" s="313"/>
      <c r="D5" s="313"/>
      <c r="E5" s="313"/>
      <c r="F5" s="303"/>
      <c r="J5" s="138">
        <f>'Cumul_cases - LNorm'!H5</f>
        <v>43862.495272685614</v>
      </c>
      <c r="K5" s="304"/>
      <c r="L5" s="304"/>
      <c r="M5" s="304"/>
      <c r="N5" s="304"/>
      <c r="O5" s="314" t="s">
        <v>372</v>
      </c>
      <c r="P5" s="314"/>
      <c r="Q5" s="314"/>
      <c r="R5" s="314"/>
      <c r="S5" s="314"/>
      <c r="W5" s="140">
        <f>'Cumul_cases - LNorm'!R5</f>
        <v>43862.222215734975</v>
      </c>
      <c r="X5" s="314" t="s">
        <v>372</v>
      </c>
      <c r="Y5" s="314"/>
      <c r="Z5" s="314"/>
      <c r="AA5" s="314"/>
      <c r="AB5" s="314"/>
      <c r="AG5" s="138">
        <f>'Cumul_cases - LNorm'!Y5</f>
        <v>43868.717425443399</v>
      </c>
      <c r="AM5" s="93"/>
      <c r="AN5" s="103" t="s">
        <v>308</v>
      </c>
      <c r="AO5" s="302" t="s">
        <v>309</v>
      </c>
      <c r="AP5" s="302"/>
      <c r="AQ5" s="302"/>
      <c r="AR5" s="302"/>
      <c r="AS5" s="302"/>
    </row>
    <row r="6" spans="2:52" ht="19.2" thickTop="1" thickBot="1" x14ac:dyDescent="0.4">
      <c r="B6" s="130">
        <f ca="1">TODAY()</f>
        <v>43950</v>
      </c>
      <c r="C6" s="131">
        <f ca="1">Oggi-Start_data+1</f>
        <v>120</v>
      </c>
      <c r="D6" s="131">
        <v>0</v>
      </c>
      <c r="E6" s="131">
        <v>1</v>
      </c>
      <c r="F6" s="303"/>
      <c r="H6" s="132" cm="1">
        <f t="array" aca="1" ref="H6" ca="1">INDEX(Tabella3[[Day]:[Lower CI__]],C6,6)</f>
        <v>0.86655010415855438</v>
      </c>
      <c r="I6" s="133" cm="1">
        <f t="array" aca="1" ref="I6" ca="1">INDEX(Tabella3[[Day]:[Lower CI__]],C6,10)</f>
        <v>0.36495352393204256</v>
      </c>
      <c r="J6" s="139">
        <f>pf</f>
        <v>31.495272685616236</v>
      </c>
      <c r="K6" s="304"/>
      <c r="L6" s="304"/>
      <c r="M6" s="304"/>
      <c r="N6" s="304"/>
      <c r="O6" s="307" t="s">
        <v>373</v>
      </c>
      <c r="P6" s="307"/>
      <c r="Q6" s="307"/>
      <c r="R6" s="307"/>
      <c r="S6" s="307"/>
      <c r="U6" s="134" cm="1">
        <f t="array" aca="1" ref="U6" ca="1">INDEX(Tabella3[[Day]:[Lower CI__]],C6,19)</f>
        <v>0.86003170758556091</v>
      </c>
      <c r="V6" s="135" cm="1">
        <f t="array" aca="1" ref="V6" ca="1">INDEX(Tabella3[[Day]:[Lower CI__]],C6,21)</f>
        <v>0.36441464408204455</v>
      </c>
      <c r="W6" s="139">
        <f>pl</f>
        <v>31.22221573497708</v>
      </c>
      <c r="X6" s="307" t="s">
        <v>373</v>
      </c>
      <c r="Y6" s="307"/>
      <c r="Z6" s="307"/>
      <c r="AA6" s="307"/>
      <c r="AB6" s="307"/>
      <c r="AE6" s="136" cm="1">
        <f t="array" aca="1" ref="AE6" ca="1">INDEX(Tabella3[[Day]:[Lower CI__]],C6,29)</f>
        <v>0.87060009299155927</v>
      </c>
      <c r="AF6" s="137" cm="1">
        <f t="array" aca="1" ref="AF6" ca="1">INDEX(Tabella3[[Day]:[Lower CI__]],C6,31)</f>
        <v>0.34913644078123157</v>
      </c>
      <c r="AG6" s="139">
        <f>pa</f>
        <v>37.717425443399762</v>
      </c>
      <c r="AN6" s="14" t="s">
        <v>371</v>
      </c>
      <c r="AO6" s="302" t="s">
        <v>370</v>
      </c>
      <c r="AP6" s="302"/>
      <c r="AQ6" s="302"/>
      <c r="AR6" s="302"/>
      <c r="AS6" s="302"/>
    </row>
    <row r="7" spans="2:52" ht="43.2" x14ac:dyDescent="0.3">
      <c r="B7" s="4" t="s">
        <v>9</v>
      </c>
      <c r="C7" s="4" t="s">
        <v>10</v>
      </c>
      <c r="D7" s="4" t="s">
        <v>302</v>
      </c>
      <c r="E7" s="4" t="s">
        <v>292</v>
      </c>
      <c r="F7" s="4" t="s">
        <v>101</v>
      </c>
      <c r="G7" s="97" t="s">
        <v>300</v>
      </c>
      <c r="H7" s="97" t="s">
        <v>317</v>
      </c>
      <c r="I7" s="97" t="s">
        <v>4378</v>
      </c>
      <c r="J7" s="97" t="s">
        <v>316</v>
      </c>
      <c r="K7" s="8" t="s">
        <v>86</v>
      </c>
      <c r="L7" s="8" t="s">
        <v>318</v>
      </c>
      <c r="M7" s="8" t="s">
        <v>102</v>
      </c>
      <c r="N7" s="8" t="s">
        <v>125</v>
      </c>
      <c r="O7" s="8" t="s">
        <v>7</v>
      </c>
      <c r="P7" s="8" t="s">
        <v>8</v>
      </c>
      <c r="Q7" s="4" t="s">
        <v>303</v>
      </c>
      <c r="R7" s="4" t="s">
        <v>294</v>
      </c>
      <c r="S7" s="4" t="s">
        <v>103</v>
      </c>
      <c r="T7" s="97" t="s">
        <v>301</v>
      </c>
      <c r="U7" s="8" t="s">
        <v>319</v>
      </c>
      <c r="V7" s="8" t="s">
        <v>118</v>
      </c>
      <c r="W7" s="8" t="s">
        <v>313</v>
      </c>
      <c r="X7" s="4" t="s">
        <v>126</v>
      </c>
      <c r="Y7" s="8" t="s">
        <v>296</v>
      </c>
      <c r="Z7" s="8" t="s">
        <v>295</v>
      </c>
      <c r="AA7" s="4" t="s">
        <v>304</v>
      </c>
      <c r="AB7" s="4" t="s">
        <v>297</v>
      </c>
      <c r="AC7" s="4" t="s">
        <v>127</v>
      </c>
      <c r="AD7" s="97" t="s">
        <v>305</v>
      </c>
      <c r="AE7" s="8" t="s">
        <v>320</v>
      </c>
      <c r="AF7" s="8" t="s">
        <v>120</v>
      </c>
      <c r="AG7" s="8" t="s">
        <v>314</v>
      </c>
      <c r="AH7" s="4" t="s">
        <v>128</v>
      </c>
      <c r="AI7" s="8" t="s">
        <v>298</v>
      </c>
      <c r="AJ7" s="8" t="s">
        <v>299</v>
      </c>
      <c r="AK7" s="8"/>
      <c r="AL7" s="110" t="s">
        <v>121</v>
      </c>
      <c r="AM7" s="111" t="s">
        <v>117</v>
      </c>
      <c r="AN7" s="3"/>
      <c r="AZ7" s="55" t="s">
        <v>100</v>
      </c>
    </row>
    <row r="8" spans="2:52" x14ac:dyDescent="0.3">
      <c r="B8" s="155">
        <v>43831</v>
      </c>
      <c r="C8" s="4">
        <v>1</v>
      </c>
      <c r="D8" s="161"/>
      <c r="E8" s="164"/>
      <c r="F8" s="10">
        <f>Tabella3[[#This Row],[Italy data]]*NOT(ISBLANK(Tabella3[[#This Row],[Italy data]]))</f>
        <v>0</v>
      </c>
      <c r="G8" s="179">
        <f>Tabella3[[#This Row],[Lombardy cumul. Fit]]+Tabella3[[#This Row],[rest of Italy cumul. Fit]]</f>
        <v>0</v>
      </c>
      <c r="H8" s="179">
        <f>Tabella3[[#This Row],[Italy cumul. Fit]]/Kf</f>
        <v>0</v>
      </c>
      <c r="I8" s="163">
        <f>Tabella3[[#This Row],[Lombardy fit]]+Tabella3[[#This Row],[rest of Italy fit]]</f>
        <v>0</v>
      </c>
      <c r="J8" s="163">
        <f>Tabella3[[#This Row],[Italy (fitted Lombardy + fitted sum of the other regions)]]/(y_l_peak+y_a_peak)</f>
        <v>0</v>
      </c>
      <c r="K8" s="91">
        <f>IFERROR(Kf*_xlfn.LOGNORM.DIST((Tabella3[[#This Row],[Day]]-D_bk),mu_f,sigma_f,FALSE),0)</f>
        <v>0</v>
      </c>
      <c r="L8" s="91">
        <f>Tabella3[[#This Row],[Italy fit]]/y_f_peak</f>
        <v>0</v>
      </c>
      <c r="M8" s="10">
        <f>Tabella3[[#This Row],[Italy (fitted Lombardy + fitted sum of the other regions)]]*NOT(ISBLANK(Tabella3[[#This Row],[Italy data]]))</f>
        <v>0</v>
      </c>
      <c r="N8" s="91">
        <f>Tabella3[[#This Row],[Italy fit]]*NOT(ISBLANK(Tabella3[[#This Row],[Italy data]]))</f>
        <v>0</v>
      </c>
      <c r="O8" s="91">
        <f>Tabella3[[#This Row],[Italy fit]]+CIf</f>
        <v>1013.7630020203177</v>
      </c>
      <c r="P8" s="91">
        <f>MAX(Tabella3[[#This Row],[Italy fit]]-CIf,0)</f>
        <v>0</v>
      </c>
      <c r="Q8" s="159"/>
      <c r="R8" s="164"/>
      <c r="S8" s="10">
        <f>Tabella3[[#This Row],[Lombardy data]]*NOT(ISBLANK(Tabella3[[#This Row],[Lombardy data]]))</f>
        <v>0</v>
      </c>
      <c r="T8" s="165">
        <f>Tabella8[[#This Row],[Lombardy fit]]</f>
        <v>0</v>
      </c>
      <c r="U8" s="10">
        <f>Tabella3[[#This Row],[Lombardy cumul. Fit]]/Kl</f>
        <v>0</v>
      </c>
      <c r="V8" s="91">
        <f>IFERROR(Kl*_xlfn.LOGNORM.DIST((Tabella3[[#This Row],[Day]]-pl),mu_l,sigma_l,FALSE),0)</f>
        <v>0</v>
      </c>
      <c r="W8" s="91">
        <f>Tabella3[[#This Row],[Lombardy fit]]/y_l_peak</f>
        <v>0</v>
      </c>
      <c r="X8" s="10">
        <f>Tabella3[[#This Row],[Lombardy fit]]*NOT(ISBLANK(Tabella3[[#This Row],[Lombardy data]]))</f>
        <v>0</v>
      </c>
      <c r="Y8" s="91">
        <f>Tabella3[[#This Row],[Lombardy fit]]+CIl</f>
        <v>748.95537180362362</v>
      </c>
      <c r="Z8" s="91">
        <f>MAX(Tabella3[[#This Row],[Lombardy fit]]-CIl,0)</f>
        <v>0</v>
      </c>
      <c r="AA8" s="161"/>
      <c r="AB8" s="164"/>
      <c r="AC8" s="10">
        <f>Tabella3[[#This Row],[rest of Italy data]]*NOT(ISBLANK(Tabella3[[#This Row],[rest of Italy data]]))</f>
        <v>0</v>
      </c>
      <c r="AD8" s="165">
        <f>Tabella8[[#This Row],[rest of Italy fit]]</f>
        <v>0</v>
      </c>
      <c r="AE8" s="91">
        <f>Tabella3[[#This Row],[rest of Italy cumul. Fit]]/Ka</f>
        <v>0</v>
      </c>
      <c r="AF8" s="91">
        <f>IFERROR(Ka*_xlfn.LOGNORM.DIST((Tabella3[[#This Row],[Day]]-pa),mu_a,sigma_a,FALSE),0)</f>
        <v>0</v>
      </c>
      <c r="AG8" s="91">
        <f>Tabella3[[#This Row],[rest of Italy fit]]/y_a_peak</f>
        <v>0</v>
      </c>
      <c r="AH8" s="10">
        <f>Tabella3[[#This Row],[rest of Italy fit]]*NOT(ISBLANK(Tabella3[[#This Row],[rest of Italy data]]))</f>
        <v>0</v>
      </c>
      <c r="AI8" s="91">
        <f>Tabella3[[#This Row],[rest of Italy fit]]+CIa</f>
        <v>694.65203586359735</v>
      </c>
      <c r="AJ8" s="91">
        <f>MAX(Tabella3[[#This Row],[rest of Italy fit]]-CIa,0)</f>
        <v>0</v>
      </c>
      <c r="AK8" s="8"/>
      <c r="AL8" s="112"/>
      <c r="AM8" s="113"/>
      <c r="AN8" s="3"/>
      <c r="AZ8" s="310" t="s">
        <v>132</v>
      </c>
    </row>
    <row r="9" spans="2:52" x14ac:dyDescent="0.3">
      <c r="B9" s="155">
        <v>43832</v>
      </c>
      <c r="C9" s="4">
        <v>2</v>
      </c>
      <c r="D9" s="161"/>
      <c r="E9" s="164"/>
      <c r="F9" s="10">
        <f>Tabella3[[#This Row],[Italy data]]*NOT(ISBLANK(Tabella3[[#This Row],[Italy data]]))</f>
        <v>0</v>
      </c>
      <c r="G9" s="179">
        <f>Tabella3[[#This Row],[Lombardy cumul. Fit]]+Tabella3[[#This Row],[rest of Italy cumul. Fit]]</f>
        <v>0</v>
      </c>
      <c r="H9" s="179">
        <f>Tabella3[[#This Row],[Italy cumul. Fit]]/Kf</f>
        <v>0</v>
      </c>
      <c r="I9" s="163">
        <f>Tabella3[[#This Row],[Lombardy fit]]+Tabella3[[#This Row],[rest of Italy fit]]</f>
        <v>0</v>
      </c>
      <c r="J9" s="163">
        <f>Tabella3[[#This Row],[Italy (fitted Lombardy + fitted sum of the other regions)]]/(y_l_peak+y_a_peak)</f>
        <v>0</v>
      </c>
      <c r="K9" s="91">
        <f>IFERROR(Kf*_xlfn.LOGNORM.DIST((Tabella3[[#This Row],[Day]]-D_bk),mu_f,sigma_f,FALSE),0)</f>
        <v>0</v>
      </c>
      <c r="L9" s="91">
        <f>Tabella3[[#This Row],[Italy fit]]/y_f_peak</f>
        <v>0</v>
      </c>
      <c r="M9" s="10">
        <f>Tabella3[[#This Row],[Italy (fitted Lombardy + fitted sum of the other regions)]]*NOT(ISBLANK(Tabella3[[#This Row],[Italy data]]))</f>
        <v>0</v>
      </c>
      <c r="N9" s="91">
        <f>Tabella3[[#This Row],[Italy fit]]*NOT(ISBLANK(Tabella3[[#This Row],[Italy data]]))</f>
        <v>0</v>
      </c>
      <c r="O9" s="91">
        <f>Tabella3[[#This Row],[Italy fit]]+CIf</f>
        <v>1013.7630020203177</v>
      </c>
      <c r="P9" s="91">
        <f>MAX(Tabella3[[#This Row],[Italy fit]]-CIf,0)</f>
        <v>0</v>
      </c>
      <c r="Q9" s="159"/>
      <c r="R9" s="164"/>
      <c r="S9" s="10">
        <f>Tabella3[[#This Row],[Lombardy data]]*NOT(ISBLANK(Tabella3[[#This Row],[Lombardy data]]))</f>
        <v>0</v>
      </c>
      <c r="T9" s="165">
        <f>Tabella8[[#This Row],[Lombardy fit]]</f>
        <v>0</v>
      </c>
      <c r="U9" s="10">
        <f>Tabella3[[#This Row],[Lombardy cumul. Fit]]/Kl</f>
        <v>0</v>
      </c>
      <c r="V9" s="91">
        <f>IFERROR(Kl*_xlfn.LOGNORM.DIST((Tabella3[[#This Row],[Day]]-pl),mu_l,sigma_l,FALSE),0)</f>
        <v>0</v>
      </c>
      <c r="W9" s="91">
        <f>Tabella3[[#This Row],[Lombardy fit]]/y_l_peak</f>
        <v>0</v>
      </c>
      <c r="X9" s="10">
        <f>Tabella3[[#This Row],[Lombardy fit]]*NOT(ISBLANK(Tabella3[[#This Row],[Lombardy data]]))</f>
        <v>0</v>
      </c>
      <c r="Y9" s="91">
        <f>Tabella3[[#This Row],[Lombardy fit]]+CIl</f>
        <v>748.95537180362362</v>
      </c>
      <c r="Z9" s="91">
        <f>MAX(Tabella3[[#This Row],[Lombardy fit]]-CIl,0)</f>
        <v>0</v>
      </c>
      <c r="AA9" s="161"/>
      <c r="AB9" s="164"/>
      <c r="AC9" s="10">
        <f>Tabella3[[#This Row],[rest of Italy data]]*NOT(ISBLANK(Tabella3[[#This Row],[rest of Italy data]]))</f>
        <v>0</v>
      </c>
      <c r="AD9" s="165">
        <f>Tabella8[[#This Row],[rest of Italy fit]]</f>
        <v>0</v>
      </c>
      <c r="AE9" s="91">
        <f>Tabella3[[#This Row],[rest of Italy cumul. Fit]]/Ka</f>
        <v>0</v>
      </c>
      <c r="AF9" s="91">
        <f>IFERROR(Ka*_xlfn.LOGNORM.DIST((Tabella3[[#This Row],[Day]]-pa),mu_a,sigma_a,FALSE),0)</f>
        <v>0</v>
      </c>
      <c r="AG9" s="91">
        <f>Tabella3[[#This Row],[rest of Italy fit]]/y_a_peak</f>
        <v>0</v>
      </c>
      <c r="AH9" s="10">
        <f>Tabella3[[#This Row],[rest of Italy fit]]*NOT(ISBLANK(Tabella3[[#This Row],[rest of Italy data]]))</f>
        <v>0</v>
      </c>
      <c r="AI9" s="91">
        <f>Tabella3[[#This Row],[rest of Italy fit]]+CIa</f>
        <v>694.65203586359735</v>
      </c>
      <c r="AJ9" s="91">
        <f>MAX(Tabella3[[#This Row],[rest of Italy fit]]-CIa,0)</f>
        <v>0</v>
      </c>
      <c r="AK9" s="8"/>
      <c r="AL9" s="114"/>
      <c r="AM9" s="115"/>
      <c r="AN9" s="3"/>
      <c r="AZ9" s="311"/>
    </row>
    <row r="10" spans="2:52" x14ac:dyDescent="0.3">
      <c r="B10" s="155">
        <v>43833</v>
      </c>
      <c r="C10" s="4">
        <v>3</v>
      </c>
      <c r="D10" s="161"/>
      <c r="E10" s="164"/>
      <c r="F10" s="10">
        <f>Tabella3[[#This Row],[Italy data]]*NOT(ISBLANK(Tabella3[[#This Row],[Italy data]]))</f>
        <v>0</v>
      </c>
      <c r="G10" s="179">
        <f>Tabella3[[#This Row],[Lombardy cumul. Fit]]+Tabella3[[#This Row],[rest of Italy cumul. Fit]]</f>
        <v>0</v>
      </c>
      <c r="H10" s="179">
        <f>Tabella3[[#This Row],[Italy cumul. Fit]]/Kf</f>
        <v>0</v>
      </c>
      <c r="I10" s="163">
        <f>Tabella3[[#This Row],[Lombardy fit]]+Tabella3[[#This Row],[rest of Italy fit]]</f>
        <v>0</v>
      </c>
      <c r="J10" s="163">
        <f>Tabella3[[#This Row],[Italy (fitted Lombardy + fitted sum of the other regions)]]/(y_l_peak+y_a_peak)</f>
        <v>0</v>
      </c>
      <c r="K10" s="91">
        <f>IFERROR(Kf*_xlfn.LOGNORM.DIST((Tabella3[[#This Row],[Day]]-D_bk),mu_f,sigma_f,FALSE),0)</f>
        <v>0</v>
      </c>
      <c r="L10" s="91">
        <f>Tabella3[[#This Row],[Italy fit]]/y_f_peak</f>
        <v>0</v>
      </c>
      <c r="M10" s="10">
        <f>Tabella3[[#This Row],[Italy (fitted Lombardy + fitted sum of the other regions)]]*NOT(ISBLANK(Tabella3[[#This Row],[Italy data]]))</f>
        <v>0</v>
      </c>
      <c r="N10" s="91">
        <f>Tabella3[[#This Row],[Italy fit]]*NOT(ISBLANK(Tabella3[[#This Row],[Italy data]]))</f>
        <v>0</v>
      </c>
      <c r="O10" s="91">
        <f>Tabella3[[#This Row],[Italy fit]]+CIf</f>
        <v>1013.7630020203177</v>
      </c>
      <c r="P10" s="91">
        <f>MAX(Tabella3[[#This Row],[Italy fit]]-CIf,0)</f>
        <v>0</v>
      </c>
      <c r="Q10" s="159"/>
      <c r="R10" s="164"/>
      <c r="S10" s="10">
        <f>Tabella3[[#This Row],[Lombardy data]]*NOT(ISBLANK(Tabella3[[#This Row],[Lombardy data]]))</f>
        <v>0</v>
      </c>
      <c r="T10" s="165">
        <f>Tabella8[[#This Row],[Lombardy fit]]</f>
        <v>0</v>
      </c>
      <c r="U10" s="10">
        <f>Tabella3[[#This Row],[Lombardy cumul. Fit]]/Kl</f>
        <v>0</v>
      </c>
      <c r="V10" s="91">
        <f>IFERROR(Kl*_xlfn.LOGNORM.DIST((Tabella3[[#This Row],[Day]]-pl),mu_l,sigma_l,FALSE),0)</f>
        <v>0</v>
      </c>
      <c r="W10" s="91">
        <f>Tabella3[[#This Row],[Lombardy fit]]/y_l_peak</f>
        <v>0</v>
      </c>
      <c r="X10" s="10">
        <f>Tabella3[[#This Row],[Lombardy fit]]*NOT(ISBLANK(Tabella3[[#This Row],[Lombardy data]]))</f>
        <v>0</v>
      </c>
      <c r="Y10" s="91">
        <f>Tabella3[[#This Row],[Lombardy fit]]+CIl</f>
        <v>748.95537180362362</v>
      </c>
      <c r="Z10" s="91">
        <f>MAX(Tabella3[[#This Row],[Lombardy fit]]-CIl,0)</f>
        <v>0</v>
      </c>
      <c r="AA10" s="161"/>
      <c r="AB10" s="164"/>
      <c r="AC10" s="10">
        <f>Tabella3[[#This Row],[rest of Italy data]]*NOT(ISBLANK(Tabella3[[#This Row],[rest of Italy data]]))</f>
        <v>0</v>
      </c>
      <c r="AD10" s="165">
        <f>Tabella8[[#This Row],[rest of Italy fit]]</f>
        <v>0</v>
      </c>
      <c r="AE10" s="91">
        <f>Tabella3[[#This Row],[rest of Italy cumul. Fit]]/Ka</f>
        <v>0</v>
      </c>
      <c r="AF10" s="91">
        <f>IFERROR(Ka*_xlfn.LOGNORM.DIST((Tabella3[[#This Row],[Day]]-pa),mu_a,sigma_a,FALSE),0)</f>
        <v>0</v>
      </c>
      <c r="AG10" s="91">
        <f>Tabella3[[#This Row],[rest of Italy fit]]/y_a_peak</f>
        <v>0</v>
      </c>
      <c r="AH10" s="10">
        <f>Tabella3[[#This Row],[rest of Italy fit]]*NOT(ISBLANK(Tabella3[[#This Row],[rest of Italy data]]))</f>
        <v>0</v>
      </c>
      <c r="AI10" s="91">
        <f>Tabella3[[#This Row],[rest of Italy fit]]+CIa</f>
        <v>694.65203586359735</v>
      </c>
      <c r="AJ10" s="91">
        <f>MAX(Tabella3[[#This Row],[rest of Italy fit]]-CIa,0)</f>
        <v>0</v>
      </c>
      <c r="AK10" s="8"/>
      <c r="AL10" s="112"/>
      <c r="AM10" s="115"/>
      <c r="AN10" s="3"/>
      <c r="AZ10" s="311"/>
    </row>
    <row r="11" spans="2:52" x14ac:dyDescent="0.3">
      <c r="B11" s="155">
        <v>43834</v>
      </c>
      <c r="C11" s="4">
        <v>4</v>
      </c>
      <c r="D11" s="161"/>
      <c r="E11" s="164"/>
      <c r="F11" s="10">
        <f>Tabella3[[#This Row],[Italy data]]*NOT(ISBLANK(Tabella3[[#This Row],[Italy data]]))</f>
        <v>0</v>
      </c>
      <c r="G11" s="179">
        <f>Tabella3[[#This Row],[Lombardy cumul. Fit]]+Tabella3[[#This Row],[rest of Italy cumul. Fit]]</f>
        <v>0</v>
      </c>
      <c r="H11" s="179">
        <f>Tabella3[[#This Row],[Italy cumul. Fit]]/Kf</f>
        <v>0</v>
      </c>
      <c r="I11" s="163">
        <f>Tabella3[[#This Row],[Lombardy fit]]+Tabella3[[#This Row],[rest of Italy fit]]</f>
        <v>0</v>
      </c>
      <c r="J11" s="163">
        <f>Tabella3[[#This Row],[Italy (fitted Lombardy + fitted sum of the other regions)]]/(y_l_peak+y_a_peak)</f>
        <v>0</v>
      </c>
      <c r="K11" s="91">
        <f>IFERROR(Kf*_xlfn.LOGNORM.DIST((Tabella3[[#This Row],[Day]]-D_bk),mu_f,sigma_f,FALSE),0)</f>
        <v>0</v>
      </c>
      <c r="L11" s="91">
        <f>Tabella3[[#This Row],[Italy fit]]/y_f_peak</f>
        <v>0</v>
      </c>
      <c r="M11" s="10">
        <f>Tabella3[[#This Row],[Italy (fitted Lombardy + fitted sum of the other regions)]]*NOT(ISBLANK(Tabella3[[#This Row],[Italy data]]))</f>
        <v>0</v>
      </c>
      <c r="N11" s="91">
        <f>Tabella3[[#This Row],[Italy fit]]*NOT(ISBLANK(Tabella3[[#This Row],[Italy data]]))</f>
        <v>0</v>
      </c>
      <c r="O11" s="91">
        <f>Tabella3[[#This Row],[Italy fit]]+CIf</f>
        <v>1013.7630020203177</v>
      </c>
      <c r="P11" s="91">
        <f>MAX(Tabella3[[#This Row],[Italy fit]]-CIf,0)</f>
        <v>0</v>
      </c>
      <c r="Q11" s="159"/>
      <c r="R11" s="164"/>
      <c r="S11" s="10">
        <f>Tabella3[[#This Row],[Lombardy data]]*NOT(ISBLANK(Tabella3[[#This Row],[Lombardy data]]))</f>
        <v>0</v>
      </c>
      <c r="T11" s="165">
        <f>Tabella8[[#This Row],[Lombardy fit]]</f>
        <v>0</v>
      </c>
      <c r="U11" s="10">
        <f>Tabella3[[#This Row],[Lombardy cumul. Fit]]/Kl</f>
        <v>0</v>
      </c>
      <c r="V11" s="91">
        <f>IFERROR(Kl*_xlfn.LOGNORM.DIST((Tabella3[[#This Row],[Day]]-pl),mu_l,sigma_l,FALSE),0)</f>
        <v>0</v>
      </c>
      <c r="W11" s="91">
        <f>Tabella3[[#This Row],[Lombardy fit]]/y_l_peak</f>
        <v>0</v>
      </c>
      <c r="X11" s="10">
        <f>Tabella3[[#This Row],[Lombardy fit]]*NOT(ISBLANK(Tabella3[[#This Row],[Lombardy data]]))</f>
        <v>0</v>
      </c>
      <c r="Y11" s="91">
        <f>Tabella3[[#This Row],[Lombardy fit]]+CIl</f>
        <v>748.95537180362362</v>
      </c>
      <c r="Z11" s="91">
        <f>MAX(Tabella3[[#This Row],[Lombardy fit]]-CIl,0)</f>
        <v>0</v>
      </c>
      <c r="AA11" s="161"/>
      <c r="AB11" s="164"/>
      <c r="AC11" s="10">
        <f>Tabella3[[#This Row],[rest of Italy data]]*NOT(ISBLANK(Tabella3[[#This Row],[rest of Italy data]]))</f>
        <v>0</v>
      </c>
      <c r="AD11" s="165">
        <f>Tabella8[[#This Row],[rest of Italy fit]]</f>
        <v>0</v>
      </c>
      <c r="AE11" s="91">
        <f>Tabella3[[#This Row],[rest of Italy cumul. Fit]]/Ka</f>
        <v>0</v>
      </c>
      <c r="AF11" s="91">
        <f>IFERROR(Ka*_xlfn.LOGNORM.DIST((Tabella3[[#This Row],[Day]]-pa),mu_a,sigma_a,FALSE),0)</f>
        <v>0</v>
      </c>
      <c r="AG11" s="91">
        <f>Tabella3[[#This Row],[rest of Italy fit]]/y_a_peak</f>
        <v>0</v>
      </c>
      <c r="AH11" s="10">
        <f>Tabella3[[#This Row],[rest of Italy fit]]*NOT(ISBLANK(Tabella3[[#This Row],[rest of Italy data]]))</f>
        <v>0</v>
      </c>
      <c r="AI11" s="91">
        <f>Tabella3[[#This Row],[rest of Italy fit]]+CIa</f>
        <v>694.65203586359735</v>
      </c>
      <c r="AJ11" s="91">
        <f>MAX(Tabella3[[#This Row],[rest of Italy fit]]-CIa,0)</f>
        <v>0</v>
      </c>
      <c r="AK11" s="8"/>
      <c r="AL11" s="116" t="s">
        <v>1</v>
      </c>
      <c r="AM11" s="117">
        <f>AVERAGE(Tabella3[Italy data])</f>
        <v>2077.3711340206187</v>
      </c>
      <c r="AN11" s="3"/>
      <c r="AZ11" s="311"/>
    </row>
    <row r="12" spans="2:52" x14ac:dyDescent="0.3">
      <c r="B12" s="155">
        <v>43835</v>
      </c>
      <c r="C12" s="4">
        <v>5</v>
      </c>
      <c r="D12" s="161"/>
      <c r="E12" s="164"/>
      <c r="F12" s="10">
        <f>Tabella3[[#This Row],[Italy data]]*NOT(ISBLANK(Tabella3[[#This Row],[Italy data]]))</f>
        <v>0</v>
      </c>
      <c r="G12" s="179">
        <f>Tabella3[[#This Row],[Lombardy cumul. Fit]]+Tabella3[[#This Row],[rest of Italy cumul. Fit]]</f>
        <v>0</v>
      </c>
      <c r="H12" s="179">
        <f>Tabella3[[#This Row],[Italy cumul. Fit]]/Kf</f>
        <v>0</v>
      </c>
      <c r="I12" s="163">
        <f>Tabella3[[#This Row],[Lombardy fit]]+Tabella3[[#This Row],[rest of Italy fit]]</f>
        <v>0</v>
      </c>
      <c r="J12" s="163">
        <f>Tabella3[[#This Row],[Italy (fitted Lombardy + fitted sum of the other regions)]]/(y_l_peak+y_a_peak)</f>
        <v>0</v>
      </c>
      <c r="K12" s="91">
        <f>IFERROR(Kf*_xlfn.LOGNORM.DIST((Tabella3[[#This Row],[Day]]-D_bk),mu_f,sigma_f,FALSE),0)</f>
        <v>0</v>
      </c>
      <c r="L12" s="91">
        <f>Tabella3[[#This Row],[Italy fit]]/y_f_peak</f>
        <v>0</v>
      </c>
      <c r="M12" s="10">
        <f>Tabella3[[#This Row],[Italy (fitted Lombardy + fitted sum of the other regions)]]*NOT(ISBLANK(Tabella3[[#This Row],[Italy data]]))</f>
        <v>0</v>
      </c>
      <c r="N12" s="91">
        <f>Tabella3[[#This Row],[Italy fit]]*NOT(ISBLANK(Tabella3[[#This Row],[Italy data]]))</f>
        <v>0</v>
      </c>
      <c r="O12" s="91">
        <f>Tabella3[[#This Row],[Italy fit]]+CIf</f>
        <v>1013.7630020203177</v>
      </c>
      <c r="P12" s="91">
        <f>MAX(Tabella3[[#This Row],[Italy fit]]-CIf,0)</f>
        <v>0</v>
      </c>
      <c r="Q12" s="159"/>
      <c r="R12" s="164"/>
      <c r="S12" s="10">
        <f>Tabella3[[#This Row],[Lombardy data]]*NOT(ISBLANK(Tabella3[[#This Row],[Lombardy data]]))</f>
        <v>0</v>
      </c>
      <c r="T12" s="165">
        <f>Tabella8[[#This Row],[Lombardy fit]]</f>
        <v>0</v>
      </c>
      <c r="U12" s="10">
        <f>Tabella3[[#This Row],[Lombardy cumul. Fit]]/Kl</f>
        <v>0</v>
      </c>
      <c r="V12" s="91">
        <f>IFERROR(Kl*_xlfn.LOGNORM.DIST((Tabella3[[#This Row],[Day]]-pl),mu_l,sigma_l,FALSE),0)</f>
        <v>0</v>
      </c>
      <c r="W12" s="91">
        <f>Tabella3[[#This Row],[Lombardy fit]]/y_l_peak</f>
        <v>0</v>
      </c>
      <c r="X12" s="10">
        <f>Tabella3[[#This Row],[Lombardy fit]]*NOT(ISBLANK(Tabella3[[#This Row],[Lombardy data]]))</f>
        <v>0</v>
      </c>
      <c r="Y12" s="91">
        <f>Tabella3[[#This Row],[Lombardy fit]]+CIl</f>
        <v>748.95537180362362</v>
      </c>
      <c r="Z12" s="91">
        <f>MAX(Tabella3[[#This Row],[Lombardy fit]]-CIl,0)</f>
        <v>0</v>
      </c>
      <c r="AA12" s="161"/>
      <c r="AB12" s="164"/>
      <c r="AC12" s="10">
        <f>Tabella3[[#This Row],[rest of Italy data]]*NOT(ISBLANK(Tabella3[[#This Row],[rest of Italy data]]))</f>
        <v>0</v>
      </c>
      <c r="AD12" s="165">
        <f>Tabella8[[#This Row],[rest of Italy fit]]</f>
        <v>0</v>
      </c>
      <c r="AE12" s="91">
        <f>Tabella3[[#This Row],[rest of Italy cumul. Fit]]/Ka</f>
        <v>0</v>
      </c>
      <c r="AF12" s="91">
        <f>IFERROR(Ka*_xlfn.LOGNORM.DIST((Tabella3[[#This Row],[Day]]-pa),mu_a,sigma_a,FALSE),0)</f>
        <v>0</v>
      </c>
      <c r="AG12" s="91">
        <f>Tabella3[[#This Row],[rest of Italy fit]]/y_a_peak</f>
        <v>0</v>
      </c>
      <c r="AH12" s="10">
        <f>Tabella3[[#This Row],[rest of Italy fit]]*NOT(ISBLANK(Tabella3[[#This Row],[rest of Italy data]]))</f>
        <v>0</v>
      </c>
      <c r="AI12" s="91">
        <f>Tabella3[[#This Row],[rest of Italy fit]]+CIa</f>
        <v>694.65203586359735</v>
      </c>
      <c r="AJ12" s="91">
        <f>MAX(Tabella3[[#This Row],[rest of Italy fit]]-CIa,0)</f>
        <v>0</v>
      </c>
      <c r="AK12" s="1"/>
      <c r="AL12" s="116" t="s">
        <v>2</v>
      </c>
      <c r="AM12" s="118">
        <f>COUNT(Tabella3[Italy data])-COUNT(AM8:AM10)</f>
        <v>97</v>
      </c>
      <c r="AZ12" s="311"/>
    </row>
    <row r="13" spans="2:52" x14ac:dyDescent="0.3">
      <c r="B13" s="155">
        <v>43836</v>
      </c>
      <c r="C13" s="4">
        <v>6</v>
      </c>
      <c r="D13" s="161"/>
      <c r="E13" s="164"/>
      <c r="F13" s="10">
        <f>Tabella3[[#This Row],[Italy data]]*NOT(ISBLANK(Tabella3[[#This Row],[Italy data]]))</f>
        <v>0</v>
      </c>
      <c r="G13" s="179">
        <f>Tabella3[[#This Row],[Lombardy cumul. Fit]]+Tabella3[[#This Row],[rest of Italy cumul. Fit]]</f>
        <v>0</v>
      </c>
      <c r="H13" s="179">
        <f>Tabella3[[#This Row],[Italy cumul. Fit]]/Kf</f>
        <v>0</v>
      </c>
      <c r="I13" s="163">
        <f>Tabella3[[#This Row],[Lombardy fit]]+Tabella3[[#This Row],[rest of Italy fit]]</f>
        <v>0</v>
      </c>
      <c r="J13" s="163">
        <f>Tabella3[[#This Row],[Italy (fitted Lombardy + fitted sum of the other regions)]]/(y_l_peak+y_a_peak)</f>
        <v>0</v>
      </c>
      <c r="K13" s="91">
        <f>IFERROR(Kf*_xlfn.LOGNORM.DIST((Tabella3[[#This Row],[Day]]-D_bk),mu_f,sigma_f,FALSE),0)</f>
        <v>0</v>
      </c>
      <c r="L13" s="91">
        <f>Tabella3[[#This Row],[Italy fit]]/y_f_peak</f>
        <v>0</v>
      </c>
      <c r="M13" s="10">
        <f>Tabella3[[#This Row],[Italy (fitted Lombardy + fitted sum of the other regions)]]*NOT(ISBLANK(Tabella3[[#This Row],[Italy data]]))</f>
        <v>0</v>
      </c>
      <c r="N13" s="91">
        <f>Tabella3[[#This Row],[Italy fit]]*NOT(ISBLANK(Tabella3[[#This Row],[Italy data]]))</f>
        <v>0</v>
      </c>
      <c r="O13" s="91">
        <f>Tabella3[[#This Row],[Italy fit]]+CIf</f>
        <v>1013.7630020203177</v>
      </c>
      <c r="P13" s="91">
        <f>MAX(Tabella3[[#This Row],[Italy fit]]-CIf,0)</f>
        <v>0</v>
      </c>
      <c r="Q13" s="159"/>
      <c r="R13" s="164"/>
      <c r="S13" s="10">
        <f>Tabella3[[#This Row],[Lombardy data]]*NOT(ISBLANK(Tabella3[[#This Row],[Lombardy data]]))</f>
        <v>0</v>
      </c>
      <c r="T13" s="165">
        <f>Tabella8[[#This Row],[Lombardy fit]]</f>
        <v>0</v>
      </c>
      <c r="U13" s="10">
        <f>Tabella3[[#This Row],[Lombardy cumul. Fit]]/Kl</f>
        <v>0</v>
      </c>
      <c r="V13" s="91">
        <f>IFERROR(Kl*_xlfn.LOGNORM.DIST((Tabella3[[#This Row],[Day]]-pl),mu_l,sigma_l,FALSE),0)</f>
        <v>0</v>
      </c>
      <c r="W13" s="91">
        <f>Tabella3[[#This Row],[Lombardy fit]]/y_l_peak</f>
        <v>0</v>
      </c>
      <c r="X13" s="10">
        <f>Tabella3[[#This Row],[Lombardy fit]]*NOT(ISBLANK(Tabella3[[#This Row],[Lombardy data]]))</f>
        <v>0</v>
      </c>
      <c r="Y13" s="91">
        <f>Tabella3[[#This Row],[Lombardy fit]]+CIl</f>
        <v>748.95537180362362</v>
      </c>
      <c r="Z13" s="91">
        <f>MAX(Tabella3[[#This Row],[Lombardy fit]]-CIl,0)</f>
        <v>0</v>
      </c>
      <c r="AA13" s="161"/>
      <c r="AB13" s="164"/>
      <c r="AC13" s="10">
        <f>Tabella3[[#This Row],[rest of Italy data]]*NOT(ISBLANK(Tabella3[[#This Row],[rest of Italy data]]))</f>
        <v>0</v>
      </c>
      <c r="AD13" s="165">
        <f>Tabella8[[#This Row],[rest of Italy fit]]</f>
        <v>0</v>
      </c>
      <c r="AE13" s="91">
        <f>Tabella3[[#This Row],[rest of Italy cumul. Fit]]/Ka</f>
        <v>0</v>
      </c>
      <c r="AF13" s="91">
        <f>IFERROR(Ka*_xlfn.LOGNORM.DIST((Tabella3[[#This Row],[Day]]-pa),mu_a,sigma_a,FALSE),0)</f>
        <v>0</v>
      </c>
      <c r="AG13" s="91">
        <f>Tabella3[[#This Row],[rest of Italy fit]]/y_a_peak</f>
        <v>0</v>
      </c>
      <c r="AH13" s="10">
        <f>Tabella3[[#This Row],[rest of Italy fit]]*NOT(ISBLANK(Tabella3[[#This Row],[rest of Italy data]]))</f>
        <v>0</v>
      </c>
      <c r="AI13" s="91">
        <f>Tabella3[[#This Row],[rest of Italy fit]]+CIa</f>
        <v>694.65203586359735</v>
      </c>
      <c r="AJ13" s="91">
        <f>MAX(Tabella3[[#This Row],[rest of Italy fit]]-CIa,0)</f>
        <v>0</v>
      </c>
      <c r="AK13" s="1"/>
      <c r="AL13" s="116" t="s">
        <v>3</v>
      </c>
      <c r="AM13" s="117" cm="1">
        <f t="array" ref="AM13">SQRT(SUM((Tabella3[Colonna1]-Tabella3[Colonna2])^2)/dfw)</f>
        <v>495.40206767154189</v>
      </c>
      <c r="AZ13" s="311"/>
    </row>
    <row r="14" spans="2:52" ht="16.2" x14ac:dyDescent="0.3">
      <c r="B14" s="155">
        <v>43837</v>
      </c>
      <c r="C14" s="4">
        <v>7</v>
      </c>
      <c r="D14" s="161"/>
      <c r="E14" s="164"/>
      <c r="F14" s="10">
        <f>Tabella3[[#This Row],[Italy data]]*NOT(ISBLANK(Tabella3[[#This Row],[Italy data]]))</f>
        <v>0</v>
      </c>
      <c r="G14" s="179">
        <f>Tabella3[[#This Row],[Lombardy cumul. Fit]]+Tabella3[[#This Row],[rest of Italy cumul. Fit]]</f>
        <v>0</v>
      </c>
      <c r="H14" s="179">
        <f>Tabella3[[#This Row],[Italy cumul. Fit]]/Kf</f>
        <v>0</v>
      </c>
      <c r="I14" s="163">
        <f>Tabella3[[#This Row],[Lombardy fit]]+Tabella3[[#This Row],[rest of Italy fit]]</f>
        <v>0</v>
      </c>
      <c r="J14" s="163">
        <f>Tabella3[[#This Row],[Italy (fitted Lombardy + fitted sum of the other regions)]]/(y_l_peak+y_a_peak)</f>
        <v>0</v>
      </c>
      <c r="K14" s="91">
        <f>IFERROR(Kf*_xlfn.LOGNORM.DIST((Tabella3[[#This Row],[Day]]-D_bk),mu_f,sigma_f,FALSE),0)</f>
        <v>0</v>
      </c>
      <c r="L14" s="91">
        <f>Tabella3[[#This Row],[Italy fit]]/y_f_peak</f>
        <v>0</v>
      </c>
      <c r="M14" s="10">
        <f>Tabella3[[#This Row],[Italy (fitted Lombardy + fitted sum of the other regions)]]*NOT(ISBLANK(Tabella3[[#This Row],[Italy data]]))</f>
        <v>0</v>
      </c>
      <c r="N14" s="91">
        <f>Tabella3[[#This Row],[Italy fit]]*NOT(ISBLANK(Tabella3[[#This Row],[Italy data]]))</f>
        <v>0</v>
      </c>
      <c r="O14" s="91">
        <f>Tabella3[[#This Row],[Italy fit]]+CIf</f>
        <v>1013.7630020203177</v>
      </c>
      <c r="P14" s="91">
        <f>MAX(Tabella3[[#This Row],[Italy fit]]-CIf,0)</f>
        <v>0</v>
      </c>
      <c r="Q14" s="159"/>
      <c r="R14" s="164"/>
      <c r="S14" s="10">
        <f>Tabella3[[#This Row],[Lombardy data]]*NOT(ISBLANK(Tabella3[[#This Row],[Lombardy data]]))</f>
        <v>0</v>
      </c>
      <c r="T14" s="165">
        <f>Tabella8[[#This Row],[Lombardy fit]]</f>
        <v>0</v>
      </c>
      <c r="U14" s="10">
        <f>Tabella3[[#This Row],[Lombardy cumul. Fit]]/Kl</f>
        <v>0</v>
      </c>
      <c r="V14" s="91">
        <f>IFERROR(Kl*_xlfn.LOGNORM.DIST((Tabella3[[#This Row],[Day]]-pl),mu_l,sigma_l,FALSE),0)</f>
        <v>0</v>
      </c>
      <c r="W14" s="91">
        <f>Tabella3[[#This Row],[Lombardy fit]]/y_l_peak</f>
        <v>0</v>
      </c>
      <c r="X14" s="10">
        <f>Tabella3[[#This Row],[Lombardy fit]]*NOT(ISBLANK(Tabella3[[#This Row],[Lombardy data]]))</f>
        <v>0</v>
      </c>
      <c r="Y14" s="91">
        <f>Tabella3[[#This Row],[Lombardy fit]]+CIl</f>
        <v>748.95537180362362</v>
      </c>
      <c r="Z14" s="91">
        <f>MAX(Tabella3[[#This Row],[Lombardy fit]]-CIl,0)</f>
        <v>0</v>
      </c>
      <c r="AA14" s="161"/>
      <c r="AB14" s="164"/>
      <c r="AC14" s="10">
        <f>Tabella3[[#This Row],[rest of Italy data]]*NOT(ISBLANK(Tabella3[[#This Row],[rest of Italy data]]))</f>
        <v>0</v>
      </c>
      <c r="AD14" s="165">
        <f>Tabella8[[#This Row],[rest of Italy fit]]</f>
        <v>0</v>
      </c>
      <c r="AE14" s="91">
        <f>Tabella3[[#This Row],[rest of Italy cumul. Fit]]/Ka</f>
        <v>0</v>
      </c>
      <c r="AF14" s="91">
        <f>IFERROR(Ka*_xlfn.LOGNORM.DIST((Tabella3[[#This Row],[Day]]-pa),mu_a,sigma_a,FALSE),0)</f>
        <v>0</v>
      </c>
      <c r="AG14" s="91">
        <f>Tabella3[[#This Row],[rest of Italy fit]]/y_a_peak</f>
        <v>0</v>
      </c>
      <c r="AH14" s="10">
        <f>Tabella3[[#This Row],[rest of Italy fit]]*NOT(ISBLANK(Tabella3[[#This Row],[rest of Italy data]]))</f>
        <v>0</v>
      </c>
      <c r="AI14" s="91">
        <f>Tabella3[[#This Row],[rest of Italy fit]]+CIa</f>
        <v>694.65203586359735</v>
      </c>
      <c r="AJ14" s="91">
        <f>MAX(Tabella3[[#This Row],[rest of Italy fit]]-CIa,0)</f>
        <v>0</v>
      </c>
      <c r="AK14" s="1"/>
      <c r="AL14" s="116" t="s">
        <v>291</v>
      </c>
      <c r="AM14" s="119" cm="1">
        <f t="array" ref="AM14">1-SUM((Tabella3[Colonna1]-Tabella3[Colonna2])^2)/SUM((Tabella3[Colonna1]-Mean_of_yw)^2)</f>
        <v>0.97971534656884562</v>
      </c>
      <c r="AZ14" s="311"/>
    </row>
    <row r="15" spans="2:52" x14ac:dyDescent="0.3">
      <c r="B15" s="155">
        <v>43838</v>
      </c>
      <c r="C15" s="4">
        <v>8</v>
      </c>
      <c r="D15" s="161"/>
      <c r="E15" s="164"/>
      <c r="F15" s="10">
        <f>Tabella3[[#This Row],[Italy data]]*NOT(ISBLANK(Tabella3[[#This Row],[Italy data]]))</f>
        <v>0</v>
      </c>
      <c r="G15" s="179">
        <f>Tabella3[[#This Row],[Lombardy cumul. Fit]]+Tabella3[[#This Row],[rest of Italy cumul. Fit]]</f>
        <v>0</v>
      </c>
      <c r="H15" s="179">
        <f>Tabella3[[#This Row],[Italy cumul. Fit]]/Kf</f>
        <v>0</v>
      </c>
      <c r="I15" s="163">
        <f>Tabella3[[#This Row],[Lombardy fit]]+Tabella3[[#This Row],[rest of Italy fit]]</f>
        <v>0</v>
      </c>
      <c r="J15" s="163">
        <f>Tabella3[[#This Row],[Italy (fitted Lombardy + fitted sum of the other regions)]]/(y_l_peak+y_a_peak)</f>
        <v>0</v>
      </c>
      <c r="K15" s="91">
        <f>IFERROR(Kf*_xlfn.LOGNORM.DIST((Tabella3[[#This Row],[Day]]-D_bk),mu_f,sigma_f,FALSE),0)</f>
        <v>0</v>
      </c>
      <c r="L15" s="91">
        <f>Tabella3[[#This Row],[Italy fit]]/y_f_peak</f>
        <v>0</v>
      </c>
      <c r="M15" s="10">
        <f>Tabella3[[#This Row],[Italy (fitted Lombardy + fitted sum of the other regions)]]*NOT(ISBLANK(Tabella3[[#This Row],[Italy data]]))</f>
        <v>0</v>
      </c>
      <c r="N15" s="91">
        <f>Tabella3[[#This Row],[Italy fit]]*NOT(ISBLANK(Tabella3[[#This Row],[Italy data]]))</f>
        <v>0</v>
      </c>
      <c r="O15" s="91">
        <f>Tabella3[[#This Row],[Italy fit]]+CIf</f>
        <v>1013.7630020203177</v>
      </c>
      <c r="P15" s="91">
        <f>MAX(Tabella3[[#This Row],[Italy fit]]-CIf,0)</f>
        <v>0</v>
      </c>
      <c r="Q15" s="159"/>
      <c r="R15" s="164"/>
      <c r="S15" s="10">
        <f>Tabella3[[#This Row],[Lombardy data]]*NOT(ISBLANK(Tabella3[[#This Row],[Lombardy data]]))</f>
        <v>0</v>
      </c>
      <c r="T15" s="165">
        <f>Tabella8[[#This Row],[Lombardy fit]]</f>
        <v>0</v>
      </c>
      <c r="U15" s="10">
        <f>Tabella3[[#This Row],[Lombardy cumul. Fit]]/Kl</f>
        <v>0</v>
      </c>
      <c r="V15" s="91">
        <f>IFERROR(Kl*_xlfn.LOGNORM.DIST((Tabella3[[#This Row],[Day]]-pl),mu_l,sigma_l,FALSE),0)</f>
        <v>0</v>
      </c>
      <c r="W15" s="91">
        <f>Tabella3[[#This Row],[Lombardy fit]]/y_l_peak</f>
        <v>0</v>
      </c>
      <c r="X15" s="10">
        <f>Tabella3[[#This Row],[Lombardy fit]]*NOT(ISBLANK(Tabella3[[#This Row],[Lombardy data]]))</f>
        <v>0</v>
      </c>
      <c r="Y15" s="91">
        <f>Tabella3[[#This Row],[Lombardy fit]]+CIl</f>
        <v>748.95537180362362</v>
      </c>
      <c r="Z15" s="91">
        <f>MAX(Tabella3[[#This Row],[Lombardy fit]]-CIl,0)</f>
        <v>0</v>
      </c>
      <c r="AA15" s="161"/>
      <c r="AB15" s="164"/>
      <c r="AC15" s="10">
        <f>Tabella3[[#This Row],[rest of Italy data]]*NOT(ISBLANK(Tabella3[[#This Row],[rest of Italy data]]))</f>
        <v>0</v>
      </c>
      <c r="AD15" s="165">
        <f>Tabella8[[#This Row],[rest of Italy fit]]</f>
        <v>0</v>
      </c>
      <c r="AE15" s="91">
        <f>Tabella3[[#This Row],[rest of Italy cumul. Fit]]/Ka</f>
        <v>0</v>
      </c>
      <c r="AF15" s="91">
        <f>IFERROR(Ka*_xlfn.LOGNORM.DIST((Tabella3[[#This Row],[Day]]-pa),mu_a,sigma_a,FALSE),0)</f>
        <v>0</v>
      </c>
      <c r="AG15" s="91">
        <f>Tabella3[[#This Row],[rest of Italy fit]]/y_a_peak</f>
        <v>0</v>
      </c>
      <c r="AH15" s="10">
        <f>Tabella3[[#This Row],[rest of Italy fit]]*NOT(ISBLANK(Tabella3[[#This Row],[rest of Italy data]]))</f>
        <v>0</v>
      </c>
      <c r="AI15" s="91">
        <f>Tabella3[[#This Row],[rest of Italy fit]]+CIa</f>
        <v>694.65203586359735</v>
      </c>
      <c r="AJ15" s="91">
        <f>MAX(Tabella3[[#This Row],[rest of Italy fit]]-CIa,0)</f>
        <v>0</v>
      </c>
      <c r="AK15" s="1"/>
      <c r="AL15" s="116" t="s">
        <v>5</v>
      </c>
      <c r="AM15" s="119">
        <f>TINV(0.05,dfw)</f>
        <v>1.9847231860139838</v>
      </c>
      <c r="AZ15" s="311"/>
    </row>
    <row r="16" spans="2:52" x14ac:dyDescent="0.3">
      <c r="B16" s="155">
        <v>43839</v>
      </c>
      <c r="C16" s="4">
        <v>9</v>
      </c>
      <c r="D16" s="161"/>
      <c r="E16" s="164"/>
      <c r="F16" s="10">
        <f>Tabella3[[#This Row],[Italy data]]*NOT(ISBLANK(Tabella3[[#This Row],[Italy data]]))</f>
        <v>0</v>
      </c>
      <c r="G16" s="179">
        <f>Tabella3[[#This Row],[Lombardy cumul. Fit]]+Tabella3[[#This Row],[rest of Italy cumul. Fit]]</f>
        <v>0</v>
      </c>
      <c r="H16" s="179">
        <f>Tabella3[[#This Row],[Italy cumul. Fit]]/Kf</f>
        <v>0</v>
      </c>
      <c r="I16" s="163">
        <f>Tabella3[[#This Row],[Lombardy fit]]+Tabella3[[#This Row],[rest of Italy fit]]</f>
        <v>0</v>
      </c>
      <c r="J16" s="163">
        <f>Tabella3[[#This Row],[Italy (fitted Lombardy + fitted sum of the other regions)]]/(y_l_peak+y_a_peak)</f>
        <v>0</v>
      </c>
      <c r="K16" s="91">
        <f>IFERROR(Kf*_xlfn.LOGNORM.DIST((Tabella3[[#This Row],[Day]]-D_bk),mu_f,sigma_f,FALSE),0)</f>
        <v>0</v>
      </c>
      <c r="L16" s="91">
        <f>Tabella3[[#This Row],[Italy fit]]/y_f_peak</f>
        <v>0</v>
      </c>
      <c r="M16" s="10">
        <f>Tabella3[[#This Row],[Italy (fitted Lombardy + fitted sum of the other regions)]]*NOT(ISBLANK(Tabella3[[#This Row],[Italy data]]))</f>
        <v>0</v>
      </c>
      <c r="N16" s="91">
        <f>Tabella3[[#This Row],[Italy fit]]*NOT(ISBLANK(Tabella3[[#This Row],[Italy data]]))</f>
        <v>0</v>
      </c>
      <c r="O16" s="91">
        <f>Tabella3[[#This Row],[Italy fit]]+CIf</f>
        <v>1013.7630020203177</v>
      </c>
      <c r="P16" s="91">
        <f>MAX(Tabella3[[#This Row],[Italy fit]]-CIf,0)</f>
        <v>0</v>
      </c>
      <c r="Q16" s="159"/>
      <c r="R16" s="164"/>
      <c r="S16" s="10">
        <f>Tabella3[[#This Row],[Lombardy data]]*NOT(ISBLANK(Tabella3[[#This Row],[Lombardy data]]))</f>
        <v>0</v>
      </c>
      <c r="T16" s="165">
        <f>Tabella8[[#This Row],[Lombardy fit]]</f>
        <v>0</v>
      </c>
      <c r="U16" s="10">
        <f>Tabella3[[#This Row],[Lombardy cumul. Fit]]/Kl</f>
        <v>0</v>
      </c>
      <c r="V16" s="91">
        <f>IFERROR(Kl*_xlfn.LOGNORM.DIST((Tabella3[[#This Row],[Day]]-pl),mu_l,sigma_l,FALSE),0)</f>
        <v>0</v>
      </c>
      <c r="W16" s="91">
        <f>Tabella3[[#This Row],[Lombardy fit]]/y_l_peak</f>
        <v>0</v>
      </c>
      <c r="X16" s="10">
        <f>Tabella3[[#This Row],[Lombardy fit]]*NOT(ISBLANK(Tabella3[[#This Row],[Lombardy data]]))</f>
        <v>0</v>
      </c>
      <c r="Y16" s="91">
        <f>Tabella3[[#This Row],[Lombardy fit]]+CIl</f>
        <v>748.95537180362362</v>
      </c>
      <c r="Z16" s="91">
        <f>MAX(Tabella3[[#This Row],[Lombardy fit]]-CIl,0)</f>
        <v>0</v>
      </c>
      <c r="AA16" s="161"/>
      <c r="AB16" s="164"/>
      <c r="AC16" s="10">
        <f>Tabella3[[#This Row],[rest of Italy data]]*NOT(ISBLANK(Tabella3[[#This Row],[rest of Italy data]]))</f>
        <v>0</v>
      </c>
      <c r="AD16" s="165">
        <f>Tabella8[[#This Row],[rest of Italy fit]]</f>
        <v>0</v>
      </c>
      <c r="AE16" s="91">
        <f>Tabella3[[#This Row],[rest of Italy cumul. Fit]]/Ka</f>
        <v>0</v>
      </c>
      <c r="AF16" s="91">
        <f>IFERROR(Ka*_xlfn.LOGNORM.DIST((Tabella3[[#This Row],[Day]]-pa),mu_a,sigma_a,FALSE),0)</f>
        <v>0</v>
      </c>
      <c r="AG16" s="91">
        <f>Tabella3[[#This Row],[rest of Italy fit]]/y_a_peak</f>
        <v>0</v>
      </c>
      <c r="AH16" s="10">
        <f>Tabella3[[#This Row],[rest of Italy fit]]*NOT(ISBLANK(Tabella3[[#This Row],[rest of Italy data]]))</f>
        <v>0</v>
      </c>
      <c r="AI16" s="91">
        <f>Tabella3[[#This Row],[rest of Italy fit]]+CIa</f>
        <v>694.65203586359735</v>
      </c>
      <c r="AJ16" s="91">
        <f>MAX(Tabella3[[#This Row],[rest of Italy fit]]-CIa,0)</f>
        <v>0</v>
      </c>
      <c r="AK16" s="1"/>
      <c r="AL16" s="116" t="s">
        <v>6</v>
      </c>
      <c r="AM16" s="117">
        <f>Critical_tw*SE_of_yw</f>
        <v>983.23597010697779</v>
      </c>
      <c r="AZ16" s="311"/>
    </row>
    <row r="17" spans="2:52" ht="15" thickBot="1" x14ac:dyDescent="0.35">
      <c r="B17" s="155">
        <v>43840</v>
      </c>
      <c r="C17" s="4">
        <v>10</v>
      </c>
      <c r="D17" s="161"/>
      <c r="E17" s="164"/>
      <c r="F17" s="10">
        <f>Tabella3[[#This Row],[Italy data]]*NOT(ISBLANK(Tabella3[[#This Row],[Italy data]]))</f>
        <v>0</v>
      </c>
      <c r="G17" s="179">
        <f>Tabella3[[#This Row],[Lombardy cumul. Fit]]+Tabella3[[#This Row],[rest of Italy cumul. Fit]]</f>
        <v>0</v>
      </c>
      <c r="H17" s="179">
        <f>Tabella3[[#This Row],[Italy cumul. Fit]]/Kf</f>
        <v>0</v>
      </c>
      <c r="I17" s="163">
        <f>Tabella3[[#This Row],[Lombardy fit]]+Tabella3[[#This Row],[rest of Italy fit]]</f>
        <v>0</v>
      </c>
      <c r="J17" s="163">
        <f>Tabella3[[#This Row],[Italy (fitted Lombardy + fitted sum of the other regions)]]/(y_l_peak+y_a_peak)</f>
        <v>0</v>
      </c>
      <c r="K17" s="91">
        <f>IFERROR(Kf*_xlfn.LOGNORM.DIST((Tabella3[[#This Row],[Day]]-D_bk),mu_f,sigma_f,FALSE),0)</f>
        <v>0</v>
      </c>
      <c r="L17" s="91">
        <f>Tabella3[[#This Row],[Italy fit]]/y_f_peak</f>
        <v>0</v>
      </c>
      <c r="M17" s="10">
        <f>Tabella3[[#This Row],[Italy (fitted Lombardy + fitted sum of the other regions)]]*NOT(ISBLANK(Tabella3[[#This Row],[Italy data]]))</f>
        <v>0</v>
      </c>
      <c r="N17" s="91">
        <f>Tabella3[[#This Row],[Italy fit]]*NOT(ISBLANK(Tabella3[[#This Row],[Italy data]]))</f>
        <v>0</v>
      </c>
      <c r="O17" s="91">
        <f>Tabella3[[#This Row],[Italy fit]]+CIf</f>
        <v>1013.7630020203177</v>
      </c>
      <c r="P17" s="91">
        <f>MAX(Tabella3[[#This Row],[Italy fit]]-CIf,0)</f>
        <v>0</v>
      </c>
      <c r="Q17" s="159"/>
      <c r="R17" s="164"/>
      <c r="S17" s="10">
        <f>Tabella3[[#This Row],[Lombardy data]]*NOT(ISBLANK(Tabella3[[#This Row],[Lombardy data]]))</f>
        <v>0</v>
      </c>
      <c r="T17" s="165">
        <f>Tabella8[[#This Row],[Lombardy fit]]</f>
        <v>0</v>
      </c>
      <c r="U17" s="10">
        <f>Tabella3[[#This Row],[Lombardy cumul. Fit]]/Kl</f>
        <v>0</v>
      </c>
      <c r="V17" s="91">
        <f>IFERROR(Kl*_xlfn.LOGNORM.DIST((Tabella3[[#This Row],[Day]]-pl),mu_l,sigma_l,FALSE),0)</f>
        <v>0</v>
      </c>
      <c r="W17" s="91">
        <f>Tabella3[[#This Row],[Lombardy fit]]/y_l_peak</f>
        <v>0</v>
      </c>
      <c r="X17" s="10">
        <f>Tabella3[[#This Row],[Lombardy fit]]*NOT(ISBLANK(Tabella3[[#This Row],[Lombardy data]]))</f>
        <v>0</v>
      </c>
      <c r="Y17" s="91">
        <f>Tabella3[[#This Row],[Lombardy fit]]+CIl</f>
        <v>748.95537180362362</v>
      </c>
      <c r="Z17" s="91">
        <f>MAX(Tabella3[[#This Row],[Lombardy fit]]-CIl,0)</f>
        <v>0</v>
      </c>
      <c r="AA17" s="161"/>
      <c r="AB17" s="164"/>
      <c r="AC17" s="10">
        <f>Tabella3[[#This Row],[rest of Italy data]]*NOT(ISBLANK(Tabella3[[#This Row],[rest of Italy data]]))</f>
        <v>0</v>
      </c>
      <c r="AD17" s="165">
        <f>Tabella8[[#This Row],[rest of Italy fit]]</f>
        <v>0</v>
      </c>
      <c r="AE17" s="91">
        <f>Tabella3[[#This Row],[rest of Italy cumul. Fit]]/Ka</f>
        <v>0</v>
      </c>
      <c r="AF17" s="91">
        <f>IFERROR(Ka*_xlfn.LOGNORM.DIST((Tabella3[[#This Row],[Day]]-pa),mu_a,sigma_a,FALSE),0)</f>
        <v>0</v>
      </c>
      <c r="AG17" s="91">
        <f>Tabella3[[#This Row],[rest of Italy fit]]/y_a_peak</f>
        <v>0</v>
      </c>
      <c r="AH17" s="10">
        <f>Tabella3[[#This Row],[rest of Italy fit]]*NOT(ISBLANK(Tabella3[[#This Row],[rest of Italy data]]))</f>
        <v>0</v>
      </c>
      <c r="AI17" s="91">
        <f>Tabella3[[#This Row],[rest of Italy fit]]+CIa</f>
        <v>694.65203586359735</v>
      </c>
      <c r="AJ17" s="91">
        <f>MAX(Tabella3[[#This Row],[rest of Italy fit]]-CIa,0)</f>
        <v>0</v>
      </c>
      <c r="AK17" s="1"/>
      <c r="AL17" s="120" t="s">
        <v>99</v>
      </c>
      <c r="AM17" s="121">
        <f>MAX(Tabella3[Italy (fitted Lombardy + fitted sum of the other regions)])</f>
        <v>5115.7775903136253</v>
      </c>
      <c r="AZ17" s="312"/>
    </row>
    <row r="18" spans="2:52" ht="15" thickTop="1" x14ac:dyDescent="0.3">
      <c r="B18" s="155">
        <v>43841</v>
      </c>
      <c r="C18" s="4">
        <v>11</v>
      </c>
      <c r="D18" s="161"/>
      <c r="E18" s="164"/>
      <c r="F18" s="10">
        <f>Tabella3[[#This Row],[Italy data]]*NOT(ISBLANK(Tabella3[[#This Row],[Italy data]]))</f>
        <v>0</v>
      </c>
      <c r="G18" s="179">
        <f>Tabella3[[#This Row],[Lombardy cumul. Fit]]+Tabella3[[#This Row],[rest of Italy cumul. Fit]]</f>
        <v>0</v>
      </c>
      <c r="H18" s="179">
        <f>Tabella3[[#This Row],[Italy cumul. Fit]]/Kf</f>
        <v>0</v>
      </c>
      <c r="I18" s="163">
        <f>Tabella3[[#This Row],[Lombardy fit]]+Tabella3[[#This Row],[rest of Italy fit]]</f>
        <v>0</v>
      </c>
      <c r="J18" s="163">
        <f>Tabella3[[#This Row],[Italy (fitted Lombardy + fitted sum of the other regions)]]/(y_l_peak+y_a_peak)</f>
        <v>0</v>
      </c>
      <c r="K18" s="91">
        <f>IFERROR(Kf*_xlfn.LOGNORM.DIST((Tabella3[[#This Row],[Day]]-D_bk),mu_f,sigma_f,FALSE),0)</f>
        <v>0</v>
      </c>
      <c r="L18" s="91">
        <f>Tabella3[[#This Row],[Italy fit]]/y_f_peak</f>
        <v>0</v>
      </c>
      <c r="M18" s="10">
        <f>Tabella3[[#This Row],[Italy (fitted Lombardy + fitted sum of the other regions)]]*NOT(ISBLANK(Tabella3[[#This Row],[Italy data]]))</f>
        <v>0</v>
      </c>
      <c r="N18" s="91">
        <f>Tabella3[[#This Row],[Italy fit]]*NOT(ISBLANK(Tabella3[[#This Row],[Italy data]]))</f>
        <v>0</v>
      </c>
      <c r="O18" s="91">
        <f>Tabella3[[#This Row],[Italy fit]]+CIf</f>
        <v>1013.7630020203177</v>
      </c>
      <c r="P18" s="91">
        <f>MAX(Tabella3[[#This Row],[Italy fit]]-CIf,0)</f>
        <v>0</v>
      </c>
      <c r="Q18" s="159"/>
      <c r="R18" s="164"/>
      <c r="S18" s="10">
        <f>Tabella3[[#This Row],[Lombardy data]]*NOT(ISBLANK(Tabella3[[#This Row],[Lombardy data]]))</f>
        <v>0</v>
      </c>
      <c r="T18" s="165">
        <f>Tabella8[[#This Row],[Lombardy fit]]</f>
        <v>0</v>
      </c>
      <c r="U18" s="10">
        <f>Tabella3[[#This Row],[Lombardy cumul. Fit]]/Kl</f>
        <v>0</v>
      </c>
      <c r="V18" s="91">
        <f>IFERROR(Kl*_xlfn.LOGNORM.DIST((Tabella3[[#This Row],[Day]]-pl),mu_l,sigma_l,FALSE),0)</f>
        <v>0</v>
      </c>
      <c r="W18" s="91">
        <f>Tabella3[[#This Row],[Lombardy fit]]/y_l_peak</f>
        <v>0</v>
      </c>
      <c r="X18" s="10">
        <f>Tabella3[[#This Row],[Lombardy fit]]*NOT(ISBLANK(Tabella3[[#This Row],[Lombardy data]]))</f>
        <v>0</v>
      </c>
      <c r="Y18" s="91">
        <f>Tabella3[[#This Row],[Lombardy fit]]+CIl</f>
        <v>748.95537180362362</v>
      </c>
      <c r="Z18" s="91">
        <f>MAX(Tabella3[[#This Row],[Lombardy fit]]-CIl,0)</f>
        <v>0</v>
      </c>
      <c r="AA18" s="161"/>
      <c r="AB18" s="164"/>
      <c r="AC18" s="10">
        <f>Tabella3[[#This Row],[rest of Italy data]]*NOT(ISBLANK(Tabella3[[#This Row],[rest of Italy data]]))</f>
        <v>0</v>
      </c>
      <c r="AD18" s="165">
        <f>Tabella8[[#This Row],[rest of Italy fit]]</f>
        <v>0</v>
      </c>
      <c r="AE18" s="91">
        <f>Tabella3[[#This Row],[rest of Italy cumul. Fit]]/Ka</f>
        <v>0</v>
      </c>
      <c r="AF18" s="91">
        <f>IFERROR(Ka*_xlfn.LOGNORM.DIST((Tabella3[[#This Row],[Day]]-pa),mu_a,sigma_a,FALSE),0)</f>
        <v>0</v>
      </c>
      <c r="AG18" s="91">
        <f>Tabella3[[#This Row],[rest of Italy fit]]/y_a_peak</f>
        <v>0</v>
      </c>
      <c r="AH18" s="10">
        <f>Tabella3[[#This Row],[rest of Italy fit]]*NOT(ISBLANK(Tabella3[[#This Row],[rest of Italy data]]))</f>
        <v>0</v>
      </c>
      <c r="AI18" s="91">
        <f>Tabella3[[#This Row],[rest of Italy fit]]+CIa</f>
        <v>694.65203586359735</v>
      </c>
      <c r="AJ18" s="91">
        <f>MAX(Tabella3[[#This Row],[rest of Italy fit]]-CIa,0)</f>
        <v>0</v>
      </c>
      <c r="AK18" s="1"/>
      <c r="AL18" s="120" t="s">
        <v>129</v>
      </c>
      <c r="AM18" s="122">
        <f>_xlfn.XLOOKUP(Peak_w,Tabella3[Italy (fitted Lombardy + fitted sum of the other regions)],Tabella3[Date])</f>
        <v>43918</v>
      </c>
      <c r="AZ18" s="56">
        <f>MAX($AM$26)</f>
        <v>0.97231076604693834</v>
      </c>
    </row>
    <row r="19" spans="2:52" x14ac:dyDescent="0.3">
      <c r="B19" s="155">
        <v>43842</v>
      </c>
      <c r="C19" s="4">
        <v>12</v>
      </c>
      <c r="D19" s="161"/>
      <c r="E19" s="164"/>
      <c r="F19" s="10">
        <f>Tabella3[[#This Row],[Italy data]]*NOT(ISBLANK(Tabella3[[#This Row],[Italy data]]))</f>
        <v>0</v>
      </c>
      <c r="G19" s="179">
        <f>Tabella3[[#This Row],[Lombardy cumul. Fit]]+Tabella3[[#This Row],[rest of Italy cumul. Fit]]</f>
        <v>0</v>
      </c>
      <c r="H19" s="179">
        <f>Tabella3[[#This Row],[Italy cumul. Fit]]/Kf</f>
        <v>0</v>
      </c>
      <c r="I19" s="163">
        <f>Tabella3[[#This Row],[Lombardy fit]]+Tabella3[[#This Row],[rest of Italy fit]]</f>
        <v>0</v>
      </c>
      <c r="J19" s="163">
        <f>Tabella3[[#This Row],[Italy (fitted Lombardy + fitted sum of the other regions)]]/(y_l_peak+y_a_peak)</f>
        <v>0</v>
      </c>
      <c r="K19" s="91">
        <f>IFERROR(Kf*_xlfn.LOGNORM.DIST((Tabella3[[#This Row],[Day]]-D_bk),mu_f,sigma_f,FALSE),0)</f>
        <v>0</v>
      </c>
      <c r="L19" s="91">
        <f>Tabella3[[#This Row],[Italy fit]]/y_f_peak</f>
        <v>0</v>
      </c>
      <c r="M19" s="10">
        <f>Tabella3[[#This Row],[Italy (fitted Lombardy + fitted sum of the other regions)]]*NOT(ISBLANK(Tabella3[[#This Row],[Italy data]]))</f>
        <v>0</v>
      </c>
      <c r="N19" s="91">
        <f>Tabella3[[#This Row],[Italy fit]]*NOT(ISBLANK(Tabella3[[#This Row],[Italy data]]))</f>
        <v>0</v>
      </c>
      <c r="O19" s="91">
        <f>Tabella3[[#This Row],[Italy fit]]+CIf</f>
        <v>1013.7630020203177</v>
      </c>
      <c r="P19" s="91">
        <f>MAX(Tabella3[[#This Row],[Italy fit]]-CIf,0)</f>
        <v>0</v>
      </c>
      <c r="Q19" s="159"/>
      <c r="R19" s="164"/>
      <c r="S19" s="10">
        <f>Tabella3[[#This Row],[Lombardy data]]*NOT(ISBLANK(Tabella3[[#This Row],[Lombardy data]]))</f>
        <v>0</v>
      </c>
      <c r="T19" s="165">
        <f>Tabella8[[#This Row],[Lombardy fit]]</f>
        <v>0</v>
      </c>
      <c r="U19" s="10">
        <f>Tabella3[[#This Row],[Lombardy cumul. Fit]]/Kl</f>
        <v>0</v>
      </c>
      <c r="V19" s="91">
        <f>IFERROR(Kl*_xlfn.LOGNORM.DIST((Tabella3[[#This Row],[Day]]-pl),mu_l,sigma_l,FALSE),0)</f>
        <v>0</v>
      </c>
      <c r="W19" s="91">
        <f>Tabella3[[#This Row],[Lombardy fit]]/y_l_peak</f>
        <v>0</v>
      </c>
      <c r="X19" s="10">
        <f>Tabella3[[#This Row],[Lombardy fit]]*NOT(ISBLANK(Tabella3[[#This Row],[Lombardy data]]))</f>
        <v>0</v>
      </c>
      <c r="Y19" s="91">
        <f>Tabella3[[#This Row],[Lombardy fit]]+CIl</f>
        <v>748.95537180362362</v>
      </c>
      <c r="Z19" s="91">
        <f>MAX(Tabella3[[#This Row],[Lombardy fit]]-CIl,0)</f>
        <v>0</v>
      </c>
      <c r="AA19" s="161"/>
      <c r="AB19" s="164"/>
      <c r="AC19" s="10">
        <f>Tabella3[[#This Row],[rest of Italy data]]*NOT(ISBLANK(Tabella3[[#This Row],[rest of Italy data]]))</f>
        <v>0</v>
      </c>
      <c r="AD19" s="165">
        <f>Tabella8[[#This Row],[rest of Italy fit]]</f>
        <v>0</v>
      </c>
      <c r="AE19" s="91">
        <f>Tabella3[[#This Row],[rest of Italy cumul. Fit]]/Ka</f>
        <v>0</v>
      </c>
      <c r="AF19" s="91">
        <f>IFERROR(Ka*_xlfn.LOGNORM.DIST((Tabella3[[#This Row],[Day]]-pa),mu_a,sigma_a,FALSE),0)</f>
        <v>0</v>
      </c>
      <c r="AG19" s="91">
        <f>Tabella3[[#This Row],[rest of Italy fit]]/y_a_peak</f>
        <v>0</v>
      </c>
      <c r="AH19" s="10">
        <f>Tabella3[[#This Row],[rest of Italy fit]]*NOT(ISBLANK(Tabella3[[#This Row],[rest of Italy data]]))</f>
        <v>0</v>
      </c>
      <c r="AI19" s="91">
        <f>Tabella3[[#This Row],[rest of Italy fit]]+CIa</f>
        <v>694.65203586359735</v>
      </c>
      <c r="AJ19" s="91">
        <f>MAX(Tabella3[[#This Row],[rest of Italy fit]]-CIa,0)</f>
        <v>0</v>
      </c>
      <c r="AK19" s="1"/>
      <c r="AL19" s="19" t="s">
        <v>78</v>
      </c>
      <c r="AM19" s="3" t="s">
        <v>118</v>
      </c>
      <c r="AZ19" s="57">
        <f>COUNT($AM$20,$AM$21,$AM$22,$AM$31)</f>
        <v>4</v>
      </c>
    </row>
    <row r="20" spans="2:52" x14ac:dyDescent="0.3">
      <c r="B20" s="155">
        <v>43843</v>
      </c>
      <c r="C20" s="4">
        <v>13</v>
      </c>
      <c r="D20" s="161"/>
      <c r="E20" s="164"/>
      <c r="F20" s="10">
        <f>Tabella3[[#This Row],[Italy data]]*NOT(ISBLANK(Tabella3[[#This Row],[Italy data]]))</f>
        <v>0</v>
      </c>
      <c r="G20" s="179">
        <f>Tabella3[[#This Row],[Lombardy cumul. Fit]]+Tabella3[[#This Row],[rest of Italy cumul. Fit]]</f>
        <v>0</v>
      </c>
      <c r="H20" s="179">
        <f>Tabella3[[#This Row],[Italy cumul. Fit]]/Kf</f>
        <v>0</v>
      </c>
      <c r="I20" s="163">
        <f>Tabella3[[#This Row],[Lombardy fit]]+Tabella3[[#This Row],[rest of Italy fit]]</f>
        <v>0</v>
      </c>
      <c r="J20" s="163">
        <f>Tabella3[[#This Row],[Italy (fitted Lombardy + fitted sum of the other regions)]]/(y_l_peak+y_a_peak)</f>
        <v>0</v>
      </c>
      <c r="K20" s="91">
        <f>IFERROR(Kf*_xlfn.LOGNORM.DIST((Tabella3[[#This Row],[Day]]-D_bk),mu_f,sigma_f,FALSE),0)</f>
        <v>0</v>
      </c>
      <c r="L20" s="91">
        <f>Tabella3[[#This Row],[Italy fit]]/y_f_peak</f>
        <v>0</v>
      </c>
      <c r="M20" s="10">
        <f>Tabella3[[#This Row],[Italy (fitted Lombardy + fitted sum of the other regions)]]*NOT(ISBLANK(Tabella3[[#This Row],[Italy data]]))</f>
        <v>0</v>
      </c>
      <c r="N20" s="91">
        <f>Tabella3[[#This Row],[Italy fit]]*NOT(ISBLANK(Tabella3[[#This Row],[Italy data]]))</f>
        <v>0</v>
      </c>
      <c r="O20" s="91">
        <f>Tabella3[[#This Row],[Italy fit]]+CIf</f>
        <v>1013.7630020203177</v>
      </c>
      <c r="P20" s="91">
        <f>MAX(Tabella3[[#This Row],[Italy fit]]-CIf,0)</f>
        <v>0</v>
      </c>
      <c r="Q20" s="159"/>
      <c r="R20" s="164"/>
      <c r="S20" s="10">
        <f>Tabella3[[#This Row],[Lombardy data]]*NOT(ISBLANK(Tabella3[[#This Row],[Lombardy data]]))</f>
        <v>0</v>
      </c>
      <c r="T20" s="165">
        <f>Tabella8[[#This Row],[Lombardy fit]]</f>
        <v>0</v>
      </c>
      <c r="U20" s="10">
        <f>Tabella3[[#This Row],[Lombardy cumul. Fit]]/Kl</f>
        <v>0</v>
      </c>
      <c r="V20" s="91">
        <f>IFERROR(Kl*_xlfn.LOGNORM.DIST((Tabella3[[#This Row],[Day]]-pl),mu_l,sigma_l,FALSE),0)</f>
        <v>0</v>
      </c>
      <c r="W20" s="91">
        <f>Tabella3[[#This Row],[Lombardy fit]]/y_l_peak</f>
        <v>0</v>
      </c>
      <c r="X20" s="10">
        <f>Tabella3[[#This Row],[Lombardy fit]]*NOT(ISBLANK(Tabella3[[#This Row],[Lombardy data]]))</f>
        <v>0</v>
      </c>
      <c r="Y20" s="91">
        <f>Tabella3[[#This Row],[Lombardy fit]]+CIl</f>
        <v>748.95537180362362</v>
      </c>
      <c r="Z20" s="91">
        <f>MAX(Tabella3[[#This Row],[Lombardy fit]]-CIl,0)</f>
        <v>0</v>
      </c>
      <c r="AA20" s="161"/>
      <c r="AB20" s="164"/>
      <c r="AC20" s="10">
        <f>Tabella3[[#This Row],[rest of Italy data]]*NOT(ISBLANK(Tabella3[[#This Row],[rest of Italy data]]))</f>
        <v>0</v>
      </c>
      <c r="AD20" s="165">
        <f>Tabella8[[#This Row],[rest of Italy fit]]</f>
        <v>0</v>
      </c>
      <c r="AE20" s="91">
        <f>Tabella3[[#This Row],[rest of Italy cumul. Fit]]/Ka</f>
        <v>0</v>
      </c>
      <c r="AF20" s="91">
        <f>IFERROR(Ka*_xlfn.LOGNORM.DIST((Tabella3[[#This Row],[Day]]-pa),mu_a,sigma_a,FALSE),0)</f>
        <v>0</v>
      </c>
      <c r="AG20" s="91">
        <f>Tabella3[[#This Row],[rest of Italy fit]]/y_a_peak</f>
        <v>0</v>
      </c>
      <c r="AH20" s="10">
        <f>Tabella3[[#This Row],[rest of Italy fit]]*NOT(ISBLANK(Tabella3[[#This Row],[rest of Italy data]]))</f>
        <v>0</v>
      </c>
      <c r="AI20" s="91">
        <f>Tabella3[[#This Row],[rest of Italy fit]]+CIa</f>
        <v>694.65203586359735</v>
      </c>
      <c r="AJ20" s="91">
        <f>MAX(Tabella3[[#This Row],[rest of Italy fit]]-CIa,0)</f>
        <v>0</v>
      </c>
      <c r="AK20" s="1"/>
      <c r="AL20" s="15" t="s">
        <v>0</v>
      </c>
      <c r="AM20" s="5">
        <f>Kr</f>
        <v>87000</v>
      </c>
      <c r="AZ20" s="57" t="b">
        <f>pl&lt;=0</f>
        <v>0</v>
      </c>
    </row>
    <row r="21" spans="2:52" x14ac:dyDescent="0.3">
      <c r="B21" s="155">
        <v>43844</v>
      </c>
      <c r="C21" s="4">
        <v>14</v>
      </c>
      <c r="D21" s="161"/>
      <c r="E21" s="164"/>
      <c r="F21" s="10">
        <f>Tabella3[[#This Row],[Italy data]]*NOT(ISBLANK(Tabella3[[#This Row],[Italy data]]))</f>
        <v>0</v>
      </c>
      <c r="G21" s="179">
        <f>Tabella3[[#This Row],[Lombardy cumul. Fit]]+Tabella3[[#This Row],[rest of Italy cumul. Fit]]</f>
        <v>0</v>
      </c>
      <c r="H21" s="179">
        <f>Tabella3[[#This Row],[Italy cumul. Fit]]/Kf</f>
        <v>0</v>
      </c>
      <c r="I21" s="163">
        <f>Tabella3[[#This Row],[Lombardy fit]]+Tabella3[[#This Row],[rest of Italy fit]]</f>
        <v>0</v>
      </c>
      <c r="J21" s="163">
        <f>Tabella3[[#This Row],[Italy (fitted Lombardy + fitted sum of the other regions)]]/(y_l_peak+y_a_peak)</f>
        <v>0</v>
      </c>
      <c r="K21" s="91">
        <f>IFERROR(Kf*_xlfn.LOGNORM.DIST((Tabella3[[#This Row],[Day]]-D_bk),mu_f,sigma_f,FALSE),0)</f>
        <v>0</v>
      </c>
      <c r="L21" s="91">
        <f>Tabella3[[#This Row],[Italy fit]]/y_f_peak</f>
        <v>0</v>
      </c>
      <c r="M21" s="10">
        <f>Tabella3[[#This Row],[Italy (fitted Lombardy + fitted sum of the other regions)]]*NOT(ISBLANK(Tabella3[[#This Row],[Italy data]]))</f>
        <v>0</v>
      </c>
      <c r="N21" s="91">
        <f>Tabella3[[#This Row],[Italy fit]]*NOT(ISBLANK(Tabella3[[#This Row],[Italy data]]))</f>
        <v>0</v>
      </c>
      <c r="O21" s="91">
        <f>Tabella3[[#This Row],[Italy fit]]+CIf</f>
        <v>1013.7630020203177</v>
      </c>
      <c r="P21" s="91">
        <f>MAX(Tabella3[[#This Row],[Italy fit]]-CIf,0)</f>
        <v>0</v>
      </c>
      <c r="Q21" s="159"/>
      <c r="R21" s="164"/>
      <c r="S21" s="10">
        <f>Tabella3[[#This Row],[Lombardy data]]*NOT(ISBLANK(Tabella3[[#This Row],[Lombardy data]]))</f>
        <v>0</v>
      </c>
      <c r="T21" s="165">
        <f>Tabella8[[#This Row],[Lombardy fit]]</f>
        <v>0</v>
      </c>
      <c r="U21" s="10">
        <f>Tabella3[[#This Row],[Lombardy cumul. Fit]]/Kl</f>
        <v>0</v>
      </c>
      <c r="V21" s="91">
        <f>IFERROR(Kl*_xlfn.LOGNORM.DIST((Tabella3[[#This Row],[Day]]-pl),mu_l,sigma_l,FALSE),0)</f>
        <v>0</v>
      </c>
      <c r="W21" s="91">
        <f>Tabella3[[#This Row],[Lombardy fit]]/y_l_peak</f>
        <v>0</v>
      </c>
      <c r="X21" s="10">
        <f>Tabella3[[#This Row],[Lombardy fit]]*NOT(ISBLANK(Tabella3[[#This Row],[Lombardy data]]))</f>
        <v>0</v>
      </c>
      <c r="Y21" s="91">
        <f>Tabella3[[#This Row],[Lombardy fit]]+CIl</f>
        <v>748.95537180362362</v>
      </c>
      <c r="Z21" s="91">
        <f>MAX(Tabella3[[#This Row],[Lombardy fit]]-CIl,0)</f>
        <v>0</v>
      </c>
      <c r="AA21" s="161"/>
      <c r="AB21" s="164"/>
      <c r="AC21" s="10">
        <f>Tabella3[[#This Row],[rest of Italy data]]*NOT(ISBLANK(Tabella3[[#This Row],[rest of Italy data]]))</f>
        <v>0</v>
      </c>
      <c r="AD21" s="165">
        <f>Tabella8[[#This Row],[rest of Italy fit]]</f>
        <v>0</v>
      </c>
      <c r="AE21" s="91">
        <f>Tabella3[[#This Row],[rest of Italy cumul. Fit]]/Ka</f>
        <v>0</v>
      </c>
      <c r="AF21" s="91">
        <f>IFERROR(Ka*_xlfn.LOGNORM.DIST((Tabella3[[#This Row],[Day]]-pa),mu_a,sigma_a,FALSE),0)</f>
        <v>0</v>
      </c>
      <c r="AG21" s="91">
        <f>Tabella3[[#This Row],[rest of Italy fit]]/y_a_peak</f>
        <v>0</v>
      </c>
      <c r="AH21" s="10">
        <f>Tabella3[[#This Row],[rest of Italy fit]]*NOT(ISBLANK(Tabella3[[#This Row],[rest of Italy data]]))</f>
        <v>0</v>
      </c>
      <c r="AI21" s="91">
        <f>Tabella3[[#This Row],[rest of Italy fit]]+CIa</f>
        <v>694.65203586359735</v>
      </c>
      <c r="AJ21" s="91">
        <f>MAX(Tabella3[[#This Row],[rest of Italy fit]]-CIa,0)</f>
        <v>0</v>
      </c>
      <c r="AK21" s="1"/>
      <c r="AL21" s="104" t="s">
        <v>307</v>
      </c>
      <c r="AM21" s="31">
        <f>mu_r</f>
        <v>4.1183177467413179</v>
      </c>
      <c r="AZ21" s="57" t="b">
        <f>sigma_l&gt;=0.000001</f>
        <v>1</v>
      </c>
    </row>
    <row r="22" spans="2:52" x14ac:dyDescent="0.3">
      <c r="B22" s="155">
        <v>43845</v>
      </c>
      <c r="C22" s="4">
        <v>15</v>
      </c>
      <c r="D22" s="161"/>
      <c r="E22" s="164"/>
      <c r="F22" s="10">
        <f>Tabella3[[#This Row],[Italy data]]*NOT(ISBLANK(Tabella3[[#This Row],[Italy data]]))</f>
        <v>0</v>
      </c>
      <c r="G22" s="179">
        <f>Tabella3[[#This Row],[Lombardy cumul. Fit]]+Tabella3[[#This Row],[rest of Italy cumul. Fit]]</f>
        <v>0</v>
      </c>
      <c r="H22" s="179">
        <f>Tabella3[[#This Row],[Italy cumul. Fit]]/Kf</f>
        <v>0</v>
      </c>
      <c r="I22" s="163">
        <f>Tabella3[[#This Row],[Lombardy fit]]+Tabella3[[#This Row],[rest of Italy fit]]</f>
        <v>0</v>
      </c>
      <c r="J22" s="163">
        <f>Tabella3[[#This Row],[Italy (fitted Lombardy + fitted sum of the other regions)]]/(y_l_peak+y_a_peak)</f>
        <v>0</v>
      </c>
      <c r="K22" s="91">
        <f>IFERROR(Kf*_xlfn.LOGNORM.DIST((Tabella3[[#This Row],[Day]]-D_bk),mu_f,sigma_f,FALSE),0)</f>
        <v>0</v>
      </c>
      <c r="L22" s="91">
        <f>Tabella3[[#This Row],[Italy fit]]/y_f_peak</f>
        <v>0</v>
      </c>
      <c r="M22" s="10">
        <f>Tabella3[[#This Row],[Italy (fitted Lombardy + fitted sum of the other regions)]]*NOT(ISBLANK(Tabella3[[#This Row],[Italy data]]))</f>
        <v>0</v>
      </c>
      <c r="N22" s="91">
        <f>Tabella3[[#This Row],[Italy fit]]*NOT(ISBLANK(Tabella3[[#This Row],[Italy data]]))</f>
        <v>0</v>
      </c>
      <c r="O22" s="91">
        <f>Tabella3[[#This Row],[Italy fit]]+CIf</f>
        <v>1013.7630020203177</v>
      </c>
      <c r="P22" s="91">
        <f>MAX(Tabella3[[#This Row],[Italy fit]]-CIf,0)</f>
        <v>0</v>
      </c>
      <c r="Q22" s="159"/>
      <c r="R22" s="164"/>
      <c r="S22" s="10">
        <f>Tabella3[[#This Row],[Lombardy data]]*NOT(ISBLANK(Tabella3[[#This Row],[Lombardy data]]))</f>
        <v>0</v>
      </c>
      <c r="T22" s="165">
        <f>Tabella8[[#This Row],[Lombardy fit]]</f>
        <v>0</v>
      </c>
      <c r="U22" s="10">
        <f>Tabella3[[#This Row],[Lombardy cumul. Fit]]/Kl</f>
        <v>0</v>
      </c>
      <c r="V22" s="91">
        <f>IFERROR(Kl*_xlfn.LOGNORM.DIST((Tabella3[[#This Row],[Day]]-pl),mu_l,sigma_l,FALSE),0)</f>
        <v>0</v>
      </c>
      <c r="W22" s="91">
        <f>Tabella3[[#This Row],[Lombardy fit]]/y_l_peak</f>
        <v>0</v>
      </c>
      <c r="X22" s="10">
        <f>Tabella3[[#This Row],[Lombardy fit]]*NOT(ISBLANK(Tabella3[[#This Row],[Lombardy data]]))</f>
        <v>0</v>
      </c>
      <c r="Y22" s="91">
        <f>Tabella3[[#This Row],[Lombardy fit]]+CIl</f>
        <v>748.95537180362362</v>
      </c>
      <c r="Z22" s="91">
        <f>MAX(Tabella3[[#This Row],[Lombardy fit]]-CIl,0)</f>
        <v>0</v>
      </c>
      <c r="AA22" s="161"/>
      <c r="AB22" s="164"/>
      <c r="AC22" s="10">
        <f>Tabella3[[#This Row],[rest of Italy data]]*NOT(ISBLANK(Tabella3[[#This Row],[rest of Italy data]]))</f>
        <v>0</v>
      </c>
      <c r="AD22" s="165">
        <f>Tabella8[[#This Row],[rest of Italy fit]]</f>
        <v>0</v>
      </c>
      <c r="AE22" s="91">
        <f>Tabella3[[#This Row],[rest of Italy cumul. Fit]]/Ka</f>
        <v>0</v>
      </c>
      <c r="AF22" s="91">
        <f>IFERROR(Ka*_xlfn.LOGNORM.DIST((Tabella3[[#This Row],[Day]]-pa),mu_a,sigma_a,FALSE),0)</f>
        <v>0</v>
      </c>
      <c r="AG22" s="91">
        <f>Tabella3[[#This Row],[rest of Italy fit]]/y_a_peak</f>
        <v>0</v>
      </c>
      <c r="AH22" s="10">
        <f>Tabella3[[#This Row],[rest of Italy fit]]*NOT(ISBLANK(Tabella3[[#This Row],[rest of Italy data]]))</f>
        <v>0</v>
      </c>
      <c r="AI22" s="91">
        <f>Tabella3[[#This Row],[rest of Italy fit]]+CIa</f>
        <v>694.65203586359735</v>
      </c>
      <c r="AJ22" s="91">
        <f>MAX(Tabella3[[#This Row],[rest of Italy fit]]-CIa,0)</f>
        <v>0</v>
      </c>
      <c r="AK22" s="1"/>
      <c r="AL22" s="15" t="s">
        <v>308</v>
      </c>
      <c r="AM22" s="31">
        <f>sigma_r</f>
        <v>0.3404272985968646</v>
      </c>
      <c r="AZ22" s="57">
        <f>{32767;32767;0.000001;0.01;FALSE;FALSE;FALSE;1;2;1;0.0001;TRUE}</f>
        <v>32767</v>
      </c>
    </row>
    <row r="23" spans="2:52" x14ac:dyDescent="0.3">
      <c r="B23" s="155">
        <v>43846</v>
      </c>
      <c r="C23" s="4">
        <v>16</v>
      </c>
      <c r="D23" s="161"/>
      <c r="E23" s="164"/>
      <c r="F23" s="10">
        <f>Tabella3[[#This Row],[Italy data]]*NOT(ISBLANK(Tabella3[[#This Row],[Italy data]]))</f>
        <v>0</v>
      </c>
      <c r="G23" s="179">
        <f>Tabella3[[#This Row],[Lombardy cumul. Fit]]+Tabella3[[#This Row],[rest of Italy cumul. Fit]]</f>
        <v>0</v>
      </c>
      <c r="H23" s="179">
        <f>Tabella3[[#This Row],[Italy cumul. Fit]]/Kf</f>
        <v>0</v>
      </c>
      <c r="I23" s="163">
        <f>Tabella3[[#This Row],[Lombardy fit]]+Tabella3[[#This Row],[rest of Italy fit]]</f>
        <v>0</v>
      </c>
      <c r="J23" s="163">
        <f>Tabella3[[#This Row],[Italy (fitted Lombardy + fitted sum of the other regions)]]/(y_l_peak+y_a_peak)</f>
        <v>0</v>
      </c>
      <c r="K23" s="91">
        <f>IFERROR(Kf*_xlfn.LOGNORM.DIST((Tabella3[[#This Row],[Day]]-D_bk),mu_f,sigma_f,FALSE),0)</f>
        <v>0</v>
      </c>
      <c r="L23" s="91">
        <f>Tabella3[[#This Row],[Italy fit]]/y_f_peak</f>
        <v>0</v>
      </c>
      <c r="M23" s="10">
        <f>Tabella3[[#This Row],[Italy (fitted Lombardy + fitted sum of the other regions)]]*NOT(ISBLANK(Tabella3[[#This Row],[Italy data]]))</f>
        <v>0</v>
      </c>
      <c r="N23" s="91">
        <f>Tabella3[[#This Row],[Italy fit]]*NOT(ISBLANK(Tabella3[[#This Row],[Italy data]]))</f>
        <v>0</v>
      </c>
      <c r="O23" s="91">
        <f>Tabella3[[#This Row],[Italy fit]]+CIf</f>
        <v>1013.7630020203177</v>
      </c>
      <c r="P23" s="91">
        <f>MAX(Tabella3[[#This Row],[Italy fit]]-CIf,0)</f>
        <v>0</v>
      </c>
      <c r="Q23" s="159"/>
      <c r="R23" s="164"/>
      <c r="S23" s="10">
        <f>Tabella3[[#This Row],[Lombardy data]]*NOT(ISBLANK(Tabella3[[#This Row],[Lombardy data]]))</f>
        <v>0</v>
      </c>
      <c r="T23" s="165">
        <f>Tabella8[[#This Row],[Lombardy fit]]</f>
        <v>0</v>
      </c>
      <c r="U23" s="10">
        <f>Tabella3[[#This Row],[Lombardy cumul. Fit]]/Kl</f>
        <v>0</v>
      </c>
      <c r="V23" s="91">
        <f>IFERROR(Kl*_xlfn.LOGNORM.DIST((Tabella3[[#This Row],[Day]]-pl),mu_l,sigma_l,FALSE),0)</f>
        <v>0</v>
      </c>
      <c r="W23" s="91">
        <f>Tabella3[[#This Row],[Lombardy fit]]/y_l_peak</f>
        <v>0</v>
      </c>
      <c r="X23" s="10">
        <f>Tabella3[[#This Row],[Lombardy fit]]*NOT(ISBLANK(Tabella3[[#This Row],[Lombardy data]]))</f>
        <v>0</v>
      </c>
      <c r="Y23" s="91">
        <f>Tabella3[[#This Row],[Lombardy fit]]+CIl</f>
        <v>748.95537180362362</v>
      </c>
      <c r="Z23" s="91">
        <f>MAX(Tabella3[[#This Row],[Lombardy fit]]-CIl,0)</f>
        <v>0</v>
      </c>
      <c r="AA23" s="161"/>
      <c r="AB23" s="164"/>
      <c r="AC23" s="10">
        <f>Tabella3[[#This Row],[rest of Italy data]]*NOT(ISBLANK(Tabella3[[#This Row],[rest of Italy data]]))</f>
        <v>0</v>
      </c>
      <c r="AD23" s="165">
        <f>Tabella8[[#This Row],[rest of Italy fit]]</f>
        <v>0</v>
      </c>
      <c r="AE23" s="91">
        <f>Tabella3[[#This Row],[rest of Italy cumul. Fit]]/Ka</f>
        <v>0</v>
      </c>
      <c r="AF23" s="91">
        <f>IFERROR(Ka*_xlfn.LOGNORM.DIST((Tabella3[[#This Row],[Day]]-pa),mu_a,sigma_a,FALSE),0)</f>
        <v>0</v>
      </c>
      <c r="AG23" s="91">
        <f>Tabella3[[#This Row],[rest of Italy fit]]/y_a_peak</f>
        <v>0</v>
      </c>
      <c r="AH23" s="10">
        <f>Tabella3[[#This Row],[rest of Italy fit]]*NOT(ISBLANK(Tabella3[[#This Row],[rest of Italy data]]))</f>
        <v>0</v>
      </c>
      <c r="AI23" s="91">
        <f>Tabella3[[#This Row],[rest of Italy fit]]+CIa</f>
        <v>694.65203586359735</v>
      </c>
      <c r="AJ23" s="91">
        <f>MAX(Tabella3[[#This Row],[rest of Italy fit]]-CIa,0)</f>
        <v>0</v>
      </c>
      <c r="AK23" s="1"/>
      <c r="AL23" s="2" t="s">
        <v>1</v>
      </c>
      <c r="AM23" s="6">
        <f>AVERAGE(Tabella3[Lombardy data])</f>
        <v>1159</v>
      </c>
      <c r="AZ23" s="58">
        <f>{0;0;1;200;0;FALSE;FALSE;0.075;0;0;FALSE;30}</f>
        <v>0</v>
      </c>
    </row>
    <row r="24" spans="2:52" x14ac:dyDescent="0.3">
      <c r="B24" s="155">
        <v>43847</v>
      </c>
      <c r="C24" s="4">
        <v>17</v>
      </c>
      <c r="D24" s="161"/>
      <c r="E24" s="164"/>
      <c r="F24" s="10">
        <f>Tabella3[[#This Row],[Italy data]]*NOT(ISBLANK(Tabella3[[#This Row],[Italy data]]))</f>
        <v>0</v>
      </c>
      <c r="G24" s="179">
        <f>Tabella3[[#This Row],[Lombardy cumul. Fit]]+Tabella3[[#This Row],[rest of Italy cumul. Fit]]</f>
        <v>0</v>
      </c>
      <c r="H24" s="179">
        <f>Tabella3[[#This Row],[Italy cumul. Fit]]/Kf</f>
        <v>0</v>
      </c>
      <c r="I24" s="163">
        <f>Tabella3[[#This Row],[Lombardy fit]]+Tabella3[[#This Row],[rest of Italy fit]]</f>
        <v>0</v>
      </c>
      <c r="J24" s="163">
        <f>Tabella3[[#This Row],[Italy (fitted Lombardy + fitted sum of the other regions)]]/(y_l_peak+y_a_peak)</f>
        <v>0</v>
      </c>
      <c r="K24" s="91">
        <f>IFERROR(Kf*_xlfn.LOGNORM.DIST((Tabella3[[#This Row],[Day]]-D_bk),mu_f,sigma_f,FALSE),0)</f>
        <v>0</v>
      </c>
      <c r="L24" s="91">
        <f>Tabella3[[#This Row],[Italy fit]]/y_f_peak</f>
        <v>0</v>
      </c>
      <c r="M24" s="10">
        <f>Tabella3[[#This Row],[Italy (fitted Lombardy + fitted sum of the other regions)]]*NOT(ISBLANK(Tabella3[[#This Row],[Italy data]]))</f>
        <v>0</v>
      </c>
      <c r="N24" s="91">
        <f>Tabella3[[#This Row],[Italy fit]]*NOT(ISBLANK(Tabella3[[#This Row],[Italy data]]))</f>
        <v>0</v>
      </c>
      <c r="O24" s="91">
        <f>Tabella3[[#This Row],[Italy fit]]+CIf</f>
        <v>1013.7630020203177</v>
      </c>
      <c r="P24" s="91">
        <f>MAX(Tabella3[[#This Row],[Italy fit]]-CIf,0)</f>
        <v>0</v>
      </c>
      <c r="Q24" s="159"/>
      <c r="R24" s="164"/>
      <c r="S24" s="10">
        <f>Tabella3[[#This Row],[Lombardy data]]*NOT(ISBLANK(Tabella3[[#This Row],[Lombardy data]]))</f>
        <v>0</v>
      </c>
      <c r="T24" s="165">
        <f>Tabella8[[#This Row],[Lombardy fit]]</f>
        <v>0</v>
      </c>
      <c r="U24" s="10">
        <f>Tabella3[[#This Row],[Lombardy cumul. Fit]]/Kl</f>
        <v>0</v>
      </c>
      <c r="V24" s="91">
        <f>IFERROR(Kl*_xlfn.LOGNORM.DIST((Tabella3[[#This Row],[Day]]-pl),mu_l,sigma_l,FALSE),0)</f>
        <v>0</v>
      </c>
      <c r="W24" s="91">
        <f>Tabella3[[#This Row],[Lombardy fit]]/y_l_peak</f>
        <v>0</v>
      </c>
      <c r="X24" s="10">
        <f>Tabella3[[#This Row],[Lombardy fit]]*NOT(ISBLANK(Tabella3[[#This Row],[Lombardy data]]))</f>
        <v>0</v>
      </c>
      <c r="Y24" s="91">
        <f>Tabella3[[#This Row],[Lombardy fit]]+CIl</f>
        <v>748.95537180362362</v>
      </c>
      <c r="Z24" s="91">
        <f>MAX(Tabella3[[#This Row],[Lombardy fit]]-CIl,0)</f>
        <v>0</v>
      </c>
      <c r="AA24" s="161"/>
      <c r="AB24" s="164"/>
      <c r="AC24" s="10">
        <f>Tabella3[[#This Row],[rest of Italy data]]*NOT(ISBLANK(Tabella3[[#This Row],[rest of Italy data]]))</f>
        <v>0</v>
      </c>
      <c r="AD24" s="165">
        <f>Tabella8[[#This Row],[rest of Italy fit]]</f>
        <v>0</v>
      </c>
      <c r="AE24" s="91">
        <f>Tabella3[[#This Row],[rest of Italy cumul. Fit]]/Ka</f>
        <v>0</v>
      </c>
      <c r="AF24" s="91">
        <f>IFERROR(Ka*_xlfn.LOGNORM.DIST((Tabella3[[#This Row],[Day]]-pa),mu_a,sigma_a,FALSE),0)</f>
        <v>0</v>
      </c>
      <c r="AG24" s="91">
        <f>Tabella3[[#This Row],[rest of Italy fit]]/y_a_peak</f>
        <v>0</v>
      </c>
      <c r="AH24" s="10">
        <f>Tabella3[[#This Row],[rest of Italy fit]]*NOT(ISBLANK(Tabella3[[#This Row],[rest of Italy data]]))</f>
        <v>0</v>
      </c>
      <c r="AI24" s="91">
        <f>Tabella3[[#This Row],[rest of Italy fit]]+CIa</f>
        <v>694.65203586359735</v>
      </c>
      <c r="AJ24" s="91">
        <f>MAX(Tabella3[[#This Row],[rest of Italy fit]]-CIa,0)</f>
        <v>0</v>
      </c>
      <c r="AK24" s="1"/>
      <c r="AL24" s="2" t="s">
        <v>2</v>
      </c>
      <c r="AM24" s="1">
        <f>COUNT(Tabella3[Lombardy data])-COUNT(AM20:AM22)</f>
        <v>61</v>
      </c>
      <c r="AZ24" s="59"/>
    </row>
    <row r="25" spans="2:52" x14ac:dyDescent="0.3">
      <c r="B25" s="155">
        <v>43848</v>
      </c>
      <c r="C25" s="4">
        <v>18</v>
      </c>
      <c r="D25" s="161"/>
      <c r="E25" s="164"/>
      <c r="F25" s="10">
        <f>Tabella3[[#This Row],[Italy data]]*NOT(ISBLANK(Tabella3[[#This Row],[Italy data]]))</f>
        <v>0</v>
      </c>
      <c r="G25" s="179">
        <f>Tabella3[[#This Row],[Lombardy cumul. Fit]]+Tabella3[[#This Row],[rest of Italy cumul. Fit]]</f>
        <v>0</v>
      </c>
      <c r="H25" s="179">
        <f>Tabella3[[#This Row],[Italy cumul. Fit]]/Kf</f>
        <v>0</v>
      </c>
      <c r="I25" s="163">
        <f>Tabella3[[#This Row],[Lombardy fit]]+Tabella3[[#This Row],[rest of Italy fit]]</f>
        <v>0</v>
      </c>
      <c r="J25" s="163">
        <f>Tabella3[[#This Row],[Italy (fitted Lombardy + fitted sum of the other regions)]]/(y_l_peak+y_a_peak)</f>
        <v>0</v>
      </c>
      <c r="K25" s="91">
        <f>IFERROR(Kf*_xlfn.LOGNORM.DIST((Tabella3[[#This Row],[Day]]-D_bk),mu_f,sigma_f,FALSE),0)</f>
        <v>0</v>
      </c>
      <c r="L25" s="91">
        <f>Tabella3[[#This Row],[Italy fit]]/y_f_peak</f>
        <v>0</v>
      </c>
      <c r="M25" s="10">
        <f>Tabella3[[#This Row],[Italy (fitted Lombardy + fitted sum of the other regions)]]*NOT(ISBLANK(Tabella3[[#This Row],[Italy data]]))</f>
        <v>0</v>
      </c>
      <c r="N25" s="91">
        <f>Tabella3[[#This Row],[Italy fit]]*NOT(ISBLANK(Tabella3[[#This Row],[Italy data]]))</f>
        <v>0</v>
      </c>
      <c r="O25" s="91">
        <f>Tabella3[[#This Row],[Italy fit]]+CIf</f>
        <v>1013.7630020203177</v>
      </c>
      <c r="P25" s="91">
        <f>MAX(Tabella3[[#This Row],[Italy fit]]-CIf,0)</f>
        <v>0</v>
      </c>
      <c r="Q25" s="159"/>
      <c r="R25" s="164"/>
      <c r="S25" s="10">
        <f>Tabella3[[#This Row],[Lombardy data]]*NOT(ISBLANK(Tabella3[[#This Row],[Lombardy data]]))</f>
        <v>0</v>
      </c>
      <c r="T25" s="165">
        <f>Tabella8[[#This Row],[Lombardy fit]]</f>
        <v>0</v>
      </c>
      <c r="U25" s="10">
        <f>Tabella3[[#This Row],[Lombardy cumul. Fit]]/Kl</f>
        <v>0</v>
      </c>
      <c r="V25" s="91">
        <f>IFERROR(Kl*_xlfn.LOGNORM.DIST((Tabella3[[#This Row],[Day]]-pl),mu_l,sigma_l,FALSE),0)</f>
        <v>0</v>
      </c>
      <c r="W25" s="91">
        <f>Tabella3[[#This Row],[Lombardy fit]]/y_l_peak</f>
        <v>0</v>
      </c>
      <c r="X25" s="10">
        <f>Tabella3[[#This Row],[Lombardy fit]]*NOT(ISBLANK(Tabella3[[#This Row],[Lombardy data]]))</f>
        <v>0</v>
      </c>
      <c r="Y25" s="91">
        <f>Tabella3[[#This Row],[Lombardy fit]]+CIl</f>
        <v>748.95537180362362</v>
      </c>
      <c r="Z25" s="91">
        <f>MAX(Tabella3[[#This Row],[Lombardy fit]]-CIl,0)</f>
        <v>0</v>
      </c>
      <c r="AA25" s="161"/>
      <c r="AB25" s="164"/>
      <c r="AC25" s="10">
        <f>Tabella3[[#This Row],[rest of Italy data]]*NOT(ISBLANK(Tabella3[[#This Row],[rest of Italy data]]))</f>
        <v>0</v>
      </c>
      <c r="AD25" s="165">
        <f>Tabella8[[#This Row],[rest of Italy fit]]</f>
        <v>0</v>
      </c>
      <c r="AE25" s="91">
        <f>Tabella3[[#This Row],[rest of Italy cumul. Fit]]/Ka</f>
        <v>0</v>
      </c>
      <c r="AF25" s="91">
        <f>IFERROR(Ka*_xlfn.LOGNORM.DIST((Tabella3[[#This Row],[Day]]-pa),mu_a,sigma_a,FALSE),0)</f>
        <v>0</v>
      </c>
      <c r="AG25" s="91">
        <f>Tabella3[[#This Row],[rest of Italy fit]]/y_a_peak</f>
        <v>0</v>
      </c>
      <c r="AH25" s="10">
        <f>Tabella3[[#This Row],[rest of Italy fit]]*NOT(ISBLANK(Tabella3[[#This Row],[rest of Italy data]]))</f>
        <v>0</v>
      </c>
      <c r="AI25" s="91">
        <f>Tabella3[[#This Row],[rest of Italy fit]]+CIa</f>
        <v>694.65203586359735</v>
      </c>
      <c r="AJ25" s="91">
        <f>MAX(Tabella3[[#This Row],[rest of Italy fit]]-CIa,0)</f>
        <v>0</v>
      </c>
      <c r="AK25" s="1"/>
      <c r="AL25" s="2" t="s">
        <v>3</v>
      </c>
      <c r="AM25" s="6" cm="1">
        <f t="array" ref="AM25">SQRT(SUM((Tabella3[Colonna3]-Tabella3[Colonna32])^2)/dfl)</f>
        <v>374.5481786790981</v>
      </c>
      <c r="AZ25" s="60"/>
    </row>
    <row r="26" spans="2:52" ht="16.2" x14ac:dyDescent="0.3">
      <c r="B26" s="155">
        <v>43849</v>
      </c>
      <c r="C26" s="4">
        <v>19</v>
      </c>
      <c r="D26" s="161"/>
      <c r="E26" s="164"/>
      <c r="F26" s="10">
        <f>Tabella3[[#This Row],[Italy data]]*NOT(ISBLANK(Tabella3[[#This Row],[Italy data]]))</f>
        <v>0</v>
      </c>
      <c r="G26" s="179">
        <f>Tabella3[[#This Row],[Lombardy cumul. Fit]]+Tabella3[[#This Row],[rest of Italy cumul. Fit]]</f>
        <v>0</v>
      </c>
      <c r="H26" s="179">
        <f>Tabella3[[#This Row],[Italy cumul. Fit]]/Kf</f>
        <v>0</v>
      </c>
      <c r="I26" s="163">
        <f>Tabella3[[#This Row],[Lombardy fit]]+Tabella3[[#This Row],[rest of Italy fit]]</f>
        <v>0</v>
      </c>
      <c r="J26" s="163">
        <f>Tabella3[[#This Row],[Italy (fitted Lombardy + fitted sum of the other regions)]]/(y_l_peak+y_a_peak)</f>
        <v>0</v>
      </c>
      <c r="K26" s="91">
        <f>IFERROR(Kf*_xlfn.LOGNORM.DIST((Tabella3[[#This Row],[Day]]-D_bk),mu_f,sigma_f,FALSE),0)</f>
        <v>0</v>
      </c>
      <c r="L26" s="91">
        <f>Tabella3[[#This Row],[Italy fit]]/y_f_peak</f>
        <v>0</v>
      </c>
      <c r="M26" s="10">
        <f>Tabella3[[#This Row],[Italy (fitted Lombardy + fitted sum of the other regions)]]*NOT(ISBLANK(Tabella3[[#This Row],[Italy data]]))</f>
        <v>0</v>
      </c>
      <c r="N26" s="91">
        <f>Tabella3[[#This Row],[Italy fit]]*NOT(ISBLANK(Tabella3[[#This Row],[Italy data]]))</f>
        <v>0</v>
      </c>
      <c r="O26" s="91">
        <f>Tabella3[[#This Row],[Italy fit]]+CIf</f>
        <v>1013.7630020203177</v>
      </c>
      <c r="P26" s="91">
        <f>MAX(Tabella3[[#This Row],[Italy fit]]-CIf,0)</f>
        <v>0</v>
      </c>
      <c r="Q26" s="159"/>
      <c r="R26" s="164"/>
      <c r="S26" s="10">
        <f>Tabella3[[#This Row],[Lombardy data]]*NOT(ISBLANK(Tabella3[[#This Row],[Lombardy data]]))</f>
        <v>0</v>
      </c>
      <c r="T26" s="165">
        <f>Tabella8[[#This Row],[Lombardy fit]]</f>
        <v>0</v>
      </c>
      <c r="U26" s="10">
        <f>Tabella3[[#This Row],[Lombardy cumul. Fit]]/Kl</f>
        <v>0</v>
      </c>
      <c r="V26" s="91">
        <f>IFERROR(Kl*_xlfn.LOGNORM.DIST((Tabella3[[#This Row],[Day]]-pl),mu_l,sigma_l,FALSE),0)</f>
        <v>0</v>
      </c>
      <c r="W26" s="91">
        <f>Tabella3[[#This Row],[Lombardy fit]]/y_l_peak</f>
        <v>0</v>
      </c>
      <c r="X26" s="10">
        <f>Tabella3[[#This Row],[Lombardy fit]]*NOT(ISBLANK(Tabella3[[#This Row],[Lombardy data]]))</f>
        <v>0</v>
      </c>
      <c r="Y26" s="91">
        <f>Tabella3[[#This Row],[Lombardy fit]]+CIl</f>
        <v>748.95537180362362</v>
      </c>
      <c r="Z26" s="91">
        <f>MAX(Tabella3[[#This Row],[Lombardy fit]]-CIl,0)</f>
        <v>0</v>
      </c>
      <c r="AA26" s="161"/>
      <c r="AB26" s="164"/>
      <c r="AC26" s="10">
        <f>Tabella3[[#This Row],[rest of Italy data]]*NOT(ISBLANK(Tabella3[[#This Row],[rest of Italy data]]))</f>
        <v>0</v>
      </c>
      <c r="AD26" s="165">
        <f>Tabella8[[#This Row],[rest of Italy fit]]</f>
        <v>0</v>
      </c>
      <c r="AE26" s="91">
        <f>Tabella3[[#This Row],[rest of Italy cumul. Fit]]/Ka</f>
        <v>0</v>
      </c>
      <c r="AF26" s="91">
        <f>IFERROR(Ka*_xlfn.LOGNORM.DIST((Tabella3[[#This Row],[Day]]-pa),mu_a,sigma_a,FALSE),0)</f>
        <v>0</v>
      </c>
      <c r="AG26" s="91">
        <f>Tabella3[[#This Row],[rest of Italy fit]]/y_a_peak</f>
        <v>0</v>
      </c>
      <c r="AH26" s="10">
        <f>Tabella3[[#This Row],[rest of Italy fit]]*NOT(ISBLANK(Tabella3[[#This Row],[rest of Italy data]]))</f>
        <v>0</v>
      </c>
      <c r="AI26" s="91">
        <f>Tabella3[[#This Row],[rest of Italy fit]]+CIa</f>
        <v>694.65203586359735</v>
      </c>
      <c r="AJ26" s="91">
        <f>MAX(Tabella3[[#This Row],[rest of Italy fit]]-CIa,0)</f>
        <v>0</v>
      </c>
      <c r="AK26" s="1"/>
      <c r="AL26" s="2" t="s">
        <v>4</v>
      </c>
      <c r="AM26" s="7" cm="1">
        <f t="array" ref="AM26">1-SUM((Tabella3[Colonna3]-Tabella3[Colonna32])^2)/SUM((Tabella3[Colonna3]-Mean_of_yl)^2)</f>
        <v>0.97231076604693834</v>
      </c>
      <c r="AZ26" s="60"/>
    </row>
    <row r="27" spans="2:52" ht="15" thickBot="1" x14ac:dyDescent="0.35">
      <c r="B27" s="155">
        <v>43850</v>
      </c>
      <c r="C27" s="4">
        <v>20</v>
      </c>
      <c r="D27" s="161"/>
      <c r="E27" s="164"/>
      <c r="F27" s="10">
        <f>Tabella3[[#This Row],[Italy data]]*NOT(ISBLANK(Tabella3[[#This Row],[Italy data]]))</f>
        <v>0</v>
      </c>
      <c r="G27" s="179">
        <f>Tabella3[[#This Row],[Lombardy cumul. Fit]]+Tabella3[[#This Row],[rest of Italy cumul. Fit]]</f>
        <v>0</v>
      </c>
      <c r="H27" s="179">
        <f>Tabella3[[#This Row],[Italy cumul. Fit]]/Kf</f>
        <v>0</v>
      </c>
      <c r="I27" s="163">
        <f>Tabella3[[#This Row],[Lombardy fit]]+Tabella3[[#This Row],[rest of Italy fit]]</f>
        <v>0</v>
      </c>
      <c r="J27" s="163">
        <f>Tabella3[[#This Row],[Italy (fitted Lombardy + fitted sum of the other regions)]]/(y_l_peak+y_a_peak)</f>
        <v>0</v>
      </c>
      <c r="K27" s="91">
        <f>IFERROR(Kf*_xlfn.LOGNORM.DIST((Tabella3[[#This Row],[Day]]-D_bk),mu_f,sigma_f,FALSE),0)</f>
        <v>0</v>
      </c>
      <c r="L27" s="91">
        <f>Tabella3[[#This Row],[Italy fit]]/y_f_peak</f>
        <v>0</v>
      </c>
      <c r="M27" s="10">
        <f>Tabella3[[#This Row],[Italy (fitted Lombardy + fitted sum of the other regions)]]*NOT(ISBLANK(Tabella3[[#This Row],[Italy data]]))</f>
        <v>0</v>
      </c>
      <c r="N27" s="91">
        <f>Tabella3[[#This Row],[Italy fit]]*NOT(ISBLANK(Tabella3[[#This Row],[Italy data]]))</f>
        <v>0</v>
      </c>
      <c r="O27" s="91">
        <f>Tabella3[[#This Row],[Italy fit]]+CIf</f>
        <v>1013.7630020203177</v>
      </c>
      <c r="P27" s="91">
        <f>MAX(Tabella3[[#This Row],[Italy fit]]-CIf,0)</f>
        <v>0</v>
      </c>
      <c r="Q27" s="159"/>
      <c r="R27" s="164"/>
      <c r="S27" s="10">
        <f>Tabella3[[#This Row],[Lombardy data]]*NOT(ISBLANK(Tabella3[[#This Row],[Lombardy data]]))</f>
        <v>0</v>
      </c>
      <c r="T27" s="165">
        <f>Tabella8[[#This Row],[Lombardy fit]]</f>
        <v>0</v>
      </c>
      <c r="U27" s="10">
        <f>Tabella3[[#This Row],[Lombardy cumul. Fit]]/Kl</f>
        <v>0</v>
      </c>
      <c r="V27" s="91">
        <f>IFERROR(Kl*_xlfn.LOGNORM.DIST((Tabella3[[#This Row],[Day]]-pl),mu_l,sigma_l,FALSE),0)</f>
        <v>0</v>
      </c>
      <c r="W27" s="91">
        <f>Tabella3[[#This Row],[Lombardy fit]]/y_l_peak</f>
        <v>0</v>
      </c>
      <c r="X27" s="10">
        <f>Tabella3[[#This Row],[Lombardy fit]]*NOT(ISBLANK(Tabella3[[#This Row],[Lombardy data]]))</f>
        <v>0</v>
      </c>
      <c r="Y27" s="91">
        <f>Tabella3[[#This Row],[Lombardy fit]]+CIl</f>
        <v>748.95537180362362</v>
      </c>
      <c r="Z27" s="91">
        <f>MAX(Tabella3[[#This Row],[Lombardy fit]]-CIl,0)</f>
        <v>0</v>
      </c>
      <c r="AA27" s="161"/>
      <c r="AB27" s="164"/>
      <c r="AC27" s="10">
        <f>Tabella3[[#This Row],[rest of Italy data]]*NOT(ISBLANK(Tabella3[[#This Row],[rest of Italy data]]))</f>
        <v>0</v>
      </c>
      <c r="AD27" s="165">
        <f>Tabella8[[#This Row],[rest of Italy fit]]</f>
        <v>0</v>
      </c>
      <c r="AE27" s="91">
        <f>Tabella3[[#This Row],[rest of Italy cumul. Fit]]/Ka</f>
        <v>0</v>
      </c>
      <c r="AF27" s="91">
        <f>IFERROR(Ka*_xlfn.LOGNORM.DIST((Tabella3[[#This Row],[Day]]-pa),mu_a,sigma_a,FALSE),0)</f>
        <v>0</v>
      </c>
      <c r="AG27" s="91">
        <f>Tabella3[[#This Row],[rest of Italy fit]]/y_a_peak</f>
        <v>0</v>
      </c>
      <c r="AH27" s="10">
        <f>Tabella3[[#This Row],[rest of Italy fit]]*NOT(ISBLANK(Tabella3[[#This Row],[rest of Italy data]]))</f>
        <v>0</v>
      </c>
      <c r="AI27" s="91">
        <f>Tabella3[[#This Row],[rest of Italy fit]]+CIa</f>
        <v>694.65203586359735</v>
      </c>
      <c r="AJ27" s="91">
        <f>MAX(Tabella3[[#This Row],[rest of Italy fit]]-CIa,0)</f>
        <v>0</v>
      </c>
      <c r="AK27" s="1"/>
      <c r="AL27" s="2" t="s">
        <v>5</v>
      </c>
      <c r="AM27" s="7">
        <f>TINV(0.05,dfl)</f>
        <v>1.9996235849949404</v>
      </c>
      <c r="AZ27" s="61"/>
    </row>
    <row r="28" spans="2:52" ht="15" thickTop="1" x14ac:dyDescent="0.3">
      <c r="B28" s="155">
        <v>43851</v>
      </c>
      <c r="C28" s="4">
        <v>21</v>
      </c>
      <c r="D28" s="161"/>
      <c r="E28" s="164"/>
      <c r="F28" s="10">
        <f>Tabella3[[#This Row],[Italy data]]*NOT(ISBLANK(Tabella3[[#This Row],[Italy data]]))</f>
        <v>0</v>
      </c>
      <c r="G28" s="179">
        <f>Tabella3[[#This Row],[Lombardy cumul. Fit]]+Tabella3[[#This Row],[rest of Italy cumul. Fit]]</f>
        <v>0</v>
      </c>
      <c r="H28" s="179">
        <f>Tabella3[[#This Row],[Italy cumul. Fit]]/Kf</f>
        <v>0</v>
      </c>
      <c r="I28" s="163">
        <f>Tabella3[[#This Row],[Lombardy fit]]+Tabella3[[#This Row],[rest of Italy fit]]</f>
        <v>0</v>
      </c>
      <c r="J28" s="163">
        <f>Tabella3[[#This Row],[Italy (fitted Lombardy + fitted sum of the other regions)]]/(y_l_peak+y_a_peak)</f>
        <v>0</v>
      </c>
      <c r="K28" s="91">
        <f>IFERROR(Kf*_xlfn.LOGNORM.DIST((Tabella3[[#This Row],[Day]]-D_bk),mu_f,sigma_f,FALSE),0)</f>
        <v>0</v>
      </c>
      <c r="L28" s="91">
        <f>Tabella3[[#This Row],[Italy fit]]/y_f_peak</f>
        <v>0</v>
      </c>
      <c r="M28" s="10">
        <f>Tabella3[[#This Row],[Italy (fitted Lombardy + fitted sum of the other regions)]]*NOT(ISBLANK(Tabella3[[#This Row],[Italy data]]))</f>
        <v>0</v>
      </c>
      <c r="N28" s="91">
        <f>Tabella3[[#This Row],[Italy fit]]*NOT(ISBLANK(Tabella3[[#This Row],[Italy data]]))</f>
        <v>0</v>
      </c>
      <c r="O28" s="91">
        <f>Tabella3[[#This Row],[Italy fit]]+CIf</f>
        <v>1013.7630020203177</v>
      </c>
      <c r="P28" s="91">
        <f>MAX(Tabella3[[#This Row],[Italy fit]]-CIf,0)</f>
        <v>0</v>
      </c>
      <c r="Q28" s="159"/>
      <c r="R28" s="164"/>
      <c r="S28" s="10">
        <f>Tabella3[[#This Row],[Lombardy data]]*NOT(ISBLANK(Tabella3[[#This Row],[Lombardy data]]))</f>
        <v>0</v>
      </c>
      <c r="T28" s="165">
        <f>Tabella8[[#This Row],[Lombardy fit]]</f>
        <v>0</v>
      </c>
      <c r="U28" s="10">
        <f>Tabella3[[#This Row],[Lombardy cumul. Fit]]/Kl</f>
        <v>0</v>
      </c>
      <c r="V28" s="91">
        <f>IFERROR(Kl*_xlfn.LOGNORM.DIST((Tabella3[[#This Row],[Day]]-pl),mu_l,sigma_l,FALSE),0)</f>
        <v>0</v>
      </c>
      <c r="W28" s="91">
        <f>Tabella3[[#This Row],[Lombardy fit]]/y_l_peak</f>
        <v>0</v>
      </c>
      <c r="X28" s="10">
        <f>Tabella3[[#This Row],[Lombardy fit]]*NOT(ISBLANK(Tabella3[[#This Row],[Lombardy data]]))</f>
        <v>0</v>
      </c>
      <c r="Y28" s="91">
        <f>Tabella3[[#This Row],[Lombardy fit]]+CIl</f>
        <v>748.95537180362362</v>
      </c>
      <c r="Z28" s="91">
        <f>MAX(Tabella3[[#This Row],[Lombardy fit]]-CIl,0)</f>
        <v>0</v>
      </c>
      <c r="AA28" s="161"/>
      <c r="AB28" s="164"/>
      <c r="AC28" s="10">
        <f>Tabella3[[#This Row],[rest of Italy data]]*NOT(ISBLANK(Tabella3[[#This Row],[rest of Italy data]]))</f>
        <v>0</v>
      </c>
      <c r="AD28" s="165">
        <f>Tabella8[[#This Row],[rest of Italy fit]]</f>
        <v>0</v>
      </c>
      <c r="AE28" s="91">
        <f>Tabella3[[#This Row],[rest of Italy cumul. Fit]]/Ka</f>
        <v>0</v>
      </c>
      <c r="AF28" s="91">
        <f>IFERROR(Ka*_xlfn.LOGNORM.DIST((Tabella3[[#This Row],[Day]]-pa),mu_a,sigma_a,FALSE),0)</f>
        <v>0</v>
      </c>
      <c r="AG28" s="91">
        <f>Tabella3[[#This Row],[rest of Italy fit]]/y_a_peak</f>
        <v>0</v>
      </c>
      <c r="AH28" s="10">
        <f>Tabella3[[#This Row],[rest of Italy fit]]*NOT(ISBLANK(Tabella3[[#This Row],[rest of Italy data]]))</f>
        <v>0</v>
      </c>
      <c r="AI28" s="91">
        <f>Tabella3[[#This Row],[rest of Italy fit]]+CIa</f>
        <v>694.65203586359735</v>
      </c>
      <c r="AJ28" s="91">
        <f>MAX(Tabella3[[#This Row],[rest of Italy fit]]-CIa,0)</f>
        <v>0</v>
      </c>
      <c r="AK28" s="1"/>
      <c r="AL28" s="2" t="s">
        <v>6</v>
      </c>
      <c r="AM28" s="6">
        <f>Critical_tl*SE_of_yl</f>
        <v>748.95537180362362</v>
      </c>
      <c r="AZ28" s="62">
        <f>MAX($AM$39)</f>
        <v>0.99197933989619569</v>
      </c>
    </row>
    <row r="29" spans="2:52" x14ac:dyDescent="0.3">
      <c r="B29" s="154">
        <v>43852</v>
      </c>
      <c r="C29" s="4">
        <v>22</v>
      </c>
      <c r="D29" s="10" t="str">
        <f>Tabella8[[#This Row],[Italy cumulative]]</f>
        <v>0</v>
      </c>
      <c r="E29" s="164"/>
      <c r="F29" s="10">
        <f>Tabella3[[#This Row],[Italy data]]*NOT(ISBLANK(Tabella3[[#This Row],[Italy data]]))</f>
        <v>0</v>
      </c>
      <c r="G29" s="179">
        <f>Tabella3[[#This Row],[Lombardy cumul. Fit]]+Tabella3[[#This Row],[rest of Italy cumul. Fit]]</f>
        <v>0</v>
      </c>
      <c r="H29" s="179">
        <f>Tabella3[[#This Row],[Italy cumul. Fit]]/Kf</f>
        <v>0</v>
      </c>
      <c r="I29" s="163">
        <f>Tabella3[[#This Row],[Lombardy fit]]+Tabella3[[#This Row],[rest of Italy fit]]</f>
        <v>0</v>
      </c>
      <c r="J29" s="163">
        <f>Tabella3[[#This Row],[Italy (fitted Lombardy + fitted sum of the other regions)]]/(y_l_peak+y_a_peak)</f>
        <v>0</v>
      </c>
      <c r="K29" s="91">
        <f>IFERROR(Kf*_xlfn.LOGNORM.DIST((Tabella3[[#This Row],[Day]]-D_bk),mu_f,sigma_f,FALSE),0)</f>
        <v>0</v>
      </c>
      <c r="L29" s="91">
        <f>Tabella3[[#This Row],[Italy fit]]/y_f_peak</f>
        <v>0</v>
      </c>
      <c r="M29" s="10">
        <f>Tabella3[[#This Row],[Italy (fitted Lombardy + fitted sum of the other regions)]]*NOT(ISBLANK(Tabella3[[#This Row],[Italy data]]))</f>
        <v>0</v>
      </c>
      <c r="N29" s="91">
        <f>Tabella3[[#This Row],[Italy fit]]*NOT(ISBLANK(Tabella3[[#This Row],[Italy data]]))</f>
        <v>0</v>
      </c>
      <c r="O29" s="91">
        <f>Tabella3[[#This Row],[Italy fit]]+CIf</f>
        <v>1013.7630020203177</v>
      </c>
      <c r="P29" s="91">
        <f>MAX(Tabella3[[#This Row],[Italy fit]]-CIf,0)</f>
        <v>0</v>
      </c>
      <c r="Q29" s="159"/>
      <c r="R29" s="164"/>
      <c r="S29" s="10">
        <f>Tabella3[[#This Row],[Lombardy data]]*NOT(ISBLANK(Tabella3[[#This Row],[Lombardy data]]))</f>
        <v>0</v>
      </c>
      <c r="T29" s="165">
        <f>Tabella8[[#This Row],[Lombardy fit]]</f>
        <v>0</v>
      </c>
      <c r="U29" s="10">
        <f>Tabella3[[#This Row],[Lombardy cumul. Fit]]/Kl</f>
        <v>0</v>
      </c>
      <c r="V29" s="91">
        <f>IFERROR(Kl*_xlfn.LOGNORM.DIST((Tabella3[[#This Row],[Day]]-pl),mu_l,sigma_l,FALSE),0)</f>
        <v>0</v>
      </c>
      <c r="W29" s="91">
        <f>Tabella3[[#This Row],[Lombardy fit]]/y_l_peak</f>
        <v>0</v>
      </c>
      <c r="X29" s="10">
        <f>Tabella3[[#This Row],[Lombardy fit]]*NOT(ISBLANK(Tabella3[[#This Row],[Lombardy data]]))</f>
        <v>0</v>
      </c>
      <c r="Y29" s="91">
        <f>Tabella3[[#This Row],[Lombardy fit]]+CIl</f>
        <v>748.95537180362362</v>
      </c>
      <c r="Z29" s="91">
        <f>MAX(Tabella3[[#This Row],[Lombardy fit]]-CIl,0)</f>
        <v>0</v>
      </c>
      <c r="AA29" s="161"/>
      <c r="AB29" s="164"/>
      <c r="AC29" s="10">
        <f>Tabella3[[#This Row],[rest of Italy data]]*NOT(ISBLANK(Tabella3[[#This Row],[rest of Italy data]]))</f>
        <v>0</v>
      </c>
      <c r="AD29" s="165">
        <f>Tabella8[[#This Row],[rest of Italy fit]]</f>
        <v>0</v>
      </c>
      <c r="AE29" s="91">
        <f>Tabella3[[#This Row],[rest of Italy cumul. Fit]]/Ka</f>
        <v>0</v>
      </c>
      <c r="AF29" s="91">
        <f>IFERROR(Ka*_xlfn.LOGNORM.DIST((Tabella3[[#This Row],[Day]]-pa),mu_a,sigma_a,FALSE),0)</f>
        <v>0</v>
      </c>
      <c r="AG29" s="91">
        <f>Tabella3[[#This Row],[rest of Italy fit]]/y_a_peak</f>
        <v>0</v>
      </c>
      <c r="AH29" s="10">
        <f>Tabella3[[#This Row],[rest of Italy fit]]*NOT(ISBLANK(Tabella3[[#This Row],[rest of Italy data]]))</f>
        <v>0</v>
      </c>
      <c r="AI29" s="91">
        <f>Tabella3[[#This Row],[rest of Italy fit]]+CIa</f>
        <v>694.65203586359735</v>
      </c>
      <c r="AJ29" s="91">
        <f>MAX(Tabella3[[#This Row],[rest of Italy fit]]-CIa,0)</f>
        <v>0</v>
      </c>
      <c r="AK29" s="1"/>
      <c r="AL29" s="20" t="s">
        <v>306</v>
      </c>
      <c r="AM29" s="109">
        <f>Kl*_xlfn.LOGNORM.DIST(EXP(mu_l-sigma_l^2),mu_l,sigma_l,FALSE)</f>
        <v>1757.954472109541</v>
      </c>
      <c r="AZ29" s="63">
        <f>COUNT($AM$33,$AM$34,$AM$35,$AM$44)</f>
        <v>4</v>
      </c>
    </row>
    <row r="30" spans="2:52" x14ac:dyDescent="0.3">
      <c r="B30" s="154">
        <v>43853</v>
      </c>
      <c r="C30" s="4">
        <v>23</v>
      </c>
      <c r="D30" s="10" t="str">
        <f>Tabella8[[#This Row],[Italy cumulative]]</f>
        <v>0</v>
      </c>
      <c r="E30" s="91">
        <f>(Tabella3[[#This Row],[Italy cumul. Data]]-D29)</f>
        <v>0</v>
      </c>
      <c r="F30" s="10">
        <f>Tabella3[[#This Row],[Italy data]]*NOT(ISBLANK(Tabella3[[#This Row],[Italy data]]))</f>
        <v>0</v>
      </c>
      <c r="G30" s="179">
        <f>Tabella3[[#This Row],[Lombardy cumul. Fit]]+Tabella3[[#This Row],[rest of Italy cumul. Fit]]</f>
        <v>0</v>
      </c>
      <c r="H30" s="179">
        <f>Tabella3[[#This Row],[Italy cumul. Fit]]/Kf</f>
        <v>0</v>
      </c>
      <c r="I30" s="163">
        <f>Tabella3[[#This Row],[Lombardy fit]]+Tabella3[[#This Row],[rest of Italy fit]]</f>
        <v>0</v>
      </c>
      <c r="J30" s="163">
        <f>Tabella3[[#This Row],[Italy (fitted Lombardy + fitted sum of the other regions)]]/(y_l_peak+y_a_peak)</f>
        <v>0</v>
      </c>
      <c r="K30" s="91">
        <f>IFERROR(Kf*_xlfn.LOGNORM.DIST((Tabella3[[#This Row],[Day]]-D_bk),mu_f,sigma_f,FALSE),0)</f>
        <v>0</v>
      </c>
      <c r="L30" s="91">
        <f>Tabella3[[#This Row],[Italy fit]]/y_f_peak</f>
        <v>0</v>
      </c>
      <c r="M30" s="10">
        <f>Tabella3[[#This Row],[Italy (fitted Lombardy + fitted sum of the other regions)]]*NOT(ISBLANK(Tabella3[[#This Row],[Italy data]]))</f>
        <v>0</v>
      </c>
      <c r="N30" s="91">
        <f>Tabella3[[#This Row],[Italy fit]]*NOT(ISBLANK(Tabella3[[#This Row],[Italy data]]))</f>
        <v>0</v>
      </c>
      <c r="O30" s="91">
        <f>Tabella3[[#This Row],[Italy fit]]+CIf</f>
        <v>1013.7630020203177</v>
      </c>
      <c r="P30" s="91">
        <f>MAX(Tabella3[[#This Row],[Italy fit]]-CIf,0)</f>
        <v>0</v>
      </c>
      <c r="Q30" s="159"/>
      <c r="R30" s="164"/>
      <c r="S30" s="10">
        <f>Tabella3[[#This Row],[Lombardy data]]*NOT(ISBLANK(Tabella3[[#This Row],[Lombardy data]]))</f>
        <v>0</v>
      </c>
      <c r="T30" s="165">
        <f>Tabella8[[#This Row],[Lombardy fit]]</f>
        <v>0</v>
      </c>
      <c r="U30" s="10">
        <f>Tabella3[[#This Row],[Lombardy cumul. Fit]]/Kl</f>
        <v>0</v>
      </c>
      <c r="V30" s="91">
        <f>IFERROR(Kl*_xlfn.LOGNORM.DIST((Tabella3[[#This Row],[Day]]-pl),mu_l,sigma_l,FALSE),0)</f>
        <v>0</v>
      </c>
      <c r="W30" s="91">
        <f>Tabella3[[#This Row],[Lombardy fit]]/y_l_peak</f>
        <v>0</v>
      </c>
      <c r="X30" s="10">
        <f>Tabella3[[#This Row],[Lombardy fit]]*NOT(ISBLANK(Tabella3[[#This Row],[Lombardy data]]))</f>
        <v>0</v>
      </c>
      <c r="Y30" s="91">
        <f>Tabella3[[#This Row],[Lombardy fit]]+CIl</f>
        <v>748.95537180362362</v>
      </c>
      <c r="Z30" s="91">
        <f>MAX(Tabella3[[#This Row],[Lombardy fit]]-CIl,0)</f>
        <v>0</v>
      </c>
      <c r="AA30" s="161"/>
      <c r="AB30" s="164"/>
      <c r="AC30" s="10">
        <f>Tabella3[[#This Row],[rest of Italy data]]*NOT(ISBLANK(Tabella3[[#This Row],[rest of Italy data]]))</f>
        <v>0</v>
      </c>
      <c r="AD30" s="165">
        <f>Tabella8[[#This Row],[rest of Italy fit]]</f>
        <v>0</v>
      </c>
      <c r="AE30" s="91">
        <f>Tabella3[[#This Row],[rest of Italy cumul. Fit]]/Ka</f>
        <v>0</v>
      </c>
      <c r="AF30" s="91">
        <f>IFERROR(Ka*_xlfn.LOGNORM.DIST((Tabella3[[#This Row],[Day]]-pa),mu_a,sigma_a,FALSE),0)</f>
        <v>0</v>
      </c>
      <c r="AG30" s="91">
        <f>Tabella3[[#This Row],[rest of Italy fit]]/y_a_peak</f>
        <v>0</v>
      </c>
      <c r="AH30" s="10">
        <f>Tabella3[[#This Row],[rest of Italy fit]]*NOT(ISBLANK(Tabella3[[#This Row],[rest of Italy data]]))</f>
        <v>0</v>
      </c>
      <c r="AI30" s="91">
        <f>Tabella3[[#This Row],[rest of Italy fit]]+CIa</f>
        <v>694.65203586359735</v>
      </c>
      <c r="AJ30" s="91">
        <f>MAX(Tabella3[[#This Row],[rest of Italy fit]]-CIa,0)</f>
        <v>0</v>
      </c>
      <c r="AK30" s="1"/>
      <c r="AL30" s="20" t="s">
        <v>129</v>
      </c>
      <c r="AM30" s="35">
        <f>_xlfn.XLOOKUP(ROUND(EXP(mu_l-sigma_l^2)+pl,0),Tabella3[Day],Tabella3[Date])</f>
        <v>43916</v>
      </c>
      <c r="AZ30" s="63" t="b">
        <f>pa&lt;=0</f>
        <v>0</v>
      </c>
    </row>
    <row r="31" spans="2:52" x14ac:dyDescent="0.3">
      <c r="B31" s="154">
        <v>43854</v>
      </c>
      <c r="C31" s="4">
        <v>24</v>
      </c>
      <c r="D31" s="10" t="str">
        <f>Tabella8[[#This Row],[Italy cumulative]]</f>
        <v>0</v>
      </c>
      <c r="E31" s="91">
        <f>(Tabella3[[#This Row],[Italy cumul. Data]]-D30)</f>
        <v>0</v>
      </c>
      <c r="F31" s="10">
        <f>Tabella3[[#This Row],[Italy data]]*NOT(ISBLANK(Tabella3[[#This Row],[Italy data]]))</f>
        <v>0</v>
      </c>
      <c r="G31" s="179">
        <f>Tabella3[[#This Row],[Lombardy cumul. Fit]]+Tabella3[[#This Row],[rest of Italy cumul. Fit]]</f>
        <v>0</v>
      </c>
      <c r="H31" s="179">
        <f>Tabella3[[#This Row],[Italy cumul. Fit]]/Kf</f>
        <v>0</v>
      </c>
      <c r="I31" s="163">
        <f>Tabella3[[#This Row],[Lombardy fit]]+Tabella3[[#This Row],[rest of Italy fit]]</f>
        <v>0</v>
      </c>
      <c r="J31" s="163">
        <f>Tabella3[[#This Row],[Italy (fitted Lombardy + fitted sum of the other regions)]]/(y_l_peak+y_a_peak)</f>
        <v>0</v>
      </c>
      <c r="K31" s="91">
        <f>IFERROR(Kf*_xlfn.LOGNORM.DIST((Tabella3[[#This Row],[Day]]-D_bk),mu_f,sigma_f,FALSE),0)</f>
        <v>0</v>
      </c>
      <c r="L31" s="91">
        <f>Tabella3[[#This Row],[Italy fit]]/y_f_peak</f>
        <v>0</v>
      </c>
      <c r="M31" s="10">
        <f>Tabella3[[#This Row],[Italy (fitted Lombardy + fitted sum of the other regions)]]*NOT(ISBLANK(Tabella3[[#This Row],[Italy data]]))</f>
        <v>0</v>
      </c>
      <c r="N31" s="91">
        <f>Tabella3[[#This Row],[Italy fit]]*NOT(ISBLANK(Tabella3[[#This Row],[Italy data]]))</f>
        <v>0</v>
      </c>
      <c r="O31" s="91">
        <f>Tabella3[[#This Row],[Italy fit]]+CIf</f>
        <v>1013.7630020203177</v>
      </c>
      <c r="P31" s="91">
        <f>MAX(Tabella3[[#This Row],[Italy fit]]-CIf,0)</f>
        <v>0</v>
      </c>
      <c r="Q31" s="159"/>
      <c r="R31" s="164"/>
      <c r="S31" s="10">
        <f>Tabella3[[#This Row],[Lombardy data]]*NOT(ISBLANK(Tabella3[[#This Row],[Lombardy data]]))</f>
        <v>0</v>
      </c>
      <c r="T31" s="165">
        <f>Tabella8[[#This Row],[Lombardy fit]]</f>
        <v>0</v>
      </c>
      <c r="U31" s="10">
        <f>Tabella3[[#This Row],[Lombardy cumul. Fit]]/Kl</f>
        <v>0</v>
      </c>
      <c r="V31" s="91">
        <f>IFERROR(Kl*_xlfn.LOGNORM.DIST((Tabella3[[#This Row],[Day]]-pl),mu_l,sigma_l,FALSE),0)</f>
        <v>0</v>
      </c>
      <c r="W31" s="91">
        <f>Tabella3[[#This Row],[Lombardy fit]]/y_l_peak</f>
        <v>0</v>
      </c>
      <c r="X31" s="10">
        <f>Tabella3[[#This Row],[Lombardy fit]]*NOT(ISBLANK(Tabella3[[#This Row],[Lombardy data]]))</f>
        <v>0</v>
      </c>
      <c r="Y31" s="91">
        <f>Tabella3[[#This Row],[Lombardy fit]]+CIl</f>
        <v>748.95537180362362</v>
      </c>
      <c r="Z31" s="91">
        <f>MAX(Tabella3[[#This Row],[Lombardy fit]]-CIl,0)</f>
        <v>0</v>
      </c>
      <c r="AA31" s="161"/>
      <c r="AB31" s="164"/>
      <c r="AC31" s="10">
        <f>Tabella3[[#This Row],[rest of Italy data]]*NOT(ISBLANK(Tabella3[[#This Row],[rest of Italy data]]))</f>
        <v>0</v>
      </c>
      <c r="AD31" s="165">
        <f>Tabella8[[#This Row],[rest of Italy fit]]</f>
        <v>0</v>
      </c>
      <c r="AE31" s="91">
        <f>Tabella3[[#This Row],[rest of Italy cumul. Fit]]/Ka</f>
        <v>0</v>
      </c>
      <c r="AF31" s="91">
        <f>IFERROR(Ka*_xlfn.LOGNORM.DIST((Tabella3[[#This Row],[Day]]-pa),mu_a,sigma_a,FALSE),0)</f>
        <v>0</v>
      </c>
      <c r="AG31" s="91">
        <f>Tabella3[[#This Row],[rest of Italy fit]]/y_a_peak</f>
        <v>0</v>
      </c>
      <c r="AH31" s="10">
        <f>Tabella3[[#This Row],[rest of Italy fit]]*NOT(ISBLANK(Tabella3[[#This Row],[rest of Italy data]]))</f>
        <v>0</v>
      </c>
      <c r="AI31" s="91">
        <f>Tabella3[[#This Row],[rest of Italy fit]]+CIa</f>
        <v>694.65203586359735</v>
      </c>
      <c r="AJ31" s="91">
        <f>MAX(Tabella3[[#This Row],[rest of Italy fit]]-CIa,0)</f>
        <v>0</v>
      </c>
      <c r="AK31" s="1"/>
      <c r="AL31" s="15" t="s">
        <v>371</v>
      </c>
      <c r="AM31" s="156">
        <f>pr</f>
        <v>31.22221573497708</v>
      </c>
      <c r="AZ31" s="63" t="b">
        <f>sigma_a&gt;=0.000001</f>
        <v>1</v>
      </c>
    </row>
    <row r="32" spans="2:52" x14ac:dyDescent="0.3">
      <c r="B32" s="154">
        <v>43855</v>
      </c>
      <c r="C32" s="4">
        <v>25</v>
      </c>
      <c r="D32" s="10" t="str">
        <f>Tabella8[[#This Row],[Italy cumulative]]</f>
        <v>0</v>
      </c>
      <c r="E32" s="91">
        <f>(Tabella3[[#This Row],[Italy cumul. Data]]-D31)</f>
        <v>0</v>
      </c>
      <c r="F32" s="10">
        <f>Tabella3[[#This Row],[Italy data]]*NOT(ISBLANK(Tabella3[[#This Row],[Italy data]]))</f>
        <v>0</v>
      </c>
      <c r="G32" s="179">
        <f>Tabella3[[#This Row],[Lombardy cumul. Fit]]+Tabella3[[#This Row],[rest of Italy cumul. Fit]]</f>
        <v>0</v>
      </c>
      <c r="H32" s="179">
        <f>Tabella3[[#This Row],[Italy cumul. Fit]]/Kf</f>
        <v>0</v>
      </c>
      <c r="I32" s="163">
        <f>Tabella3[[#This Row],[Lombardy fit]]+Tabella3[[#This Row],[rest of Italy fit]]</f>
        <v>0</v>
      </c>
      <c r="J32" s="163">
        <f>Tabella3[[#This Row],[Italy (fitted Lombardy + fitted sum of the other regions)]]/(y_l_peak+y_a_peak)</f>
        <v>0</v>
      </c>
      <c r="K32" s="91">
        <f>IFERROR(Kf*_xlfn.LOGNORM.DIST((Tabella3[[#This Row],[Day]]-D_bk),mu_f,sigma_f,FALSE),0)</f>
        <v>0</v>
      </c>
      <c r="L32" s="91">
        <f>Tabella3[[#This Row],[Italy fit]]/y_f_peak</f>
        <v>0</v>
      </c>
      <c r="M32" s="10">
        <f>Tabella3[[#This Row],[Italy (fitted Lombardy + fitted sum of the other regions)]]*NOT(ISBLANK(Tabella3[[#This Row],[Italy data]]))</f>
        <v>0</v>
      </c>
      <c r="N32" s="91">
        <f>Tabella3[[#This Row],[Italy fit]]*NOT(ISBLANK(Tabella3[[#This Row],[Italy data]]))</f>
        <v>0</v>
      </c>
      <c r="O32" s="91">
        <f>Tabella3[[#This Row],[Italy fit]]+CIf</f>
        <v>1013.7630020203177</v>
      </c>
      <c r="P32" s="91">
        <f>MAX(Tabella3[[#This Row],[Italy fit]]-CIf,0)</f>
        <v>0</v>
      </c>
      <c r="Q32" s="159"/>
      <c r="R32" s="164"/>
      <c r="S32" s="10">
        <f>Tabella3[[#This Row],[Lombardy data]]*NOT(ISBLANK(Tabella3[[#This Row],[Lombardy data]]))</f>
        <v>0</v>
      </c>
      <c r="T32" s="165">
        <f>Tabella8[[#This Row],[Lombardy fit]]</f>
        <v>0</v>
      </c>
      <c r="U32" s="10">
        <f>Tabella3[[#This Row],[Lombardy cumul. Fit]]/Kl</f>
        <v>0</v>
      </c>
      <c r="V32" s="91">
        <f>IFERROR(Kl*_xlfn.LOGNORM.DIST((Tabella3[[#This Row],[Day]]-pl),mu_l,sigma_l,FALSE),0)</f>
        <v>0</v>
      </c>
      <c r="W32" s="91">
        <f>Tabella3[[#This Row],[Lombardy fit]]/y_l_peak</f>
        <v>0</v>
      </c>
      <c r="X32" s="10">
        <f>Tabella3[[#This Row],[Lombardy fit]]*NOT(ISBLANK(Tabella3[[#This Row],[Lombardy data]]))</f>
        <v>0</v>
      </c>
      <c r="Y32" s="91">
        <f>Tabella3[[#This Row],[Lombardy fit]]+CIl</f>
        <v>748.95537180362362</v>
      </c>
      <c r="Z32" s="91">
        <f>MAX(Tabella3[[#This Row],[Lombardy fit]]-CIl,0)</f>
        <v>0</v>
      </c>
      <c r="AA32" s="161"/>
      <c r="AB32" s="164"/>
      <c r="AC32" s="10">
        <f>Tabella3[[#This Row],[rest of Italy data]]*NOT(ISBLANK(Tabella3[[#This Row],[rest of Italy data]]))</f>
        <v>0</v>
      </c>
      <c r="AD32" s="165">
        <f>Tabella8[[#This Row],[rest of Italy fit]]</f>
        <v>0</v>
      </c>
      <c r="AE32" s="91">
        <f>Tabella3[[#This Row],[rest of Italy cumul. Fit]]/Ka</f>
        <v>0</v>
      </c>
      <c r="AF32" s="91">
        <f>IFERROR(Ka*_xlfn.LOGNORM.DIST((Tabella3[[#This Row],[Day]]-pa),mu_a,sigma_a,FALSE),0)</f>
        <v>0</v>
      </c>
      <c r="AG32" s="91">
        <f>Tabella3[[#This Row],[rest of Italy fit]]/y_a_peak</f>
        <v>0</v>
      </c>
      <c r="AH32" s="10">
        <f>Tabella3[[#This Row],[rest of Italy fit]]*NOT(ISBLANK(Tabella3[[#This Row],[rest of Italy data]]))</f>
        <v>0</v>
      </c>
      <c r="AI32" s="91">
        <f>Tabella3[[#This Row],[rest of Italy fit]]+CIa</f>
        <v>694.65203586359735</v>
      </c>
      <c r="AJ32" s="91">
        <f>MAX(Tabella3[[#This Row],[rest of Italy fit]]-CIa,0)</f>
        <v>0</v>
      </c>
      <c r="AK32" s="1"/>
      <c r="AL32" s="36" t="s">
        <v>83</v>
      </c>
      <c r="AM32" s="37" t="s">
        <v>120</v>
      </c>
      <c r="AZ32" s="63">
        <f>{32767;32767;0.000001;0.01;FALSE;FALSE;FALSE;1;2;1;0.0001;TRUE}</f>
        <v>32767</v>
      </c>
    </row>
    <row r="33" spans="2:52" ht="15" thickBot="1" x14ac:dyDescent="0.35">
      <c r="B33" s="154">
        <v>43856</v>
      </c>
      <c r="C33" s="4">
        <v>26</v>
      </c>
      <c r="D33" s="10" t="str">
        <f>Tabella8[[#This Row],[Italy cumulative]]</f>
        <v>0</v>
      </c>
      <c r="E33" s="91">
        <f>(Tabella3[[#This Row],[Italy cumul. Data]]-D32)</f>
        <v>0</v>
      </c>
      <c r="F33" s="10">
        <f>Tabella3[[#This Row],[Italy data]]*NOT(ISBLANK(Tabella3[[#This Row],[Italy data]]))</f>
        <v>0</v>
      </c>
      <c r="G33" s="179">
        <f>Tabella3[[#This Row],[Lombardy cumul. Fit]]+Tabella3[[#This Row],[rest of Italy cumul. Fit]]</f>
        <v>0</v>
      </c>
      <c r="H33" s="179">
        <f>Tabella3[[#This Row],[Italy cumul. Fit]]/Kf</f>
        <v>0</v>
      </c>
      <c r="I33" s="163">
        <f>Tabella3[[#This Row],[Lombardy fit]]+Tabella3[[#This Row],[rest of Italy fit]]</f>
        <v>0</v>
      </c>
      <c r="J33" s="163">
        <f>Tabella3[[#This Row],[Italy (fitted Lombardy + fitted sum of the other regions)]]/(y_l_peak+y_a_peak)</f>
        <v>0</v>
      </c>
      <c r="K33" s="91">
        <f>IFERROR(Kf*_xlfn.LOGNORM.DIST((Tabella3[[#This Row],[Day]]-D_bk),mu_f,sigma_f,FALSE),0)</f>
        <v>0</v>
      </c>
      <c r="L33" s="91">
        <f>Tabella3[[#This Row],[Italy fit]]/y_f_peak</f>
        <v>0</v>
      </c>
      <c r="M33" s="10">
        <f>Tabella3[[#This Row],[Italy (fitted Lombardy + fitted sum of the other regions)]]*NOT(ISBLANK(Tabella3[[#This Row],[Italy data]]))</f>
        <v>0</v>
      </c>
      <c r="N33" s="91">
        <f>Tabella3[[#This Row],[Italy fit]]*NOT(ISBLANK(Tabella3[[#This Row],[Italy data]]))</f>
        <v>0</v>
      </c>
      <c r="O33" s="91">
        <f>Tabella3[[#This Row],[Italy fit]]+CIf</f>
        <v>1013.7630020203177</v>
      </c>
      <c r="P33" s="91">
        <f>MAX(Tabella3[[#This Row],[Italy fit]]-CIf,0)</f>
        <v>0</v>
      </c>
      <c r="Q33" s="159"/>
      <c r="R33" s="164"/>
      <c r="S33" s="10">
        <f>Tabella3[[#This Row],[Lombardy data]]*NOT(ISBLANK(Tabella3[[#This Row],[Lombardy data]]))</f>
        <v>0</v>
      </c>
      <c r="T33" s="165">
        <f>Tabella8[[#This Row],[Lombardy fit]]</f>
        <v>0</v>
      </c>
      <c r="U33" s="10">
        <f>Tabella3[[#This Row],[Lombardy cumul. Fit]]/Kl</f>
        <v>0</v>
      </c>
      <c r="V33" s="91">
        <f>IFERROR(Kl*_xlfn.LOGNORM.DIST((Tabella3[[#This Row],[Day]]-pl),mu_l,sigma_l,FALSE),0)</f>
        <v>0</v>
      </c>
      <c r="W33" s="91">
        <f>Tabella3[[#This Row],[Lombardy fit]]/y_l_peak</f>
        <v>0</v>
      </c>
      <c r="X33" s="10">
        <f>Tabella3[[#This Row],[Lombardy fit]]*NOT(ISBLANK(Tabella3[[#This Row],[Lombardy data]]))</f>
        <v>0</v>
      </c>
      <c r="Y33" s="91">
        <f>Tabella3[[#This Row],[Lombardy fit]]+CIl</f>
        <v>748.95537180362362</v>
      </c>
      <c r="Z33" s="91">
        <f>MAX(Tabella3[[#This Row],[Lombardy fit]]-CIl,0)</f>
        <v>0</v>
      </c>
      <c r="AA33" s="161"/>
      <c r="AB33" s="164"/>
      <c r="AC33" s="10">
        <f>Tabella3[[#This Row],[rest of Italy data]]*NOT(ISBLANK(Tabella3[[#This Row],[rest of Italy data]]))</f>
        <v>0</v>
      </c>
      <c r="AD33" s="165">
        <f>Tabella8[[#This Row],[rest of Italy fit]]</f>
        <v>0</v>
      </c>
      <c r="AE33" s="91">
        <f>Tabella3[[#This Row],[rest of Italy cumul. Fit]]/Ka</f>
        <v>0</v>
      </c>
      <c r="AF33" s="91">
        <f>IFERROR(Ka*_xlfn.LOGNORM.DIST((Tabella3[[#This Row],[Day]]-pa),mu_a,sigma_a,FALSE),0)</f>
        <v>0</v>
      </c>
      <c r="AG33" s="91">
        <f>Tabella3[[#This Row],[rest of Italy fit]]/y_a_peak</f>
        <v>0</v>
      </c>
      <c r="AH33" s="10">
        <f>Tabella3[[#This Row],[rest of Italy fit]]*NOT(ISBLANK(Tabella3[[#This Row],[rest of Italy data]]))</f>
        <v>0</v>
      </c>
      <c r="AI33" s="91">
        <f>Tabella3[[#This Row],[rest of Italy fit]]+CIa</f>
        <v>694.65203586359735</v>
      </c>
      <c r="AJ33" s="91">
        <f>MAX(Tabella3[[#This Row],[rest of Italy fit]]-CIa,0)</f>
        <v>0</v>
      </c>
      <c r="AK33" s="1"/>
      <c r="AL33" s="15" t="s">
        <v>0</v>
      </c>
      <c r="AM33" s="5">
        <f>Ko</f>
        <v>147999.98277109722</v>
      </c>
      <c r="AZ33" s="63">
        <f>{0;0;1;200;0;FALSE;FALSE;0.075;0;0;FALSE;30}</f>
        <v>0</v>
      </c>
    </row>
    <row r="34" spans="2:52" x14ac:dyDescent="0.3">
      <c r="B34" s="154">
        <v>43857</v>
      </c>
      <c r="C34" s="4">
        <v>27</v>
      </c>
      <c r="D34" s="10" t="str">
        <f>Tabella8[[#This Row],[Italy cumulative]]</f>
        <v>0</v>
      </c>
      <c r="E34" s="91">
        <f>(Tabella3[[#This Row],[Italy cumul. Data]]-D33)</f>
        <v>0</v>
      </c>
      <c r="F34" s="10">
        <f>Tabella3[[#This Row],[Italy data]]*NOT(ISBLANK(Tabella3[[#This Row],[Italy data]]))</f>
        <v>0</v>
      </c>
      <c r="G34" s="179">
        <f>Tabella3[[#This Row],[Lombardy cumul. Fit]]+Tabella3[[#This Row],[rest of Italy cumul. Fit]]</f>
        <v>0</v>
      </c>
      <c r="H34" s="179">
        <f>Tabella3[[#This Row],[Italy cumul. Fit]]/Kf</f>
        <v>0</v>
      </c>
      <c r="I34" s="163">
        <f>Tabella3[[#This Row],[Lombardy fit]]+Tabella3[[#This Row],[rest of Italy fit]]</f>
        <v>0</v>
      </c>
      <c r="J34" s="163">
        <f>Tabella3[[#This Row],[Italy (fitted Lombardy + fitted sum of the other regions)]]/(y_l_peak+y_a_peak)</f>
        <v>0</v>
      </c>
      <c r="K34" s="91">
        <f>IFERROR(Kf*_xlfn.LOGNORM.DIST((Tabella3[[#This Row],[Day]]-D_bk),mu_f,sigma_f,FALSE),0)</f>
        <v>0</v>
      </c>
      <c r="L34" s="91">
        <f>Tabella3[[#This Row],[Italy fit]]/y_f_peak</f>
        <v>0</v>
      </c>
      <c r="M34" s="10">
        <f>Tabella3[[#This Row],[Italy (fitted Lombardy + fitted sum of the other regions)]]*NOT(ISBLANK(Tabella3[[#This Row],[Italy data]]))</f>
        <v>0</v>
      </c>
      <c r="N34" s="91">
        <f>Tabella3[[#This Row],[Italy fit]]*NOT(ISBLANK(Tabella3[[#This Row],[Italy data]]))</f>
        <v>0</v>
      </c>
      <c r="O34" s="91">
        <f>Tabella3[[#This Row],[Italy fit]]+CIf</f>
        <v>1013.7630020203177</v>
      </c>
      <c r="P34" s="91">
        <f>MAX(Tabella3[[#This Row],[Italy fit]]-CIf,0)</f>
        <v>0</v>
      </c>
      <c r="Q34" s="159"/>
      <c r="R34" s="164"/>
      <c r="S34" s="10">
        <f>Tabella3[[#This Row],[Lombardy data]]*NOT(ISBLANK(Tabella3[[#This Row],[Lombardy data]]))</f>
        <v>0</v>
      </c>
      <c r="T34" s="165">
        <f>Tabella8[[#This Row],[Lombardy fit]]</f>
        <v>0</v>
      </c>
      <c r="U34" s="10">
        <f>Tabella3[[#This Row],[Lombardy cumul. Fit]]/Kl</f>
        <v>0</v>
      </c>
      <c r="V34" s="91">
        <f>IFERROR(Kl*_xlfn.LOGNORM.DIST((Tabella3[[#This Row],[Day]]-pl),mu_l,sigma_l,FALSE),0)</f>
        <v>0</v>
      </c>
      <c r="W34" s="91">
        <f>Tabella3[[#This Row],[Lombardy fit]]/y_l_peak</f>
        <v>0</v>
      </c>
      <c r="X34" s="10">
        <f>Tabella3[[#This Row],[Lombardy fit]]*NOT(ISBLANK(Tabella3[[#This Row],[Lombardy data]]))</f>
        <v>0</v>
      </c>
      <c r="Y34" s="91">
        <f>Tabella3[[#This Row],[Lombardy fit]]+CIl</f>
        <v>748.95537180362362</v>
      </c>
      <c r="Z34" s="91">
        <f>MAX(Tabella3[[#This Row],[Lombardy fit]]-CIl,0)</f>
        <v>0</v>
      </c>
      <c r="AA34" s="161"/>
      <c r="AB34" s="164"/>
      <c r="AC34" s="10">
        <f>Tabella3[[#This Row],[rest of Italy data]]*NOT(ISBLANK(Tabella3[[#This Row],[rest of Italy data]]))</f>
        <v>0</v>
      </c>
      <c r="AD34" s="165">
        <f>Tabella8[[#This Row],[rest of Italy fit]]</f>
        <v>0</v>
      </c>
      <c r="AE34" s="91">
        <f>Tabella3[[#This Row],[rest of Italy cumul. Fit]]/Ka</f>
        <v>0</v>
      </c>
      <c r="AF34" s="91">
        <f>IFERROR(Ka*_xlfn.LOGNORM.DIST((Tabella3[[#This Row],[Day]]-pa),mu_a,sigma_a,FALSE),0)</f>
        <v>0</v>
      </c>
      <c r="AG34" s="91">
        <f>Tabella3[[#This Row],[rest of Italy fit]]/y_a_peak</f>
        <v>0</v>
      </c>
      <c r="AH34" s="10">
        <f>Tabella3[[#This Row],[rest of Italy fit]]*NOT(ISBLANK(Tabella3[[#This Row],[rest of Italy data]]))</f>
        <v>0</v>
      </c>
      <c r="AI34" s="91">
        <f>Tabella3[[#This Row],[rest of Italy fit]]+CIa</f>
        <v>694.65203586359735</v>
      </c>
      <c r="AJ34" s="91">
        <f>MAX(Tabella3[[#This Row],[rest of Italy fit]]-CIa,0)</f>
        <v>0</v>
      </c>
      <c r="AK34" s="1"/>
      <c r="AL34" s="104" t="s">
        <v>307</v>
      </c>
      <c r="AM34" s="31">
        <f>mu_o</f>
        <v>4.0471265119141284</v>
      </c>
      <c r="AZ34" s="64"/>
    </row>
    <row r="35" spans="2:52" x14ac:dyDescent="0.3">
      <c r="B35" s="154">
        <v>43858</v>
      </c>
      <c r="C35" s="4">
        <v>28</v>
      </c>
      <c r="D35" s="10" t="str">
        <f>Tabella8[[#This Row],[Italy cumulative]]</f>
        <v>0</v>
      </c>
      <c r="E35" s="91">
        <f>(Tabella3[[#This Row],[Italy cumul. Data]]-D34)</f>
        <v>0</v>
      </c>
      <c r="F35" s="10">
        <f>Tabella3[[#This Row],[Italy data]]*NOT(ISBLANK(Tabella3[[#This Row],[Italy data]]))</f>
        <v>0</v>
      </c>
      <c r="G35" s="179">
        <f>Tabella3[[#This Row],[Lombardy cumul. Fit]]+Tabella3[[#This Row],[rest of Italy cumul. Fit]]</f>
        <v>0</v>
      </c>
      <c r="H35" s="179">
        <f>Tabella3[[#This Row],[Italy cumul. Fit]]/Kf</f>
        <v>0</v>
      </c>
      <c r="I35" s="163">
        <f>Tabella3[[#This Row],[Lombardy fit]]+Tabella3[[#This Row],[rest of Italy fit]]</f>
        <v>0</v>
      </c>
      <c r="J35" s="163">
        <f>Tabella3[[#This Row],[Italy (fitted Lombardy + fitted sum of the other regions)]]/(y_l_peak+y_a_peak)</f>
        <v>0</v>
      </c>
      <c r="K35" s="91">
        <f>IFERROR(Kf*_xlfn.LOGNORM.DIST((Tabella3[[#This Row],[Day]]-D_bk),mu_f,sigma_f,FALSE),0)</f>
        <v>0</v>
      </c>
      <c r="L35" s="91">
        <f>Tabella3[[#This Row],[Italy fit]]/y_f_peak</f>
        <v>0</v>
      </c>
      <c r="M35" s="10">
        <f>Tabella3[[#This Row],[Italy (fitted Lombardy + fitted sum of the other regions)]]*NOT(ISBLANK(Tabella3[[#This Row],[Italy data]]))</f>
        <v>0</v>
      </c>
      <c r="N35" s="91">
        <f>Tabella3[[#This Row],[Italy fit]]*NOT(ISBLANK(Tabella3[[#This Row],[Italy data]]))</f>
        <v>0</v>
      </c>
      <c r="O35" s="91">
        <f>Tabella3[[#This Row],[Italy fit]]+CIf</f>
        <v>1013.7630020203177</v>
      </c>
      <c r="P35" s="91">
        <f>MAX(Tabella3[[#This Row],[Italy fit]]-CIf,0)</f>
        <v>0</v>
      </c>
      <c r="Q35" s="159"/>
      <c r="R35" s="164"/>
      <c r="S35" s="10">
        <f>Tabella3[[#This Row],[Lombardy data]]*NOT(ISBLANK(Tabella3[[#This Row],[Lombardy data]]))</f>
        <v>0</v>
      </c>
      <c r="T35" s="165">
        <f>Tabella8[[#This Row],[Lombardy fit]]</f>
        <v>0</v>
      </c>
      <c r="U35" s="10">
        <f>Tabella3[[#This Row],[Lombardy cumul. Fit]]/Kl</f>
        <v>0</v>
      </c>
      <c r="V35" s="91">
        <f>IFERROR(Kl*_xlfn.LOGNORM.DIST((Tabella3[[#This Row],[Day]]-pl),mu_l,sigma_l,FALSE),0)</f>
        <v>0</v>
      </c>
      <c r="W35" s="91">
        <f>Tabella3[[#This Row],[Lombardy fit]]/y_l_peak</f>
        <v>0</v>
      </c>
      <c r="X35" s="10">
        <f>Tabella3[[#This Row],[Lombardy fit]]*NOT(ISBLANK(Tabella3[[#This Row],[Lombardy data]]))</f>
        <v>0</v>
      </c>
      <c r="Y35" s="91">
        <f>Tabella3[[#This Row],[Lombardy fit]]+CIl</f>
        <v>748.95537180362362</v>
      </c>
      <c r="Z35" s="91">
        <f>MAX(Tabella3[[#This Row],[Lombardy fit]]-CIl,0)</f>
        <v>0</v>
      </c>
      <c r="AA35" s="161"/>
      <c r="AB35" s="164"/>
      <c r="AC35" s="10">
        <f>Tabella3[[#This Row],[rest of Italy data]]*NOT(ISBLANK(Tabella3[[#This Row],[rest of Italy data]]))</f>
        <v>0</v>
      </c>
      <c r="AD35" s="165">
        <f>Tabella8[[#This Row],[rest of Italy fit]]</f>
        <v>0</v>
      </c>
      <c r="AE35" s="91">
        <f>Tabella3[[#This Row],[rest of Italy cumul. Fit]]/Ka</f>
        <v>0</v>
      </c>
      <c r="AF35" s="91">
        <f>IFERROR(Ka*_xlfn.LOGNORM.DIST((Tabella3[[#This Row],[Day]]-pa),mu_a,sigma_a,FALSE),0)</f>
        <v>0</v>
      </c>
      <c r="AG35" s="91">
        <f>Tabella3[[#This Row],[rest of Italy fit]]/y_a_peak</f>
        <v>0</v>
      </c>
      <c r="AH35" s="10">
        <f>Tabella3[[#This Row],[rest of Italy fit]]*NOT(ISBLANK(Tabella3[[#This Row],[rest of Italy data]]))</f>
        <v>0</v>
      </c>
      <c r="AI35" s="91">
        <f>Tabella3[[#This Row],[rest of Italy fit]]+CIa</f>
        <v>694.65203586359735</v>
      </c>
      <c r="AJ35" s="91">
        <f>MAX(Tabella3[[#This Row],[rest of Italy fit]]-CIa,0)</f>
        <v>0</v>
      </c>
      <c r="AL35" s="15" t="s">
        <v>308</v>
      </c>
      <c r="AM35" s="31">
        <f>sigma_o</f>
        <v>0.32148638864951307</v>
      </c>
      <c r="AP35" s="1"/>
      <c r="AZ35" s="60"/>
    </row>
    <row r="36" spans="2:52" x14ac:dyDescent="0.3">
      <c r="B36" s="154">
        <v>43859</v>
      </c>
      <c r="C36" s="4">
        <v>29</v>
      </c>
      <c r="D36" s="10" t="str">
        <f>Tabella8[[#This Row],[Italy cumulative]]</f>
        <v>0</v>
      </c>
      <c r="E36" s="91">
        <f>(Tabella3[[#This Row],[Italy cumul. Data]]-D35)</f>
        <v>0</v>
      </c>
      <c r="F36" s="10">
        <f>Tabella3[[#This Row],[Italy data]]*NOT(ISBLANK(Tabella3[[#This Row],[Italy data]]))</f>
        <v>0</v>
      </c>
      <c r="G36" s="179">
        <f>Tabella3[[#This Row],[Lombardy cumul. Fit]]+Tabella3[[#This Row],[rest of Italy cumul. Fit]]</f>
        <v>0</v>
      </c>
      <c r="H36" s="179">
        <f>Tabella3[[#This Row],[Italy cumul. Fit]]/Kf</f>
        <v>0</v>
      </c>
      <c r="I36" s="163">
        <f>Tabella3[[#This Row],[Lombardy fit]]+Tabella3[[#This Row],[rest of Italy fit]]</f>
        <v>0</v>
      </c>
      <c r="J36" s="163">
        <f>Tabella3[[#This Row],[Italy (fitted Lombardy + fitted sum of the other regions)]]/(y_l_peak+y_a_peak)</f>
        <v>0</v>
      </c>
      <c r="K36" s="91">
        <f>IFERROR(Kf*_xlfn.LOGNORM.DIST((Tabella3[[#This Row],[Day]]-D_bk),mu_f,sigma_f,FALSE),0)</f>
        <v>0</v>
      </c>
      <c r="L36" s="91">
        <f>Tabella3[[#This Row],[Italy fit]]/y_f_peak</f>
        <v>0</v>
      </c>
      <c r="M36" s="10">
        <f>Tabella3[[#This Row],[Italy (fitted Lombardy + fitted sum of the other regions)]]*NOT(ISBLANK(Tabella3[[#This Row],[Italy data]]))</f>
        <v>0</v>
      </c>
      <c r="N36" s="91">
        <f>Tabella3[[#This Row],[Italy fit]]*NOT(ISBLANK(Tabella3[[#This Row],[Italy data]]))</f>
        <v>0</v>
      </c>
      <c r="O36" s="91">
        <f>Tabella3[[#This Row],[Italy fit]]+CIf</f>
        <v>1013.7630020203177</v>
      </c>
      <c r="P36" s="91">
        <f>MAX(Tabella3[[#This Row],[Italy fit]]-CIf,0)</f>
        <v>0</v>
      </c>
      <c r="Q36" s="159"/>
      <c r="R36" s="164"/>
      <c r="S36" s="10">
        <f>Tabella3[[#This Row],[Lombardy data]]*NOT(ISBLANK(Tabella3[[#This Row],[Lombardy data]]))</f>
        <v>0</v>
      </c>
      <c r="T36" s="165">
        <f>Tabella8[[#This Row],[Lombardy fit]]</f>
        <v>0</v>
      </c>
      <c r="U36" s="10">
        <f>Tabella3[[#This Row],[Lombardy cumul. Fit]]/Kl</f>
        <v>0</v>
      </c>
      <c r="V36" s="91">
        <f>IFERROR(Kl*_xlfn.LOGNORM.DIST((Tabella3[[#This Row],[Day]]-pl),mu_l,sigma_l,FALSE),0)</f>
        <v>0</v>
      </c>
      <c r="W36" s="91">
        <f>Tabella3[[#This Row],[Lombardy fit]]/y_l_peak</f>
        <v>0</v>
      </c>
      <c r="X36" s="10">
        <f>Tabella3[[#This Row],[Lombardy fit]]*NOT(ISBLANK(Tabella3[[#This Row],[Lombardy data]]))</f>
        <v>0</v>
      </c>
      <c r="Y36" s="91">
        <f>Tabella3[[#This Row],[Lombardy fit]]+CIl</f>
        <v>748.95537180362362</v>
      </c>
      <c r="Z36" s="91">
        <f>MAX(Tabella3[[#This Row],[Lombardy fit]]-CIl,0)</f>
        <v>0</v>
      </c>
      <c r="AA36" s="161"/>
      <c r="AB36" s="164"/>
      <c r="AC36" s="10">
        <f>Tabella3[[#This Row],[rest of Italy data]]*NOT(ISBLANK(Tabella3[[#This Row],[rest of Italy data]]))</f>
        <v>0</v>
      </c>
      <c r="AD36" s="165">
        <f>Tabella8[[#This Row],[rest of Italy fit]]</f>
        <v>0</v>
      </c>
      <c r="AE36" s="91">
        <f>Tabella3[[#This Row],[rest of Italy cumul. Fit]]/Ka</f>
        <v>0</v>
      </c>
      <c r="AF36" s="91">
        <f>IFERROR(Ka*_xlfn.LOGNORM.DIST((Tabella3[[#This Row],[Day]]-pa),mu_a,sigma_a,FALSE),0)</f>
        <v>0</v>
      </c>
      <c r="AG36" s="91">
        <f>Tabella3[[#This Row],[rest of Italy fit]]/y_a_peak</f>
        <v>0</v>
      </c>
      <c r="AH36" s="10">
        <f>Tabella3[[#This Row],[rest of Italy fit]]*NOT(ISBLANK(Tabella3[[#This Row],[rest of Italy data]]))</f>
        <v>0</v>
      </c>
      <c r="AI36" s="91">
        <f>Tabella3[[#This Row],[rest of Italy fit]]+CIa</f>
        <v>694.65203586359735</v>
      </c>
      <c r="AJ36" s="91">
        <f>MAX(Tabella3[[#This Row],[rest of Italy fit]]-CIa,0)</f>
        <v>0</v>
      </c>
      <c r="AL36" s="2" t="s">
        <v>1</v>
      </c>
      <c r="AM36" s="6">
        <f>AVERAGE(Tabella3[rest of Italy data])</f>
        <v>1985.9375</v>
      </c>
      <c r="AZ36" s="60"/>
    </row>
    <row r="37" spans="2:52" x14ac:dyDescent="0.3">
      <c r="B37" s="154">
        <v>43860</v>
      </c>
      <c r="C37" s="4">
        <v>30</v>
      </c>
      <c r="D37" s="10" t="str">
        <f>Tabella8[[#This Row],[Italy cumulative]]</f>
        <v>0</v>
      </c>
      <c r="E37" s="91">
        <f>(Tabella3[[#This Row],[Italy cumul. Data]]-D36)</f>
        <v>0</v>
      </c>
      <c r="F37" s="10">
        <f>Tabella3[[#This Row],[Italy data]]*NOT(ISBLANK(Tabella3[[#This Row],[Italy data]]))</f>
        <v>0</v>
      </c>
      <c r="G37" s="179">
        <f>Tabella3[[#This Row],[Lombardy cumul. Fit]]+Tabella3[[#This Row],[rest of Italy cumul. Fit]]</f>
        <v>0</v>
      </c>
      <c r="H37" s="179">
        <f>Tabella3[[#This Row],[Italy cumul. Fit]]/Kf</f>
        <v>0</v>
      </c>
      <c r="I37" s="163">
        <f>Tabella3[[#This Row],[Lombardy fit]]+Tabella3[[#This Row],[rest of Italy fit]]</f>
        <v>0</v>
      </c>
      <c r="J37" s="163">
        <f>Tabella3[[#This Row],[Italy (fitted Lombardy + fitted sum of the other regions)]]/(y_l_peak+y_a_peak)</f>
        <v>0</v>
      </c>
      <c r="K37" s="91">
        <f>IFERROR(Kf*_xlfn.LOGNORM.DIST((Tabella3[[#This Row],[Day]]-D_bk),mu_f,sigma_f,FALSE),0)</f>
        <v>0</v>
      </c>
      <c r="L37" s="91">
        <f>Tabella3[[#This Row],[Italy fit]]/y_f_peak</f>
        <v>0</v>
      </c>
      <c r="M37" s="10">
        <f>Tabella3[[#This Row],[Italy (fitted Lombardy + fitted sum of the other regions)]]*NOT(ISBLANK(Tabella3[[#This Row],[Italy data]]))</f>
        <v>0</v>
      </c>
      <c r="N37" s="91">
        <f>Tabella3[[#This Row],[Italy fit]]*NOT(ISBLANK(Tabella3[[#This Row],[Italy data]]))</f>
        <v>0</v>
      </c>
      <c r="O37" s="91">
        <f>Tabella3[[#This Row],[Italy fit]]+CIf</f>
        <v>1013.7630020203177</v>
      </c>
      <c r="P37" s="91">
        <f>MAX(Tabella3[[#This Row],[Italy fit]]-CIf,0)</f>
        <v>0</v>
      </c>
      <c r="Q37" s="159"/>
      <c r="R37" s="164"/>
      <c r="S37" s="10">
        <f>Tabella3[[#This Row],[Lombardy data]]*NOT(ISBLANK(Tabella3[[#This Row],[Lombardy data]]))</f>
        <v>0</v>
      </c>
      <c r="T37" s="165">
        <f>Tabella8[[#This Row],[Lombardy fit]]</f>
        <v>0</v>
      </c>
      <c r="U37" s="10">
        <f>Tabella3[[#This Row],[Lombardy cumul. Fit]]/Kl</f>
        <v>0</v>
      </c>
      <c r="V37" s="91">
        <f>IFERROR(Kl*_xlfn.LOGNORM.DIST((Tabella3[[#This Row],[Day]]-pl),mu_l,sigma_l,FALSE),0)</f>
        <v>0</v>
      </c>
      <c r="W37" s="91">
        <f>Tabella3[[#This Row],[Lombardy fit]]/y_l_peak</f>
        <v>0</v>
      </c>
      <c r="X37" s="10">
        <f>Tabella3[[#This Row],[Lombardy fit]]*NOT(ISBLANK(Tabella3[[#This Row],[Lombardy data]]))</f>
        <v>0</v>
      </c>
      <c r="Y37" s="91">
        <f>Tabella3[[#This Row],[Lombardy fit]]+CIl</f>
        <v>748.95537180362362</v>
      </c>
      <c r="Z37" s="91">
        <f>MAX(Tabella3[[#This Row],[Lombardy fit]]-CIl,0)</f>
        <v>0</v>
      </c>
      <c r="AA37" s="161"/>
      <c r="AB37" s="164"/>
      <c r="AC37" s="10">
        <f>Tabella3[[#This Row],[rest of Italy data]]*NOT(ISBLANK(Tabella3[[#This Row],[rest of Italy data]]))</f>
        <v>0</v>
      </c>
      <c r="AD37" s="165">
        <f>Tabella8[[#This Row],[rest of Italy fit]]</f>
        <v>0</v>
      </c>
      <c r="AE37" s="91">
        <f>Tabella3[[#This Row],[rest of Italy cumul. Fit]]/Ka</f>
        <v>0</v>
      </c>
      <c r="AF37" s="91">
        <f>IFERROR(Ka*_xlfn.LOGNORM.DIST((Tabella3[[#This Row],[Day]]-pa),mu_a,sigma_a,FALSE),0)</f>
        <v>0</v>
      </c>
      <c r="AG37" s="91">
        <f>Tabella3[[#This Row],[rest of Italy fit]]/y_a_peak</f>
        <v>0</v>
      </c>
      <c r="AH37" s="10">
        <f>Tabella3[[#This Row],[rest of Italy fit]]*NOT(ISBLANK(Tabella3[[#This Row],[rest of Italy data]]))</f>
        <v>0</v>
      </c>
      <c r="AI37" s="91">
        <f>Tabella3[[#This Row],[rest of Italy fit]]+CIa</f>
        <v>694.65203586359735</v>
      </c>
      <c r="AJ37" s="91">
        <f>MAX(Tabella3[[#This Row],[rest of Italy fit]]-CIa,0)</f>
        <v>0</v>
      </c>
      <c r="AL37" s="2" t="s">
        <v>2</v>
      </c>
      <c r="AM37" s="1">
        <f>COUNT(Tabella3[rest of Italy data])-COUNT(AM33:AM35)</f>
        <v>61</v>
      </c>
      <c r="AZ37" s="60"/>
    </row>
    <row r="38" spans="2:52" x14ac:dyDescent="0.3">
      <c r="B38" s="154">
        <v>43861</v>
      </c>
      <c r="C38" s="4">
        <v>31</v>
      </c>
      <c r="D38" s="10" t="str">
        <f>Tabella8[[#This Row],[Italy cumulative]]</f>
        <v>2</v>
      </c>
      <c r="E38" s="91">
        <f>(Tabella3[[#This Row],[Italy cumul. Data]]-D37)</f>
        <v>2</v>
      </c>
      <c r="F38" s="10">
        <f>Tabella3[[#This Row],[Italy data]]*NOT(ISBLANK(Tabella3[[#This Row],[Italy data]]))</f>
        <v>2</v>
      </c>
      <c r="G38" s="179">
        <f>Tabella3[[#This Row],[Lombardy cumul. Fit]]+Tabella3[[#This Row],[rest of Italy cumul. Fit]]</f>
        <v>0</v>
      </c>
      <c r="H38" s="179">
        <f>Tabella3[[#This Row],[Italy cumul. Fit]]/Kf</f>
        <v>0</v>
      </c>
      <c r="I38" s="163">
        <f>Tabella3[[#This Row],[Lombardy fit]]+Tabella3[[#This Row],[rest of Italy fit]]</f>
        <v>0</v>
      </c>
      <c r="J38" s="163">
        <f>Tabella3[[#This Row],[Italy (fitted Lombardy + fitted sum of the other regions)]]/(y_l_peak+y_a_peak)</f>
        <v>0</v>
      </c>
      <c r="K38" s="91">
        <f>IFERROR(Kf*_xlfn.LOGNORM.DIST((Tabella3[[#This Row],[Day]]-D_bk),mu_f,sigma_f,FALSE),0)</f>
        <v>0</v>
      </c>
      <c r="L38" s="91">
        <f>Tabella3[[#This Row],[Italy fit]]/y_f_peak</f>
        <v>0</v>
      </c>
      <c r="M38" s="10">
        <f>Tabella3[[#This Row],[Italy (fitted Lombardy + fitted sum of the other regions)]]*NOT(ISBLANK(Tabella3[[#This Row],[Italy data]]))</f>
        <v>0</v>
      </c>
      <c r="N38" s="91">
        <f>Tabella3[[#This Row],[Italy fit]]*NOT(ISBLANK(Tabella3[[#This Row],[Italy data]]))</f>
        <v>0</v>
      </c>
      <c r="O38" s="91">
        <f>Tabella3[[#This Row],[Italy fit]]+CIf</f>
        <v>1013.7630020203177</v>
      </c>
      <c r="P38" s="91">
        <f>MAX(Tabella3[[#This Row],[Italy fit]]-CIf,0)</f>
        <v>0</v>
      </c>
      <c r="Q38" s="159"/>
      <c r="R38" s="164"/>
      <c r="S38" s="10">
        <f>Tabella3[[#This Row],[Lombardy data]]*NOT(ISBLANK(Tabella3[[#This Row],[Lombardy data]]))</f>
        <v>0</v>
      </c>
      <c r="T38" s="165">
        <f>Tabella8[[#This Row],[Lombardy fit]]</f>
        <v>0</v>
      </c>
      <c r="U38" s="10">
        <f>Tabella3[[#This Row],[Lombardy cumul. Fit]]/Kl</f>
        <v>0</v>
      </c>
      <c r="V38" s="91">
        <f>IFERROR(Kl*_xlfn.LOGNORM.DIST((Tabella3[[#This Row],[Day]]-pl),mu_l,sigma_l,FALSE),0)</f>
        <v>0</v>
      </c>
      <c r="W38" s="91">
        <f>Tabella3[[#This Row],[Lombardy fit]]/y_l_peak</f>
        <v>0</v>
      </c>
      <c r="X38" s="10">
        <f>Tabella3[[#This Row],[Lombardy fit]]*NOT(ISBLANK(Tabella3[[#This Row],[Lombardy data]]))</f>
        <v>0</v>
      </c>
      <c r="Y38" s="91">
        <f>Tabella3[[#This Row],[Lombardy fit]]+CIl</f>
        <v>748.95537180362362</v>
      </c>
      <c r="Z38" s="91">
        <f>MAX(Tabella3[[#This Row],[Lombardy fit]]-CIl,0)</f>
        <v>0</v>
      </c>
      <c r="AA38" s="161"/>
      <c r="AB38" s="164"/>
      <c r="AC38" s="10">
        <f>Tabella3[[#This Row],[rest of Italy data]]*NOT(ISBLANK(Tabella3[[#This Row],[rest of Italy data]]))</f>
        <v>0</v>
      </c>
      <c r="AD38" s="165">
        <f>Tabella8[[#This Row],[rest of Italy fit]]</f>
        <v>0</v>
      </c>
      <c r="AE38" s="91">
        <f>Tabella3[[#This Row],[rest of Italy cumul. Fit]]/Ka</f>
        <v>0</v>
      </c>
      <c r="AF38" s="91">
        <f>IFERROR(Ka*_xlfn.LOGNORM.DIST((Tabella3[[#This Row],[Day]]-pa),mu_a,sigma_a,FALSE),0)</f>
        <v>0</v>
      </c>
      <c r="AG38" s="91">
        <f>Tabella3[[#This Row],[rest of Italy fit]]/y_a_peak</f>
        <v>0</v>
      </c>
      <c r="AH38" s="10">
        <f>Tabella3[[#This Row],[rest of Italy fit]]*NOT(ISBLANK(Tabella3[[#This Row],[rest of Italy data]]))</f>
        <v>0</v>
      </c>
      <c r="AI38" s="91">
        <f>Tabella3[[#This Row],[rest of Italy fit]]+CIa</f>
        <v>694.65203586359735</v>
      </c>
      <c r="AJ38" s="91">
        <f>MAX(Tabella3[[#This Row],[rest of Italy fit]]-CIa,0)</f>
        <v>0</v>
      </c>
      <c r="AL38" s="2" t="s">
        <v>3</v>
      </c>
      <c r="AM38" s="6" cm="1">
        <f t="array" ref="AM38">SQRT(SUM((Tabella3[Colonna33]-Tabella3[Colonna322])^2)/dfa)</f>
        <v>347.39139959951763</v>
      </c>
      <c r="AZ38" s="60"/>
    </row>
    <row r="39" spans="2:52" ht="16.2" x14ac:dyDescent="0.3">
      <c r="B39" s="154">
        <v>43862</v>
      </c>
      <c r="C39" s="4">
        <v>32</v>
      </c>
      <c r="D39" s="10" t="str">
        <f>Tabella8[[#This Row],[Italy cumulative]]</f>
        <v>2</v>
      </c>
      <c r="E39" s="91">
        <f>(Tabella3[[#This Row],[Italy cumul. Data]]-D38)</f>
        <v>0</v>
      </c>
      <c r="F39" s="10">
        <f>Tabella3[[#This Row],[Italy data]]*NOT(ISBLANK(Tabella3[[#This Row],[Italy data]]))</f>
        <v>0</v>
      </c>
      <c r="G39" s="179">
        <f>Tabella3[[#This Row],[Lombardy cumul. Fit]]+Tabella3[[#This Row],[rest of Italy cumul. Fit]]</f>
        <v>4.5004674482023335E-33</v>
      </c>
      <c r="H39" s="179">
        <f>Tabella3[[#This Row],[Italy cumul. Fit]]/Kf</f>
        <v>1.9150930536907637E-38</v>
      </c>
      <c r="I39" s="163">
        <f>Tabella3[[#This Row],[Lombardy fit]]+Tabella3[[#This Row],[rest of Italy fit]]</f>
        <v>2.194779593411024E-31</v>
      </c>
      <c r="J39" s="163">
        <f>Tabella3[[#This Row],[Italy (fitted Lombardy + fitted sum of the other regions)]]/(y_l_peak+y_a_peak)</f>
        <v>4.2724067353303571E-35</v>
      </c>
      <c r="K39" s="91">
        <f>IFERROR(Kf*_xlfn.LOGNORM.DIST((Tabella3[[#This Row],[Day]]-D_bk),mu_f,sigma_f,FALSE),0)</f>
        <v>1.2197264050386761E-47</v>
      </c>
      <c r="L39" s="91">
        <f>Tabella3[[#This Row],[Italy fit]]/y_f_peak</f>
        <v>2.4097591480564153E-51</v>
      </c>
      <c r="M39" s="10">
        <f>Tabella3[[#This Row],[Italy (fitted Lombardy + fitted sum of the other regions)]]*NOT(ISBLANK(Tabella3[[#This Row],[Italy data]]))</f>
        <v>2.194779593411024E-31</v>
      </c>
      <c r="N39" s="91">
        <f>Tabella3[[#This Row],[Italy fit]]*NOT(ISBLANK(Tabella3[[#This Row],[Italy data]]))</f>
        <v>1.2197264050386761E-47</v>
      </c>
      <c r="O39" s="91">
        <f>Tabella3[[#This Row],[Italy fit]]+CIf</f>
        <v>1013.7630020203177</v>
      </c>
      <c r="P39" s="91">
        <f>MAX(Tabella3[[#This Row],[Italy fit]]-CIf,0)</f>
        <v>0</v>
      </c>
      <c r="Q39" s="159"/>
      <c r="R39" s="164"/>
      <c r="S39" s="10">
        <f>Tabella3[[#This Row],[Lombardy data]]*NOT(ISBLANK(Tabella3[[#This Row],[Lombardy data]]))</f>
        <v>0</v>
      </c>
      <c r="T39" s="165">
        <f>Tabella8[[#This Row],[Lombardy fit]]</f>
        <v>4.5004674482023335E-33</v>
      </c>
      <c r="U39" s="10">
        <f>Tabella3[[#This Row],[Lombardy cumul. Fit]]/Kl</f>
        <v>5.1729510898877396E-38</v>
      </c>
      <c r="V39" s="91">
        <f>IFERROR(Kl*_xlfn.LOGNORM.DIST((Tabella3[[#This Row],[Day]]-pl),mu_l,sigma_l,FALSE),0)</f>
        <v>2.194779593411024E-31</v>
      </c>
      <c r="W39" s="91">
        <f>Tabella3[[#This Row],[Lombardy fit]]/y_l_peak</f>
        <v>1.2484848886770623E-34</v>
      </c>
      <c r="X39" s="10">
        <f>Tabella3[[#This Row],[Lombardy fit]]*NOT(ISBLANK(Tabella3[[#This Row],[Lombardy data]]))</f>
        <v>0</v>
      </c>
      <c r="Y39" s="91">
        <f>Tabella3[[#This Row],[Lombardy fit]]+CIl</f>
        <v>748.95537180362362</v>
      </c>
      <c r="Z39" s="91">
        <f>MAX(Tabella3[[#This Row],[Lombardy fit]]-CIl,0)</f>
        <v>0</v>
      </c>
      <c r="AA39" s="161"/>
      <c r="AB39" s="164"/>
      <c r="AC39" s="10">
        <f>Tabella3[[#This Row],[rest of Italy data]]*NOT(ISBLANK(Tabella3[[#This Row],[rest of Italy data]]))</f>
        <v>0</v>
      </c>
      <c r="AD39" s="165">
        <f>Tabella8[[#This Row],[rest of Italy fit]]</f>
        <v>0</v>
      </c>
      <c r="AE39" s="91">
        <f>Tabella3[[#This Row],[rest of Italy cumul. Fit]]/Ka</f>
        <v>0</v>
      </c>
      <c r="AF39" s="91">
        <f>IFERROR(Ka*_xlfn.LOGNORM.DIST((Tabella3[[#This Row],[Day]]-pa),mu_a,sigma_a,FALSE),0)</f>
        <v>0</v>
      </c>
      <c r="AG39" s="91">
        <f>Tabella3[[#This Row],[rest of Italy fit]]/y_a_peak</f>
        <v>0</v>
      </c>
      <c r="AH39" s="10">
        <f>Tabella3[[#This Row],[rest of Italy fit]]*NOT(ISBLANK(Tabella3[[#This Row],[rest of Italy data]]))</f>
        <v>0</v>
      </c>
      <c r="AI39" s="91">
        <f>Tabella3[[#This Row],[rest of Italy fit]]+CIa</f>
        <v>694.65203586359735</v>
      </c>
      <c r="AJ39" s="91">
        <f>MAX(Tabella3[[#This Row],[rest of Italy fit]]-CIa,0)</f>
        <v>0</v>
      </c>
      <c r="AL39" s="2" t="s">
        <v>4</v>
      </c>
      <c r="AM39" s="7" cm="1">
        <f t="array" ref="AM39">1-SUM((Tabella3[Colonna33]-Tabella3[Colonna322])^2)/SUM((Tabella3[Colonna33]-Mean_of_ya)^2)</f>
        <v>0.99197933989619569</v>
      </c>
      <c r="AZ39" s="60"/>
    </row>
    <row r="40" spans="2:52" x14ac:dyDescent="0.3">
      <c r="B40" s="154">
        <v>43863</v>
      </c>
      <c r="C40" s="4">
        <v>33</v>
      </c>
      <c r="D40" s="10" t="str">
        <f>Tabella8[[#This Row],[Italy cumulative]]</f>
        <v>2</v>
      </c>
      <c r="E40" s="91">
        <f>(Tabella3[[#This Row],[Italy cumul. Data]]-D39)</f>
        <v>0</v>
      </c>
      <c r="F40" s="10">
        <f>Tabella3[[#This Row],[Italy data]]*NOT(ISBLANK(Tabella3[[#This Row],[Italy data]]))</f>
        <v>0</v>
      </c>
      <c r="G40" s="179">
        <f>Tabella3[[#This Row],[Lombardy cumul. Fit]]+Tabella3[[#This Row],[rest of Italy cumul. Fit]]</f>
        <v>9.982998313231629E-21</v>
      </c>
      <c r="H40" s="179">
        <f>Tabella3[[#This Row],[Italy cumul. Fit]]/Kf</f>
        <v>4.2480855477164147E-26</v>
      </c>
      <c r="I40" s="163">
        <f>Tabella3[[#This Row],[Lombardy fit]]+Tabella3[[#This Row],[rest of Italy fit]]</f>
        <v>1.7322845421536119E-19</v>
      </c>
      <c r="J40" s="163">
        <f>Tabella3[[#This Row],[Italy (fitted Lombardy + fitted sum of the other regions)]]/(y_l_peak+y_a_peak)</f>
        <v>3.3721035896380963E-23</v>
      </c>
      <c r="K40" s="91">
        <f>IFERROR(Kf*_xlfn.LOGNORM.DIST((Tabella3[[#This Row],[Day]]-D_bk),mu_f,sigma_f,FALSE),0)</f>
        <v>5.9820584762273079E-27</v>
      </c>
      <c r="L40" s="91">
        <f>Tabella3[[#This Row],[Italy fit]]/y_f_peak</f>
        <v>1.1818486570223986E-30</v>
      </c>
      <c r="M40" s="10">
        <f>Tabella3[[#This Row],[Italy (fitted Lombardy + fitted sum of the other regions)]]*NOT(ISBLANK(Tabella3[[#This Row],[Italy data]]))</f>
        <v>1.7322845421536119E-19</v>
      </c>
      <c r="N40" s="91">
        <f>Tabella3[[#This Row],[Italy fit]]*NOT(ISBLANK(Tabella3[[#This Row],[Italy data]]))</f>
        <v>5.9820584762273079E-27</v>
      </c>
      <c r="O40" s="91">
        <f>Tabella3[[#This Row],[Italy fit]]+CIf</f>
        <v>1013.7630020203177</v>
      </c>
      <c r="P40" s="91">
        <f>MAX(Tabella3[[#This Row],[Italy fit]]-CIf,0)</f>
        <v>0</v>
      </c>
      <c r="Q40" s="159"/>
      <c r="R40" s="164"/>
      <c r="S40" s="10">
        <f>Tabella3[[#This Row],[Lombardy data]]*NOT(ISBLANK(Tabella3[[#This Row],[Lombardy data]]))</f>
        <v>0</v>
      </c>
      <c r="T40" s="165">
        <f>Tabella8[[#This Row],[Lombardy fit]]</f>
        <v>9.982998313231629E-21</v>
      </c>
      <c r="U40" s="10">
        <f>Tabella3[[#This Row],[Lombardy cumul. Fit]]/Kl</f>
        <v>1.1474710704863941E-25</v>
      </c>
      <c r="V40" s="91">
        <f>IFERROR(Kl*_xlfn.LOGNORM.DIST((Tabella3[[#This Row],[Day]]-pl),mu_l,sigma_l,FALSE),0)</f>
        <v>1.7322845421536119E-19</v>
      </c>
      <c r="W40" s="91">
        <f>Tabella3[[#This Row],[Lombardy fit]]/y_l_peak</f>
        <v>9.8539784143264793E-23</v>
      </c>
      <c r="X40" s="10">
        <f>Tabella3[[#This Row],[Lombardy fit]]*NOT(ISBLANK(Tabella3[[#This Row],[Lombardy data]]))</f>
        <v>0</v>
      </c>
      <c r="Y40" s="91">
        <f>Tabella3[[#This Row],[Lombardy fit]]+CIl</f>
        <v>748.95537180362362</v>
      </c>
      <c r="Z40" s="91">
        <f>MAX(Tabella3[[#This Row],[Lombardy fit]]-CIl,0)</f>
        <v>0</v>
      </c>
      <c r="AA40" s="161"/>
      <c r="AB40" s="164"/>
      <c r="AC40" s="10">
        <f>Tabella3[[#This Row],[rest of Italy data]]*NOT(ISBLANK(Tabella3[[#This Row],[rest of Italy data]]))</f>
        <v>0</v>
      </c>
      <c r="AD40" s="165">
        <f>Tabella8[[#This Row],[rest of Italy fit]]</f>
        <v>0</v>
      </c>
      <c r="AE40" s="91">
        <f>Tabella3[[#This Row],[rest of Italy cumul. Fit]]/Ka</f>
        <v>0</v>
      </c>
      <c r="AF40" s="91">
        <f>IFERROR(Ka*_xlfn.LOGNORM.DIST((Tabella3[[#This Row],[Day]]-pa),mu_a,sigma_a,FALSE),0)</f>
        <v>0</v>
      </c>
      <c r="AG40" s="91">
        <f>Tabella3[[#This Row],[rest of Italy fit]]/y_a_peak</f>
        <v>0</v>
      </c>
      <c r="AH40" s="10">
        <f>Tabella3[[#This Row],[rest of Italy fit]]*NOT(ISBLANK(Tabella3[[#This Row],[rest of Italy data]]))</f>
        <v>0</v>
      </c>
      <c r="AI40" s="91">
        <f>Tabella3[[#This Row],[rest of Italy fit]]+CIa</f>
        <v>694.65203586359735</v>
      </c>
      <c r="AJ40" s="91">
        <f>MAX(Tabella3[[#This Row],[rest of Italy fit]]-CIa,0)</f>
        <v>0</v>
      </c>
      <c r="AL40" s="2" t="s">
        <v>5</v>
      </c>
      <c r="AM40" s="7">
        <f>TINV(0.05,dfa)</f>
        <v>1.9996235849949404</v>
      </c>
      <c r="AZ40" s="60"/>
    </row>
    <row r="41" spans="2:52" x14ac:dyDescent="0.3">
      <c r="B41" s="154">
        <v>43864</v>
      </c>
      <c r="C41" s="4">
        <v>34</v>
      </c>
      <c r="D41" s="10" t="str">
        <f>Tabella8[[#This Row],[Italy cumulative]]</f>
        <v>2</v>
      </c>
      <c r="E41" s="91">
        <f>(Tabella3[[#This Row],[Italy cumul. Data]]-D40)</f>
        <v>0</v>
      </c>
      <c r="F41" s="10">
        <f>Tabella3[[#This Row],[Italy data]]*NOT(ISBLANK(Tabella3[[#This Row],[Italy data]]))</f>
        <v>0</v>
      </c>
      <c r="G41" s="179">
        <f>Tabella3[[#This Row],[Lombardy cumul. Fit]]+Tabella3[[#This Row],[rest of Italy cumul. Fit]]</f>
        <v>4.0616974750038979E-15</v>
      </c>
      <c r="H41" s="179">
        <f>Tabella3[[#This Row],[Italy cumul. Fit]]/Kf</f>
        <v>1.7283823758530539E-20</v>
      </c>
      <c r="I41" s="163">
        <f>Tabella3[[#This Row],[Lombardy fit]]+Tabella3[[#This Row],[rest of Italy fit]]</f>
        <v>3.9532398639963845E-14</v>
      </c>
      <c r="J41" s="163">
        <f>Tabella3[[#This Row],[Italy (fitted Lombardy + fitted sum of the other regions)]]/(y_l_peak+y_a_peak)</f>
        <v>7.6954645796871125E-18</v>
      </c>
      <c r="K41" s="91">
        <f>IFERROR(Kf*_xlfn.LOGNORM.DIST((Tabella3[[#This Row],[Day]]-D_bk),mu_f,sigma_f,FALSE),0)</f>
        <v>3.7996907641664968E-19</v>
      </c>
      <c r="L41" s="91">
        <f>Tabella3[[#This Row],[Italy fit]]/y_f_peak</f>
        <v>7.5068798551141883E-23</v>
      </c>
      <c r="M41" s="10">
        <f>Tabella3[[#This Row],[Italy (fitted Lombardy + fitted sum of the other regions)]]*NOT(ISBLANK(Tabella3[[#This Row],[Italy data]]))</f>
        <v>3.9532398639963845E-14</v>
      </c>
      <c r="N41" s="91">
        <f>Tabella3[[#This Row],[Italy fit]]*NOT(ISBLANK(Tabella3[[#This Row],[Italy data]]))</f>
        <v>3.7996907641664968E-19</v>
      </c>
      <c r="O41" s="91">
        <f>Tabella3[[#This Row],[Italy fit]]+CIf</f>
        <v>1013.7630020203177</v>
      </c>
      <c r="P41" s="91">
        <f>MAX(Tabella3[[#This Row],[Italy fit]]-CIf,0)</f>
        <v>0</v>
      </c>
      <c r="Q41" s="159"/>
      <c r="R41" s="164"/>
      <c r="S41" s="10">
        <f>Tabella3[[#This Row],[Lombardy data]]*NOT(ISBLANK(Tabella3[[#This Row],[Lombardy data]]))</f>
        <v>0</v>
      </c>
      <c r="T41" s="165">
        <f>Tabella8[[#This Row],[Lombardy fit]]</f>
        <v>4.0616974750038979E-15</v>
      </c>
      <c r="U41" s="10">
        <f>Tabella3[[#This Row],[Lombardy cumul. Fit]]/Kl</f>
        <v>4.6686177873608025E-20</v>
      </c>
      <c r="V41" s="91">
        <f>IFERROR(Kl*_xlfn.LOGNORM.DIST((Tabella3[[#This Row],[Day]]-pl),mu_l,sigma_l,FALSE),0)</f>
        <v>3.9532398639963845E-14</v>
      </c>
      <c r="W41" s="91">
        <f>Tabella3[[#This Row],[Lombardy fit]]/y_l_peak</f>
        <v>2.2487726085718856E-17</v>
      </c>
      <c r="X41" s="10">
        <f>Tabella3[[#This Row],[Lombardy fit]]*NOT(ISBLANK(Tabella3[[#This Row],[Lombardy data]]))</f>
        <v>0</v>
      </c>
      <c r="Y41" s="91">
        <f>Tabella3[[#This Row],[Lombardy fit]]+CIl</f>
        <v>748.95537180362362</v>
      </c>
      <c r="Z41" s="91">
        <f>MAX(Tabella3[[#This Row],[Lombardy fit]]-CIl,0)</f>
        <v>0</v>
      </c>
      <c r="AA41" s="161"/>
      <c r="AB41" s="164"/>
      <c r="AC41" s="10">
        <f>Tabella3[[#This Row],[rest of Italy data]]*NOT(ISBLANK(Tabella3[[#This Row],[rest of Italy data]]))</f>
        <v>0</v>
      </c>
      <c r="AD41" s="165">
        <f>Tabella8[[#This Row],[rest of Italy fit]]</f>
        <v>0</v>
      </c>
      <c r="AE41" s="91">
        <f>Tabella3[[#This Row],[rest of Italy cumul. Fit]]/Ka</f>
        <v>0</v>
      </c>
      <c r="AF41" s="91">
        <f>IFERROR(Ka*_xlfn.LOGNORM.DIST((Tabella3[[#This Row],[Day]]-pa),mu_a,sigma_a,FALSE),0)</f>
        <v>0</v>
      </c>
      <c r="AG41" s="91">
        <f>Tabella3[[#This Row],[rest of Italy fit]]/y_a_peak</f>
        <v>0</v>
      </c>
      <c r="AH41" s="10">
        <f>Tabella3[[#This Row],[rest of Italy fit]]*NOT(ISBLANK(Tabella3[[#This Row],[rest of Italy data]]))</f>
        <v>0</v>
      </c>
      <c r="AI41" s="91">
        <f>Tabella3[[#This Row],[rest of Italy fit]]+CIa</f>
        <v>694.65203586359735</v>
      </c>
      <c r="AJ41" s="91">
        <f>MAX(Tabella3[[#This Row],[rest of Italy fit]]-CIa,0)</f>
        <v>0</v>
      </c>
      <c r="AL41" s="2" t="s">
        <v>6</v>
      </c>
      <c r="AM41" s="6">
        <f>Critical_ta*SE_of_ya</f>
        <v>694.65203586359735</v>
      </c>
      <c r="AZ41" s="60"/>
    </row>
    <row r="42" spans="2:52" ht="15" thickBot="1" x14ac:dyDescent="0.35">
      <c r="B42" s="154">
        <v>43865</v>
      </c>
      <c r="C42" s="4">
        <v>35</v>
      </c>
      <c r="D42" s="10" t="str">
        <f>Tabella8[[#This Row],[Italy cumulative]]</f>
        <v>2</v>
      </c>
      <c r="E42" s="91">
        <f>(Tabella3[[#This Row],[Italy cumul. Data]]-D41)</f>
        <v>0</v>
      </c>
      <c r="F42" s="10">
        <f>Tabella3[[#This Row],[Italy data]]*NOT(ISBLANK(Tabella3[[#This Row],[Italy data]]))</f>
        <v>0</v>
      </c>
      <c r="G42" s="179">
        <f>Tabella3[[#This Row],[Lombardy cumul. Fit]]+Tabella3[[#This Row],[rest of Italy cumul. Fit]]</f>
        <v>1.1067531237093309E-11</v>
      </c>
      <c r="H42" s="179">
        <f>Tabella3[[#This Row],[Italy cumul. Fit]]/Kf</f>
        <v>4.7095890454955323E-17</v>
      </c>
      <c r="I42" s="163">
        <f>Tabella3[[#This Row],[Lombardy fit]]+Tabella3[[#This Row],[rest of Italy fit]]</f>
        <v>7.1529656312274142E-11</v>
      </c>
      <c r="J42" s="163">
        <f>Tabella3[[#This Row],[Italy (fitted Lombardy + fitted sum of the other regions)]]/(y_l_peak+y_a_peak)</f>
        <v>1.3924121871821786E-14</v>
      </c>
      <c r="K42" s="91">
        <f>IFERROR(Kf*_xlfn.LOGNORM.DIST((Tabella3[[#This Row],[Day]]-D_bk),mu_f,sigma_f,FALSE),0)</f>
        <v>1.2034535835562843E-14</v>
      </c>
      <c r="L42" s="91">
        <f>Tabella3[[#This Row],[Italy fit]]/y_f_peak</f>
        <v>2.3776096592285176E-18</v>
      </c>
      <c r="M42" s="10">
        <f>Tabella3[[#This Row],[Italy (fitted Lombardy + fitted sum of the other regions)]]*NOT(ISBLANK(Tabella3[[#This Row],[Italy data]]))</f>
        <v>7.1529656312274142E-11</v>
      </c>
      <c r="N42" s="91">
        <f>Tabella3[[#This Row],[Italy fit]]*NOT(ISBLANK(Tabella3[[#This Row],[Italy data]]))</f>
        <v>1.2034535835562843E-14</v>
      </c>
      <c r="O42" s="91">
        <f>Tabella3[[#This Row],[Italy fit]]+CIf</f>
        <v>1013.7630020203177</v>
      </c>
      <c r="P42" s="91">
        <f>MAX(Tabella3[[#This Row],[Italy fit]]-CIf,0)</f>
        <v>0</v>
      </c>
      <c r="Q42" s="159"/>
      <c r="R42" s="164"/>
      <c r="S42" s="10">
        <f>Tabella3[[#This Row],[Lombardy data]]*NOT(ISBLANK(Tabella3[[#This Row],[Lombardy data]]))</f>
        <v>0</v>
      </c>
      <c r="T42" s="165">
        <f>Tabella8[[#This Row],[Lombardy fit]]</f>
        <v>1.1067531237093309E-11</v>
      </c>
      <c r="U42" s="10">
        <f>Tabella3[[#This Row],[Lombardy cumul. Fit]]/Kl</f>
        <v>1.2721300272521045E-16</v>
      </c>
      <c r="V42" s="91">
        <f>IFERROR(Kl*_xlfn.LOGNORM.DIST((Tabella3[[#This Row],[Day]]-pl),mu_l,sigma_l,FALSE),0)</f>
        <v>7.1529656312274142E-11</v>
      </c>
      <c r="W42" s="91">
        <f>Tabella3[[#This Row],[Lombardy fit]]/y_l_peak</f>
        <v>4.0689140388510025E-14</v>
      </c>
      <c r="X42" s="10">
        <f>Tabella3[[#This Row],[Lombardy fit]]*NOT(ISBLANK(Tabella3[[#This Row],[Lombardy data]]))</f>
        <v>0</v>
      </c>
      <c r="Y42" s="91">
        <f>Tabella3[[#This Row],[Lombardy fit]]+CIl</f>
        <v>748.95537180369513</v>
      </c>
      <c r="Z42" s="91">
        <f>MAX(Tabella3[[#This Row],[Lombardy fit]]-CIl,0)</f>
        <v>0</v>
      </c>
      <c r="AA42" s="161"/>
      <c r="AB42" s="164"/>
      <c r="AC42" s="10">
        <f>Tabella3[[#This Row],[rest of Italy data]]*NOT(ISBLANK(Tabella3[[#This Row],[rest of Italy data]]))</f>
        <v>0</v>
      </c>
      <c r="AD42" s="165">
        <f>Tabella8[[#This Row],[rest of Italy fit]]</f>
        <v>0</v>
      </c>
      <c r="AE42" s="91">
        <f>Tabella3[[#This Row],[rest of Italy cumul. Fit]]/Ka</f>
        <v>0</v>
      </c>
      <c r="AF42" s="91">
        <f>IFERROR(Ka*_xlfn.LOGNORM.DIST((Tabella3[[#This Row],[Day]]-pa),mu_a,sigma_a,FALSE),0)</f>
        <v>0</v>
      </c>
      <c r="AG42" s="91">
        <f>Tabella3[[#This Row],[rest of Italy fit]]/y_a_peak</f>
        <v>0</v>
      </c>
      <c r="AH42" s="10">
        <f>Tabella3[[#This Row],[rest of Italy fit]]*NOT(ISBLANK(Tabella3[[#This Row],[rest of Italy data]]))</f>
        <v>0</v>
      </c>
      <c r="AI42" s="91">
        <f>Tabella3[[#This Row],[rest of Italy fit]]+CIa</f>
        <v>694.65203586359735</v>
      </c>
      <c r="AJ42" s="91">
        <f>MAX(Tabella3[[#This Row],[rest of Italy fit]]-CIa,0)</f>
        <v>0</v>
      </c>
      <c r="AL42" s="38" t="s">
        <v>306</v>
      </c>
      <c r="AM42" s="108">
        <f>Ka*_xlfn.LOGNORM.DIST(EXP(mu_a-sigma_a^2),mu_a,sigma_a,FALSE)</f>
        <v>3379.1491076162692</v>
      </c>
      <c r="AZ42" s="61"/>
    </row>
    <row r="43" spans="2:52" ht="15" thickTop="1" x14ac:dyDescent="0.3">
      <c r="B43" s="154">
        <v>43866</v>
      </c>
      <c r="C43" s="4">
        <v>36</v>
      </c>
      <c r="D43" s="10" t="str">
        <f>Tabella8[[#This Row],[Italy cumulative]]</f>
        <v>2</v>
      </c>
      <c r="E43" s="91">
        <f>(Tabella3[[#This Row],[Italy cumul. Data]]-D42)</f>
        <v>0</v>
      </c>
      <c r="F43" s="10">
        <f>Tabella3[[#This Row],[Italy data]]*NOT(ISBLANK(Tabella3[[#This Row],[Italy data]]))</f>
        <v>0</v>
      </c>
      <c r="G43" s="179">
        <f>Tabella3[[#This Row],[Lombardy cumul. Fit]]+Tabella3[[#This Row],[rest of Italy cumul. Fit]]</f>
        <v>2.706273601535887E-9</v>
      </c>
      <c r="H43" s="179">
        <f>Tabella3[[#This Row],[Italy cumul. Fit]]/Kf</f>
        <v>1.1516061021079637E-14</v>
      </c>
      <c r="I43" s="163">
        <f>Tabella3[[#This Row],[Lombardy fit]]+Tabella3[[#This Row],[rest of Italy fit]]</f>
        <v>1.2699112488216759E-8</v>
      </c>
      <c r="J43" s="163">
        <f>Tabella3[[#This Row],[Italy (fitted Lombardy + fitted sum of the other regions)]]/(y_l_peak+y_a_peak)</f>
        <v>2.4720374606296273E-12</v>
      </c>
      <c r="K43" s="91">
        <f>IFERROR(Kf*_xlfn.LOGNORM.DIST((Tabella3[[#This Row],[Day]]-D_bk),mu_f,sigma_f,FALSE),0)</f>
        <v>1.2873027263604413E-11</v>
      </c>
      <c r="L43" s="91">
        <f>Tabella3[[#This Row],[Italy fit]]/y_f_peak</f>
        <v>2.5432666771419725E-15</v>
      </c>
      <c r="M43" s="10">
        <f>Tabella3[[#This Row],[Italy (fitted Lombardy + fitted sum of the other regions)]]*NOT(ISBLANK(Tabella3[[#This Row],[Italy data]]))</f>
        <v>1.2699112488216759E-8</v>
      </c>
      <c r="N43" s="91">
        <f>Tabella3[[#This Row],[Italy fit]]*NOT(ISBLANK(Tabella3[[#This Row],[Italy data]]))</f>
        <v>1.2873027263604413E-11</v>
      </c>
      <c r="O43" s="91">
        <f>Tabella3[[#This Row],[Italy fit]]+CIf</f>
        <v>1013.7630020203305</v>
      </c>
      <c r="P43" s="91">
        <f>MAX(Tabella3[[#This Row],[Italy fit]]-CIf,0)</f>
        <v>0</v>
      </c>
      <c r="Q43" s="159"/>
      <c r="R43" s="164"/>
      <c r="S43" s="10">
        <f>Tabella3[[#This Row],[Lombardy data]]*NOT(ISBLANK(Tabella3[[#This Row],[Lombardy data]]))</f>
        <v>0</v>
      </c>
      <c r="T43" s="165">
        <f>Tabella8[[#This Row],[Lombardy fit]]</f>
        <v>2.706273601535887E-9</v>
      </c>
      <c r="U43" s="10">
        <f>Tabella3[[#This Row],[Lombardy cumul. Fit]]/Kl</f>
        <v>3.1106593121102147E-14</v>
      </c>
      <c r="V43" s="91">
        <f>IFERROR(Kl*_xlfn.LOGNORM.DIST((Tabella3[[#This Row],[Day]]-pl),mu_l,sigma_l,FALSE),0)</f>
        <v>1.2699112488216759E-8</v>
      </c>
      <c r="W43" s="91">
        <f>Tabella3[[#This Row],[Lombardy fit]]/y_l_peak</f>
        <v>7.2238005532520164E-12</v>
      </c>
      <c r="X43" s="10">
        <f>Tabella3[[#This Row],[Lombardy fit]]*NOT(ISBLANK(Tabella3[[#This Row],[Lombardy data]]))</f>
        <v>0</v>
      </c>
      <c r="Y43" s="91">
        <f>Tabella3[[#This Row],[Lombardy fit]]+CIl</f>
        <v>748.95537181632278</v>
      </c>
      <c r="Z43" s="91">
        <f>MAX(Tabella3[[#This Row],[Lombardy fit]]-CIl,0)</f>
        <v>0</v>
      </c>
      <c r="AA43" s="161"/>
      <c r="AB43" s="164"/>
      <c r="AC43" s="10">
        <f>Tabella3[[#This Row],[rest of Italy data]]*NOT(ISBLANK(Tabella3[[#This Row],[rest of Italy data]]))</f>
        <v>0</v>
      </c>
      <c r="AD43" s="165">
        <f>Tabella8[[#This Row],[rest of Italy fit]]</f>
        <v>0</v>
      </c>
      <c r="AE43" s="91">
        <f>Tabella3[[#This Row],[rest of Italy cumul. Fit]]/Ka</f>
        <v>0</v>
      </c>
      <c r="AF43" s="91">
        <f>IFERROR(Ka*_xlfn.LOGNORM.DIST((Tabella3[[#This Row],[Day]]-pa),mu_a,sigma_a,FALSE),0)</f>
        <v>0</v>
      </c>
      <c r="AG43" s="91">
        <f>Tabella3[[#This Row],[rest of Italy fit]]/y_a_peak</f>
        <v>0</v>
      </c>
      <c r="AH43" s="10">
        <f>Tabella3[[#This Row],[rest of Italy fit]]*NOT(ISBLANK(Tabella3[[#This Row],[rest of Italy data]]))</f>
        <v>0</v>
      </c>
      <c r="AI43" s="91">
        <f>Tabella3[[#This Row],[rest of Italy fit]]+CIa</f>
        <v>694.65203586359735</v>
      </c>
      <c r="AJ43" s="91">
        <f>MAX(Tabella3[[#This Row],[rest of Italy fit]]-CIa,0)</f>
        <v>0</v>
      </c>
      <c r="AL43" s="38" t="s">
        <v>129</v>
      </c>
      <c r="AM43" s="39">
        <f>_xlfn.XLOOKUP(ROUND(EXP(mu_a-sigma_a^2)+pa,0),Tabella3[Day],Tabella3[Date])</f>
        <v>43919</v>
      </c>
      <c r="AZ43" s="65">
        <f>MAX($AM$52)</f>
        <v>0.97911997960781938</v>
      </c>
    </row>
    <row r="44" spans="2:52" x14ac:dyDescent="0.3">
      <c r="B44" s="154">
        <v>43867</v>
      </c>
      <c r="C44" s="4">
        <v>37</v>
      </c>
      <c r="D44" s="10" t="str">
        <f>Tabella8[[#This Row],[Italy cumulative]]</f>
        <v>2</v>
      </c>
      <c r="E44" s="91">
        <f>(Tabella3[[#This Row],[Italy cumul. Data]]-D43)</f>
        <v>0</v>
      </c>
      <c r="F44" s="10">
        <f>Tabella3[[#This Row],[Italy data]]*NOT(ISBLANK(Tabella3[[#This Row],[Italy data]]))</f>
        <v>0</v>
      </c>
      <c r="G44" s="179">
        <f>Tabella3[[#This Row],[Lombardy cumul. Fit]]+Tabella3[[#This Row],[rest of Italy cumul. Fit]]</f>
        <v>1.6452786763801899E-7</v>
      </c>
      <c r="H44" s="179">
        <f>Tabella3[[#This Row],[Italy cumul. Fit]]/Kf</f>
        <v>7.0011877672391917E-13</v>
      </c>
      <c r="I44" s="163">
        <f>Tabella3[[#This Row],[Lombardy fit]]+Tabella3[[#This Row],[rest of Italy fit]]</f>
        <v>5.9253015244641235E-7</v>
      </c>
      <c r="J44" s="163">
        <f>Tabella3[[#This Row],[Italy (fitted Lombardy + fitted sum of the other regions)]]/(y_l_peak+y_a_peak)</f>
        <v>1.1534323636862278E-10</v>
      </c>
      <c r="K44" s="91">
        <f>IFERROR(Kf*_xlfn.LOGNORM.DIST((Tabella3[[#This Row],[Day]]-D_bk),mu_f,sigma_f,FALSE),0)</f>
        <v>2.1088421338057601E-9</v>
      </c>
      <c r="L44" s="91">
        <f>Tabella3[[#This Row],[Italy fit]]/y_f_peak</f>
        <v>4.166345504001861E-13</v>
      </c>
      <c r="M44" s="10">
        <f>Tabella3[[#This Row],[Italy (fitted Lombardy + fitted sum of the other regions)]]*NOT(ISBLANK(Tabella3[[#This Row],[Italy data]]))</f>
        <v>5.9253015244641235E-7</v>
      </c>
      <c r="N44" s="91">
        <f>Tabella3[[#This Row],[Italy fit]]*NOT(ISBLANK(Tabella3[[#This Row],[Italy data]]))</f>
        <v>2.1088421338057601E-9</v>
      </c>
      <c r="O44" s="91">
        <f>Tabella3[[#This Row],[Italy fit]]+CIf</f>
        <v>1013.7630020224266</v>
      </c>
      <c r="P44" s="91">
        <f>MAX(Tabella3[[#This Row],[Italy fit]]-CIf,0)</f>
        <v>0</v>
      </c>
      <c r="Q44" s="159"/>
      <c r="R44" s="164"/>
      <c r="S44" s="10">
        <f>Tabella3[[#This Row],[Lombardy data]]*NOT(ISBLANK(Tabella3[[#This Row],[Lombardy data]]))</f>
        <v>0</v>
      </c>
      <c r="T44" s="165">
        <f>Tabella8[[#This Row],[Lombardy fit]]</f>
        <v>1.6452786763801899E-7</v>
      </c>
      <c r="U44" s="10">
        <f>Tabella3[[#This Row],[Lombardy cumul. Fit]]/Kl</f>
        <v>1.8911249153795285E-12</v>
      </c>
      <c r="V44" s="91">
        <f>IFERROR(Kl*_xlfn.LOGNORM.DIST((Tabella3[[#This Row],[Day]]-pl),mu_l,sigma_l,FALSE),0)</f>
        <v>5.9253015244641235E-7</v>
      </c>
      <c r="W44" s="91">
        <f>Tabella3[[#This Row],[Lombardy fit]]/y_l_peak</f>
        <v>3.3705659722539776E-10</v>
      </c>
      <c r="X44" s="10">
        <f>Tabella3[[#This Row],[Lombardy fit]]*NOT(ISBLANK(Tabella3[[#This Row],[Lombardy data]]))</f>
        <v>0</v>
      </c>
      <c r="Y44" s="91">
        <f>Tabella3[[#This Row],[Lombardy fit]]+CIl</f>
        <v>748.95537239615373</v>
      </c>
      <c r="Z44" s="91">
        <f>MAX(Tabella3[[#This Row],[Lombardy fit]]-CIl,0)</f>
        <v>0</v>
      </c>
      <c r="AA44" s="161"/>
      <c r="AB44" s="164"/>
      <c r="AC44" s="10">
        <f>Tabella3[[#This Row],[rest of Italy data]]*NOT(ISBLANK(Tabella3[[#This Row],[rest of Italy data]]))</f>
        <v>0</v>
      </c>
      <c r="AD44" s="165">
        <f>Tabella8[[#This Row],[rest of Italy fit]]</f>
        <v>0</v>
      </c>
      <c r="AE44" s="91">
        <f>Tabella3[[#This Row],[rest of Italy cumul. Fit]]/Ka</f>
        <v>0</v>
      </c>
      <c r="AF44" s="91">
        <f>IFERROR(Ka*_xlfn.LOGNORM.DIST((Tabella3[[#This Row],[Day]]-pa),mu_a,sigma_a,FALSE),0)</f>
        <v>0</v>
      </c>
      <c r="AG44" s="91">
        <f>Tabella3[[#This Row],[rest of Italy fit]]/y_a_peak</f>
        <v>0</v>
      </c>
      <c r="AH44" s="10">
        <f>Tabella3[[#This Row],[rest of Italy fit]]*NOT(ISBLANK(Tabella3[[#This Row],[rest of Italy data]]))</f>
        <v>0</v>
      </c>
      <c r="AI44" s="91">
        <f>Tabella3[[#This Row],[rest of Italy fit]]+CIa</f>
        <v>694.65203586359735</v>
      </c>
      <c r="AJ44" s="91">
        <f>MAX(Tabella3[[#This Row],[rest of Italy fit]]-CIa,0)</f>
        <v>0</v>
      </c>
      <c r="AL44" s="15" t="s">
        <v>371</v>
      </c>
      <c r="AM44" s="157">
        <f>po</f>
        <v>37.717425443399762</v>
      </c>
      <c r="AZ44" s="66">
        <f>COUNT($AM$46,$AM$47,$AM$48,$AM$57)</f>
        <v>4</v>
      </c>
    </row>
    <row r="45" spans="2:52" x14ac:dyDescent="0.3">
      <c r="B45" s="154">
        <v>43868</v>
      </c>
      <c r="C45" s="4">
        <v>38</v>
      </c>
      <c r="D45" s="10" t="str">
        <f>Tabella8[[#This Row],[Italy cumulative]]</f>
        <v>3</v>
      </c>
      <c r="E45" s="91">
        <f>(Tabella3[[#This Row],[Italy cumul. Data]]-D44)</f>
        <v>1</v>
      </c>
      <c r="F45" s="10">
        <f>Tabella3[[#This Row],[Italy data]]*NOT(ISBLANK(Tabella3[[#This Row],[Italy data]]))</f>
        <v>1</v>
      </c>
      <c r="G45" s="179">
        <f>Tabella3[[#This Row],[Lombardy cumul. Fit]]+Tabella3[[#This Row],[rest of Italy cumul. Fit]]</f>
        <v>4.0922874212949553E-6</v>
      </c>
      <c r="H45" s="179">
        <f>Tabella3[[#This Row],[Italy cumul. Fit]]/Kf</f>
        <v>1.7413993778265215E-11</v>
      </c>
      <c r="I45" s="163">
        <f>Tabella3[[#This Row],[Lombardy fit]]+Tabella3[[#This Row],[rest of Italy fit]]</f>
        <v>1.1748239881930595E-5</v>
      </c>
      <c r="J45" s="163">
        <f>Tabella3[[#This Row],[Italy (fitted Lombardy + fitted sum of the other regions)]]/(y_l_peak+y_a_peak)</f>
        <v>2.2869384857833935E-9</v>
      </c>
      <c r="K45" s="91">
        <f>IFERROR(Kf*_xlfn.LOGNORM.DIST((Tabella3[[#This Row],[Day]]-D_bk),mu_f,sigma_f,FALSE),0)</f>
        <v>1.0686430414100911E-7</v>
      </c>
      <c r="L45" s="91">
        <f>Tabella3[[#This Row],[Italy fit]]/y_f_peak</f>
        <v>2.1112704737773894E-11</v>
      </c>
      <c r="M45" s="10">
        <f>Tabella3[[#This Row],[Italy (fitted Lombardy + fitted sum of the other regions)]]*NOT(ISBLANK(Tabella3[[#This Row],[Italy data]]))</f>
        <v>1.1748239881930595E-5</v>
      </c>
      <c r="N45" s="91">
        <f>Tabella3[[#This Row],[Italy fit]]*NOT(ISBLANK(Tabella3[[#This Row],[Italy data]]))</f>
        <v>1.0686430414100911E-7</v>
      </c>
      <c r="O45" s="91">
        <f>Tabella3[[#This Row],[Italy fit]]+CIf</f>
        <v>1013.7630021271819</v>
      </c>
      <c r="P45" s="91">
        <f>MAX(Tabella3[[#This Row],[Italy fit]]-CIf,0)</f>
        <v>0</v>
      </c>
      <c r="Q45" s="159"/>
      <c r="R45" s="164"/>
      <c r="S45" s="10">
        <f>Tabella3[[#This Row],[Lombardy data]]*NOT(ISBLANK(Tabella3[[#This Row],[Lombardy data]]))</f>
        <v>0</v>
      </c>
      <c r="T45" s="165">
        <f>Tabella8[[#This Row],[Lombardy fit]]</f>
        <v>4.0922874212949553E-6</v>
      </c>
      <c r="U45" s="10">
        <f>Tabella3[[#This Row],[Lombardy cumul. Fit]]/Kl</f>
        <v>4.7037786451666155E-11</v>
      </c>
      <c r="V45" s="91">
        <f>IFERROR(Kl*_xlfn.LOGNORM.DIST((Tabella3[[#This Row],[Day]]-pl),mu_l,sigma_l,FALSE),0)</f>
        <v>1.1748239881930595E-5</v>
      </c>
      <c r="W45" s="91">
        <f>Tabella3[[#This Row],[Lombardy fit]]/y_l_peak</f>
        <v>6.6829033790805378E-9</v>
      </c>
      <c r="X45" s="10">
        <f>Tabella3[[#This Row],[Lombardy fit]]*NOT(ISBLANK(Tabella3[[#This Row],[Lombardy data]]))</f>
        <v>0</v>
      </c>
      <c r="Y45" s="91">
        <f>Tabella3[[#This Row],[Lombardy fit]]+CIl</f>
        <v>748.95538355186352</v>
      </c>
      <c r="Z45" s="91">
        <f>MAX(Tabella3[[#This Row],[Lombardy fit]]-CIl,0)</f>
        <v>0</v>
      </c>
      <c r="AA45" s="161"/>
      <c r="AB45" s="164"/>
      <c r="AC45" s="10">
        <f>Tabella3[[#This Row],[rest of Italy data]]*NOT(ISBLANK(Tabella3[[#This Row],[rest of Italy data]]))</f>
        <v>0</v>
      </c>
      <c r="AD45" s="165">
        <f>Tabella8[[#This Row],[rest of Italy fit]]</f>
        <v>1.9507327401080682E-56</v>
      </c>
      <c r="AE45" s="91">
        <f>Tabella3[[#This Row],[rest of Italy cumul. Fit]]/Ka</f>
        <v>1.3180628156728576E-61</v>
      </c>
      <c r="AF45" s="91">
        <f>IFERROR(Ka*_xlfn.LOGNORM.DIST((Tabella3[[#This Row],[Day]]-pa),mu_a,sigma_a,FALSE),0)</f>
        <v>3.5603108157235843E-54</v>
      </c>
      <c r="AG45" s="91">
        <f>Tabella3[[#This Row],[rest of Italy fit]]/y_a_peak</f>
        <v>1.0536116348636391E-57</v>
      </c>
      <c r="AH45" s="10">
        <f>Tabella3[[#This Row],[rest of Italy fit]]*NOT(ISBLANK(Tabella3[[#This Row],[rest of Italy data]]))</f>
        <v>0</v>
      </c>
      <c r="AI45" s="91">
        <f>Tabella3[[#This Row],[rest of Italy fit]]+CIa</f>
        <v>694.65203586359735</v>
      </c>
      <c r="AJ45" s="91">
        <f>MAX(Tabella3[[#This Row],[rest of Italy fit]]-CIa,0)</f>
        <v>0</v>
      </c>
      <c r="AL45" s="40" t="s">
        <v>130</v>
      </c>
      <c r="AM45" s="18" t="s">
        <v>86</v>
      </c>
      <c r="AZ45" s="66" t="b">
        <f>pf&lt;=0</f>
        <v>0</v>
      </c>
    </row>
    <row r="46" spans="2:52" x14ac:dyDescent="0.3">
      <c r="B46" s="154">
        <v>43869</v>
      </c>
      <c r="C46" s="4">
        <v>39</v>
      </c>
      <c r="D46" s="10" t="str">
        <f>Tabella8[[#This Row],[Italy cumulative]]</f>
        <v>3</v>
      </c>
      <c r="E46" s="91">
        <f>(Tabella3[[#This Row],[Italy cumul. Data]]-D45)</f>
        <v>0</v>
      </c>
      <c r="F46" s="10">
        <f>Tabella3[[#This Row],[Italy data]]*NOT(ISBLANK(Tabella3[[#This Row],[Italy data]]))</f>
        <v>0</v>
      </c>
      <c r="G46" s="179">
        <f>Tabella3[[#This Row],[Lombardy cumul. Fit]]+Tabella3[[#This Row],[rest of Italy cumul. Fit]]</f>
        <v>5.4980686627547732E-5</v>
      </c>
      <c r="H46" s="179">
        <f>Tabella3[[#This Row],[Italy cumul. Fit]]/Kf</f>
        <v>2.3396043246490676E-10</v>
      </c>
      <c r="I46" s="163">
        <f>Tabella3[[#This Row],[Lombardy fit]]+Tabella3[[#This Row],[rest of Italy fit]]</f>
        <v>1.2933818240994045E-4</v>
      </c>
      <c r="J46" s="163">
        <f>Tabella3[[#This Row],[Italy (fitted Lombardy + fitted sum of the other regions)]]/(y_l_peak+y_a_peak)</f>
        <v>2.5177258040968642E-8</v>
      </c>
      <c r="K46" s="91">
        <f>IFERROR(Kf*_xlfn.LOGNORM.DIST((Tabella3[[#This Row],[Day]]-D_bk),mu_f,sigma_f,FALSE),0)</f>
        <v>2.4487853943520069E-6</v>
      </c>
      <c r="L46" s="91">
        <f>Tabella3[[#This Row],[Italy fit]]/y_f_peak</f>
        <v>4.8379562673151864E-10</v>
      </c>
      <c r="M46" s="10">
        <f>Tabella3[[#This Row],[Italy (fitted Lombardy + fitted sum of the other regions)]]*NOT(ISBLANK(Tabella3[[#This Row],[Italy data]]))</f>
        <v>1.2933818240994045E-4</v>
      </c>
      <c r="N46" s="91">
        <f>Tabella3[[#This Row],[Italy fit]]*NOT(ISBLANK(Tabella3[[#This Row],[Italy data]]))</f>
        <v>2.4487853943520069E-6</v>
      </c>
      <c r="O46" s="91">
        <f>Tabella3[[#This Row],[Italy fit]]+CIf</f>
        <v>1013.7630044691031</v>
      </c>
      <c r="P46" s="91">
        <f>MAX(Tabella3[[#This Row],[Italy fit]]-CIf,0)</f>
        <v>0</v>
      </c>
      <c r="Q46" s="159"/>
      <c r="R46" s="164"/>
      <c r="S46" s="10">
        <f>Tabella3[[#This Row],[Lombardy data]]*NOT(ISBLANK(Tabella3[[#This Row],[Lombardy data]]))</f>
        <v>0</v>
      </c>
      <c r="T46" s="165">
        <f>Tabella8[[#This Row],[Lombardy fit]]</f>
        <v>5.4980686627547732E-5</v>
      </c>
      <c r="U46" s="10">
        <f>Tabella3[[#This Row],[Lombardy cumul. Fit]]/Kl</f>
        <v>6.3196191525916934E-10</v>
      </c>
      <c r="V46" s="91">
        <f>IFERROR(Kl*_xlfn.LOGNORM.DIST((Tabella3[[#This Row],[Day]]-pl),mu_l,sigma_l,FALSE),0)</f>
        <v>1.2933818240994045E-4</v>
      </c>
      <c r="W46" s="91">
        <f>Tabella3[[#This Row],[Lombardy fit]]/y_l_peak</f>
        <v>7.3573112649916895E-8</v>
      </c>
      <c r="X46" s="10">
        <f>Tabella3[[#This Row],[Lombardy fit]]*NOT(ISBLANK(Tabella3[[#This Row],[Lombardy data]]))</f>
        <v>0</v>
      </c>
      <c r="Y46" s="91">
        <f>Tabella3[[#This Row],[Lombardy fit]]+CIl</f>
        <v>748.95550114180605</v>
      </c>
      <c r="Z46" s="91">
        <f>MAX(Tabella3[[#This Row],[Lombardy fit]]-CIl,0)</f>
        <v>0</v>
      </c>
      <c r="AA46" s="161"/>
      <c r="AB46" s="164"/>
      <c r="AC46" s="10">
        <f>Tabella3[[#This Row],[rest of Italy data]]*NOT(ISBLANK(Tabella3[[#This Row],[rest of Italy data]]))</f>
        <v>0</v>
      </c>
      <c r="AD46" s="165">
        <f>Tabella8[[#This Row],[rest of Italy fit]]</f>
        <v>2.4258346319876795E-27</v>
      </c>
      <c r="AE46" s="91">
        <f>Tabella3[[#This Row],[rest of Italy cumul. Fit]]/Ka</f>
        <v>1.6390776448532252E-32</v>
      </c>
      <c r="AF46" s="91">
        <f>IFERROR(Ka*_xlfn.LOGNORM.DIST((Tabella3[[#This Row],[Day]]-pa),mu_a,sigma_a,FALSE),0)</f>
        <v>6.9999540786373238E-26</v>
      </c>
      <c r="AG46" s="91">
        <f>Tabella3[[#This Row],[rest of Italy fit]]/y_a_peak</f>
        <v>2.0715138207012283E-29</v>
      </c>
      <c r="AH46" s="10">
        <f>Tabella3[[#This Row],[rest of Italy fit]]*NOT(ISBLANK(Tabella3[[#This Row],[rest of Italy data]]))</f>
        <v>0</v>
      </c>
      <c r="AI46" s="91">
        <f>Tabella3[[#This Row],[rest of Italy fit]]+CIa</f>
        <v>694.65203586359735</v>
      </c>
      <c r="AJ46" s="91">
        <f>MAX(Tabella3[[#This Row],[rest of Italy fit]]-CIa,0)</f>
        <v>0</v>
      </c>
      <c r="AL46" s="15" t="s">
        <v>0</v>
      </c>
      <c r="AM46" s="5">
        <f>Kt</f>
        <v>234999.93587930576</v>
      </c>
      <c r="AZ46" s="66" t="b">
        <f>sigma_f&gt;=0.000001</f>
        <v>1</v>
      </c>
    </row>
    <row r="47" spans="2:52" x14ac:dyDescent="0.3">
      <c r="B47" s="154">
        <v>43870</v>
      </c>
      <c r="C47" s="4">
        <v>40</v>
      </c>
      <c r="D47" s="10" t="str">
        <f>Tabella8[[#This Row],[Italy cumulative]]</f>
        <v>3</v>
      </c>
      <c r="E47" s="91">
        <f>(Tabella3[[#This Row],[Italy cumul. Data]]-D46)</f>
        <v>0</v>
      </c>
      <c r="F47" s="10">
        <f>Tabella3[[#This Row],[Italy data]]*NOT(ISBLANK(Tabella3[[#This Row],[Italy data]]))</f>
        <v>0</v>
      </c>
      <c r="G47" s="179">
        <f>Tabella3[[#This Row],[Lombardy cumul. Fit]]+Tabella3[[#This Row],[rest of Italy cumul. Fit]]</f>
        <v>4.7268540916532232E-4</v>
      </c>
      <c r="H47" s="179">
        <f>Tabella3[[#This Row],[Italy cumul. Fit]]/Kf</f>
        <v>2.011427821870088E-9</v>
      </c>
      <c r="I47" s="163">
        <f>Tabella3[[#This Row],[Lombardy fit]]+Tabella3[[#This Row],[rest of Italy fit]]</f>
        <v>9.3046935614296555E-4</v>
      </c>
      <c r="J47" s="163">
        <f>Tabella3[[#This Row],[Italy (fitted Lombardy + fitted sum of the other regions)]]/(y_l_peak+y_a_peak)</f>
        <v>1.8112723282730243E-7</v>
      </c>
      <c r="K47" s="91">
        <f>IFERROR(Kf*_xlfn.LOGNORM.DIST((Tabella3[[#This Row],[Day]]-D_bk),mu_f,sigma_f,FALSE),0)</f>
        <v>3.1821130784732354E-5</v>
      </c>
      <c r="L47" s="91">
        <f>Tabella3[[#This Row],[Italy fit]]/y_f_peak</f>
        <v>6.2867591201796547E-9</v>
      </c>
      <c r="M47" s="10">
        <f>Tabella3[[#This Row],[Italy (fitted Lombardy + fitted sum of the other regions)]]*NOT(ISBLANK(Tabella3[[#This Row],[Italy data]]))</f>
        <v>9.3046935614296555E-4</v>
      </c>
      <c r="N47" s="91">
        <f>Tabella3[[#This Row],[Italy fit]]*NOT(ISBLANK(Tabella3[[#This Row],[Italy data]]))</f>
        <v>3.1821130784732354E-5</v>
      </c>
      <c r="O47" s="91">
        <f>Tabella3[[#This Row],[Italy fit]]+CIf</f>
        <v>1013.7630338414484</v>
      </c>
      <c r="P47" s="91">
        <f>MAX(Tabella3[[#This Row],[Italy fit]]-CIf,0)</f>
        <v>0</v>
      </c>
      <c r="Q47" s="159"/>
      <c r="R47" s="164"/>
      <c r="S47" s="10">
        <f>Tabella3[[#This Row],[Lombardy data]]*NOT(ISBLANK(Tabella3[[#This Row],[Lombardy data]]))</f>
        <v>0</v>
      </c>
      <c r="T47" s="165">
        <f>Tabella8[[#This Row],[Lombardy fit]]</f>
        <v>4.7268540916532139E-4</v>
      </c>
      <c r="U47" s="10">
        <f>Tabella3[[#This Row],[Lombardy cumul. Fit]]/Kl</f>
        <v>5.4331656225899009E-9</v>
      </c>
      <c r="V47" s="91">
        <f>IFERROR(Kl*_xlfn.LOGNORM.DIST((Tabella3[[#This Row],[Day]]-pl),mu_l,sigma_l,FALSE),0)</f>
        <v>9.3046935614295309E-4</v>
      </c>
      <c r="W47" s="91">
        <f>Tabella3[[#This Row],[Lombardy fit]]/y_l_peak</f>
        <v>5.2929092926188933E-7</v>
      </c>
      <c r="X47" s="10">
        <f>Tabella3[[#This Row],[Lombardy fit]]*NOT(ISBLANK(Tabella3[[#This Row],[Lombardy data]]))</f>
        <v>0</v>
      </c>
      <c r="Y47" s="91">
        <f>Tabella3[[#This Row],[Lombardy fit]]+CIl</f>
        <v>748.95630227297977</v>
      </c>
      <c r="Z47" s="91">
        <f>MAX(Tabella3[[#This Row],[Lombardy fit]]-CIl,0)</f>
        <v>0</v>
      </c>
      <c r="AA47" s="161"/>
      <c r="AB47" s="164"/>
      <c r="AC47" s="10">
        <f>Tabella3[[#This Row],[rest of Italy data]]*NOT(ISBLANK(Tabella3[[#This Row],[rest of Italy data]]))</f>
        <v>0</v>
      </c>
      <c r="AD47" s="165">
        <f>Tabella8[[#This Row],[rest of Italy fit]]</f>
        <v>9.0611137748086005E-19</v>
      </c>
      <c r="AE47" s="91">
        <f>Tabella3[[#This Row],[rest of Italy cumul. Fit]]/Ka</f>
        <v>6.1223748848828497E-24</v>
      </c>
      <c r="AF47" s="91">
        <f>IFERROR(Ka*_xlfn.LOGNORM.DIST((Tabella3[[#This Row],[Day]]-pa),mu_a,sigma_a,FALSE),0)</f>
        <v>1.2495526260343405E-17</v>
      </c>
      <c r="AG47" s="91">
        <f>Tabella3[[#This Row],[rest of Italy fit]]/y_a_peak</f>
        <v>3.6978321649612088E-21</v>
      </c>
      <c r="AH47" s="10">
        <f>Tabella3[[#This Row],[rest of Italy fit]]*NOT(ISBLANK(Tabella3[[#This Row],[rest of Italy data]]))</f>
        <v>0</v>
      </c>
      <c r="AI47" s="91">
        <f>Tabella3[[#This Row],[rest of Italy fit]]+CIa</f>
        <v>694.65203586359735</v>
      </c>
      <c r="AJ47" s="91">
        <f>MAX(Tabella3[[#This Row],[rest of Italy fit]]-CIa,0)</f>
        <v>0</v>
      </c>
      <c r="AL47" s="104" t="s">
        <v>307</v>
      </c>
      <c r="AM47" s="31">
        <f>mu_t</f>
        <v>4.1393081733093888</v>
      </c>
      <c r="AZ47" s="66">
        <f>{32767;32767;0.000001;0.01;FALSE;FALSE;FALSE;1;2;1;0.0001;TRUE}</f>
        <v>32767</v>
      </c>
    </row>
    <row r="48" spans="2:52" ht="15" thickBot="1" x14ac:dyDescent="0.35">
      <c r="B48" s="154">
        <v>43871</v>
      </c>
      <c r="C48" s="4">
        <v>41</v>
      </c>
      <c r="D48" s="10" t="str">
        <f>Tabella8[[#This Row],[Italy cumulative]]</f>
        <v>3</v>
      </c>
      <c r="E48" s="91">
        <f>(Tabella3[[#This Row],[Italy cumul. Data]]-D47)</f>
        <v>0</v>
      </c>
      <c r="F48" s="10">
        <f>Tabella3[[#This Row],[Italy data]]*NOT(ISBLANK(Tabella3[[#This Row],[Italy data]]))</f>
        <v>0</v>
      </c>
      <c r="G48" s="179">
        <f>Tabella3[[#This Row],[Lombardy cumul. Fit]]+Tabella3[[#This Row],[rest of Italy cumul. Fit]]</f>
        <v>2.9037514905536042E-3</v>
      </c>
      <c r="H48" s="179">
        <f>Tabella3[[#This Row],[Italy cumul. Fit]]/Kf</f>
        <v>1.2356392692996094E-8</v>
      </c>
      <c r="I48" s="163">
        <f>Tabella3[[#This Row],[Lombardy fit]]+Tabella3[[#This Row],[rest of Italy fit]]</f>
        <v>4.8624763088216802E-3</v>
      </c>
      <c r="J48" s="163">
        <f>Tabella3[[#This Row],[Italy (fitted Lombardy + fitted sum of the other regions)]]/(y_l_peak+y_a_peak)</f>
        <v>9.4654044508894484E-7</v>
      </c>
      <c r="K48" s="91">
        <f>IFERROR(Kf*_xlfn.LOGNORM.DIST((Tabella3[[#This Row],[Day]]-D_bk),mu_f,sigma_f,FALSE),0)</f>
        <v>2.7103831779814785E-4</v>
      </c>
      <c r="L48" s="91">
        <f>Tabella3[[#This Row],[Italy fit]]/y_f_peak</f>
        <v>5.3547833603487371E-8</v>
      </c>
      <c r="M48" s="10">
        <f>Tabella3[[#This Row],[Italy (fitted Lombardy + fitted sum of the other regions)]]*NOT(ISBLANK(Tabella3[[#This Row],[Italy data]]))</f>
        <v>4.8624763088216802E-3</v>
      </c>
      <c r="N48" s="91">
        <f>Tabella3[[#This Row],[Italy fit]]*NOT(ISBLANK(Tabella3[[#This Row],[Italy data]]))</f>
        <v>2.7103831779814785E-4</v>
      </c>
      <c r="O48" s="91">
        <f>Tabella3[[#This Row],[Italy fit]]+CIf</f>
        <v>1013.7632730586355</v>
      </c>
      <c r="P48" s="91">
        <f>MAX(Tabella3[[#This Row],[Italy fit]]-CIf,0)</f>
        <v>0</v>
      </c>
      <c r="Q48" s="159"/>
      <c r="R48" s="164"/>
      <c r="S48" s="10">
        <f>Tabella3[[#This Row],[Lombardy data]]*NOT(ISBLANK(Tabella3[[#This Row],[Lombardy data]]))</f>
        <v>0</v>
      </c>
      <c r="T48" s="165">
        <f>Tabella8[[#This Row],[Lombardy fit]]</f>
        <v>2.9037514905089928E-3</v>
      </c>
      <c r="U48" s="10">
        <f>Tabella3[[#This Row],[Lombardy cumul. Fit]]/Kl</f>
        <v>3.3376453913896467E-8</v>
      </c>
      <c r="V48" s="91">
        <f>IFERROR(Kl*_xlfn.LOGNORM.DIST((Tabella3[[#This Row],[Day]]-pl),mu_l,sigma_l,FALSE),0)</f>
        <v>4.8624763084411642E-3</v>
      </c>
      <c r="W48" s="91">
        <f>Tabella3[[#This Row],[Lombardy fit]]/y_l_peak</f>
        <v>2.7659853458014782E-6</v>
      </c>
      <c r="X48" s="10">
        <f>Tabella3[[#This Row],[Lombardy fit]]*NOT(ISBLANK(Tabella3[[#This Row],[Lombardy data]]))</f>
        <v>0</v>
      </c>
      <c r="Y48" s="91">
        <f>Tabella3[[#This Row],[Lombardy fit]]+CIl</f>
        <v>748.96023427993202</v>
      </c>
      <c r="Z48" s="91">
        <f>MAX(Tabella3[[#This Row],[Lombardy fit]]-CIl,0)</f>
        <v>0</v>
      </c>
      <c r="AA48" s="161"/>
      <c r="AB48" s="164"/>
      <c r="AC48" s="10">
        <f>Tabella3[[#This Row],[rest of Italy data]]*NOT(ISBLANK(Tabella3[[#This Row],[rest of Italy data]]))</f>
        <v>0</v>
      </c>
      <c r="AD48" s="165">
        <f>Tabella8[[#This Row],[rest of Italy fit]]</f>
        <v>4.4611368624324991E-14</v>
      </c>
      <c r="AE48" s="91">
        <f>Tabella3[[#This Row],[rest of Italy cumul. Fit]]/Ka</f>
        <v>3.0142820147028492E-19</v>
      </c>
      <c r="AF48" s="91">
        <f>IFERROR(Ka*_xlfn.LOGNORM.DIST((Tabella3[[#This Row],[Day]]-pa),mu_a,sigma_a,FALSE),0)</f>
        <v>3.8051631768297409E-13</v>
      </c>
      <c r="AG48" s="91">
        <f>Tabella3[[#This Row],[rest of Italy fit]]/y_a_peak</f>
        <v>1.1260714030799286E-16</v>
      </c>
      <c r="AH48" s="10">
        <f>Tabella3[[#This Row],[rest of Italy fit]]*NOT(ISBLANK(Tabella3[[#This Row],[rest of Italy data]]))</f>
        <v>0</v>
      </c>
      <c r="AI48" s="91">
        <f>Tabella3[[#This Row],[rest of Italy fit]]+CIa</f>
        <v>694.65203586359769</v>
      </c>
      <c r="AJ48" s="91">
        <f>MAX(Tabella3[[#This Row],[rest of Italy fit]]-CIa,0)</f>
        <v>0</v>
      </c>
      <c r="AL48" s="15" t="s">
        <v>308</v>
      </c>
      <c r="AM48" s="31">
        <f>sigma_t</f>
        <v>0.30961845294611862</v>
      </c>
      <c r="AN48" s="6"/>
      <c r="AZ48" s="67">
        <f>{0;0;1;200;0;FALSE;FALSE;0.075;0;0;FALSE;30}</f>
        <v>0</v>
      </c>
    </row>
    <row r="49" spans="2:41" x14ac:dyDescent="0.3">
      <c r="B49" s="154">
        <v>43872</v>
      </c>
      <c r="C49" s="4">
        <v>42</v>
      </c>
      <c r="D49" s="10" t="str">
        <f>Tabella8[[#This Row],[Italy cumulative]]</f>
        <v>3</v>
      </c>
      <c r="E49" s="91">
        <f>(Tabella3[[#This Row],[Italy cumul. Data]]-D48)</f>
        <v>0</v>
      </c>
      <c r="F49" s="10">
        <f>Tabella3[[#This Row],[Italy data]]*NOT(ISBLANK(Tabella3[[#This Row],[Italy data]]))</f>
        <v>0</v>
      </c>
      <c r="G49" s="179">
        <f>Tabella3[[#This Row],[Lombardy cumul. Fit]]+Tabella3[[#This Row],[rest of Italy cumul. Fit]]</f>
        <v>1.3744676062602434E-2</v>
      </c>
      <c r="H49" s="179">
        <f>Tabella3[[#This Row],[Italy cumul. Fit]]/Kf</f>
        <v>5.8487999203802331E-8</v>
      </c>
      <c r="I49" s="163">
        <f>Tabella3[[#This Row],[Lombardy fit]]+Tabella3[[#This Row],[rest of Italy fit]]</f>
        <v>1.9841352353957824E-2</v>
      </c>
      <c r="J49" s="163">
        <f>Tabella3[[#This Row],[Italy (fitted Lombardy + fitted sum of the other regions)]]/(y_l_peak+y_a_peak)</f>
        <v>3.8623617464643075E-6</v>
      </c>
      <c r="K49" s="91">
        <f>IFERROR(Kf*_xlfn.LOGNORM.DIST((Tabella3[[#This Row],[Day]]-D_bk),mu_f,sigma_f,FALSE),0)</f>
        <v>1.6685378040912065E-3</v>
      </c>
      <c r="L49" s="91">
        <f>Tabella3[[#This Row],[Italy fit]]/y_f_peak</f>
        <v>3.2964558450788425E-7</v>
      </c>
      <c r="M49" s="10">
        <f>Tabella3[[#This Row],[Italy (fitted Lombardy + fitted sum of the other regions)]]*NOT(ISBLANK(Tabella3[[#This Row],[Italy data]]))</f>
        <v>1.9841352353957824E-2</v>
      </c>
      <c r="N49" s="91">
        <f>Tabella3[[#This Row],[Italy fit]]*NOT(ISBLANK(Tabella3[[#This Row],[Italy data]]))</f>
        <v>1.6685378040912065E-3</v>
      </c>
      <c r="O49" s="91">
        <f>Tabella3[[#This Row],[Italy fit]]+CIf</f>
        <v>1013.7646705581218</v>
      </c>
      <c r="P49" s="91">
        <f>MAX(Tabella3[[#This Row],[Italy fit]]-CIf,0)</f>
        <v>0</v>
      </c>
      <c r="Q49" s="159"/>
      <c r="R49" s="164"/>
      <c r="S49" s="10">
        <f>Tabella3[[#This Row],[Lombardy data]]*NOT(ISBLANK(Tabella3[[#This Row],[Lombardy data]]))</f>
        <v>0</v>
      </c>
      <c r="T49" s="165">
        <f>Tabella8[[#This Row],[Lombardy fit]]</f>
        <v>1.3744676008109632E-2</v>
      </c>
      <c r="U49" s="10">
        <f>Tabella3[[#This Row],[Lombardy cumul. Fit]]/Kl</f>
        <v>1.5798478170240956E-7</v>
      </c>
      <c r="V49" s="91">
        <f>IFERROR(Kl*_xlfn.LOGNORM.DIST((Tabella3[[#This Row],[Day]]-pl),mu_l,sigma_l,FALSE),0)</f>
        <v>1.9841352030007232E-2</v>
      </c>
      <c r="W49" s="91">
        <f>Tabella3[[#This Row],[Lombardy fit]]/y_l_peak</f>
        <v>1.1286613131793827E-5</v>
      </c>
      <c r="X49" s="10">
        <f>Tabella3[[#This Row],[Lombardy fit]]*NOT(ISBLANK(Tabella3[[#This Row],[Lombardy data]]))</f>
        <v>0</v>
      </c>
      <c r="Y49" s="91">
        <f>Tabella3[[#This Row],[Lombardy fit]]+CIl</f>
        <v>748.97521315565359</v>
      </c>
      <c r="Z49" s="91">
        <f>MAX(Tabella3[[#This Row],[Lombardy fit]]-CIl,0)</f>
        <v>0</v>
      </c>
      <c r="AA49" s="161"/>
      <c r="AB49" s="164"/>
      <c r="AC49" s="10">
        <f>Tabella3[[#This Row],[rest of Italy data]]*NOT(ISBLANK(Tabella3[[#This Row],[rest of Italy data]]))</f>
        <v>0</v>
      </c>
      <c r="AD49" s="165">
        <f>Tabella8[[#This Row],[rest of Italy fit]]</f>
        <v>5.4492801872499963E-11</v>
      </c>
      <c r="AE49" s="91">
        <f>Tabella3[[#This Row],[rest of Italy cumul. Fit]]/Ka</f>
        <v>3.6819465010871482E-16</v>
      </c>
      <c r="AF49" s="91">
        <f>IFERROR(Ka*_xlfn.LOGNORM.DIST((Tabella3[[#This Row],[Day]]-pa),mu_a,sigma_a,FALSE),0)</f>
        <v>3.2395059036526822E-10</v>
      </c>
      <c r="AG49" s="91">
        <f>Tabella3[[#This Row],[rest of Italy fit]]/y_a_peak</f>
        <v>9.5867503933198887E-14</v>
      </c>
      <c r="AH49" s="10">
        <f>Tabella3[[#This Row],[rest of Italy fit]]*NOT(ISBLANK(Tabella3[[#This Row],[rest of Italy data]]))</f>
        <v>0</v>
      </c>
      <c r="AI49" s="91">
        <f>Tabella3[[#This Row],[rest of Italy fit]]+CIa</f>
        <v>694.65203586392124</v>
      </c>
      <c r="AJ49" s="91">
        <f>MAX(Tabella3[[#This Row],[rest of Italy fit]]-CIa,0)</f>
        <v>0</v>
      </c>
      <c r="AL49" s="2" t="s">
        <v>1</v>
      </c>
      <c r="AM49" s="6">
        <f>AVERAGE(Tabella3[Italy data])</f>
        <v>2077.3711340206187</v>
      </c>
    </row>
    <row r="50" spans="2:41" x14ac:dyDescent="0.3">
      <c r="B50" s="154">
        <v>43873</v>
      </c>
      <c r="C50" s="4">
        <v>43</v>
      </c>
      <c r="D50" s="10" t="str">
        <f>Tabella8[[#This Row],[Italy cumulative]]</f>
        <v>3</v>
      </c>
      <c r="E50" s="91">
        <f>(Tabella3[[#This Row],[Italy cumul. Data]]-D49)</f>
        <v>0</v>
      </c>
      <c r="F50" s="10">
        <f>Tabella3[[#This Row],[Italy data]]*NOT(ISBLANK(Tabella3[[#This Row],[Italy data]]))</f>
        <v>0</v>
      </c>
      <c r="G50" s="179">
        <f>Tabella3[[#This Row],[Lombardy cumul. Fit]]+Tabella3[[#This Row],[rest of Italy cumul. Fit]]</f>
        <v>5.2892301194459222E-2</v>
      </c>
      <c r="H50" s="179">
        <f>Tabella3[[#This Row],[Italy cumul. Fit]]/Kf</f>
        <v>2.2507368351634071E-7</v>
      </c>
      <c r="I50" s="163">
        <f>Tabella3[[#This Row],[Lombardy fit]]+Tabella3[[#This Row],[rest of Italy fit]]</f>
        <v>6.654554460561507E-2</v>
      </c>
      <c r="J50" s="163">
        <f>Tabella3[[#This Row],[Italy (fitted Lombardy + fitted sum of the other regions)]]/(y_l_peak+y_a_peak)</f>
        <v>1.2953903609856141E-5</v>
      </c>
      <c r="K50" s="91">
        <f>IFERROR(Kf*_xlfn.LOGNORM.DIST((Tabella3[[#This Row],[Day]]-D_bk),mu_f,sigma_f,FALSE),0)</f>
        <v>7.9520304709587222E-3</v>
      </c>
      <c r="L50" s="91">
        <f>Tabella3[[#This Row],[Italy fit]]/y_f_peak</f>
        <v>1.5710472523884177E-6</v>
      </c>
      <c r="M50" s="10">
        <f>Tabella3[[#This Row],[Italy (fitted Lombardy + fitted sum of the other regions)]]*NOT(ISBLANK(Tabella3[[#This Row],[Italy data]]))</f>
        <v>6.654554460561507E-2</v>
      </c>
      <c r="N50" s="91">
        <f>Tabella3[[#This Row],[Italy fit]]*NOT(ISBLANK(Tabella3[[#This Row],[Italy data]]))</f>
        <v>7.9520304709587222E-3</v>
      </c>
      <c r="O50" s="91">
        <f>Tabella3[[#This Row],[Italy fit]]+CIf</f>
        <v>1013.7709540507886</v>
      </c>
      <c r="P50" s="91">
        <f>MAX(Tabella3[[#This Row],[Italy fit]]-CIf,0)</f>
        <v>0</v>
      </c>
      <c r="Q50" s="159"/>
      <c r="R50" s="164"/>
      <c r="S50" s="10">
        <f>Tabella3[[#This Row],[Lombardy data]]*NOT(ISBLANK(Tabella3[[#This Row],[Lombardy data]]))</f>
        <v>0</v>
      </c>
      <c r="T50" s="165">
        <f>Tabella8[[#This Row],[Lombardy fit]]</f>
        <v>5.289229195701816E-2</v>
      </c>
      <c r="U50" s="10">
        <f>Tabella3[[#This Row],[Lombardy cumul. Fit]]/Kl</f>
        <v>6.079573788163007E-7</v>
      </c>
      <c r="V50" s="91">
        <f>IFERROR(Kl*_xlfn.LOGNORM.DIST((Tabella3[[#This Row],[Day]]-pl),mu_l,sigma_l,FALSE),0)</f>
        <v>6.654550358259502E-2</v>
      </c>
      <c r="W50" s="91">
        <f>Tabella3[[#This Row],[Lombardy fit]]/y_l_peak</f>
        <v>3.7853940268851547E-5</v>
      </c>
      <c r="X50" s="10">
        <f>Tabella3[[#This Row],[Lombardy fit]]*NOT(ISBLANK(Tabella3[[#This Row],[Lombardy data]]))</f>
        <v>0</v>
      </c>
      <c r="Y50" s="91">
        <f>Tabella3[[#This Row],[Lombardy fit]]+CIl</f>
        <v>749.02191730720619</v>
      </c>
      <c r="Z50" s="91">
        <f>MAX(Tabella3[[#This Row],[Lombardy fit]]-CIl,0)</f>
        <v>0</v>
      </c>
      <c r="AA50" s="161"/>
      <c r="AB50" s="164"/>
      <c r="AC50" s="10">
        <f>Tabella3[[#This Row],[rest of Italy data]]*NOT(ISBLANK(Tabella3[[#This Row],[rest of Italy data]]))</f>
        <v>0</v>
      </c>
      <c r="AD50" s="165">
        <f>Tabella8[[#This Row],[rest of Italy fit]]</f>
        <v>9.2374410644758984E-9</v>
      </c>
      <c r="AE50" s="91">
        <f>Tabella3[[#This Row],[rest of Italy cumul. Fit]]/Ka</f>
        <v>6.2415149593381372E-14</v>
      </c>
      <c r="AF50" s="91">
        <f>IFERROR(Ka*_xlfn.LOGNORM.DIST((Tabella3[[#This Row],[Day]]-pa),mu_a,sigma_a,FALSE),0)</f>
        <v>4.1023020044640386E-8</v>
      </c>
      <c r="AG50" s="91">
        <f>Tabella3[[#This Row],[rest of Italy fit]]/y_a_peak</f>
        <v>1.2140044353822251E-11</v>
      </c>
      <c r="AH50" s="10">
        <f>Tabella3[[#This Row],[rest of Italy fit]]*NOT(ISBLANK(Tabella3[[#This Row],[rest of Italy data]]))</f>
        <v>0</v>
      </c>
      <c r="AI50" s="91">
        <f>Tabella3[[#This Row],[rest of Italy fit]]+CIa</f>
        <v>694.65203590462033</v>
      </c>
      <c r="AJ50" s="91">
        <f>MAX(Tabella3[[#This Row],[rest of Italy fit]]-CIa,0)</f>
        <v>0</v>
      </c>
      <c r="AL50" s="2" t="s">
        <v>2</v>
      </c>
      <c r="AM50" s="1">
        <f>COUNT(Tabella3[Italy data])-COUNT(AM46:AM48)</f>
        <v>94</v>
      </c>
      <c r="AN50" s="6"/>
      <c r="AO50" s="6"/>
    </row>
    <row r="51" spans="2:41" x14ac:dyDescent="0.3">
      <c r="B51" s="154">
        <v>43874</v>
      </c>
      <c r="C51" s="4">
        <v>44</v>
      </c>
      <c r="D51" s="10" t="str">
        <f>Tabella8[[#This Row],[Italy cumulative]]</f>
        <v>3</v>
      </c>
      <c r="E51" s="91">
        <f>(Tabella3[[#This Row],[Italy cumul. Data]]-D50)</f>
        <v>0</v>
      </c>
      <c r="F51" s="10">
        <f>Tabella3[[#This Row],[Italy data]]*NOT(ISBLANK(Tabella3[[#This Row],[Italy data]]))</f>
        <v>0</v>
      </c>
      <c r="G51" s="179">
        <f>Tabella3[[#This Row],[Lombardy cumul. Fit]]+Tabella3[[#This Row],[rest of Italy cumul. Fit]]</f>
        <v>0.17211852188333596</v>
      </c>
      <c r="H51" s="179">
        <f>Tabella3[[#This Row],[Italy cumul. Fit]]/Kf</f>
        <v>7.3241944190033639E-7</v>
      </c>
      <c r="I51" s="163">
        <f>Tabella3[[#This Row],[Lombardy fit]]+Tabella3[[#This Row],[rest of Italy fit]]</f>
        <v>0.19046871841213331</v>
      </c>
      <c r="J51" s="163">
        <f>Tabella3[[#This Row],[Italy (fitted Lombardy + fitted sum of the other regions)]]/(y_l_peak+y_a_peak)</f>
        <v>3.7077064041270406E-5</v>
      </c>
      <c r="K51" s="91">
        <f>IFERROR(Kf*_xlfn.LOGNORM.DIST((Tabella3[[#This Row],[Day]]-D_bk),mu_f,sigma_f,FALSE),0)</f>
        <v>3.0843090355676554E-2</v>
      </c>
      <c r="L51" s="91">
        <f>Tabella3[[#This Row],[Italy fit]]/y_f_peak</f>
        <v>6.0935320275013177E-6</v>
      </c>
      <c r="M51" s="10">
        <f>Tabella3[[#This Row],[Italy (fitted Lombardy + fitted sum of the other regions)]]*NOT(ISBLANK(Tabella3[[#This Row],[Italy data]]))</f>
        <v>0.19046871841213331</v>
      </c>
      <c r="N51" s="91">
        <f>Tabella3[[#This Row],[Italy fit]]*NOT(ISBLANK(Tabella3[[#This Row],[Italy data]]))</f>
        <v>3.0843090355676554E-2</v>
      </c>
      <c r="O51" s="91">
        <f>Tabella3[[#This Row],[Italy fit]]+CIf</f>
        <v>1013.7938451106734</v>
      </c>
      <c r="P51" s="91">
        <f>MAX(Tabella3[[#This Row],[Italy fit]]-CIf,0)</f>
        <v>0</v>
      </c>
      <c r="Q51" s="159"/>
      <c r="R51" s="164"/>
      <c r="S51" s="10">
        <f>Tabella3[[#This Row],[Lombardy data]]*NOT(ISBLANK(Tabella3[[#This Row],[Lombardy data]]))</f>
        <v>0</v>
      </c>
      <c r="T51" s="165">
        <f>Tabella8[[#This Row],[Lombardy fit]]</f>
        <v>0.17211805434560609</v>
      </c>
      <c r="U51" s="10">
        <f>Tabella3[[#This Row],[Lombardy cumul. Fit]]/Kl</f>
        <v>1.978368440754093E-6</v>
      </c>
      <c r="V51" s="91">
        <f>IFERROR(Kl*_xlfn.LOGNORM.DIST((Tabella3[[#This Row],[Day]]-pl),mu_l,sigma_l,FALSE),0)</f>
        <v>0.19046709521624131</v>
      </c>
      <c r="W51" s="91">
        <f>Tabella3[[#This Row],[Lombardy fit]]/y_l_peak</f>
        <v>1.0834586346691974E-4</v>
      </c>
      <c r="X51" s="10">
        <f>Tabella3[[#This Row],[Lombardy fit]]*NOT(ISBLANK(Tabella3[[#This Row],[Lombardy data]]))</f>
        <v>0</v>
      </c>
      <c r="Y51" s="91">
        <f>Tabella3[[#This Row],[Lombardy fit]]+CIl</f>
        <v>749.14583889883988</v>
      </c>
      <c r="Z51" s="91">
        <f>MAX(Tabella3[[#This Row],[Lombardy fit]]-CIl,0)</f>
        <v>0</v>
      </c>
      <c r="AA51" s="161"/>
      <c r="AB51" s="164"/>
      <c r="AC51" s="10">
        <f>Tabella3[[#This Row],[rest of Italy data]]*NOT(ISBLANK(Tabella3[[#This Row],[rest of Italy data]]))</f>
        <v>0</v>
      </c>
      <c r="AD51" s="165">
        <f>Tabella8[[#This Row],[rest of Italy fit]]</f>
        <v>4.6753772985919447E-7</v>
      </c>
      <c r="AE51" s="91">
        <f>Tabella3[[#This Row],[rest of Italy cumul. Fit]]/Ka</f>
        <v>3.1590390830133224E-12</v>
      </c>
      <c r="AF51" s="91">
        <f>IFERROR(Ka*_xlfn.LOGNORM.DIST((Tabella3[[#This Row],[Day]]-pa),mu_a,sigma_a,FALSE),0)</f>
        <v>1.6231958919947614E-6</v>
      </c>
      <c r="AG51" s="91">
        <f>Tabella3[[#This Row],[rest of Italy fit]]/y_a_peak</f>
        <v>4.8035639751327864E-10</v>
      </c>
      <c r="AH51" s="10">
        <f>Tabella3[[#This Row],[rest of Italy fit]]*NOT(ISBLANK(Tabella3[[#This Row],[rest of Italy data]]))</f>
        <v>0</v>
      </c>
      <c r="AI51" s="91">
        <f>Tabella3[[#This Row],[rest of Italy fit]]+CIa</f>
        <v>694.65203748679323</v>
      </c>
      <c r="AJ51" s="91">
        <f>MAX(Tabella3[[#This Row],[rest of Italy fit]]-CIa,0)</f>
        <v>0</v>
      </c>
      <c r="AL51" s="2" t="s">
        <v>3</v>
      </c>
      <c r="AM51" s="6" cm="1">
        <f t="array" ref="AM51">SQRT(SUM((Tabella3[Colonna1]-Tabella3[Colonna22])^2)/dff)</f>
        <v>510.5772012781029</v>
      </c>
    </row>
    <row r="52" spans="2:41" ht="16.2" x14ac:dyDescent="0.3">
      <c r="B52" s="154">
        <v>43875</v>
      </c>
      <c r="C52" s="4">
        <v>45</v>
      </c>
      <c r="D52" s="10" t="str">
        <f>Tabella8[[#This Row],[Italy cumulative]]</f>
        <v>3</v>
      </c>
      <c r="E52" s="91">
        <f>(Tabella3[[#This Row],[Italy cumul. Data]]-D51)</f>
        <v>0</v>
      </c>
      <c r="F52" s="10">
        <f>Tabella3[[#This Row],[Italy data]]*NOT(ISBLANK(Tabella3[[#This Row],[Italy data]]))</f>
        <v>0</v>
      </c>
      <c r="G52" s="179">
        <f>Tabella3[[#This Row],[Lombardy cumul. Fit]]+Tabella3[[#This Row],[rest of Italy cumul. Fit]]</f>
        <v>0.48788730195463637</v>
      </c>
      <c r="H52" s="179">
        <f>Tabella3[[#This Row],[Italy cumul. Fit]]/Kf</f>
        <v>2.0761167450071633E-6</v>
      </c>
      <c r="I52" s="163">
        <f>Tabella3[[#This Row],[Lombardy fit]]+Tabella3[[#This Row],[rest of Italy fit]]</f>
        <v>0.47860218370695257</v>
      </c>
      <c r="J52" s="163">
        <f>Tabella3[[#This Row],[Italy (fitted Lombardy + fitted sum of the other regions)]]/(y_l_peak+y_a_peak)</f>
        <v>9.3165764769823404E-5</v>
      </c>
      <c r="K52" s="91">
        <f>IFERROR(Kf*_xlfn.LOGNORM.DIST((Tabella3[[#This Row],[Day]]-D_bk),mu_f,sigma_f,FALSE),0)</f>
        <v>0.10106316225383834</v>
      </c>
      <c r="L52" s="91">
        <f>Tabella3[[#This Row],[Italy fit]]/y_f_peak</f>
        <v>1.9966598965689721E-5</v>
      </c>
      <c r="M52" s="10">
        <f>Tabella3[[#This Row],[Italy (fitted Lombardy + fitted sum of the other regions)]]*NOT(ISBLANK(Tabella3[[#This Row],[Italy data]]))</f>
        <v>0.47860218370695257</v>
      </c>
      <c r="N52" s="91">
        <f>Tabella3[[#This Row],[Italy fit]]*NOT(ISBLANK(Tabella3[[#This Row],[Italy data]]))</f>
        <v>0.10106316225383834</v>
      </c>
      <c r="O52" s="91">
        <f>Tabella3[[#This Row],[Italy fit]]+CIf</f>
        <v>1013.8640651825715</v>
      </c>
      <c r="P52" s="91">
        <f>MAX(Tabella3[[#This Row],[Italy fit]]-CIf,0)</f>
        <v>0</v>
      </c>
      <c r="Q52" s="159"/>
      <c r="R52" s="164"/>
      <c r="S52" s="10">
        <f>Tabella3[[#This Row],[Lombardy data]]*NOT(ISBLANK(Tabella3[[#This Row],[Lombardy data]]))</f>
        <v>0</v>
      </c>
      <c r="T52" s="165">
        <f>Tabella8[[#This Row],[Lombardy fit]]</f>
        <v>0.48787673256248693</v>
      </c>
      <c r="U52" s="10">
        <f>Tabella3[[#This Row],[Lombardy cumul. Fit]]/Kl</f>
        <v>5.6077785352009989E-6</v>
      </c>
      <c r="V52" s="91">
        <f>IFERROR(Kl*_xlfn.LOGNORM.DIST((Tabella3[[#This Row],[Day]]-pl),mu_l,sigma_l,FALSE),0)</f>
        <v>0.47857256012040816</v>
      </c>
      <c r="W52" s="91">
        <f>Tabella3[[#This Row],[Lombardy fit]]/y_l_peak</f>
        <v>2.722326247426205E-4</v>
      </c>
      <c r="X52" s="10">
        <f>Tabella3[[#This Row],[Lombardy fit]]*NOT(ISBLANK(Tabella3[[#This Row],[Lombardy data]]))</f>
        <v>0</v>
      </c>
      <c r="Y52" s="91">
        <f>Tabella3[[#This Row],[Lombardy fit]]+CIl</f>
        <v>749.43394436374399</v>
      </c>
      <c r="Z52" s="91">
        <f>MAX(Tabella3[[#This Row],[Lombardy fit]]-CIl,0)</f>
        <v>0</v>
      </c>
      <c r="AA52" s="161"/>
      <c r="AB52" s="164"/>
      <c r="AC52" s="10">
        <f>Tabella3[[#This Row],[rest of Italy data]]*NOT(ISBLANK(Tabella3[[#This Row],[rest of Italy data]]))</f>
        <v>0</v>
      </c>
      <c r="AD52" s="165">
        <f>Tabella8[[#This Row],[rest of Italy fit]]</f>
        <v>1.0569392149442228E-5</v>
      </c>
      <c r="AE52" s="91">
        <f>Tabella3[[#This Row],[rest of Italy cumul. Fit]]/Ka</f>
        <v>7.1414820134062305E-11</v>
      </c>
      <c r="AF52" s="91">
        <f>IFERROR(Ka*_xlfn.LOGNORM.DIST((Tabella3[[#This Row],[Day]]-pa),mu_a,sigma_a,FALSE),0)</f>
        <v>2.9623586544402733E-5</v>
      </c>
      <c r="AG52" s="91">
        <f>Tabella3[[#This Row],[rest of Italy fit]]/y_a_peak</f>
        <v>8.7665816455491957E-9</v>
      </c>
      <c r="AH52" s="10">
        <f>Tabella3[[#This Row],[rest of Italy fit]]*NOT(ISBLANK(Tabella3[[#This Row],[rest of Italy data]]))</f>
        <v>0</v>
      </c>
      <c r="AI52" s="91">
        <f>Tabella3[[#This Row],[rest of Italy fit]]+CIa</f>
        <v>694.6520654871839</v>
      </c>
      <c r="AJ52" s="91">
        <f>MAX(Tabella3[[#This Row],[rest of Italy fit]]-CIa,0)</f>
        <v>0</v>
      </c>
      <c r="AL52" s="2" t="s">
        <v>4</v>
      </c>
      <c r="AM52" s="7" cm="1">
        <f t="array" ref="AM52">1-SUM((Tabella3[Colonna1]-Tabella3[Colonna22])^2)/SUM((Tabella3[Colonna1]-Mean_of_yf)^2)</f>
        <v>0.97911997960781938</v>
      </c>
    </row>
    <row r="53" spans="2:41" x14ac:dyDescent="0.3">
      <c r="B53" s="154">
        <v>43876</v>
      </c>
      <c r="C53" s="4">
        <v>46</v>
      </c>
      <c r="D53" s="10" t="str">
        <f>Tabella8[[#This Row],[Italy cumulative]]</f>
        <v>3</v>
      </c>
      <c r="E53" s="91">
        <f>(Tabella3[[#This Row],[Italy cumul. Data]]-D52)</f>
        <v>0</v>
      </c>
      <c r="F53" s="10">
        <f>Tabella3[[#This Row],[Italy data]]*NOT(ISBLANK(Tabella3[[#This Row],[Italy data]]))</f>
        <v>0</v>
      </c>
      <c r="G53" s="179">
        <f>Tabella3[[#This Row],[Lombardy cumul. Fit]]+Tabella3[[#This Row],[rest of Italy cumul. Fit]]</f>
        <v>1.2325396545465104</v>
      </c>
      <c r="H53" s="179">
        <f>Tabella3[[#This Row],[Italy cumul. Fit]]/Kf</f>
        <v>5.2448510248936136E-6</v>
      </c>
      <c r="I53" s="163">
        <f>Tabella3[[#This Row],[Lombardy fit]]+Tabella3[[#This Row],[rest of Italy fit]]</f>
        <v>1.079100663882957</v>
      </c>
      <c r="J53" s="163">
        <f>Tabella3[[#This Row],[Italy (fitted Lombardy + fitted sum of the other regions)]]/(y_l_peak+y_a_peak)</f>
        <v>2.1006013352383162E-4</v>
      </c>
      <c r="K53" s="91">
        <f>IFERROR(Kf*_xlfn.LOGNORM.DIST((Tabella3[[#This Row],[Day]]-D_bk),mu_f,sigma_f,FALSE),0)</f>
        <v>0.28786132034104733</v>
      </c>
      <c r="L53" s="91">
        <f>Tabella3[[#This Row],[Italy fit]]/y_f_peak</f>
        <v>5.6871479308627529E-5</v>
      </c>
      <c r="M53" s="10">
        <f>Tabella3[[#This Row],[Italy (fitted Lombardy + fitted sum of the other regions)]]*NOT(ISBLANK(Tabella3[[#This Row],[Italy data]]))</f>
        <v>1.079100663882957</v>
      </c>
      <c r="N53" s="91">
        <f>Tabella3[[#This Row],[Italy fit]]*NOT(ISBLANK(Tabella3[[#This Row],[Italy data]]))</f>
        <v>0.28786132034104733</v>
      </c>
      <c r="O53" s="91">
        <f>Tabella3[[#This Row],[Italy fit]]+CIf</f>
        <v>1014.0508633406587</v>
      </c>
      <c r="P53" s="91">
        <f>MAX(Tabella3[[#This Row],[Italy fit]]-CIf,0)</f>
        <v>0</v>
      </c>
      <c r="Q53" s="159"/>
      <c r="R53" s="164"/>
      <c r="S53" s="10">
        <f>Tabella3[[#This Row],[Lombardy data]]*NOT(ISBLANK(Tabella3[[#This Row],[Lombardy data]]))</f>
        <v>0</v>
      </c>
      <c r="T53" s="165">
        <f>Tabella8[[#This Row],[Lombardy fit]]</f>
        <v>1.232404561241581</v>
      </c>
      <c r="U53" s="10">
        <f>Tabella3[[#This Row],[Lombardy cumul. Fit]]/Kl</f>
        <v>1.4165569669443461E-5</v>
      </c>
      <c r="V53" s="91">
        <f>IFERROR(Kl*_xlfn.LOGNORM.DIST((Tabella3[[#This Row],[Day]]-pl),mu_l,sigma_l,FALSE),0)</f>
        <v>1.0787875900445603</v>
      </c>
      <c r="W53" s="91">
        <f>Tabella3[[#This Row],[Lombardy fit]]/y_l_peak</f>
        <v>6.1366071030839481E-4</v>
      </c>
      <c r="X53" s="10">
        <f>Tabella3[[#This Row],[Lombardy fit]]*NOT(ISBLANK(Tabella3[[#This Row],[Lombardy data]]))</f>
        <v>0</v>
      </c>
      <c r="Y53" s="91">
        <f>Tabella3[[#This Row],[Lombardy fit]]+CIl</f>
        <v>750.03415939366823</v>
      </c>
      <c r="Z53" s="91">
        <f>MAX(Tabella3[[#This Row],[Lombardy fit]]-CIl,0)</f>
        <v>0</v>
      </c>
      <c r="AA53" s="161"/>
      <c r="AB53" s="164"/>
      <c r="AC53" s="10">
        <f>Tabella3[[#This Row],[rest of Italy data]]*NOT(ISBLANK(Tabella3[[#This Row],[rest of Italy data]]))</f>
        <v>0</v>
      </c>
      <c r="AD53" s="165">
        <f>Tabella8[[#This Row],[rest of Italy fit]]</f>
        <v>1.3509330492944511E-4</v>
      </c>
      <c r="AE53" s="91">
        <f>Tabella3[[#This Row],[rest of Italy cumul. Fit]]/Ka</f>
        <v>9.1279270713420225E-10</v>
      </c>
      <c r="AF53" s="91">
        <f>IFERROR(Ka*_xlfn.LOGNORM.DIST((Tabella3[[#This Row],[Day]]-pa),mu_a,sigma_a,FALSE),0)</f>
        <v>3.1307383839666164E-4</v>
      </c>
      <c r="AG53" s="91">
        <f>Tabella3[[#This Row],[rest of Italy fit]]/y_a_peak</f>
        <v>9.2648719670589272E-8</v>
      </c>
      <c r="AH53" s="10">
        <f>Tabella3[[#This Row],[rest of Italy fit]]*NOT(ISBLANK(Tabella3[[#This Row],[rest of Italy data]]))</f>
        <v>0</v>
      </c>
      <c r="AI53" s="91">
        <f>Tabella3[[#This Row],[rest of Italy fit]]+CIa</f>
        <v>694.6523489374357</v>
      </c>
      <c r="AJ53" s="91">
        <f>MAX(Tabella3[[#This Row],[rest of Italy fit]]-CIa,0)</f>
        <v>0</v>
      </c>
      <c r="AL53" s="2" t="s">
        <v>5</v>
      </c>
      <c r="AM53" s="7">
        <f>TINV(0.05,dff)</f>
        <v>1.9855234418666059</v>
      </c>
    </row>
    <row r="54" spans="2:41" x14ac:dyDescent="0.3">
      <c r="B54" s="154">
        <v>43877</v>
      </c>
      <c r="C54" s="4">
        <v>47</v>
      </c>
      <c r="D54" s="10" t="str">
        <f>Tabella8[[#This Row],[Italy cumulative]]</f>
        <v>3</v>
      </c>
      <c r="E54" s="91">
        <f>(Tabella3[[#This Row],[Italy cumul. Data]]-D53)</f>
        <v>0</v>
      </c>
      <c r="F54" s="10">
        <f>Tabella3[[#This Row],[Italy data]]*NOT(ISBLANK(Tabella3[[#This Row],[Italy data]]))</f>
        <v>0</v>
      </c>
      <c r="G54" s="179">
        <f>Tabella3[[#This Row],[Lombardy cumul. Fit]]+Tabella3[[#This Row],[rest of Italy cumul. Fit]]</f>
        <v>2.8255460495103497</v>
      </c>
      <c r="H54" s="179">
        <f>Tabella3[[#This Row],[Italy cumul. Fit]]/Kf</f>
        <v>1.2023603491370863E-5</v>
      </c>
      <c r="I54" s="163">
        <f>Tabella3[[#This Row],[Lombardy fit]]+Tabella3[[#This Row],[rest of Italy fit]]</f>
        <v>2.2212896194903036</v>
      </c>
      <c r="J54" s="163">
        <f>Tabella3[[#This Row],[Italy (fitted Lombardy + fitted sum of the other regions)]]/(y_l_peak+y_a_peak)</f>
        <v>4.3240117412794384E-4</v>
      </c>
      <c r="K54" s="91">
        <f>IFERROR(Kf*_xlfn.LOGNORM.DIST((Tabella3[[#This Row],[Day]]-D_bk),mu_f,sigma_f,FALSE),0)</f>
        <v>0.72878163630395276</v>
      </c>
      <c r="L54" s="91">
        <f>Tabella3[[#This Row],[Italy fit]]/y_f_peak</f>
        <v>1.4398214286123344E-4</v>
      </c>
      <c r="M54" s="10">
        <f>Tabella3[[#This Row],[Italy (fitted Lombardy + fitted sum of the other regions)]]*NOT(ISBLANK(Tabella3[[#This Row],[Italy data]]))</f>
        <v>2.2212896194903036</v>
      </c>
      <c r="N54" s="91">
        <f>Tabella3[[#This Row],[Italy fit]]*NOT(ISBLANK(Tabella3[[#This Row],[Italy data]]))</f>
        <v>0.72878163630395276</v>
      </c>
      <c r="O54" s="91">
        <f>Tabella3[[#This Row],[Italy fit]]+CIf</f>
        <v>1014.4917836566217</v>
      </c>
      <c r="P54" s="91">
        <f>MAX(Tabella3[[#This Row],[Italy fit]]-CIf,0)</f>
        <v>0</v>
      </c>
      <c r="Q54" s="159"/>
      <c r="R54" s="164"/>
      <c r="S54" s="10">
        <f>Tabella3[[#This Row],[Lombardy data]]*NOT(ISBLANK(Tabella3[[#This Row],[Lombardy data]]))</f>
        <v>0</v>
      </c>
      <c r="T54" s="165">
        <f>Tabella8[[#This Row],[Lombardy fit]]</f>
        <v>2.8244131218996005</v>
      </c>
      <c r="U54" s="10">
        <f>Tabella3[[#This Row],[Lombardy cumul. Fit]]/Kl</f>
        <v>3.2464518642524143E-5</v>
      </c>
      <c r="V54" s="91">
        <f>IFERROR(Kl*_xlfn.LOGNORM.DIST((Tabella3[[#This Row],[Day]]-pl),mu_l,sigma_l,FALSE),0)</f>
        <v>2.2190781575440344</v>
      </c>
      <c r="W54" s="91">
        <f>Tabella3[[#This Row],[Lombardy fit]]/y_l_peak</f>
        <v>1.2623069554703235E-3</v>
      </c>
      <c r="X54" s="10">
        <f>Tabella3[[#This Row],[Lombardy fit]]*NOT(ISBLANK(Tabella3[[#This Row],[Lombardy data]]))</f>
        <v>0</v>
      </c>
      <c r="Y54" s="91">
        <f>Tabella3[[#This Row],[Lombardy fit]]+CIl</f>
        <v>751.17444996116762</v>
      </c>
      <c r="Z54" s="91">
        <f>MAX(Tabella3[[#This Row],[Lombardy fit]]-CIl,0)</f>
        <v>0</v>
      </c>
      <c r="AA54" s="161"/>
      <c r="AB54" s="164"/>
      <c r="AC54" s="10">
        <f>Tabella3[[#This Row],[rest of Italy data]]*NOT(ISBLANK(Tabella3[[#This Row],[rest of Italy data]]))</f>
        <v>0</v>
      </c>
      <c r="AD54" s="165">
        <f>Tabella8[[#This Row],[rest of Italy fit]]</f>
        <v>1.1329276107491756E-3</v>
      </c>
      <c r="AE54" s="91">
        <f>Tabella3[[#This Row],[rest of Italy cumul. Fit]]/Ka</f>
        <v>7.6549171799662131E-9</v>
      </c>
      <c r="AF54" s="91">
        <f>IFERROR(Ka*_xlfn.LOGNORM.DIST((Tabella3[[#This Row],[Day]]-pa),mu_a,sigma_a,FALSE),0)</f>
        <v>2.2114619462692015E-3</v>
      </c>
      <c r="AG54" s="91">
        <f>Tabella3[[#This Row],[rest of Italy fit]]/y_a_peak</f>
        <v>6.5444343408368224E-7</v>
      </c>
      <c r="AH54" s="10">
        <f>Tabella3[[#This Row],[rest of Italy fit]]*NOT(ISBLANK(Tabella3[[#This Row],[rest of Italy data]]))</f>
        <v>0</v>
      </c>
      <c r="AI54" s="91">
        <f>Tabella3[[#This Row],[rest of Italy fit]]+CIa</f>
        <v>694.65424732554357</v>
      </c>
      <c r="AJ54" s="91">
        <f>MAX(Tabella3[[#This Row],[rest of Italy fit]]-CIa,0)</f>
        <v>0</v>
      </c>
      <c r="AL54" s="2" t="s">
        <v>6</v>
      </c>
      <c r="AM54" s="6">
        <f>Critical_tf*SE_of_yf</f>
        <v>1013.7630020203177</v>
      </c>
    </row>
    <row r="55" spans="2:41" x14ac:dyDescent="0.3">
      <c r="B55" s="154">
        <v>43878</v>
      </c>
      <c r="C55" s="4">
        <v>48</v>
      </c>
      <c r="D55" s="10" t="str">
        <f>Tabella8[[#This Row],[Italy cumulative]]</f>
        <v>3</v>
      </c>
      <c r="E55" s="91">
        <f>(Tabella3[[#This Row],[Italy cumul. Data]]-D54)</f>
        <v>0</v>
      </c>
      <c r="F55" s="10">
        <f>Tabella3[[#This Row],[Italy data]]*NOT(ISBLANK(Tabella3[[#This Row],[Italy data]]))</f>
        <v>0</v>
      </c>
      <c r="G55" s="179">
        <f>Tabella3[[#This Row],[Lombardy cumul. Fit]]+Tabella3[[#This Row],[rest of Italy cumul. Fit]]</f>
        <v>5.9639118879091244</v>
      </c>
      <c r="H55" s="179">
        <f>Tabella3[[#This Row],[Italy cumul. Fit]]/Kf</f>
        <v>2.5378355383774001E-5</v>
      </c>
      <c r="I55" s="163">
        <f>Tabella3[[#This Row],[Lombardy fit]]+Tabella3[[#This Row],[rest of Italy fit]]</f>
        <v>4.2336813137120375</v>
      </c>
      <c r="J55" s="163">
        <f>Tabella3[[#This Row],[Italy (fitted Lombardy + fitted sum of the other regions)]]/(y_l_peak+y_a_peak)</f>
        <v>8.2413781384918223E-4</v>
      </c>
      <c r="K55" s="91">
        <f>IFERROR(Kf*_xlfn.LOGNORM.DIST((Tabella3[[#This Row],[Day]]-D_bk),mu_f,sigma_f,FALSE),0)</f>
        <v>1.6691707807359872</v>
      </c>
      <c r="L55" s="91">
        <f>Tabella3[[#This Row],[Italy fit]]/y_f_peak</f>
        <v>3.2977063888515817E-4</v>
      </c>
      <c r="M55" s="10">
        <f>Tabella3[[#This Row],[Italy (fitted Lombardy + fitted sum of the other regions)]]*NOT(ISBLANK(Tabella3[[#This Row],[Italy data]]))</f>
        <v>4.2336813137120375</v>
      </c>
      <c r="N55" s="91">
        <f>Tabella3[[#This Row],[Italy fit]]*NOT(ISBLANK(Tabella3[[#This Row],[Italy data]]))</f>
        <v>1.6691707807359872</v>
      </c>
      <c r="O55" s="91">
        <f>Tabella3[[#This Row],[Italy fit]]+CIf</f>
        <v>1015.4321728010536</v>
      </c>
      <c r="P55" s="91">
        <f>MAX(Tabella3[[#This Row],[Italy fit]]-CIf,0)</f>
        <v>0</v>
      </c>
      <c r="Q55" s="159"/>
      <c r="R55" s="164"/>
      <c r="S55" s="10">
        <f>Tabella3[[#This Row],[Lombardy data]]*NOT(ISBLANK(Tabella3[[#This Row],[Lombardy data]]))</f>
        <v>0</v>
      </c>
      <c r="T55" s="165">
        <f>Tabella8[[#This Row],[Lombardy fit]]</f>
        <v>5.9570265831536959</v>
      </c>
      <c r="U55" s="10">
        <f>Tabella3[[#This Row],[Lombardy cumul. Fit]]/Kl</f>
        <v>6.8471569921306846E-5</v>
      </c>
      <c r="V55" s="91">
        <f>IFERROR(Kl*_xlfn.LOGNORM.DIST((Tabella3[[#This Row],[Day]]-pl),mu_l,sigma_l,FALSE),0)</f>
        <v>4.2221927199926466</v>
      </c>
      <c r="W55" s="91">
        <f>Tabella3[[#This Row],[Lombardy fit]]/y_l_peak</f>
        <v>2.401764543382074E-3</v>
      </c>
      <c r="X55" s="10">
        <f>Tabella3[[#This Row],[Lombardy fit]]*NOT(ISBLANK(Tabella3[[#This Row],[Lombardy data]]))</f>
        <v>0</v>
      </c>
      <c r="Y55" s="91">
        <f>Tabella3[[#This Row],[Lombardy fit]]+CIl</f>
        <v>753.1775645236163</v>
      </c>
      <c r="Z55" s="91">
        <f>MAX(Tabella3[[#This Row],[Lombardy fit]]-CIl,0)</f>
        <v>0</v>
      </c>
      <c r="AA55" s="161"/>
      <c r="AB55" s="164"/>
      <c r="AC55" s="10">
        <f>Tabella3[[#This Row],[rest of Italy data]]*NOT(ISBLANK(Tabella3[[#This Row],[rest of Italy data]]))</f>
        <v>0</v>
      </c>
      <c r="AD55" s="165">
        <f>Tabella8[[#This Row],[rest of Italy fit]]</f>
        <v>6.8853047554286546E-3</v>
      </c>
      <c r="AE55" s="91">
        <f>Tabella3[[#This Row],[rest of Italy cumul. Fit]]/Ka</f>
        <v>4.6522334844307022E-8</v>
      </c>
      <c r="AF55" s="91">
        <f>IFERROR(Ka*_xlfn.LOGNORM.DIST((Tabella3[[#This Row],[Day]]-pa),mu_a,sigma_a,FALSE),0)</f>
        <v>1.1488593719390787E-2</v>
      </c>
      <c r="AG55" s="91">
        <f>Tabella3[[#This Row],[rest of Italy fit]]/y_a_peak</f>
        <v>3.3998481136853737E-6</v>
      </c>
      <c r="AH55" s="10">
        <f>Tabella3[[#This Row],[rest of Italy fit]]*NOT(ISBLANK(Tabella3[[#This Row],[rest of Italy data]]))</f>
        <v>0</v>
      </c>
      <c r="AI55" s="91">
        <f>Tabella3[[#This Row],[rest of Italy fit]]+CIa</f>
        <v>694.66352445731673</v>
      </c>
      <c r="AJ55" s="91">
        <f>MAX(Tabella3[[#This Row],[rest of Italy fit]]-CIa,0)</f>
        <v>0</v>
      </c>
      <c r="AL55" s="80" t="s">
        <v>306</v>
      </c>
      <c r="AM55" s="107">
        <f>Kf*_xlfn.LOGNORM.DIST(EXP(mu_f-sigma_f^2),mu_f,sigma_f,FALSE)</f>
        <v>5061.6112652687434</v>
      </c>
    </row>
    <row r="56" spans="2:41" x14ac:dyDescent="0.3">
      <c r="B56" s="154">
        <v>43879</v>
      </c>
      <c r="C56" s="4">
        <v>49</v>
      </c>
      <c r="D56" s="10" t="str">
        <f>Tabella8[[#This Row],[Italy cumulative]]</f>
        <v>3</v>
      </c>
      <c r="E56" s="91">
        <f>(Tabella3[[#This Row],[Italy cumul. Data]]-D55)</f>
        <v>0</v>
      </c>
      <c r="F56" s="10">
        <f>Tabella3[[#This Row],[Italy data]]*NOT(ISBLANK(Tabella3[[#This Row],[Italy data]]))</f>
        <v>0</v>
      </c>
      <c r="G56" s="179">
        <f>Tabella3[[#This Row],[Lombardy cumul. Fit]]+Tabella3[[#This Row],[rest of Italy cumul. Fit]]</f>
        <v>11.729230736660888</v>
      </c>
      <c r="H56" s="179">
        <f>Tabella3[[#This Row],[Italy cumul. Fit]]/Kf</f>
        <v>4.9911633774593601E-5</v>
      </c>
      <c r="I56" s="163">
        <f>Tabella3[[#This Row],[Lombardy fit]]+Tabella3[[#This Row],[rest of Italy fit]]</f>
        <v>7.5593187481777608</v>
      </c>
      <c r="J56" s="163">
        <f>Tabella3[[#This Row],[Italy (fitted Lombardy + fitted sum of the other regions)]]/(y_l_peak+y_a_peak)</f>
        <v>1.4715137880442028E-3</v>
      </c>
      <c r="K56" s="91">
        <f>IFERROR(Kf*_xlfn.LOGNORM.DIST((Tabella3[[#This Row],[Day]]-D_bk),mu_f,sigma_f,FALSE),0)</f>
        <v>3.5080062345581662</v>
      </c>
      <c r="L56" s="91">
        <f>Tabella3[[#This Row],[Italy fit]]/y_f_peak</f>
        <v>6.9306117177133926E-4</v>
      </c>
      <c r="M56" s="10">
        <f>Tabella3[[#This Row],[Italy (fitted Lombardy + fitted sum of the other regions)]]*NOT(ISBLANK(Tabella3[[#This Row],[Italy data]]))</f>
        <v>7.5593187481777608</v>
      </c>
      <c r="N56" s="91">
        <f>Tabella3[[#This Row],[Italy fit]]*NOT(ISBLANK(Tabella3[[#This Row],[Italy data]]))</f>
        <v>3.5080062345581662</v>
      </c>
      <c r="O56" s="91">
        <f>Tabella3[[#This Row],[Italy fit]]+CIf</f>
        <v>1017.2710082548758</v>
      </c>
      <c r="P56" s="91">
        <f>MAX(Tabella3[[#This Row],[Italy fit]]-CIf,0)</f>
        <v>0</v>
      </c>
      <c r="Q56" s="159"/>
      <c r="R56" s="164"/>
      <c r="S56" s="10">
        <f>Tabella3[[#This Row],[Lombardy data]]*NOT(ISBLANK(Tabella3[[#This Row],[Lombardy data]]))</f>
        <v>0</v>
      </c>
      <c r="T56" s="165">
        <f>Tabella8[[#This Row],[Lombardy fit]]</f>
        <v>11.696728324452055</v>
      </c>
      <c r="U56" s="10">
        <f>Tabella3[[#This Row],[Lombardy cumul. Fit]]/Kl</f>
        <v>1.3444515315462133E-4</v>
      </c>
      <c r="V56" s="91">
        <f>IFERROR(Kl*_xlfn.LOGNORM.DIST((Tabella3[[#This Row],[Day]]-pl),mu_l,sigma_l,FALSE),0)</f>
        <v>7.5124004947819838</v>
      </c>
      <c r="W56" s="91">
        <f>Tabella3[[#This Row],[Lombardy fit]]/y_l_peak</f>
        <v>4.2733760253569715E-3</v>
      </c>
      <c r="X56" s="10">
        <f>Tabella3[[#This Row],[Lombardy fit]]*NOT(ISBLANK(Tabella3[[#This Row],[Lombardy data]]))</f>
        <v>0</v>
      </c>
      <c r="Y56" s="91">
        <f>Tabella3[[#This Row],[Lombardy fit]]+CIl</f>
        <v>756.46777229840563</v>
      </c>
      <c r="Z56" s="91">
        <f>MAX(Tabella3[[#This Row],[Lombardy fit]]-CIl,0)</f>
        <v>0</v>
      </c>
      <c r="AA56" s="161"/>
      <c r="AB56" s="164"/>
      <c r="AC56" s="10">
        <f>Tabella3[[#This Row],[rest of Italy data]]*NOT(ISBLANK(Tabella3[[#This Row],[rest of Italy data]]))</f>
        <v>0</v>
      </c>
      <c r="AD56" s="165">
        <f>Tabella8[[#This Row],[rest of Italy fit]]</f>
        <v>3.250241220883384E-2</v>
      </c>
      <c r="AE56" s="91">
        <f>Tabella3[[#This Row],[rest of Italy cumul. Fit]]/Ka</f>
        <v>2.19610918868169E-7</v>
      </c>
      <c r="AF56" s="91">
        <f>IFERROR(Ka*_xlfn.LOGNORM.DIST((Tabella3[[#This Row],[Day]]-pa),mu_a,sigma_a,FALSE),0)</f>
        <v>4.6918253395776648E-2</v>
      </c>
      <c r="AG56" s="91">
        <f>Tabella3[[#This Row],[rest of Italy fit]]/y_a_peak</f>
        <v>1.3884635421984643E-5</v>
      </c>
      <c r="AH56" s="10">
        <f>Tabella3[[#This Row],[rest of Italy fit]]*NOT(ISBLANK(Tabella3[[#This Row],[rest of Italy data]]))</f>
        <v>0</v>
      </c>
      <c r="AI56" s="91">
        <f>Tabella3[[#This Row],[rest of Italy fit]]+CIa</f>
        <v>694.69895411699315</v>
      </c>
      <c r="AJ56" s="91">
        <f>MAX(Tabella3[[#This Row],[rest of Italy fit]]-CIa,0)</f>
        <v>0</v>
      </c>
      <c r="AL56" s="80" t="s">
        <v>129</v>
      </c>
      <c r="AM56" s="95">
        <f>_xlfn.XLOOKUP(ROUND(EXP(mu_f-sigma_f^2)+pf,0),Tabella3[Day],Tabella3[Date])</f>
        <v>43919</v>
      </c>
    </row>
    <row r="57" spans="2:41" x14ac:dyDescent="0.3">
      <c r="B57" s="154">
        <v>43880</v>
      </c>
      <c r="C57" s="4">
        <v>50</v>
      </c>
      <c r="D57" s="10" t="str">
        <f>Tabella8[[#This Row],[Italy cumulative]]</f>
        <v>3</v>
      </c>
      <c r="E57" s="91">
        <f>(Tabella3[[#This Row],[Italy cumul. Data]]-D56)</f>
        <v>0</v>
      </c>
      <c r="F57" s="10">
        <f>Tabella3[[#This Row],[Italy data]]*NOT(ISBLANK(Tabella3[[#This Row],[Italy data]]))</f>
        <v>0</v>
      </c>
      <c r="G57" s="179">
        <f>Tabella3[[#This Row],[Lombardy cumul. Fit]]+Tabella3[[#This Row],[rest of Italy cumul. Fit]]</f>
        <v>21.709222970948375</v>
      </c>
      <c r="H57" s="179">
        <f>Tabella3[[#This Row],[Italy cumul. Fit]]/Kf</f>
        <v>9.2379697422973218E-5</v>
      </c>
      <c r="I57" s="163">
        <f>Tabella3[[#This Row],[Lombardy fit]]+Tabella3[[#This Row],[rest of Italy fit]]</f>
        <v>12.769741474695101</v>
      </c>
      <c r="J57" s="163">
        <f>Tabella3[[#This Row],[Italy (fitted Lombardy + fitted sum of the other regions)]]/(y_l_peak+y_a_peak)</f>
        <v>2.4857862561098445E-3</v>
      </c>
      <c r="K57" s="91">
        <f>IFERROR(Kf*_xlfn.LOGNORM.DIST((Tabella3[[#This Row],[Day]]-D_bk),mu_f,sigma_f,FALSE),0)</f>
        <v>6.8438651433136366</v>
      </c>
      <c r="L57" s="91">
        <f>Tabella3[[#This Row],[Italy fit]]/y_f_peak</f>
        <v>1.3521119628988863E-3</v>
      </c>
      <c r="M57" s="10">
        <f>Tabella3[[#This Row],[Italy (fitted Lombardy + fitted sum of the other regions)]]*NOT(ISBLANK(Tabella3[[#This Row],[Italy data]]))</f>
        <v>12.769741474695101</v>
      </c>
      <c r="N57" s="91">
        <f>Tabella3[[#This Row],[Italy fit]]*NOT(ISBLANK(Tabella3[[#This Row],[Italy data]]))</f>
        <v>6.8438651433136366</v>
      </c>
      <c r="O57" s="91">
        <f>Tabella3[[#This Row],[Italy fit]]+CIf</f>
        <v>1020.6068671636314</v>
      </c>
      <c r="P57" s="91">
        <f>MAX(Tabella3[[#This Row],[Italy fit]]-CIf,0)</f>
        <v>0</v>
      </c>
      <c r="Q57" s="159"/>
      <c r="R57" s="164"/>
      <c r="S57" s="10">
        <f>Tabella3[[#This Row],[Lombardy data]]*NOT(ISBLANK(Tabella3[[#This Row],[Lombardy data]]))</f>
        <v>0</v>
      </c>
      <c r="T57" s="165">
        <f>Tabella8[[#This Row],[Lombardy fit]]</f>
        <v>21.583926129223123</v>
      </c>
      <c r="U57" s="10">
        <f>Tabella3[[#This Row],[Lombardy cumul. Fit]]/Kl</f>
        <v>2.4809110493359912E-4</v>
      </c>
      <c r="V57" s="91">
        <f>IFERROR(Kl*_xlfn.LOGNORM.DIST((Tabella3[[#This Row],[Day]]-pl),mu_l,sigma_l,FALSE),0)</f>
        <v>12.611697574226687</v>
      </c>
      <c r="W57" s="91">
        <f>Tabella3[[#This Row],[Lombardy fit]]/y_l_peak</f>
        <v>7.1740751960957675E-3</v>
      </c>
      <c r="X57" s="10">
        <f>Tabella3[[#This Row],[Lombardy fit]]*NOT(ISBLANK(Tabella3[[#This Row],[Lombardy data]]))</f>
        <v>0</v>
      </c>
      <c r="Y57" s="91">
        <f>Tabella3[[#This Row],[Lombardy fit]]+CIl</f>
        <v>761.56706937785032</v>
      </c>
      <c r="Z57" s="91">
        <f>MAX(Tabella3[[#This Row],[Lombardy fit]]-CIl,0)</f>
        <v>0</v>
      </c>
      <c r="AA57" s="161"/>
      <c r="AB57" s="164"/>
      <c r="AC57" s="10">
        <f>Tabella3[[#This Row],[rest of Italy data]]*NOT(ISBLANK(Tabella3[[#This Row],[rest of Italy data]]))</f>
        <v>0</v>
      </c>
      <c r="AD57" s="165">
        <f>Tabella8[[#This Row],[rest of Italy fit]]</f>
        <v>0.12529684172525352</v>
      </c>
      <c r="AE57" s="91">
        <f>Tabella3[[#This Row],[rest of Italy cumul. Fit]]/Ka</f>
        <v>8.4660038048141327E-7</v>
      </c>
      <c r="AF57" s="91">
        <f>IFERROR(Ka*_xlfn.LOGNORM.DIST((Tabella3[[#This Row],[Day]]-pa),mu_a,sigma_a,FALSE),0)</f>
        <v>0.15804390046841324</v>
      </c>
      <c r="AG57" s="91">
        <f>Tabella3[[#This Row],[rest of Italy fit]]/y_a_peak</f>
        <v>4.6770324550697645E-5</v>
      </c>
      <c r="AH57" s="10">
        <f>Tabella3[[#This Row],[rest of Italy fit]]*NOT(ISBLANK(Tabella3[[#This Row],[rest of Italy data]]))</f>
        <v>0</v>
      </c>
      <c r="AI57" s="91">
        <f>Tabella3[[#This Row],[rest of Italy fit]]+CIa</f>
        <v>694.81007976406579</v>
      </c>
      <c r="AJ57" s="91">
        <f>MAX(Tabella3[[#This Row],[rest of Italy fit]]-CIa,0)</f>
        <v>0</v>
      </c>
      <c r="AL57" s="79" t="s">
        <v>371</v>
      </c>
      <c r="AM57" s="157">
        <f>pt</f>
        <v>31.495272685616236</v>
      </c>
    </row>
    <row r="58" spans="2:41" x14ac:dyDescent="0.3">
      <c r="B58" s="154">
        <v>43881</v>
      </c>
      <c r="C58" s="4">
        <v>51</v>
      </c>
      <c r="D58" s="10" t="str">
        <f>Tabella8[[#This Row],[Italy cumulative]]</f>
        <v>3</v>
      </c>
      <c r="E58" s="91">
        <f>(Tabella3[[#This Row],[Italy cumul. Data]]-D57)</f>
        <v>0</v>
      </c>
      <c r="F58" s="10">
        <f>Tabella3[[#This Row],[Italy data]]*NOT(ISBLANK(Tabella3[[#This Row],[Italy data]]))</f>
        <v>0</v>
      </c>
      <c r="G58" s="179">
        <f>Tabella3[[#This Row],[Lombardy cumul. Fit]]+Tabella3[[#This Row],[rest of Italy cumul. Fit]]</f>
        <v>38.133444094002002</v>
      </c>
      <c r="H58" s="179">
        <f>Tabella3[[#This Row],[Italy cumul. Fit]]/Kf</f>
        <v>1.6227001914412035E-4</v>
      </c>
      <c r="I58" s="163">
        <f>Tabella3[[#This Row],[Lombardy fit]]+Tabella3[[#This Row],[rest of Italy fit]]</f>
        <v>20.579669671630167</v>
      </c>
      <c r="J58" s="163">
        <f>Tabella3[[#This Row],[Italy (fitted Lombardy + fitted sum of the other regions)]]/(y_l_peak+y_a_peak)</f>
        <v>4.0060842364265884E-3</v>
      </c>
      <c r="K58" s="91">
        <f>IFERROR(Kf*_xlfn.LOGNORM.DIST((Tabella3[[#This Row],[Day]]-D_bk),mu_f,sigma_f,FALSE),0)</f>
        <v>12.513119954571096</v>
      </c>
      <c r="L58" s="91">
        <f>Tabella3[[#This Row],[Italy fit]]/y_f_peak</f>
        <v>2.4721613926443477E-3</v>
      </c>
      <c r="M58" s="10">
        <f>Tabella3[[#This Row],[Italy (fitted Lombardy + fitted sum of the other regions)]]*NOT(ISBLANK(Tabella3[[#This Row],[Italy data]]))</f>
        <v>20.579669671630167</v>
      </c>
      <c r="N58" s="91">
        <f>Tabella3[[#This Row],[Italy fit]]*NOT(ISBLANK(Tabella3[[#This Row],[Italy data]]))</f>
        <v>12.513119954571096</v>
      </c>
      <c r="O58" s="91">
        <f>Tabella3[[#This Row],[Italy fit]]+CIf</f>
        <v>1026.2761219748888</v>
      </c>
      <c r="P58" s="91">
        <f>MAX(Tabella3[[#This Row],[Italy fit]]-CIf,0)</f>
        <v>0</v>
      </c>
      <c r="Q58" s="159"/>
      <c r="R58" s="164"/>
      <c r="S58" s="10">
        <f>Tabella3[[#This Row],[Lombardy data]]*NOT(ISBLANK(Tabella3[[#This Row],[Lombardy data]]))</f>
        <v>0</v>
      </c>
      <c r="T58" s="165">
        <f>Tabella8[[#This Row],[Lombardy fit]]</f>
        <v>37.724019062370473</v>
      </c>
      <c r="U58" s="10">
        <f>Tabella3[[#This Row],[Lombardy cumul. Fit]]/Kl</f>
        <v>4.3360941451000542E-4</v>
      </c>
      <c r="V58" s="91">
        <f>IFERROR(Kl*_xlfn.LOGNORM.DIST((Tabella3[[#This Row],[Day]]-pl),mu_l,sigma_l,FALSE),0)</f>
        <v>20.124607729459562</v>
      </c>
      <c r="W58" s="91">
        <f>Tabella3[[#This Row],[Lombardy fit]]/y_l_peak</f>
        <v>1.1447741138204837E-2</v>
      </c>
      <c r="X58" s="10">
        <f>Tabella3[[#This Row],[Lombardy fit]]*NOT(ISBLANK(Tabella3[[#This Row],[Lombardy data]]))</f>
        <v>0</v>
      </c>
      <c r="Y58" s="91">
        <f>Tabella3[[#This Row],[Lombardy fit]]+CIl</f>
        <v>769.07997953308313</v>
      </c>
      <c r="Z58" s="91">
        <f>MAX(Tabella3[[#This Row],[Lombardy fit]]-CIl,0)</f>
        <v>0</v>
      </c>
      <c r="AA58" s="161"/>
      <c r="AB58" s="164"/>
      <c r="AC58" s="10">
        <f>Tabella3[[#This Row],[rest of Italy data]]*NOT(ISBLANK(Tabella3[[#This Row],[rest of Italy data]]))</f>
        <v>0</v>
      </c>
      <c r="AD58" s="165">
        <f>Tabella8[[#This Row],[rest of Italy fit]]</f>
        <v>0.40942503163152882</v>
      </c>
      <c r="AE58" s="91">
        <f>Tabella3[[#This Row],[rest of Italy cumul. Fit]]/Ka</f>
        <v>2.7663856709008015E-6</v>
      </c>
      <c r="AF58" s="91">
        <f>IFERROR(Ka*_xlfn.LOGNORM.DIST((Tabella3[[#This Row],[Day]]-pa),mu_a,sigma_a,FALSE),0)</f>
        <v>0.45506194217060519</v>
      </c>
      <c r="AG58" s="91">
        <f>Tabella3[[#This Row],[rest of Italy fit]]/y_a_peak</f>
        <v>1.3466761237168861E-4</v>
      </c>
      <c r="AH58" s="10">
        <f>Tabella3[[#This Row],[rest of Italy fit]]*NOT(ISBLANK(Tabella3[[#This Row],[rest of Italy data]]))</f>
        <v>0</v>
      </c>
      <c r="AI58" s="91">
        <f>Tabella3[[#This Row],[rest of Italy fit]]+CIa</f>
        <v>695.10709780576792</v>
      </c>
      <c r="AJ58" s="91">
        <f>MAX(Tabella3[[#This Row],[rest of Italy fit]]-CIa,0)</f>
        <v>0</v>
      </c>
    </row>
    <row r="59" spans="2:41" x14ac:dyDescent="0.3">
      <c r="B59" s="154">
        <v>43882</v>
      </c>
      <c r="C59" s="4">
        <v>52</v>
      </c>
      <c r="D59" s="10" t="str">
        <f>Tabella8[[#This Row],[Italy cumulative]]</f>
        <v>20</v>
      </c>
      <c r="E59" s="91">
        <f>(Tabella3[[#This Row],[Italy cumul. Data]]-D58)</f>
        <v>17</v>
      </c>
      <c r="F59" s="10">
        <f>Tabella3[[#This Row],[Italy data]]*NOT(ISBLANK(Tabella3[[#This Row],[Italy data]]))</f>
        <v>17</v>
      </c>
      <c r="G59" s="179">
        <f>Tabella3[[#This Row],[Lombardy cumul. Fit]]+Tabella3[[#This Row],[rest of Italy cumul. Fit]]</f>
        <v>64.024494720082998</v>
      </c>
      <c r="H59" s="179">
        <f>Tabella3[[#This Row],[Italy cumul. Fit]]/Kf</f>
        <v>2.7244473272097195E-4</v>
      </c>
      <c r="I59" s="163">
        <f>Tabella3[[#This Row],[Lombardy fit]]+Tabella3[[#This Row],[rest of Italy fit]]</f>
        <v>31.863256526814144</v>
      </c>
      <c r="J59" s="163">
        <f>Tabella3[[#This Row],[Italy (fitted Lombardy + fitted sum of the other regions)]]/(y_l_peak+y_a_peak)</f>
        <v>6.2025723313359447E-3</v>
      </c>
      <c r="K59" s="91">
        <f>IFERROR(Kf*_xlfn.LOGNORM.DIST((Tabella3[[#This Row],[Day]]-D_bk),mu_f,sigma_f,FALSE),0)</f>
        <v>21.612288472743202</v>
      </c>
      <c r="L59" s="91">
        <f>Tabella3[[#This Row],[Italy fit]]/y_f_peak</f>
        <v>4.269843601194789E-3</v>
      </c>
      <c r="M59" s="10">
        <f>Tabella3[[#This Row],[Italy (fitted Lombardy + fitted sum of the other regions)]]*NOT(ISBLANK(Tabella3[[#This Row],[Italy data]]))</f>
        <v>31.863256526814144</v>
      </c>
      <c r="N59" s="91">
        <f>Tabella3[[#This Row],[Italy fit]]*NOT(ISBLANK(Tabella3[[#This Row],[Italy data]]))</f>
        <v>21.612288472743202</v>
      </c>
      <c r="O59" s="91">
        <f>Tabella3[[#This Row],[Italy fit]]+CIf</f>
        <v>1035.3752904930609</v>
      </c>
      <c r="P59" s="91">
        <f>MAX(Tabella3[[#This Row],[Italy fit]]-CIf,0)</f>
        <v>0</v>
      </c>
      <c r="Q59" s="159"/>
      <c r="R59" s="164"/>
      <c r="S59" s="10">
        <f>Tabella3[[#This Row],[Lombardy data]]*NOT(ISBLANK(Tabella3[[#This Row],[Lombardy data]]))</f>
        <v>0</v>
      </c>
      <c r="T59" s="165">
        <f>Tabella8[[#This Row],[Lombardy fit]]</f>
        <v>62.857858736043291</v>
      </c>
      <c r="U59" s="10">
        <f>Tabella3[[#This Row],[Lombardy cumul. Fit]]/Kl</f>
        <v>7.2250412340279645E-4</v>
      </c>
      <c r="V59" s="91">
        <f>IFERROR(Kl*_xlfn.LOGNORM.DIST((Tabella3[[#This Row],[Day]]-pl),mu_l,sigma_l,FALSE),0)</f>
        <v>30.712451565484525</v>
      </c>
      <c r="W59" s="91">
        <f>Tabella3[[#This Row],[Lombardy fit]]/y_l_peak</f>
        <v>1.7470561412565856E-2</v>
      </c>
      <c r="X59" s="10">
        <f>Tabella3[[#This Row],[Lombardy fit]]*NOT(ISBLANK(Tabella3[[#This Row],[Lombardy data]]))</f>
        <v>0</v>
      </c>
      <c r="Y59" s="91">
        <f>Tabella3[[#This Row],[Lombardy fit]]+CIl</f>
        <v>779.66782336910819</v>
      </c>
      <c r="Z59" s="91">
        <f>MAX(Tabella3[[#This Row],[Lombardy fit]]-CIl,0)</f>
        <v>0</v>
      </c>
      <c r="AA59" s="161"/>
      <c r="AB59" s="164"/>
      <c r="AC59" s="10">
        <f>Tabella3[[#This Row],[rest of Italy data]]*NOT(ISBLANK(Tabella3[[#This Row],[rest of Italy data]]))</f>
        <v>0</v>
      </c>
      <c r="AD59" s="165">
        <f>Tabella8[[#This Row],[rest of Italy fit]]</f>
        <v>1.166635984039708</v>
      </c>
      <c r="AE59" s="91">
        <f>Tabella3[[#This Row],[rest of Italy cumul. Fit]]/Ka</f>
        <v>7.8826764854701008E-6</v>
      </c>
      <c r="AF59" s="91">
        <f>IFERROR(Ka*_xlfn.LOGNORM.DIST((Tabella3[[#This Row],[Day]]-pa),mu_a,sigma_a,FALSE),0)</f>
        <v>1.1508049613296201</v>
      </c>
      <c r="AG59" s="91">
        <f>Tabella3[[#This Row],[rest of Italy fit]]/y_a_peak</f>
        <v>3.4056057447592918E-4</v>
      </c>
      <c r="AH59" s="10">
        <f>Tabella3[[#This Row],[rest of Italy fit]]*NOT(ISBLANK(Tabella3[[#This Row],[rest of Italy data]]))</f>
        <v>0</v>
      </c>
      <c r="AI59" s="91">
        <f>Tabella3[[#This Row],[rest of Italy fit]]+CIa</f>
        <v>695.80284082492699</v>
      </c>
      <c r="AJ59" s="91">
        <f>MAX(Tabella3[[#This Row],[rest of Italy fit]]-CIa,0)</f>
        <v>0</v>
      </c>
      <c r="AL59" s="71"/>
      <c r="AM59" s="73"/>
      <c r="AN59" s="72"/>
      <c r="AO59" s="72"/>
    </row>
    <row r="60" spans="2:41" x14ac:dyDescent="0.3">
      <c r="B60" s="154">
        <v>43883</v>
      </c>
      <c r="C60" s="4">
        <v>53</v>
      </c>
      <c r="D60" s="10" t="str">
        <f>Tabella8[[#This Row],[Italy cumulative]]</f>
        <v>62</v>
      </c>
      <c r="E60" s="91">
        <f>(Tabella3[[#This Row],[Italy cumul. Data]]-D59)</f>
        <v>42</v>
      </c>
      <c r="F60" s="10">
        <f>Tabella3[[#This Row],[Italy data]]*NOT(ISBLANK(Tabella3[[#This Row],[Italy data]]))</f>
        <v>42</v>
      </c>
      <c r="G60" s="179">
        <f>Tabella3[[#This Row],[Lombardy cumul. Fit]]+Tabella3[[#This Row],[rest of Italy cumul. Fit]]</f>
        <v>103.36555302362525</v>
      </c>
      <c r="H60" s="179">
        <f>Tabella3[[#This Row],[Italy cumul. Fit]]/Kf</f>
        <v>4.3985353713761453E-4</v>
      </c>
      <c r="I60" s="163">
        <f>Tabella3[[#This Row],[Lombardy fit]]+Tabella3[[#This Row],[rest of Italy fit]]</f>
        <v>47.669857876536113</v>
      </c>
      <c r="J60" s="163">
        <f>Tabella3[[#This Row],[Italy (fitted Lombardy + fitted sum of the other regions)]]/(y_l_peak+y_a_peak)</f>
        <v>9.2795204801146853E-3</v>
      </c>
      <c r="K60" s="91">
        <f>IFERROR(Kf*_xlfn.LOGNORM.DIST((Tabella3[[#This Row],[Day]]-D_bk),mu_f,sigma_f,FALSE),0)</f>
        <v>35.49796164913942</v>
      </c>
      <c r="L60" s="91">
        <f>Tabella3[[#This Row],[Italy fit]]/y_f_peak</f>
        <v>7.013174222350059E-3</v>
      </c>
      <c r="M60" s="10">
        <f>Tabella3[[#This Row],[Italy (fitted Lombardy + fitted sum of the other regions)]]*NOT(ISBLANK(Tabella3[[#This Row],[Italy data]]))</f>
        <v>47.669857876536113</v>
      </c>
      <c r="N60" s="91">
        <f>Tabella3[[#This Row],[Italy fit]]*NOT(ISBLANK(Tabella3[[#This Row],[Italy data]]))</f>
        <v>35.49796164913942</v>
      </c>
      <c r="O60" s="91">
        <f>Tabella3[[#This Row],[Italy fit]]+CIf</f>
        <v>1049.2609636694572</v>
      </c>
      <c r="P60" s="91">
        <f>MAX(Tabella3[[#This Row],[Italy fit]]-CIf,0)</f>
        <v>0</v>
      </c>
      <c r="Q60" s="159"/>
      <c r="R60" s="164"/>
      <c r="S60" s="10">
        <f>Tabella3[[#This Row],[Lombardy data]]*NOT(ISBLANK(Tabella3[[#This Row],[Lombardy data]]))</f>
        <v>0</v>
      </c>
      <c r="T60" s="165">
        <f>Tabella8[[#This Row],[Lombardy fit]]</f>
        <v>100.40214228955595</v>
      </c>
      <c r="U60" s="10">
        <f>Tabella3[[#This Row],[Lombardy cumul. Fit]]/Kl</f>
        <v>1.1540476125236317E-3</v>
      </c>
      <c r="V60" s="91">
        <f>IFERROR(Kl*_xlfn.LOGNORM.DIST((Tabella3[[#This Row],[Day]]-pl),mu_l,sigma_l,FALSE),0)</f>
        <v>45.059429969357659</v>
      </c>
      <c r="W60" s="91">
        <f>Tabella3[[#This Row],[Lombardy fit]]/y_l_peak</f>
        <v>2.5631738867097312E-2</v>
      </c>
      <c r="X60" s="10">
        <f>Tabella3[[#This Row],[Lombardy fit]]*NOT(ISBLANK(Tabella3[[#This Row],[Lombardy data]]))</f>
        <v>0</v>
      </c>
      <c r="Y60" s="91">
        <f>Tabella3[[#This Row],[Lombardy fit]]+CIl</f>
        <v>794.01480177298129</v>
      </c>
      <c r="Z60" s="91">
        <f>MAX(Tabella3[[#This Row],[Lombardy fit]]-CIl,0)</f>
        <v>0</v>
      </c>
      <c r="AA60" s="161"/>
      <c r="AB60" s="164"/>
      <c r="AC60" s="10">
        <f>Tabella3[[#This Row],[rest of Italy data]]*NOT(ISBLANK(Tabella3[[#This Row],[rest of Italy data]]))</f>
        <v>0</v>
      </c>
      <c r="AD60" s="165">
        <f>Tabella8[[#This Row],[rest of Italy fit]]</f>
        <v>2.9634107340692979</v>
      </c>
      <c r="AE60" s="91">
        <f>Tabella3[[#This Row],[rest of Italy cumul. Fit]]/Ka</f>
        <v>2.0023047831381367E-5</v>
      </c>
      <c r="AF60" s="91">
        <f>IFERROR(Ka*_xlfn.LOGNORM.DIST((Tabella3[[#This Row],[Day]]-pa),mu_a,sigma_a,FALSE),0)</f>
        <v>2.6104279071784542</v>
      </c>
      <c r="AG60" s="91">
        <f>Tabella3[[#This Row],[rest of Italy fit]]/y_a_peak</f>
        <v>7.7251042319938083E-4</v>
      </c>
      <c r="AH60" s="10">
        <f>Tabella3[[#This Row],[rest of Italy fit]]*NOT(ISBLANK(Tabella3[[#This Row],[rest of Italy data]]))</f>
        <v>0</v>
      </c>
      <c r="AI60" s="91">
        <f>Tabella3[[#This Row],[rest of Italy fit]]+CIa</f>
        <v>697.26246377077575</v>
      </c>
      <c r="AJ60" s="91">
        <f>MAX(Tabella3[[#This Row],[rest of Italy fit]]-CIa,0)</f>
        <v>0</v>
      </c>
      <c r="AL60" s="71"/>
      <c r="AM60" s="71"/>
    </row>
    <row r="61" spans="2:41" x14ac:dyDescent="0.3">
      <c r="B61" s="154">
        <v>43884</v>
      </c>
      <c r="C61" s="4">
        <v>54</v>
      </c>
      <c r="D61" s="10" t="str">
        <f>Tabella8[[#This Row],[Italy cumulative]]</f>
        <v>155</v>
      </c>
      <c r="E61" s="91">
        <f>(Tabella3[[#This Row],[Italy cumul. Data]]-D60)</f>
        <v>93</v>
      </c>
      <c r="F61" s="10">
        <f>Tabella3[[#This Row],[Italy data]]*NOT(ISBLANK(Tabella3[[#This Row],[Italy data]]))</f>
        <v>93</v>
      </c>
      <c r="G61" s="179">
        <f>Tabella3[[#This Row],[Lombardy cumul. Fit]]+Tabella3[[#This Row],[rest of Italy cumul. Fit]]</f>
        <v>161.28137187543177</v>
      </c>
      <c r="H61" s="179">
        <f>Tabella3[[#This Row],[Italy cumul. Fit]]/Kf</f>
        <v>6.8630389736899625E-4</v>
      </c>
      <c r="I61" s="163">
        <f>Tabella3[[#This Row],[Lombardy fit]]+Tabella3[[#This Row],[rest of Italy fit]]</f>
        <v>69.234108583341651</v>
      </c>
      <c r="J61" s="163">
        <f>Tabella3[[#This Row],[Italy (fitted Lombardy + fitted sum of the other regions)]]/(y_l_peak+y_a_peak)</f>
        <v>1.3477265449071787E-2</v>
      </c>
      <c r="K61" s="91">
        <f>IFERROR(Kf*_xlfn.LOGNORM.DIST((Tabella3[[#This Row],[Day]]-D_bk),mu_f,sigma_f,FALSE),0)</f>
        <v>55.760527489184952</v>
      </c>
      <c r="L61" s="91">
        <f>Tabella3[[#This Row],[Italy fit]]/y_f_peak</f>
        <v>1.1016359132870782E-2</v>
      </c>
      <c r="M61" s="10">
        <f>Tabella3[[#This Row],[Italy (fitted Lombardy + fitted sum of the other regions)]]*NOT(ISBLANK(Tabella3[[#This Row],[Italy data]]))</f>
        <v>69.234108583341651</v>
      </c>
      <c r="N61" s="91">
        <f>Tabella3[[#This Row],[Italy fit]]*NOT(ISBLANK(Tabella3[[#This Row],[Italy data]]))</f>
        <v>55.760527489184952</v>
      </c>
      <c r="O61" s="91">
        <f>Tabella3[[#This Row],[Italy fit]]+CIf</f>
        <v>1069.5235295095026</v>
      </c>
      <c r="P61" s="91">
        <f>MAX(Tabella3[[#This Row],[Italy fit]]-CIf,0)</f>
        <v>0</v>
      </c>
      <c r="Q61" s="159"/>
      <c r="R61" s="164"/>
      <c r="S61" s="10">
        <f>Tabella3[[#This Row],[Lombardy data]]*NOT(ISBLANK(Tabella3[[#This Row],[Lombardy data]]))</f>
        <v>0</v>
      </c>
      <c r="T61" s="165">
        <f>Tabella8[[#This Row],[Lombardy fit]]</f>
        <v>154.45315185535208</v>
      </c>
      <c r="U61" s="10">
        <f>Tabella3[[#This Row],[Lombardy cumul. Fit]]/Kl</f>
        <v>1.7753235845442768E-3</v>
      </c>
      <c r="V61" s="91">
        <f>IFERROR(Kl*_xlfn.LOGNORM.DIST((Tabella3[[#This Row],[Day]]-pl),mu_l,sigma_l,FALSE),0)</f>
        <v>63.833835847445826</v>
      </c>
      <c r="W61" s="91">
        <f>Tabella3[[#This Row],[Lombardy fit]]/y_l_peak</f>
        <v>3.6311427207125213E-2</v>
      </c>
      <c r="X61" s="10">
        <f>Tabella3[[#This Row],[Lombardy fit]]*NOT(ISBLANK(Tabella3[[#This Row],[Lombardy data]]))</f>
        <v>0</v>
      </c>
      <c r="Y61" s="91">
        <f>Tabella3[[#This Row],[Lombardy fit]]+CIl</f>
        <v>812.78920765106943</v>
      </c>
      <c r="Z61" s="91">
        <f>MAX(Tabella3[[#This Row],[Lombardy fit]]-CIl,0)</f>
        <v>0</v>
      </c>
      <c r="AA61" s="161"/>
      <c r="AB61" s="164"/>
      <c r="AC61" s="10">
        <f>Tabella3[[#This Row],[rest of Italy data]]*NOT(ISBLANK(Tabella3[[#This Row],[rest of Italy data]]))</f>
        <v>0</v>
      </c>
      <c r="AD61" s="165">
        <f>Tabella8[[#This Row],[rest of Italy fit]]</f>
        <v>6.8282200200796863</v>
      </c>
      <c r="AE61" s="91">
        <f>Tabella3[[#This Row],[rest of Italy cumul. Fit]]/Ka</f>
        <v>4.6136627128129388E-5</v>
      </c>
      <c r="AF61" s="91">
        <f>IFERROR(Ka*_xlfn.LOGNORM.DIST((Tabella3[[#This Row],[Day]]-pa),mu_a,sigma_a,FALSE),0)</f>
        <v>5.4002727358958271</v>
      </c>
      <c r="AG61" s="91">
        <f>Tabella3[[#This Row],[rest of Italy fit]]/y_a_peak</f>
        <v>1.5981161422336009E-3</v>
      </c>
      <c r="AH61" s="10">
        <f>Tabella3[[#This Row],[rest of Italy fit]]*NOT(ISBLANK(Tabella3[[#This Row],[rest of Italy data]]))</f>
        <v>0</v>
      </c>
      <c r="AI61" s="91">
        <f>Tabella3[[#This Row],[rest of Italy fit]]+CIa</f>
        <v>700.05230859949313</v>
      </c>
      <c r="AJ61" s="91">
        <f>MAX(Tabella3[[#This Row],[rest of Italy fit]]-CIa,0)</f>
        <v>0</v>
      </c>
      <c r="AL61" s="71"/>
      <c r="AM61" s="71"/>
    </row>
    <row r="62" spans="2:41" x14ac:dyDescent="0.3">
      <c r="B62" s="16">
        <v>43885</v>
      </c>
      <c r="C62" s="4">
        <v>55</v>
      </c>
      <c r="D62" s="91">
        <f>'dpc-covid19-ita-andamento-naz'!L2</f>
        <v>229</v>
      </c>
      <c r="E62" s="91">
        <f>(Tabella3[[#This Row],[Italy cumul. Data]]-D61)</f>
        <v>74</v>
      </c>
      <c r="F62" s="91">
        <f>Tabella3[[#This Row],[Italy data]]*NOT(ISBLANK(Tabella3[[#This Row],[Italy data]]))</f>
        <v>74</v>
      </c>
      <c r="G62" s="96">
        <f>Tabella8[[#This Row],[Italy fit]]</f>
        <v>177.89291256402961</v>
      </c>
      <c r="H62" s="179">
        <f>Tabella3[[#This Row],[Italy cumul. Fit]]/Kf</f>
        <v>7.5699132384186732E-4</v>
      </c>
      <c r="I62" s="96">
        <f>Tabella3[[#This Row],[Lombardy fit]]+Tabella3[[#This Row],[rest of Italy fit]]</f>
        <v>97.973226382064126</v>
      </c>
      <c r="J62" s="96">
        <f>Tabella3[[#This Row],[Italy (fitted Lombardy + fitted sum of the other regions)]]/(y_l_peak+y_a_peak)</f>
        <v>1.9071685992224707E-2</v>
      </c>
      <c r="K62" s="91">
        <f>IFERROR(Kf*_xlfn.LOGNORM.DIST((Tabella3[[#This Row],[Day]]-D_bk),mu_f,sigma_f,FALSE),0)</f>
        <v>84.171379422834548</v>
      </c>
      <c r="L62" s="91">
        <f>Tabella3[[#This Row],[Italy fit]]/y_f_peak</f>
        <v>1.6629364645284649E-2</v>
      </c>
      <c r="M62" s="91">
        <f>Tabella3[[#This Row],[Italy (fitted Lombardy + fitted sum of the other regions)]]*NOT(ISBLANK(Tabella3[[#This Row],[Italy data]]))</f>
        <v>97.973226382064126</v>
      </c>
      <c r="N62" s="91">
        <f>Tabella3[[#This Row],[Italy fit]]*NOT(ISBLANK(Tabella3[[#This Row],[Italy data]]))</f>
        <v>84.171379422834548</v>
      </c>
      <c r="O62" s="91">
        <f>Tabella3[[#This Row],[Italy fit]]+CIf</f>
        <v>1097.9343814431522</v>
      </c>
      <c r="P62" s="91">
        <f>MAX(Tabella3[[#This Row],[Italy fit]]-CIf,0)</f>
        <v>0</v>
      </c>
      <c r="Q62" s="4">
        <f>Tabella8[[#This Row],[Lombardy]]</f>
        <v>172</v>
      </c>
      <c r="R62" s="164"/>
      <c r="S62" s="91">
        <f>Tabella3[[#This Row],[Lombardy data]]*NOT(ISBLANK(Tabella3[[#This Row],[Lombardy data]]))</f>
        <v>0</v>
      </c>
      <c r="T62" s="96">
        <f>Tabella8[[#This Row],[Lombardy fit]]</f>
        <v>229.75081032074394</v>
      </c>
      <c r="U62" s="91">
        <f>Tabella3[[#This Row],[Lombardy cumul. Fit]]/Kl</f>
        <v>2.640813911732689E-3</v>
      </c>
      <c r="V62" s="91">
        <f>IFERROR(Kl*_xlfn.LOGNORM.DIST((Tabella3[[#This Row],[Day]]-pl),mu_l,sigma_l,FALSE),0)</f>
        <v>87.648093905472948</v>
      </c>
      <c r="W62" s="91">
        <f>Tabella3[[#This Row],[Lombardy fit]]/y_l_peak</f>
        <v>4.9857999906161077E-2</v>
      </c>
      <c r="X62" s="91">
        <f>Tabella3[[#This Row],[Lombardy fit]]*NOT(ISBLANK(Tabella3[[#This Row],[Lombardy data]]))</f>
        <v>0</v>
      </c>
      <c r="Y62" s="91">
        <f>Tabella3[[#This Row],[Lombardy fit]]+CIl</f>
        <v>836.60346570909655</v>
      </c>
      <c r="Z62" s="91">
        <f>MAX(Tabella3[[#This Row],[Lombardy fit]]-CIl,0)</f>
        <v>0</v>
      </c>
      <c r="AA62" s="10">
        <f>Tabella8[[#This Row],[rest of Italy ]]</f>
        <v>57</v>
      </c>
      <c r="AB62" s="164"/>
      <c r="AC62" s="91">
        <f>Tabella3[[#This Row],[rest of Italy data]]*NOT(ISBLANK(Tabella3[[#This Row],[rest of Italy data]]))</f>
        <v>0</v>
      </c>
      <c r="AD62" s="96">
        <f>Tabella8[[#This Row],[rest of Italy fit]]</f>
        <v>14.472768060535266</v>
      </c>
      <c r="AE62" s="91">
        <f>Tabella3[[#This Row],[rest of Italy cumul. Fit]]/Ka</f>
        <v>9.7788984765757959E-5</v>
      </c>
      <c r="AF62" s="91">
        <f>IFERROR(Ka*_xlfn.LOGNORM.DIST((Tabella3[[#This Row],[Day]]-pa),mu_a,sigma_a,FALSE),0)</f>
        <v>10.325132476591177</v>
      </c>
      <c r="AG62" s="91">
        <f>Tabella3[[#This Row],[rest of Italy fit]]/y_a_peak</f>
        <v>3.0555421343554639E-3</v>
      </c>
      <c r="AH62" s="91">
        <f>Tabella3[[#This Row],[rest of Italy fit]]*NOT(ISBLANK(Tabella3[[#This Row],[rest of Italy data]]))</f>
        <v>0</v>
      </c>
      <c r="AI62" s="91">
        <f>Tabella3[[#This Row],[rest of Italy fit]]+CIa</f>
        <v>704.97716834018854</v>
      </c>
      <c r="AJ62" s="91">
        <f>MAX(Tabella3[[#This Row],[rest of Italy fit]]-CIa,0)</f>
        <v>0</v>
      </c>
      <c r="AL62"/>
      <c r="AM62"/>
    </row>
    <row r="63" spans="2:41" x14ac:dyDescent="0.3">
      <c r="B63" s="9">
        <v>43886</v>
      </c>
      <c r="C63" s="4">
        <v>56</v>
      </c>
      <c r="D63" s="91">
        <f>'dpc-covid19-ita-andamento-naz'!L3</f>
        <v>322</v>
      </c>
      <c r="E63" s="91">
        <f>(Tabella3[[#This Row],[Italy cumul. Data]]-D62)</f>
        <v>93</v>
      </c>
      <c r="F63" s="91">
        <f>Tabella3[[#This Row],[Italy data]]*NOT(ISBLANK(Tabella3[[#This Row],[Italy data]]))</f>
        <v>93</v>
      </c>
      <c r="G63" s="96">
        <f>Tabella8[[#This Row],[Italy fit]]</f>
        <v>280.36735611097754</v>
      </c>
      <c r="H63" s="179">
        <f>Tabella3[[#This Row],[Italy cumul. Fit]]/Kf</f>
        <v>1.1930529047249278E-3</v>
      </c>
      <c r="I63" s="96">
        <f>Tabella3[[#This Row],[Lombardy fit]]+Tabella3[[#This Row],[rest of Italy fit]]</f>
        <v>135.46480589678541</v>
      </c>
      <c r="J63" s="96">
        <f>Tabella3[[#This Row],[Italy (fitted Lombardy + fitted sum of the other regions)]]/(y_l_peak+y_a_peak)</f>
        <v>2.6369880185288335E-2</v>
      </c>
      <c r="K63" s="91">
        <f>IFERROR(Kf*_xlfn.LOGNORM.DIST((Tabella3[[#This Row],[Day]]-D_bk),mu_f,sigma_f,FALSE),0)</f>
        <v>122.60675138220617</v>
      </c>
      <c r="L63" s="91">
        <f>Tabella3[[#This Row],[Italy fit]]/y_f_peak</f>
        <v>2.4222869943311704E-2</v>
      </c>
      <c r="M63" s="91">
        <f>Tabella3[[#This Row],[Italy (fitted Lombardy + fitted sum of the other regions)]]*NOT(ISBLANK(Tabella3[[#This Row],[Italy data]]))</f>
        <v>135.46480589678541</v>
      </c>
      <c r="N63" s="91">
        <f>Tabella3[[#This Row],[Italy fit]]*NOT(ISBLANK(Tabella3[[#This Row],[Italy data]]))</f>
        <v>122.60675138220617</v>
      </c>
      <c r="O63" s="91">
        <f>Tabella3[[#This Row],[Italy fit]]+CIf</f>
        <v>1136.3697534025239</v>
      </c>
      <c r="P63" s="91">
        <f>MAX(Tabella3[[#This Row],[Italy fit]]-CIf,0)</f>
        <v>0</v>
      </c>
      <c r="Q63" s="4">
        <f>Tabella8[[#This Row],[Lombardy]]</f>
        <v>240</v>
      </c>
      <c r="R63" s="91">
        <f>(Tabella3[[#This Row],[Lombardy cumul. Data]]-Q62)</f>
        <v>68</v>
      </c>
      <c r="S63" s="91">
        <f>Tabella3[[#This Row],[Lombardy data]]*NOT(ISBLANK(Tabella3[[#This Row],[Lombardy data]]))</f>
        <v>68</v>
      </c>
      <c r="T63" s="96">
        <f>Tabella8[[#This Row],[Lombardy fit]]</f>
        <v>331.60368823539022</v>
      </c>
      <c r="U63" s="91">
        <f>Tabella3[[#This Row],[Lombardy cumul. Fit]]/Kl</f>
        <v>3.8115366463837958E-3</v>
      </c>
      <c r="V63" s="91">
        <f>IFERROR(Kl*_xlfn.LOGNORM.DIST((Tabella3[[#This Row],[Day]]-pl),mu_l,sigma_l,FALSE),0)</f>
        <v>117.02117832508443</v>
      </c>
      <c r="W63" s="91">
        <f>Tabella3[[#This Row],[Lombardy fit]]/y_l_peak</f>
        <v>6.65666717663395E-2</v>
      </c>
      <c r="X63" s="91">
        <f>Tabella3[[#This Row],[Lombardy fit]]*NOT(ISBLANK(Tabella3[[#This Row],[Lombardy data]]))</f>
        <v>117.02117832508443</v>
      </c>
      <c r="Y63" s="91">
        <f>Tabella3[[#This Row],[Lombardy fit]]+CIl</f>
        <v>865.97655012870803</v>
      </c>
      <c r="Z63" s="91">
        <f>MAX(Tabella3[[#This Row],[Lombardy fit]]-CIl,0)</f>
        <v>0</v>
      </c>
      <c r="AA63" s="10">
        <f>Tabella8[[#This Row],[rest of Italy ]]</f>
        <v>82</v>
      </c>
      <c r="AB63" s="10">
        <f>(Tabella3[[#This Row],[rest of Italy cum. Data]]-AA62)</f>
        <v>25</v>
      </c>
      <c r="AC63" s="91">
        <f>Tabella3[[#This Row],[rest of Italy data]]*NOT(ISBLANK(Tabella3[[#This Row],[rest of Italy data]]))</f>
        <v>25</v>
      </c>
      <c r="AD63" s="96">
        <f>Tabella8[[#This Row],[rest of Italy fit]]</f>
        <v>28.540319273609629</v>
      </c>
      <c r="AE63" s="91">
        <f>Tabella3[[#This Row],[rest of Italy cumul. Fit]]/Ka</f>
        <v>1.9284001754075368E-4</v>
      </c>
      <c r="AF63" s="91">
        <f>IFERROR(Ka*_xlfn.LOGNORM.DIST((Tabella3[[#This Row],[Day]]-pa),mu_a,sigma_a,FALSE),0)</f>
        <v>18.443627571700961</v>
      </c>
      <c r="AG63" s="91">
        <f>Tabella3[[#This Row],[rest of Italy fit]]/y_a_peak</f>
        <v>5.4580685800845073E-3</v>
      </c>
      <c r="AH63" s="91">
        <f>Tabella3[[#This Row],[rest of Italy fit]]*NOT(ISBLANK(Tabella3[[#This Row],[rest of Italy data]]))</f>
        <v>18.443627571700961</v>
      </c>
      <c r="AI63" s="91">
        <f>Tabella3[[#This Row],[rest of Italy fit]]+CIa</f>
        <v>713.09566343529832</v>
      </c>
      <c r="AJ63" s="91">
        <f>MAX(Tabella3[[#This Row],[rest of Italy fit]]-CIa,0)</f>
        <v>0</v>
      </c>
      <c r="AL63"/>
      <c r="AM63"/>
    </row>
    <row r="64" spans="2:41" x14ac:dyDescent="0.3">
      <c r="B64" s="9">
        <v>43887</v>
      </c>
      <c r="C64" s="4">
        <v>57</v>
      </c>
      <c r="D64" s="91">
        <f>'dpc-covid19-ita-andamento-naz'!L4</f>
        <v>400</v>
      </c>
      <c r="E64" s="91">
        <f>(Tabella3[[#This Row],[Italy cumul. Data]]-D63)</f>
        <v>78</v>
      </c>
      <c r="F64" s="91">
        <f>Tabella3[[#This Row],[Italy data]]*NOT(ISBLANK(Tabella3[[#This Row],[Italy data]]))</f>
        <v>78</v>
      </c>
      <c r="G64" s="96">
        <f>Tabella8[[#This Row],[Italy fit]]</f>
        <v>427.07811706368591</v>
      </c>
      <c r="H64" s="179">
        <f>Tabella3[[#This Row],[Italy cumul. Fit]]/Kf</f>
        <v>1.8173541855050978E-3</v>
      </c>
      <c r="I64" s="96">
        <f>Tabella3[[#This Row],[Lombardy fit]]+Tabella3[[#This Row],[rest of Italy fit]]</f>
        <v>183.40090126649156</v>
      </c>
      <c r="J64" s="96">
        <f>Tabella3[[#This Row],[Italy (fitted Lombardy + fitted sum of the other regions)]]/(y_l_peak+y_a_peak)</f>
        <v>3.5701227047534145E-2</v>
      </c>
      <c r="K64" s="91">
        <f>IFERROR(Kf*_xlfn.LOGNORM.DIST((Tabella3[[#This Row],[Day]]-D_bk),mu_f,sigma_f,FALSE),0)</f>
        <v>172.95417305513911</v>
      </c>
      <c r="L64" s="91">
        <f>Tabella3[[#This Row],[Italy fit]]/y_f_peak</f>
        <v>3.4169785862833583E-2</v>
      </c>
      <c r="M64" s="91">
        <f>Tabella3[[#This Row],[Italy (fitted Lombardy + fitted sum of the other regions)]]*NOT(ISBLANK(Tabella3[[#This Row],[Italy data]]))</f>
        <v>183.40090126649156</v>
      </c>
      <c r="N64" s="91">
        <f>Tabella3[[#This Row],[Italy fit]]*NOT(ISBLANK(Tabella3[[#This Row],[Italy data]]))</f>
        <v>172.95417305513911</v>
      </c>
      <c r="O64" s="91">
        <f>Tabella3[[#This Row],[Italy fit]]+CIf</f>
        <v>1186.7171750754569</v>
      </c>
      <c r="P64" s="91">
        <f>MAX(Tabella3[[#This Row],[Italy fit]]-CIf,0)</f>
        <v>0</v>
      </c>
      <c r="Q64" s="4">
        <f>Tabella8[[#This Row],[Lombardy]]</f>
        <v>258</v>
      </c>
      <c r="R64" s="91">
        <f>(Tabella3[[#This Row],[Lombardy cumul. Data]]-Q63)</f>
        <v>18</v>
      </c>
      <c r="S64" s="91">
        <f>Tabella3[[#This Row],[Lombardy data]]*NOT(ISBLANK(Tabella3[[#This Row],[Lombardy data]]))</f>
        <v>18</v>
      </c>
      <c r="T64" s="96">
        <f>Tabella8[[#This Row],[Lombardy fit]]</f>
        <v>465.77889435556489</v>
      </c>
      <c r="U64" s="91">
        <f>Tabella3[[#This Row],[Lombardy cumul. Fit]]/Kl</f>
        <v>5.3537803948915507E-3</v>
      </c>
      <c r="V64" s="91">
        <f>IFERROR(Kl*_xlfn.LOGNORM.DIST((Tabella3[[#This Row],[Day]]-pl),mu_l,sigma_l,FALSE),0)</f>
        <v>152.34639825617381</v>
      </c>
      <c r="W64" s="91">
        <f>Tabella3[[#This Row],[Lombardy fit]]/y_l_peak</f>
        <v>8.6661173922984766E-2</v>
      </c>
      <c r="X64" s="91">
        <f>Tabella3[[#This Row],[Lombardy fit]]*NOT(ISBLANK(Tabella3[[#This Row],[Lombardy data]]))</f>
        <v>152.34639825617381</v>
      </c>
      <c r="Y64" s="91">
        <f>Tabella3[[#This Row],[Lombardy fit]]+CIl</f>
        <v>901.30177005979749</v>
      </c>
      <c r="Z64" s="91">
        <f>MAX(Tabella3[[#This Row],[Lombardy fit]]-CIl,0)</f>
        <v>0</v>
      </c>
      <c r="AA64" s="10">
        <f>Tabella8[[#This Row],[rest of Italy ]]</f>
        <v>142</v>
      </c>
      <c r="AB64" s="10">
        <f>(Tabella3[[#This Row],[rest of Italy cum. Data]]-AA63)</f>
        <v>60</v>
      </c>
      <c r="AC64" s="91">
        <f>Tabella3[[#This Row],[rest of Italy data]]*NOT(ISBLANK(Tabella3[[#This Row],[rest of Italy data]]))</f>
        <v>60</v>
      </c>
      <c r="AD64" s="96">
        <f>Tabella8[[#This Row],[rest of Italy fit]]</f>
        <v>52.855278634221321</v>
      </c>
      <c r="AE64" s="91">
        <f>Tabella3[[#This Row],[rest of Italy cumul. Fit]]/Ka</f>
        <v>3.5713030261611206E-4</v>
      </c>
      <c r="AF64" s="91">
        <f>IFERROR(Ka*_xlfn.LOGNORM.DIST((Tabella3[[#This Row],[Day]]-pa),mu_a,sigma_a,FALSE),0)</f>
        <v>31.054503010317745</v>
      </c>
      <c r="AG64" s="91">
        <f>Tabella3[[#This Row],[rest of Italy fit]]/y_a_peak</f>
        <v>9.1900363142673851E-3</v>
      </c>
      <c r="AH64" s="91">
        <f>Tabella3[[#This Row],[rest of Italy fit]]*NOT(ISBLANK(Tabella3[[#This Row],[rest of Italy data]]))</f>
        <v>31.054503010317745</v>
      </c>
      <c r="AI64" s="91">
        <f>Tabella3[[#This Row],[rest of Italy fit]]+CIa</f>
        <v>725.70653887391506</v>
      </c>
      <c r="AJ64" s="91">
        <f>MAX(Tabella3[[#This Row],[rest of Italy fit]]-CIa,0)</f>
        <v>0</v>
      </c>
      <c r="AL64"/>
      <c r="AM64"/>
    </row>
    <row r="65" spans="2:39" x14ac:dyDescent="0.3">
      <c r="B65" s="9">
        <v>43888</v>
      </c>
      <c r="C65" s="4">
        <v>58</v>
      </c>
      <c r="D65" s="91">
        <f>'dpc-covid19-ita-andamento-naz'!L5</f>
        <v>650</v>
      </c>
      <c r="E65" s="91">
        <f>(Tabella3[[#This Row],[Italy cumul. Data]]-D64)</f>
        <v>250</v>
      </c>
      <c r="F65" s="91">
        <f>Tabella3[[#This Row],[Italy data]]*NOT(ISBLANK(Tabella3[[#This Row],[Italy data]]))</f>
        <v>250</v>
      </c>
      <c r="G65" s="96">
        <f>Tabella8[[#This Row],[Italy fit]]</f>
        <v>630.84715786776644</v>
      </c>
      <c r="H65" s="179">
        <f>Tabella3[[#This Row],[Italy cumul. Fit]]/Kf</f>
        <v>2.6844567233914691E-3</v>
      </c>
      <c r="I65" s="96">
        <f>Tabella3[[#This Row],[Lombardy fit]]+Tabella3[[#This Row],[rest of Italy fit]]</f>
        <v>243.51814529428356</v>
      </c>
      <c r="J65" s="96">
        <f>Tabella3[[#This Row],[Italy (fitted Lombardy + fitted sum of the other regions)]]/(y_l_peak+y_a_peak)</f>
        <v>4.7403783380065928E-2</v>
      </c>
      <c r="K65" s="91">
        <f>IFERROR(Kf*_xlfn.LOGNORM.DIST((Tabella3[[#This Row],[Day]]-D_bk),mu_f,sigma_f,FALSE),0)</f>
        <v>237.00940678342241</v>
      </c>
      <c r="L65" s="91">
        <f>Tabella3[[#This Row],[Italy fit]]/y_f_peak</f>
        <v>4.6824893173782384E-2</v>
      </c>
      <c r="M65" s="91">
        <f>Tabella3[[#This Row],[Italy (fitted Lombardy + fitted sum of the other regions)]]*NOT(ISBLANK(Tabella3[[#This Row],[Italy data]]))</f>
        <v>243.51814529428356</v>
      </c>
      <c r="N65" s="91">
        <f>Tabella3[[#This Row],[Italy fit]]*NOT(ISBLANK(Tabella3[[#This Row],[Italy data]]))</f>
        <v>237.00940678342241</v>
      </c>
      <c r="O65" s="91">
        <f>Tabella3[[#This Row],[Italy fit]]+CIf</f>
        <v>1250.7724088037401</v>
      </c>
      <c r="P65" s="91">
        <f>MAX(Tabella3[[#This Row],[Italy fit]]-CIf,0)</f>
        <v>0</v>
      </c>
      <c r="Q65" s="4">
        <f>Tabella8[[#This Row],[Lombardy]]</f>
        <v>403</v>
      </c>
      <c r="R65" s="91">
        <f>(Tabella3[[#This Row],[Lombardy cumul. Data]]-Q64)</f>
        <v>145</v>
      </c>
      <c r="S65" s="91">
        <f>Tabella3[[#This Row],[Lombardy data]]*NOT(ISBLANK(Tabella3[[#This Row],[Lombardy data]]))</f>
        <v>145</v>
      </c>
      <c r="T65" s="96">
        <f>Tabella8[[#This Row],[Lombardy fit]]</f>
        <v>638.36338064302606</v>
      </c>
      <c r="U65" s="91">
        <f>Tabella3[[#This Row],[Lombardy cumul. Fit]]/Kl</f>
        <v>7.337510122333633E-3</v>
      </c>
      <c r="V65" s="91">
        <f>IFERROR(Kl*_xlfn.LOGNORM.DIST((Tabella3[[#This Row],[Day]]-pl),mu_l,sigma_l,FALSE),0)</f>
        <v>193.86672930973202</v>
      </c>
      <c r="W65" s="91">
        <f>Tabella3[[#This Row],[Lombardy fit]]/y_l_peak</f>
        <v>0.11027972133834184</v>
      </c>
      <c r="X65" s="91">
        <f>Tabella3[[#This Row],[Lombardy fit]]*NOT(ISBLANK(Tabella3[[#This Row],[Lombardy data]]))</f>
        <v>193.86672930973202</v>
      </c>
      <c r="Y65" s="91">
        <f>Tabella3[[#This Row],[Lombardy fit]]+CIl</f>
        <v>942.82210111335564</v>
      </c>
      <c r="Z65" s="91">
        <f>MAX(Tabella3[[#This Row],[Lombardy fit]]-CIl,0)</f>
        <v>0</v>
      </c>
      <c r="AA65" s="10">
        <f>Tabella8[[#This Row],[rest of Italy ]]</f>
        <v>247</v>
      </c>
      <c r="AB65" s="10">
        <f>(Tabella3[[#This Row],[rest of Italy cum. Data]]-AA64)</f>
        <v>105</v>
      </c>
      <c r="AC65" s="91">
        <f>Tabella3[[#This Row],[rest of Italy data]]*NOT(ISBLANK(Tabella3[[#This Row],[rest of Italy data]]))</f>
        <v>105</v>
      </c>
      <c r="AD65" s="96">
        <f>Tabella8[[#This Row],[rest of Italy fit]]</f>
        <v>92.643298386472409</v>
      </c>
      <c r="AE65" s="91">
        <f>Tabella3[[#This Row],[rest of Italy cumul. Fit]]/Ka</f>
        <v>6.2596830521094242E-4</v>
      </c>
      <c r="AF65" s="91">
        <f>IFERROR(Ka*_xlfn.LOGNORM.DIST((Tabella3[[#This Row],[Day]]-pa),mu_a,sigma_a,FALSE),0)</f>
        <v>49.651415984551527</v>
      </c>
      <c r="AG65" s="91">
        <f>Tabella3[[#This Row],[rest of Italy fit]]/y_a_peak</f>
        <v>1.4693467024773227E-2</v>
      </c>
      <c r="AH65" s="91">
        <f>Tabella3[[#This Row],[rest of Italy fit]]*NOT(ISBLANK(Tabella3[[#This Row],[rest of Italy data]]))</f>
        <v>49.651415984551527</v>
      </c>
      <c r="AI65" s="91">
        <f>Tabella3[[#This Row],[rest of Italy fit]]+CIa</f>
        <v>744.30345184814882</v>
      </c>
      <c r="AJ65" s="91">
        <f>MAX(Tabella3[[#This Row],[rest of Italy fit]]-CIa,0)</f>
        <v>0</v>
      </c>
      <c r="AL65"/>
      <c r="AM65"/>
    </row>
    <row r="66" spans="2:39" x14ac:dyDescent="0.3">
      <c r="B66" s="9">
        <v>43889</v>
      </c>
      <c r="C66" s="4">
        <v>59</v>
      </c>
      <c r="D66" s="91">
        <f>'dpc-covid19-ita-andamento-naz'!L6</f>
        <v>888</v>
      </c>
      <c r="E66" s="91">
        <f>(Tabella3[[#This Row],[Italy cumul. Data]]-D65)</f>
        <v>238</v>
      </c>
      <c r="F66" s="91">
        <f>Tabella3[[#This Row],[Italy data]]*NOT(ISBLANK(Tabella3[[#This Row],[Italy data]]))</f>
        <v>238</v>
      </c>
      <c r="G66" s="96">
        <f>Tabella8[[#This Row],[Italy fit]]</f>
        <v>906.20280733092886</v>
      </c>
      <c r="H66" s="179">
        <f>Tabella3[[#This Row],[Italy cumul. Fit]]/Kf</f>
        <v>3.8561832110300997E-3</v>
      </c>
      <c r="I66" s="96">
        <f>Tabella3[[#This Row],[Lombardy fit]]+Tabella3[[#This Row],[rest of Italy fit]]</f>
        <v>317.50789846841872</v>
      </c>
      <c r="J66" s="96">
        <f>Tabella3[[#This Row],[Italy (fitted Lombardy + fitted sum of the other regions)]]/(y_l_peak+y_a_peak)</f>
        <v>6.1806793174562683E-2</v>
      </c>
      <c r="K66" s="91">
        <f>IFERROR(Kf*_xlfn.LOGNORM.DIST((Tabella3[[#This Row],[Day]]-D_bk),mu_f,sigma_f,FALSE),0)</f>
        <v>316.37246631163669</v>
      </c>
      <c r="L66" s="91">
        <f>Tabella3[[#This Row],[Italy fit]]/y_f_peak</f>
        <v>6.2504299467343441E-2</v>
      </c>
      <c r="M66" s="91">
        <f>Tabella3[[#This Row],[Italy (fitted Lombardy + fitted sum of the other regions)]]*NOT(ISBLANK(Tabella3[[#This Row],[Italy data]]))</f>
        <v>317.50789846841872</v>
      </c>
      <c r="N66" s="91">
        <f>Tabella3[[#This Row],[Italy fit]]*NOT(ISBLANK(Tabella3[[#This Row],[Italy data]]))</f>
        <v>316.37246631163669</v>
      </c>
      <c r="O66" s="91">
        <f>Tabella3[[#This Row],[Italy fit]]+CIf</f>
        <v>1330.1354683319544</v>
      </c>
      <c r="P66" s="91">
        <f>MAX(Tabella3[[#This Row],[Italy fit]]-CIf,0)</f>
        <v>0</v>
      </c>
      <c r="Q66" s="4">
        <f>Tabella8[[#This Row],[Lombardy]]</f>
        <v>531</v>
      </c>
      <c r="R66" s="91">
        <f>(Tabella3[[#This Row],[Lombardy cumul. Data]]-Q65)</f>
        <v>128</v>
      </c>
      <c r="S66" s="91">
        <f>Tabella3[[#This Row],[Lombardy data]]*NOT(ISBLANK(Tabella3[[#This Row],[Lombardy data]]))</f>
        <v>128</v>
      </c>
      <c r="T66" s="96">
        <f>Tabella8[[#This Row],[Lombardy fit]]</f>
        <v>855.6049183896896</v>
      </c>
      <c r="U66" s="91">
        <f>Tabella3[[#This Row],[Lombardy cumul. Fit]]/Kl</f>
        <v>9.8345392918355121E-3</v>
      </c>
      <c r="V66" s="91">
        <f>IFERROR(Kl*_xlfn.LOGNORM.DIST((Tabella3[[#This Row],[Day]]-pl),mu_l,sigma_l,FALSE),0)</f>
        <v>241.65895998029089</v>
      </c>
      <c r="W66" s="91">
        <f>Tabella3[[#This Row],[Lombardy fit]]/y_l_peak</f>
        <v>0.13746599460582204</v>
      </c>
      <c r="X66" s="91">
        <f>Tabella3[[#This Row],[Lombardy fit]]*NOT(ISBLANK(Tabella3[[#This Row],[Lombardy data]]))</f>
        <v>241.65895998029089</v>
      </c>
      <c r="Y66" s="91">
        <f>Tabella3[[#This Row],[Lombardy fit]]+CIl</f>
        <v>990.61433178391451</v>
      </c>
      <c r="Z66" s="91">
        <f>MAX(Tabella3[[#This Row],[Lombardy fit]]-CIl,0)</f>
        <v>0</v>
      </c>
      <c r="AA66" s="10">
        <f>Tabella8[[#This Row],[rest of Italy ]]</f>
        <v>357</v>
      </c>
      <c r="AB66" s="10">
        <f>(Tabella3[[#This Row],[rest of Italy cum. Data]]-AA65)</f>
        <v>110</v>
      </c>
      <c r="AC66" s="91">
        <f>Tabella3[[#This Row],[rest of Italy data]]*NOT(ISBLANK(Tabella3[[#This Row],[rest of Italy data]]))</f>
        <v>110</v>
      </c>
      <c r="AD66" s="96">
        <f>Tabella8[[#This Row],[rest of Italy fit]]</f>
        <v>154.69135092058042</v>
      </c>
      <c r="AE66" s="91">
        <f>Tabella3[[#This Row],[rest of Italy cumul. Fit]]/Ka</f>
        <v>1.0452119522191591E-3</v>
      </c>
      <c r="AF66" s="91">
        <f>IFERROR(Ka*_xlfn.LOGNORM.DIST((Tabella3[[#This Row],[Day]]-pa),mu_a,sigma_a,FALSE),0)</f>
        <v>75.848938488127814</v>
      </c>
      <c r="AG66" s="91">
        <f>Tabella3[[#This Row],[rest of Italy fit]]/y_a_peak</f>
        <v>2.2446165017451222E-2</v>
      </c>
      <c r="AH66" s="91">
        <f>Tabella3[[#This Row],[rest of Italy fit]]*NOT(ISBLANK(Tabella3[[#This Row],[rest of Italy data]]))</f>
        <v>75.848938488127814</v>
      </c>
      <c r="AI66" s="91">
        <f>Tabella3[[#This Row],[rest of Italy fit]]+CIa</f>
        <v>770.50097435172518</v>
      </c>
      <c r="AJ66" s="91">
        <f>MAX(Tabella3[[#This Row],[rest of Italy fit]]-CIa,0)</f>
        <v>0</v>
      </c>
      <c r="AL66"/>
      <c r="AM66"/>
    </row>
    <row r="67" spans="2:39" x14ac:dyDescent="0.3">
      <c r="B67" s="9">
        <v>43890</v>
      </c>
      <c r="C67" s="4">
        <v>60</v>
      </c>
      <c r="D67" s="91">
        <f>'dpc-covid19-ita-andamento-naz'!L7</f>
        <v>1128</v>
      </c>
      <c r="E67" s="91">
        <f>(Tabella3[[#This Row],[Italy cumul. Data]]-D66)</f>
        <v>240</v>
      </c>
      <c r="F67" s="91">
        <f>Tabella3[[#This Row],[Italy data]]*NOT(ISBLANK(Tabella3[[#This Row],[Italy data]]))</f>
        <v>240</v>
      </c>
      <c r="G67" s="96">
        <f>Tabella8[[#This Row],[Italy fit]]</f>
        <v>1269.1347662049882</v>
      </c>
      <c r="H67" s="179">
        <f>Tabella3[[#This Row],[Italy cumul. Fit]]/Kf</f>
        <v>5.4005749467812897E-3</v>
      </c>
      <c r="I67" s="96">
        <f>Tabella3[[#This Row],[Lombardy fit]]+Tabella3[[#This Row],[rest of Italy fit]]</f>
        <v>406.91393114048464</v>
      </c>
      <c r="J67" s="96">
        <f>Tabella3[[#This Row],[Italy (fitted Lombardy + fitted sum of the other regions)]]/(y_l_peak+y_a_peak)</f>
        <v>7.9210770198681377E-2</v>
      </c>
      <c r="K67" s="91">
        <f>IFERROR(Kf*_xlfn.LOGNORM.DIST((Tabella3[[#This Row],[Day]]-D_bk),mu_f,sigma_f,FALSE),0)</f>
        <v>412.35098746855203</v>
      </c>
      <c r="L67" s="91">
        <f>Tabella3[[#This Row],[Italy fit]]/y_f_peak</f>
        <v>8.1466348531737454E-2</v>
      </c>
      <c r="M67" s="91">
        <f>Tabella3[[#This Row],[Italy (fitted Lombardy + fitted sum of the other regions)]]*NOT(ISBLANK(Tabella3[[#This Row],[Italy data]]))</f>
        <v>406.91393114048464</v>
      </c>
      <c r="N67" s="91">
        <f>Tabella3[[#This Row],[Italy fit]]*NOT(ISBLANK(Tabella3[[#This Row],[Italy data]]))</f>
        <v>412.35098746855203</v>
      </c>
      <c r="O67" s="91">
        <f>Tabella3[[#This Row],[Italy fit]]+CIf</f>
        <v>1426.1139894888697</v>
      </c>
      <c r="P67" s="91">
        <f>MAX(Tabella3[[#This Row],[Italy fit]]-CIf,0)</f>
        <v>0</v>
      </c>
      <c r="Q67" s="4">
        <f>Tabella8[[#This Row],[Lombardy]]</f>
        <v>615</v>
      </c>
      <c r="R67" s="91">
        <f>(Tabella3[[#This Row],[Lombardy cumul. Data]]-Q66)</f>
        <v>84</v>
      </c>
      <c r="S67" s="91">
        <f>Tabella3[[#This Row],[Lombardy data]]*NOT(ISBLANK(Tabella3[[#This Row],[Lombardy data]]))</f>
        <v>84</v>
      </c>
      <c r="T67" s="96">
        <f>Tabella8[[#This Row],[Lombardy fit]]</f>
        <v>1123.7418244760652</v>
      </c>
      <c r="U67" s="91">
        <f>Tabella3[[#This Row],[Lombardy cumul. Fit]]/Kl</f>
        <v>1.2916572695127186E-2</v>
      </c>
      <c r="V67" s="91">
        <f>IFERROR(Kl*_xlfn.LOGNORM.DIST((Tabella3[[#This Row],[Day]]-pl),mu_l,sigma_l,FALSE),0)</f>
        <v>295.62704237893797</v>
      </c>
      <c r="W67" s="91">
        <f>Tabella3[[#This Row],[Lombardy fit]]/y_l_peak</f>
        <v>0.16816535756138568</v>
      </c>
      <c r="X67" s="91">
        <f>Tabella3[[#This Row],[Lombardy fit]]*NOT(ISBLANK(Tabella3[[#This Row],[Lombardy data]]))</f>
        <v>295.62704237893797</v>
      </c>
      <c r="Y67" s="91">
        <f>Tabella3[[#This Row],[Lombardy fit]]+CIl</f>
        <v>1044.5824141825615</v>
      </c>
      <c r="Z67" s="91">
        <f>MAX(Tabella3[[#This Row],[Lombardy fit]]-CIl,0)</f>
        <v>0</v>
      </c>
      <c r="AA67" s="10">
        <f>Tabella8[[#This Row],[rest of Italy ]]</f>
        <v>513</v>
      </c>
      <c r="AB67" s="10">
        <f>(Tabella3[[#This Row],[rest of Italy cum. Data]]-AA66)</f>
        <v>156</v>
      </c>
      <c r="AC67" s="91">
        <f>Tabella3[[#This Row],[rest of Italy data]]*NOT(ISBLANK(Tabella3[[#This Row],[rest of Italy data]]))</f>
        <v>156</v>
      </c>
      <c r="AD67" s="96">
        <f>Tabella8[[#This Row],[rest of Italy fit]]</f>
        <v>247.42222963734693</v>
      </c>
      <c r="AE67" s="91">
        <f>Tabella3[[#This Row],[rest of Italy cumul. Fit]]/Ka</f>
        <v>1.6717720164874626E-3</v>
      </c>
      <c r="AF67" s="91">
        <f>IFERROR(Ka*_xlfn.LOGNORM.DIST((Tabella3[[#This Row],[Day]]-pa),mu_a,sigma_a,FALSE),0)</f>
        <v>111.28688876154665</v>
      </c>
      <c r="AG67" s="91">
        <f>Tabella3[[#This Row],[rest of Italy fit]]/y_a_peak</f>
        <v>3.2933405782750738E-2</v>
      </c>
      <c r="AH67" s="91">
        <f>Tabella3[[#This Row],[rest of Italy fit]]*NOT(ISBLANK(Tabella3[[#This Row],[rest of Italy data]]))</f>
        <v>111.28688876154665</v>
      </c>
      <c r="AI67" s="91">
        <f>Tabella3[[#This Row],[rest of Italy fit]]+CIa</f>
        <v>805.93892462514395</v>
      </c>
      <c r="AJ67" s="91">
        <f>MAX(Tabella3[[#This Row],[rest of Italy fit]]-CIa,0)</f>
        <v>0</v>
      </c>
      <c r="AL67"/>
      <c r="AM67"/>
    </row>
    <row r="68" spans="2:39" x14ac:dyDescent="0.3">
      <c r="B68" s="16">
        <v>43891</v>
      </c>
      <c r="C68" s="4">
        <v>61</v>
      </c>
      <c r="D68" s="91">
        <f>'dpc-covid19-ita-andamento-naz'!L8</f>
        <v>1694</v>
      </c>
      <c r="E68" s="91">
        <f>(Tabella3[[#This Row],[Italy cumul. Data]]-D67)</f>
        <v>566</v>
      </c>
      <c r="F68" s="91">
        <f>Tabella3[[#This Row],[Italy data]]*NOT(ISBLANK(Tabella3[[#This Row],[Italy data]]))</f>
        <v>566</v>
      </c>
      <c r="G68" s="96">
        <f>Tabella8[[#This Row],[Italy fit]]</f>
        <v>1736.7591757755515</v>
      </c>
      <c r="H68" s="179">
        <f>Tabella3[[#This Row],[Italy cumul. Fit]]/Kf</f>
        <v>7.3904665942868099E-3</v>
      </c>
      <c r="I68" s="96">
        <f>Tabella3[[#This Row],[Lombardy fit]]+Tabella3[[#This Row],[rest of Italy fit]]</f>
        <v>513.02724268149586</v>
      </c>
      <c r="J68" s="96">
        <f>Tabella3[[#This Row],[Italy (fitted Lombardy + fitted sum of the other regions)]]/(y_l_peak+y_a_peak)</f>
        <v>9.9867023259219229E-2</v>
      </c>
      <c r="K68" s="91">
        <f>IFERROR(Kf*_xlfn.LOGNORM.DIST((Tabella3[[#This Row],[Day]]-D_bk),mu_f,sigma_f,FALSE),0)</f>
        <v>525.87802862722901</v>
      </c>
      <c r="L68" s="91">
        <f>Tabella3[[#This Row],[Italy fit]]/y_f_peak</f>
        <v>0.10389538055512997</v>
      </c>
      <c r="M68" s="91">
        <f>Tabella3[[#This Row],[Italy (fitted Lombardy + fitted sum of the other regions)]]*NOT(ISBLANK(Tabella3[[#This Row],[Italy data]]))</f>
        <v>513.02724268149586</v>
      </c>
      <c r="N68" s="91">
        <f>Tabella3[[#This Row],[Italy fit]]*NOT(ISBLANK(Tabella3[[#This Row],[Italy data]]))</f>
        <v>525.87802862722901</v>
      </c>
      <c r="O68" s="91">
        <f>Tabella3[[#This Row],[Italy fit]]+CIf</f>
        <v>1539.6410306475468</v>
      </c>
      <c r="P68" s="91">
        <f>MAX(Tabella3[[#This Row],[Italy fit]]-CIf,0)</f>
        <v>0</v>
      </c>
      <c r="Q68" s="4">
        <f>Tabella8[[#This Row],[Lombardy]]</f>
        <v>984</v>
      </c>
      <c r="R68" s="91">
        <f>(Tabella3[[#This Row],[Lombardy cumul. Data]]-Q67)</f>
        <v>369</v>
      </c>
      <c r="S68" s="91">
        <f>Tabella3[[#This Row],[Lombardy data]]*NOT(ISBLANK(Tabella3[[#This Row],[Lombardy data]]))</f>
        <v>369</v>
      </c>
      <c r="T68" s="96">
        <f>Tabella8[[#This Row],[Lombardy fit]]</f>
        <v>1448.8305134421209</v>
      </c>
      <c r="U68" s="91">
        <f>Tabella3[[#This Row],[Lombardy cumul. Fit]]/Kl</f>
        <v>1.6653224292438172E-2</v>
      </c>
      <c r="V68" s="91">
        <f>IFERROR(Kl*_xlfn.LOGNORM.DIST((Tabella3[[#This Row],[Day]]-pl),mu_l,sigma_l,FALSE),0)</f>
        <v>355.50427654437118</v>
      </c>
      <c r="W68" s="91">
        <f>Tabella3[[#This Row],[Lombardy fit]]/y_l_peak</f>
        <v>0.20222609981347636</v>
      </c>
      <c r="X68" s="91">
        <f>Tabella3[[#This Row],[Lombardy fit]]*NOT(ISBLANK(Tabella3[[#This Row],[Lombardy data]]))</f>
        <v>355.50427654437118</v>
      </c>
      <c r="Y68" s="91">
        <f>Tabella3[[#This Row],[Lombardy fit]]+CIl</f>
        <v>1104.4596483479947</v>
      </c>
      <c r="Z68" s="91">
        <f>MAX(Tabella3[[#This Row],[Lombardy fit]]-CIl,0)</f>
        <v>0</v>
      </c>
      <c r="AA68" s="10">
        <f>Tabella8[[#This Row],[rest of Italy ]]</f>
        <v>710</v>
      </c>
      <c r="AB68" s="10">
        <f>(Tabella3[[#This Row],[rest of Italy cum. Data]]-AA67)</f>
        <v>197</v>
      </c>
      <c r="AC68" s="91">
        <f>Tabella3[[#This Row],[rest of Italy data]]*NOT(ISBLANK(Tabella3[[#This Row],[rest of Italy data]]))</f>
        <v>197</v>
      </c>
      <c r="AD68" s="96">
        <f>Tabella8[[#This Row],[rest of Italy fit]]</f>
        <v>380.86663026803939</v>
      </c>
      <c r="AE68" s="91">
        <f>Tabella3[[#This Row],[rest of Italy cumul. Fit]]/Ka</f>
        <v>2.5734234770628532E-3</v>
      </c>
      <c r="AF68" s="91">
        <f>IFERROR(Ka*_xlfn.LOGNORM.DIST((Tabella3[[#This Row],[Day]]-pa),mu_a,sigma_a,FALSE),0)</f>
        <v>157.52296613712468</v>
      </c>
      <c r="AG68" s="91">
        <f>Tabella3[[#This Row],[rest of Italy fit]]/y_a_peak</f>
        <v>4.6616163158377188E-2</v>
      </c>
      <c r="AH68" s="91">
        <f>Tabella3[[#This Row],[rest of Italy fit]]*NOT(ISBLANK(Tabella3[[#This Row],[rest of Italy data]]))</f>
        <v>157.52296613712468</v>
      </c>
      <c r="AI68" s="91">
        <f>Tabella3[[#This Row],[rest of Italy fit]]+CIa</f>
        <v>852.17500200072209</v>
      </c>
      <c r="AJ68" s="91">
        <f>MAX(Tabella3[[#This Row],[rest of Italy fit]]-CIa,0)</f>
        <v>0</v>
      </c>
      <c r="AL68"/>
      <c r="AM68"/>
    </row>
    <row r="69" spans="2:39" x14ac:dyDescent="0.3">
      <c r="B69" s="9">
        <v>43892</v>
      </c>
      <c r="C69" s="4">
        <v>62</v>
      </c>
      <c r="D69" s="91">
        <f>'dpc-covid19-ita-andamento-naz'!L9</f>
        <v>2036</v>
      </c>
      <c r="E69" s="91">
        <f>(Tabella3[[#This Row],[Italy cumul. Data]]-D68)</f>
        <v>342</v>
      </c>
      <c r="F69" s="91">
        <f>Tabella3[[#This Row],[Italy data]]*NOT(ISBLANK(Tabella3[[#This Row],[Italy data]]))</f>
        <v>342</v>
      </c>
      <c r="G69" s="96">
        <f>Tabella8[[#This Row],[Italy fit]]</f>
        <v>2326.9109965351204</v>
      </c>
      <c r="H69" s="96">
        <f>Tabella3[[#This Row],[Italy cumul. Fit]]/Kf</f>
        <v>9.9017516231587593E-3</v>
      </c>
      <c r="I69" s="96">
        <f>Tabella3[[#This Row],[Lombardy fit]]+Tabella3[[#This Row],[rest of Italy fit]]</f>
        <v>636.78808040776835</v>
      </c>
      <c r="J69" s="96">
        <f>Tabella3[[#This Row],[Italy (fitted Lombardy + fitted sum of the other regions)]]/(y_l_peak+y_a_peak)</f>
        <v>0.12395858298846225</v>
      </c>
      <c r="K69" s="91">
        <f>IFERROR(Kf*_xlfn.LOGNORM.DIST((Tabella3[[#This Row],[Day]]-D_bk),mu_f,sigma_f,FALSE),0)</f>
        <v>657.44960827714499</v>
      </c>
      <c r="L69" s="91">
        <f>Tabella3[[#This Row],[Italy fit]]/y_f_peak</f>
        <v>0.12988939170188094</v>
      </c>
      <c r="M69" s="91">
        <f>Tabella3[[#This Row],[Italy (fitted Lombardy + fitted sum of the other regions)]]*NOT(ISBLANK(Tabella3[[#This Row],[Italy data]]))</f>
        <v>636.78808040776835</v>
      </c>
      <c r="N69" s="91">
        <f>Tabella3[[#This Row],[Italy fit]]*NOT(ISBLANK(Tabella3[[#This Row],[Italy data]]))</f>
        <v>657.44960827714499</v>
      </c>
      <c r="O69" s="91">
        <f>Tabella3[[#This Row],[Italy fit]]+CIf</f>
        <v>1671.2126102974626</v>
      </c>
      <c r="P69" s="91">
        <f>MAX(Tabella3[[#This Row],[Italy fit]]-CIf,0)</f>
        <v>0</v>
      </c>
      <c r="Q69" s="4">
        <f>Tabella8[[#This Row],[Lombardy]]</f>
        <v>1254</v>
      </c>
      <c r="R69" s="91">
        <f>(Tabella3[[#This Row],[Lombardy cumul. Data]]-Q68)</f>
        <v>270</v>
      </c>
      <c r="S69" s="91">
        <f>Tabella3[[#This Row],[Lombardy data]]*NOT(ISBLANK(Tabella3[[#This Row],[Lombardy data]]))</f>
        <v>270</v>
      </c>
      <c r="T69" s="96">
        <f>Tabella8[[#This Row],[Lombardy fit]]</f>
        <v>1836.5792702222441</v>
      </c>
      <c r="U69" s="91">
        <f>Tabella3[[#This Row],[Lombardy cumul. Fit]]/Kl</f>
        <v>2.1110106554278668E-2</v>
      </c>
      <c r="V69" s="91">
        <f>IFERROR(Kl*_xlfn.LOGNORM.DIST((Tabella3[[#This Row],[Day]]-pl),mu_l,sigma_l,FALSE),0)</f>
        <v>420.86336829536248</v>
      </c>
      <c r="W69" s="91">
        <f>Tabella3[[#This Row],[Lombardy fit]]/y_l_peak</f>
        <v>0.23940515808144194</v>
      </c>
      <c r="X69" s="91">
        <f>Tabella3[[#This Row],[Lombardy fit]]*NOT(ISBLANK(Tabella3[[#This Row],[Lombardy data]]))</f>
        <v>420.86336829536248</v>
      </c>
      <c r="Y69" s="91">
        <f>Tabella3[[#This Row],[Lombardy fit]]+CIl</f>
        <v>1169.8187400989862</v>
      </c>
      <c r="Z69" s="91">
        <f>MAX(Tabella3[[#This Row],[Lombardy fit]]-CIl,0)</f>
        <v>0</v>
      </c>
      <c r="AA69" s="10">
        <f>Tabella8[[#This Row],[rest of Italy ]]</f>
        <v>782</v>
      </c>
      <c r="AB69" s="10">
        <f>(Tabella3[[#This Row],[rest of Italy cum. Data]]-AA68)</f>
        <v>72</v>
      </c>
      <c r="AC69" s="91">
        <f>Tabella3[[#This Row],[rest of Italy data]]*NOT(ISBLANK(Tabella3[[#This Row],[rest of Italy data]]))</f>
        <v>72</v>
      </c>
      <c r="AD69" s="96">
        <f>Tabella8[[#This Row],[rest of Italy fit]]</f>
        <v>566.52661474504566</v>
      </c>
      <c r="AE69" s="91">
        <f>Tabella3[[#This Row],[rest of Italy cumul. Fit]]/Ka</f>
        <v>3.827882977670739E-3</v>
      </c>
      <c r="AF69" s="91">
        <f>IFERROR(Ka*_xlfn.LOGNORM.DIST((Tabella3[[#This Row],[Day]]-pa),mu_a,sigma_a,FALSE),0)</f>
        <v>215.92471211240581</v>
      </c>
      <c r="AG69" s="91">
        <f>Tabella3[[#This Row],[rest of Italy fit]]/y_a_peak</f>
        <v>6.3899137101033149E-2</v>
      </c>
      <c r="AH69" s="91">
        <f>Tabella3[[#This Row],[rest of Italy fit]]*NOT(ISBLANK(Tabella3[[#This Row],[rest of Italy data]]))</f>
        <v>215.92471211240581</v>
      </c>
      <c r="AI69" s="91">
        <f>Tabella3[[#This Row],[rest of Italy fit]]+CIa</f>
        <v>910.57674797600316</v>
      </c>
      <c r="AJ69" s="91">
        <f>MAX(Tabella3[[#This Row],[rest of Italy fit]]-CIa,0)</f>
        <v>0</v>
      </c>
      <c r="AL69"/>
      <c r="AM69"/>
    </row>
    <row r="70" spans="2:39" x14ac:dyDescent="0.3">
      <c r="B70" s="9">
        <v>43893</v>
      </c>
      <c r="C70" s="4">
        <v>63</v>
      </c>
      <c r="D70" s="91">
        <f>'dpc-covid19-ita-andamento-naz'!L10</f>
        <v>2502</v>
      </c>
      <c r="E70" s="91">
        <f>(Tabella3[[#This Row],[Italy cumul. Data]]-D69)</f>
        <v>466</v>
      </c>
      <c r="F70" s="91">
        <f>Tabella3[[#This Row],[Italy data]]*NOT(ISBLANK(Tabella3[[#This Row],[Italy data]]))</f>
        <v>466</v>
      </c>
      <c r="G70" s="96">
        <f>Tabella8[[#This Row],[Italy fit]]</f>
        <v>3057.6852377631972</v>
      </c>
      <c r="H70" s="96">
        <f>Tabella3[[#This Row],[Italy cumul. Fit]]/Kf</f>
        <v>1.3011430093894161E-2</v>
      </c>
      <c r="I70" s="96">
        <f>Tabella3[[#This Row],[Lombardy fit]]+Tabella3[[#This Row],[rest of Italy fit]]</f>
        <v>778.70418802684287</v>
      </c>
      <c r="J70" s="96">
        <f>Tabella3[[#This Row],[Italy (fitted Lombardy + fitted sum of the other regions)]]/(y_l_peak+y_a_peak)</f>
        <v>0.15158428790497655</v>
      </c>
      <c r="K70" s="91">
        <f>IFERROR(Kf*_xlfn.LOGNORM.DIST((Tabella3[[#This Row],[Day]]-D_bk),mu_f,sigma_f,FALSE),0)</f>
        <v>807.08523710275051</v>
      </c>
      <c r="L70" s="91">
        <f>Tabella3[[#This Row],[Italy fit]]/y_f_peak</f>
        <v>0.15945223661104263</v>
      </c>
      <c r="M70" s="91">
        <f>Tabella3[[#This Row],[Italy (fitted Lombardy + fitted sum of the other regions)]]*NOT(ISBLANK(Tabella3[[#This Row],[Italy data]]))</f>
        <v>778.70418802684287</v>
      </c>
      <c r="N70" s="91">
        <f>Tabella3[[#This Row],[Italy fit]]*NOT(ISBLANK(Tabella3[[#This Row],[Italy data]]))</f>
        <v>807.08523710275051</v>
      </c>
      <c r="O70" s="91">
        <f>Tabella3[[#This Row],[Italy fit]]+CIf</f>
        <v>1820.8482391230682</v>
      </c>
      <c r="P70" s="91">
        <f>MAX(Tabella3[[#This Row],[Italy fit]]-CIf,0)</f>
        <v>0</v>
      </c>
      <c r="Q70" s="4">
        <f>Tabella8[[#This Row],[Lombardy]]</f>
        <v>1520</v>
      </c>
      <c r="R70" s="91">
        <f>(Tabella3[[#This Row],[Lombardy cumul. Data]]-Q69)</f>
        <v>266</v>
      </c>
      <c r="S70" s="91">
        <f>Tabella3[[#This Row],[Lombardy data]]*NOT(ISBLANK(Tabella3[[#This Row],[Lombardy data]]))</f>
        <v>266</v>
      </c>
      <c r="T70" s="96">
        <f>Tabella8[[#This Row],[Lombardy fit]]</f>
        <v>2292.1954624306022</v>
      </c>
      <c r="U70" s="91">
        <f>Tabella3[[#This Row],[Lombardy cumul. Fit]]/Kl</f>
        <v>2.6347074280811521E-2</v>
      </c>
      <c r="V70" s="91">
        <f>IFERROR(Kl*_xlfn.LOGNORM.DIST((Tabella3[[#This Row],[Day]]-pl),mu_l,sigma_l,FALSE),0)</f>
        <v>491.13300028691896</v>
      </c>
      <c r="W70" s="91">
        <f>Tabella3[[#This Row],[Lombardy fit]]/y_l_peak</f>
        <v>0.27937754252393154</v>
      </c>
      <c r="X70" s="91">
        <f>Tabella3[[#This Row],[Lombardy fit]]*NOT(ISBLANK(Tabella3[[#This Row],[Lombardy data]]))</f>
        <v>491.13300028691896</v>
      </c>
      <c r="Y70" s="91">
        <f>Tabella3[[#This Row],[Lombardy fit]]+CIl</f>
        <v>1240.0883720905426</v>
      </c>
      <c r="Z70" s="91">
        <f>MAX(Tabella3[[#This Row],[Lombardy fit]]-CIl,0)</f>
        <v>0</v>
      </c>
      <c r="AA70" s="10">
        <f>Tabella8[[#This Row],[rest of Italy ]]</f>
        <v>982</v>
      </c>
      <c r="AB70" s="10">
        <f>(Tabella3[[#This Row],[rest of Italy cum. Data]]-AA69)</f>
        <v>200</v>
      </c>
      <c r="AC70" s="91">
        <f>Tabella3[[#This Row],[rest of Italy data]]*NOT(ISBLANK(Tabella3[[#This Row],[rest of Italy data]]))</f>
        <v>200</v>
      </c>
      <c r="AD70" s="96">
        <f>Tabella8[[#This Row],[rest of Italy fit]]</f>
        <v>817.13509237138612</v>
      </c>
      <c r="AE70" s="91">
        <f>Tabella3[[#This Row],[rest of Italy cumul. Fit]]/Ka</f>
        <v>5.5211836992927251E-3</v>
      </c>
      <c r="AF70" s="91">
        <f>IFERROR(Ka*_xlfn.LOGNORM.DIST((Tabella3[[#This Row],[Day]]-pa),mu_a,sigma_a,FALSE),0)</f>
        <v>287.57118773992391</v>
      </c>
      <c r="AG70" s="91">
        <f>Tabella3[[#This Row],[rest of Italy fit]]/y_a_peak</f>
        <v>8.5101656831823955E-2</v>
      </c>
      <c r="AH70" s="91">
        <f>Tabella3[[#This Row],[rest of Italy fit]]*NOT(ISBLANK(Tabella3[[#This Row],[rest of Italy data]]))</f>
        <v>287.57118773992391</v>
      </c>
      <c r="AI70" s="91">
        <f>Tabella3[[#This Row],[rest of Italy fit]]+CIa</f>
        <v>982.22322360352132</v>
      </c>
      <c r="AJ70" s="91">
        <f>MAX(Tabella3[[#This Row],[rest of Italy fit]]-CIa,0)</f>
        <v>0</v>
      </c>
      <c r="AL70"/>
      <c r="AM70"/>
    </row>
    <row r="71" spans="2:39" x14ac:dyDescent="0.3">
      <c r="B71" s="9">
        <v>43894</v>
      </c>
      <c r="C71" s="4">
        <v>64</v>
      </c>
      <c r="D71" s="91">
        <f>'dpc-covid19-ita-andamento-naz'!L11</f>
        <v>3089</v>
      </c>
      <c r="E71" s="91">
        <f>(Tabella3[[#This Row],[Italy cumul. Data]]-D70)</f>
        <v>587</v>
      </c>
      <c r="F71" s="91">
        <f>Tabella3[[#This Row],[Italy data]]*NOT(ISBLANK(Tabella3[[#This Row],[Italy data]]))</f>
        <v>587</v>
      </c>
      <c r="G71" s="96">
        <f>Tabella8[[#This Row],[Italy fit]]</f>
        <v>3946.950796681635</v>
      </c>
      <c r="H71" s="96">
        <f>Tabella3[[#This Row],[Italy cumul. Fit]]/Kf</f>
        <v>1.6795539887758778E-2</v>
      </c>
      <c r="I71" s="96">
        <f>Tabella3[[#This Row],[Lombardy fit]]+Tabella3[[#This Row],[rest of Italy fit]]</f>
        <v>938.79218508524934</v>
      </c>
      <c r="J71" s="96">
        <f>Tabella3[[#This Row],[Italy (fitted Lombardy + fitted sum of the other regions)]]/(y_l_peak+y_a_peak)</f>
        <v>0.18274737320662646</v>
      </c>
      <c r="K71" s="91">
        <f>IFERROR(Kf*_xlfn.LOGNORM.DIST((Tabella3[[#This Row],[Day]]-D_bk),mu_f,sigma_f,FALSE),0)</f>
        <v>974.31264041434724</v>
      </c>
      <c r="L71" s="91">
        <f>Tabella3[[#This Row],[Italy fit]]/y_f_peak</f>
        <v>0.19249061007505416</v>
      </c>
      <c r="M71" s="91">
        <f>Tabella3[[#This Row],[Italy (fitted Lombardy + fitted sum of the other regions)]]*NOT(ISBLANK(Tabella3[[#This Row],[Italy data]]))</f>
        <v>938.79218508524934</v>
      </c>
      <c r="N71" s="91">
        <f>Tabella3[[#This Row],[Italy fit]]*NOT(ISBLANK(Tabella3[[#This Row],[Italy data]]))</f>
        <v>974.31264041434724</v>
      </c>
      <c r="O71" s="91">
        <f>Tabella3[[#This Row],[Italy fit]]+CIf</f>
        <v>1988.075642434665</v>
      </c>
      <c r="P71" s="91">
        <f>MAX(Tabella3[[#This Row],[Italy fit]]-CIf,0)</f>
        <v>0</v>
      </c>
      <c r="Q71" s="4">
        <f>Tabella8[[#This Row],[Lombardy]]</f>
        <v>1820</v>
      </c>
      <c r="R71" s="91">
        <f>(Tabella3[[#This Row],[Lombardy cumul. Data]]-Q70)</f>
        <v>300</v>
      </c>
      <c r="S71" s="91">
        <f>Tabella3[[#This Row],[Lombardy data]]*NOT(ISBLANK(Tabella3[[#This Row],[Lombardy data]]))</f>
        <v>300</v>
      </c>
      <c r="T71" s="96">
        <f>Tabella8[[#This Row],[Lombardy fit]]</f>
        <v>2820.2519272416362</v>
      </c>
      <c r="U71" s="91">
        <f>Tabella3[[#This Row],[Lombardy cumul. Fit]]/Kl</f>
        <v>3.2416688818869381E-2</v>
      </c>
      <c r="V71" s="91">
        <f>IFERROR(Kl*_xlfn.LOGNORM.DIST((Tabella3[[#This Row],[Day]]-pl),mu_l,sigma_l,FALSE),0)</f>
        <v>565.61933768960068</v>
      </c>
      <c r="W71" s="91">
        <f>Tabella3[[#This Row],[Lombardy fit]]/y_l_peak</f>
        <v>0.32174857009286417</v>
      </c>
      <c r="X71" s="91">
        <f>Tabella3[[#This Row],[Lombardy fit]]*NOT(ISBLANK(Tabella3[[#This Row],[Lombardy data]]))</f>
        <v>565.61933768960068</v>
      </c>
      <c r="Y71" s="91">
        <f>Tabella3[[#This Row],[Lombardy fit]]+CIl</f>
        <v>1314.5747094932244</v>
      </c>
      <c r="Z71" s="91">
        <f>MAX(Tabella3[[#This Row],[Lombardy fit]]-CIl,0)</f>
        <v>0</v>
      </c>
      <c r="AA71" s="10">
        <f>Tabella8[[#This Row],[rest of Italy ]]</f>
        <v>1269</v>
      </c>
      <c r="AB71" s="10">
        <f>(Tabella3[[#This Row],[rest of Italy cum. Data]]-AA70)</f>
        <v>287</v>
      </c>
      <c r="AC71" s="91">
        <f>Tabella3[[#This Row],[rest of Italy data]]*NOT(ISBLANK(Tabella3[[#This Row],[rest of Italy data]]))</f>
        <v>287</v>
      </c>
      <c r="AD71" s="96">
        <f>Tabella8[[#This Row],[rest of Italy fit]]</f>
        <v>1146.3254735417293</v>
      </c>
      <c r="AE71" s="91">
        <f>Tabella3[[#This Row],[rest of Italy cumul. Fit]]/Ka</f>
        <v>7.7454432904541801E-3</v>
      </c>
      <c r="AF71" s="91">
        <f>IFERROR(Ka*_xlfn.LOGNORM.DIST((Tabella3[[#This Row],[Day]]-pa),mu_a,sigma_a,FALSE),0)</f>
        <v>373.17284739564866</v>
      </c>
      <c r="AG71" s="91">
        <f>Tabella3[[#This Row],[rest of Italy fit]]/y_a_peak</f>
        <v>0.11043396888126476</v>
      </c>
      <c r="AH71" s="91">
        <f>Tabella3[[#This Row],[rest of Italy fit]]*NOT(ISBLANK(Tabella3[[#This Row],[rest of Italy data]]))</f>
        <v>373.17284739564866</v>
      </c>
      <c r="AI71" s="91">
        <f>Tabella3[[#This Row],[rest of Italy fit]]+CIa</f>
        <v>1067.824883259246</v>
      </c>
      <c r="AJ71" s="91">
        <f>MAX(Tabella3[[#This Row],[rest of Italy fit]]-CIa,0)</f>
        <v>0</v>
      </c>
      <c r="AL71"/>
      <c r="AM71"/>
    </row>
    <row r="72" spans="2:39" x14ac:dyDescent="0.3">
      <c r="B72" s="16">
        <v>43895</v>
      </c>
      <c r="C72" s="4">
        <v>65</v>
      </c>
      <c r="D72" s="91">
        <f>'dpc-covid19-ita-andamento-naz'!L12</f>
        <v>3858</v>
      </c>
      <c r="E72" s="91">
        <f>(Tabella3[[#This Row],[Italy cumul. Data]]-D71)</f>
        <v>769</v>
      </c>
      <c r="F72" s="91">
        <f>Tabella3[[#This Row],[Italy data]]*NOT(ISBLANK(Tabella3[[#This Row],[Italy data]]))</f>
        <v>769</v>
      </c>
      <c r="G72" s="96">
        <f>Tabella8[[#This Row],[Italy fit]]</f>
        <v>5011.860906359665</v>
      </c>
      <c r="H72" s="96">
        <f>Tabella3[[#This Row],[Italy cumul. Fit]]/Kf</f>
        <v>2.1327073505814573E-2</v>
      </c>
      <c r="I72" s="96">
        <f>Tabella3[[#This Row],[Lombardy fit]]+Tabella3[[#This Row],[rest of Italy fit]]</f>
        <v>1116.5462525672635</v>
      </c>
      <c r="J72" s="96">
        <f>Tabella3[[#This Row],[Italy (fitted Lombardy + fitted sum of the other regions)]]/(y_l_peak+y_a_peak)</f>
        <v>0.21734937503963245</v>
      </c>
      <c r="K72" s="91">
        <f>IFERROR(Kf*_xlfn.LOGNORM.DIST((Tabella3[[#This Row],[Day]]-D_bk),mu_f,sigma_f,FALSE),0)</f>
        <v>1158.1760028398501</v>
      </c>
      <c r="L72" s="91">
        <f>Tabella3[[#This Row],[Italy fit]]/y_f_peak</f>
        <v>0.22881567590678209</v>
      </c>
      <c r="M72" s="91">
        <f>Tabella3[[#This Row],[Italy (fitted Lombardy + fitted sum of the other regions)]]*NOT(ISBLANK(Tabella3[[#This Row],[Italy data]]))</f>
        <v>1116.5462525672635</v>
      </c>
      <c r="N72" s="91">
        <f>Tabella3[[#This Row],[Italy fit]]*NOT(ISBLANK(Tabella3[[#This Row],[Italy data]]))</f>
        <v>1158.1760028398501</v>
      </c>
      <c r="O72" s="91">
        <f>Tabella3[[#This Row],[Italy fit]]+CIf</f>
        <v>2171.9390048601676</v>
      </c>
      <c r="P72" s="91">
        <f>MAX(Tabella3[[#This Row],[Italy fit]]-CIf,0)</f>
        <v>144.41300081953239</v>
      </c>
      <c r="Q72" s="4">
        <f>Tabella8[[#This Row],[Lombardy]]</f>
        <v>2251</v>
      </c>
      <c r="R72" s="91">
        <f>(Tabella3[[#This Row],[Lombardy cumul. Data]]-Q71)</f>
        <v>431</v>
      </c>
      <c r="S72" s="91">
        <f>Tabella3[[#This Row],[Lombardy data]]*NOT(ISBLANK(Tabella3[[#This Row],[Lombardy data]]))</f>
        <v>431</v>
      </c>
      <c r="T72" s="96">
        <f>Tabella8[[#This Row],[Lombardy fit]]</f>
        <v>3424.5766475447799</v>
      </c>
      <c r="U72" s="91">
        <f>Tabella3[[#This Row],[Lombardy cumul. Fit]]/Kl</f>
        <v>3.9362949971779082E-2</v>
      </c>
      <c r="V72" s="91">
        <f>IFERROR(Kl*_xlfn.LOGNORM.DIST((Tabella3[[#This Row],[Day]]-pl),mu_l,sigma_l,FALSE),0)</f>
        <v>643.53083024248861</v>
      </c>
      <c r="W72" s="91">
        <f>Tabella3[[#This Row],[Lombardy fit]]/y_l_peak</f>
        <v>0.36606797300629362</v>
      </c>
      <c r="X72" s="91">
        <f>Tabella3[[#This Row],[Lombardy fit]]*NOT(ISBLANK(Tabella3[[#This Row],[Lombardy data]]))</f>
        <v>643.53083024248861</v>
      </c>
      <c r="Y72" s="91">
        <f>Tabella3[[#This Row],[Lombardy fit]]+CIl</f>
        <v>1392.4862020461123</v>
      </c>
      <c r="Z72" s="91">
        <f>MAX(Tabella3[[#This Row],[Lombardy fit]]-CIl,0)</f>
        <v>0</v>
      </c>
      <c r="AA72" s="10">
        <f>Tabella8[[#This Row],[rest of Italy ]]</f>
        <v>1607</v>
      </c>
      <c r="AB72" s="10">
        <f>(Tabella3[[#This Row],[rest of Italy cum. Data]]-AA71)</f>
        <v>338</v>
      </c>
      <c r="AC72" s="91">
        <f>Tabella3[[#This Row],[rest of Italy data]]*NOT(ISBLANK(Tabella3[[#This Row],[rest of Italy data]]))</f>
        <v>338</v>
      </c>
      <c r="AD72" s="96">
        <f>Tabella8[[#This Row],[rest of Italy fit]]</f>
        <v>1568.2328388552471</v>
      </c>
      <c r="AE72" s="91">
        <f>Tabella3[[#This Row],[rest of Italy cumul. Fit]]/Ka</f>
        <v>1.0596169063619012E-2</v>
      </c>
      <c r="AF72" s="91">
        <f>IFERROR(Ka*_xlfn.LOGNORM.DIST((Tabella3[[#This Row],[Day]]-pa),mu_a,sigma_a,FALSE),0)</f>
        <v>473.01542232477493</v>
      </c>
      <c r="AG72" s="91">
        <f>Tabella3[[#This Row],[rest of Italy fit]]/y_a_peak</f>
        <v>0.13998063040741374</v>
      </c>
      <c r="AH72" s="91">
        <f>Tabella3[[#This Row],[rest of Italy fit]]*NOT(ISBLANK(Tabella3[[#This Row],[rest of Italy data]]))</f>
        <v>473.01542232477493</v>
      </c>
      <c r="AI72" s="91">
        <f>Tabella3[[#This Row],[rest of Italy fit]]+CIa</f>
        <v>1167.6674581883722</v>
      </c>
      <c r="AJ72" s="91">
        <f>MAX(Tabella3[[#This Row],[rest of Italy fit]]-CIa,0)</f>
        <v>0</v>
      </c>
      <c r="AL72"/>
      <c r="AM72"/>
    </row>
    <row r="73" spans="2:39" x14ac:dyDescent="0.3">
      <c r="B73" s="9">
        <v>43896</v>
      </c>
      <c r="C73" s="4">
        <v>66</v>
      </c>
      <c r="D73" s="91">
        <f>'dpc-covid19-ita-andamento-naz'!L13</f>
        <v>4636</v>
      </c>
      <c r="E73" s="91">
        <f>(Tabella3[[#This Row],[Italy cumul. Data]]-D72)</f>
        <v>778</v>
      </c>
      <c r="F73" s="91">
        <f>Tabella3[[#This Row],[Italy data]]*NOT(ISBLANK(Tabella3[[#This Row],[Italy data]]))</f>
        <v>778</v>
      </c>
      <c r="G73" s="96">
        <f>Tabella8[[#This Row],[Italy fit]]</f>
        <v>6268.3827280753967</v>
      </c>
      <c r="H73" s="96">
        <f>Tabella3[[#This Row],[Italy cumul. Fit]]/Kf</f>
        <v>2.6673976333741606E-2</v>
      </c>
      <c r="I73" s="96">
        <f>Tabella3[[#This Row],[Lombardy fit]]+Tabella3[[#This Row],[rest of Italy fit]]</f>
        <v>1310.9354531884087</v>
      </c>
      <c r="J73" s="96">
        <f>Tabella3[[#This Row],[Italy (fitted Lombardy + fitted sum of the other regions)]]/(y_l_peak+y_a_peak)</f>
        <v>0.25518960886094866</v>
      </c>
      <c r="K73" s="91">
        <f>IFERROR(Kf*_xlfn.LOGNORM.DIST((Tabella3[[#This Row],[Day]]-D_bk),mu_f,sigma_f,FALSE),0)</f>
        <v>1357.2655406278111</v>
      </c>
      <c r="L73" s="91">
        <f>Tabella3[[#This Row],[Italy fit]]/y_f_peak</f>
        <v>0.26814890940775316</v>
      </c>
      <c r="M73" s="91">
        <f>Tabella3[[#This Row],[Italy (fitted Lombardy + fitted sum of the other regions)]]*NOT(ISBLANK(Tabella3[[#This Row],[Italy data]]))</f>
        <v>1310.9354531884087</v>
      </c>
      <c r="N73" s="91">
        <f>Tabella3[[#This Row],[Italy fit]]*NOT(ISBLANK(Tabella3[[#This Row],[Italy data]]))</f>
        <v>1357.2655406278111</v>
      </c>
      <c r="O73" s="91">
        <f>Tabella3[[#This Row],[Italy fit]]+CIf</f>
        <v>2371.0285426481287</v>
      </c>
      <c r="P73" s="91">
        <f>MAX(Tabella3[[#This Row],[Italy fit]]-CIf,0)</f>
        <v>343.50253860749342</v>
      </c>
      <c r="Q73" s="4">
        <f>Tabella8[[#This Row],[Lombardy]]</f>
        <v>2612</v>
      </c>
      <c r="R73" s="91">
        <f>(Tabella3[[#This Row],[Lombardy cumul. Data]]-Q72)</f>
        <v>361</v>
      </c>
      <c r="S73" s="91">
        <f>Tabella3[[#This Row],[Lombardy data]]*NOT(ISBLANK(Tabella3[[#This Row],[Lombardy data]]))</f>
        <v>361</v>
      </c>
      <c r="T73" s="96">
        <f>Tabella8[[#This Row],[Lombardy fit]]</f>
        <v>4108.168218034295</v>
      </c>
      <c r="U73" s="91">
        <f>Tabella3[[#This Row],[Lombardy cumul. Fit]]/Kl</f>
        <v>4.7220324345221783E-2</v>
      </c>
      <c r="V73" s="91">
        <f>IFERROR(Kl*_xlfn.LOGNORM.DIST((Tabella3[[#This Row],[Day]]-pl),mu_l,sigma_l,FALSE),0)</f>
        <v>724.00473902404099</v>
      </c>
      <c r="W73" s="91">
        <f>Tabella3[[#This Row],[Lombardy fit]]/y_l_peak</f>
        <v>0.41184498831487776</v>
      </c>
      <c r="X73" s="91">
        <f>Tabella3[[#This Row],[Lombardy fit]]*NOT(ISBLANK(Tabella3[[#This Row],[Lombardy data]]))</f>
        <v>724.00473902404099</v>
      </c>
      <c r="Y73" s="91">
        <f>Tabella3[[#This Row],[Lombardy fit]]+CIl</f>
        <v>1472.9601108276647</v>
      </c>
      <c r="Z73" s="91">
        <f>MAX(Tabella3[[#This Row],[Lombardy fit]]-CIl,0)</f>
        <v>0</v>
      </c>
      <c r="AA73" s="10">
        <f>Tabella8[[#This Row],[rest of Italy ]]</f>
        <v>2024</v>
      </c>
      <c r="AB73" s="10">
        <f>(Tabella3[[#This Row],[rest of Italy cum. Data]]-AA72)</f>
        <v>417</v>
      </c>
      <c r="AC73" s="91">
        <f>Tabella3[[#This Row],[rest of Italy data]]*NOT(ISBLANK(Tabella3[[#This Row],[rest of Italy data]]))</f>
        <v>417</v>
      </c>
      <c r="AD73" s="96">
        <f>Tabella8[[#This Row],[rest of Italy fit]]</f>
        <v>2097.0523245860077</v>
      </c>
      <c r="AE73" s="91">
        <f>Tabella3[[#This Row],[rest of Italy cumul. Fit]]/Ka</f>
        <v>1.4169274112885499E-2</v>
      </c>
      <c r="AF73" s="91">
        <f>IFERROR(Ka*_xlfn.LOGNORM.DIST((Tabella3[[#This Row],[Day]]-pa),mu_a,sigma_a,FALSE),0)</f>
        <v>586.9307141643676</v>
      </c>
      <c r="AG73" s="91">
        <f>Tabella3[[#This Row],[rest of Italy fit]]/y_a_peak</f>
        <v>0.17369186605038633</v>
      </c>
      <c r="AH73" s="91">
        <f>Tabella3[[#This Row],[rest of Italy fit]]*NOT(ISBLANK(Tabella3[[#This Row],[rest of Italy data]]))</f>
        <v>586.9307141643676</v>
      </c>
      <c r="AI73" s="91">
        <f>Tabella3[[#This Row],[rest of Italy fit]]+CIa</f>
        <v>1281.5827500279649</v>
      </c>
      <c r="AJ73" s="91">
        <f>MAX(Tabella3[[#This Row],[rest of Italy fit]]-CIa,0)</f>
        <v>0</v>
      </c>
      <c r="AL73"/>
      <c r="AM73"/>
    </row>
    <row r="74" spans="2:39" x14ac:dyDescent="0.3">
      <c r="B74" s="9">
        <v>43897</v>
      </c>
      <c r="C74" s="4">
        <v>67</v>
      </c>
      <c r="D74" s="91">
        <f>'dpc-covid19-ita-andamento-naz'!L14</f>
        <v>5883</v>
      </c>
      <c r="E74" s="91">
        <f>(Tabella3[[#This Row],[Italy cumul. Data]]-D73)</f>
        <v>1247</v>
      </c>
      <c r="F74" s="91">
        <f>Tabella3[[#This Row],[Italy data]]*NOT(ISBLANK(Tabella3[[#This Row],[Italy data]]))</f>
        <v>1247</v>
      </c>
      <c r="G74" s="96">
        <f>Tabella8[[#This Row],[Italy fit]]</f>
        <v>7730.8658351714957</v>
      </c>
      <c r="H74" s="96">
        <f>Tabella3[[#This Row],[Italy cumul. Fit]]/Kf</f>
        <v>3.2897310402425009E-2</v>
      </c>
      <c r="I74" s="96">
        <f>Tabella3[[#This Row],[Lombardy fit]]+Tabella3[[#This Row],[rest of Italy fit]]</f>
        <v>1520.428430133793</v>
      </c>
      <c r="J74" s="96">
        <f>Tabella3[[#This Row],[Italy (fitted Lombardy + fitted sum of the other regions)]]/(y_l_peak+y_a_peak)</f>
        <v>0.29596997734956026</v>
      </c>
      <c r="K74" s="91">
        <f>IFERROR(Kf*_xlfn.LOGNORM.DIST((Tabella3[[#This Row],[Day]]-D_bk),mu_f,sigma_f,FALSE),0)</f>
        <v>1569.7650899071803</v>
      </c>
      <c r="L74" s="91">
        <f>Tabella3[[#This Row],[Italy fit]]/y_f_peak</f>
        <v>0.31013149916874039</v>
      </c>
      <c r="M74" s="91">
        <f>Tabella3[[#This Row],[Italy (fitted Lombardy + fitted sum of the other regions)]]*NOT(ISBLANK(Tabella3[[#This Row],[Italy data]]))</f>
        <v>1520.428430133793</v>
      </c>
      <c r="N74" s="91">
        <f>Tabella3[[#This Row],[Italy fit]]*NOT(ISBLANK(Tabella3[[#This Row],[Italy data]]))</f>
        <v>1569.7650899071803</v>
      </c>
      <c r="O74" s="91">
        <f>Tabella3[[#This Row],[Italy fit]]+CIf</f>
        <v>2583.5280919274978</v>
      </c>
      <c r="P74" s="91">
        <f>MAX(Tabella3[[#This Row],[Italy fit]]-CIf,0)</f>
        <v>556.00208788686257</v>
      </c>
      <c r="Q74" s="4">
        <f>Tabella8[[#This Row],[Lombardy]]</f>
        <v>3420</v>
      </c>
      <c r="R74" s="91">
        <f>(Tabella3[[#This Row],[Lombardy cumul. Data]]-Q73)</f>
        <v>808</v>
      </c>
      <c r="S74" s="91">
        <f>Tabella3[[#This Row],[Lombardy data]]*NOT(ISBLANK(Tabella3[[#This Row],[Lombardy data]]))</f>
        <v>808</v>
      </c>
      <c r="T74" s="96">
        <f>Tabella8[[#This Row],[Lombardy fit]]</f>
        <v>4873.1381029957529</v>
      </c>
      <c r="U74" s="91">
        <f>Tabella3[[#This Row],[Lombardy cumul. Fit]]/Kl</f>
        <v>5.6013081643629344E-2</v>
      </c>
      <c r="V74" s="91">
        <f>IFERROR(Kl*_xlfn.LOGNORM.DIST((Tabella3[[#This Row],[Day]]-pl),mu_l,sigma_l,FALSE),0)</f>
        <v>806.13397412127313</v>
      </c>
      <c r="W74" s="91">
        <f>Tabella3[[#This Row],[Lombardy fit]]/y_l_peak</f>
        <v>0.45856362432066533</v>
      </c>
      <c r="X74" s="91">
        <f>Tabella3[[#This Row],[Lombardy fit]]*NOT(ISBLANK(Tabella3[[#This Row],[Lombardy data]]))</f>
        <v>806.13397412127313</v>
      </c>
      <c r="Y74" s="91">
        <f>Tabella3[[#This Row],[Lombardy fit]]+CIl</f>
        <v>1555.0893459248969</v>
      </c>
      <c r="Z74" s="91">
        <f>MAX(Tabella3[[#This Row],[Lombardy fit]]-CIl,0)</f>
        <v>57.178602317649506</v>
      </c>
      <c r="AA74" s="10">
        <f>Tabella8[[#This Row],[rest of Italy ]]</f>
        <v>2463</v>
      </c>
      <c r="AB74" s="10">
        <f>(Tabella3[[#This Row],[rest of Italy cum. Data]]-AA73)</f>
        <v>439</v>
      </c>
      <c r="AC74" s="91">
        <f>Tabella3[[#This Row],[rest of Italy data]]*NOT(ISBLANK(Tabella3[[#This Row],[rest of Italy data]]))</f>
        <v>439</v>
      </c>
      <c r="AD74" s="96">
        <f>Tabella8[[#This Row],[rest of Italy fit]]</f>
        <v>2746.5819261065622</v>
      </c>
      <c r="AE74" s="91">
        <f>Tabella3[[#This Row],[rest of Italy cumul. Fit]]/Ka</f>
        <v>1.8557988147569836E-2</v>
      </c>
      <c r="AF74" s="91">
        <f>IFERROR(Ka*_xlfn.LOGNORM.DIST((Tabella3[[#This Row],[Day]]-pa),mu_a,sigma_a,FALSE),0)</f>
        <v>714.29445601251996</v>
      </c>
      <c r="AG74" s="91">
        <f>Tabella3[[#This Row],[rest of Italy fit]]/y_a_peak</f>
        <v>0.21138293495323146</v>
      </c>
      <c r="AH74" s="91">
        <f>Tabella3[[#This Row],[rest of Italy fit]]*NOT(ISBLANK(Tabella3[[#This Row],[rest of Italy data]]))</f>
        <v>714.29445601251996</v>
      </c>
      <c r="AI74" s="91">
        <f>Tabella3[[#This Row],[rest of Italy fit]]+CIa</f>
        <v>1408.9464918761173</v>
      </c>
      <c r="AJ74" s="91">
        <f>MAX(Tabella3[[#This Row],[rest of Italy fit]]-CIa,0)</f>
        <v>19.642420148922611</v>
      </c>
      <c r="AL74"/>
      <c r="AM74"/>
    </row>
    <row r="75" spans="2:39" x14ac:dyDescent="0.3">
      <c r="B75" s="16">
        <v>43898</v>
      </c>
      <c r="C75" s="4">
        <v>68</v>
      </c>
      <c r="D75" s="91">
        <f>'dpc-covid19-ita-andamento-naz'!L15</f>
        <v>7375</v>
      </c>
      <c r="E75" s="91">
        <f>(Tabella3[[#This Row],[Italy cumul. Data]]-D74)</f>
        <v>1492</v>
      </c>
      <c r="F75" s="91">
        <f>Tabella3[[#This Row],[Italy data]]*NOT(ISBLANK(Tabella3[[#This Row],[Italy data]]))</f>
        <v>1492</v>
      </c>
      <c r="G75" s="96">
        <f>Tabella8[[#This Row],[Italy fit]]</f>
        <v>9411.6656426695663</v>
      </c>
      <c r="H75" s="96">
        <f>Tabella3[[#This Row],[Italy cumul. Fit]]/Kf</f>
        <v>4.0049651960344913E-2</v>
      </c>
      <c r="I75" s="96">
        <f>Tabella3[[#This Row],[Lombardy fit]]+Tabella3[[#This Row],[rest of Italy fit]]</f>
        <v>1743.0421579262668</v>
      </c>
      <c r="J75" s="96">
        <f>Tabella3[[#This Row],[Italy (fitted Lombardy + fitted sum of the other regions)]]/(y_l_peak+y_a_peak)</f>
        <v>0.33930446035882744</v>
      </c>
      <c r="K75" s="91">
        <f>IFERROR(Kf*_xlfn.LOGNORM.DIST((Tabella3[[#This Row],[Day]]-D_bk),mu_f,sigma_f,FALSE),0)</f>
        <v>1793.5137063892312</v>
      </c>
      <c r="L75" s="91">
        <f>Tabella3[[#This Row],[Italy fit]]/y_f_peak</f>
        <v>0.35433651704858959</v>
      </c>
      <c r="M75" s="91">
        <f>Tabella3[[#This Row],[Italy (fitted Lombardy + fitted sum of the other regions)]]*NOT(ISBLANK(Tabella3[[#This Row],[Italy data]]))</f>
        <v>1743.0421579262668</v>
      </c>
      <c r="N75" s="91">
        <f>Tabella3[[#This Row],[Italy fit]]*NOT(ISBLANK(Tabella3[[#This Row],[Italy data]]))</f>
        <v>1793.5137063892312</v>
      </c>
      <c r="O75" s="91">
        <f>Tabella3[[#This Row],[Italy fit]]+CIf</f>
        <v>2807.276708409549</v>
      </c>
      <c r="P75" s="91">
        <f>MAX(Tabella3[[#This Row],[Italy fit]]-CIf,0)</f>
        <v>779.75070436891349</v>
      </c>
      <c r="Q75" s="4">
        <f>Tabella8[[#This Row],[Lombardy]]</f>
        <v>4189</v>
      </c>
      <c r="R75" s="91">
        <f>(Tabella3[[#This Row],[Lombardy cumul. Data]]-Q74)</f>
        <v>769</v>
      </c>
      <c r="S75" s="91">
        <f>Tabella3[[#This Row],[Lombardy data]]*NOT(ISBLANK(Tabella3[[#This Row],[Lombardy data]]))</f>
        <v>769</v>
      </c>
      <c r="T75" s="96">
        <f>Tabella8[[#This Row],[Lombardy fit]]</f>
        <v>5720.6793780428634</v>
      </c>
      <c r="U75" s="91">
        <f>Tabella3[[#This Row],[Lombardy cumul. Fit]]/Kl</f>
        <v>6.5754935379803023E-2</v>
      </c>
      <c r="V75" s="91">
        <f>IFERROR(Kl*_xlfn.LOGNORM.DIST((Tabella3[[#This Row],[Day]]-pl),mu_l,sigma_l,FALSE),0)</f>
        <v>888.99304505859823</v>
      </c>
      <c r="W75" s="91">
        <f>Tabella3[[#This Row],[Lombardy fit]]/y_l_peak</f>
        <v>0.50569742229547543</v>
      </c>
      <c r="X75" s="91">
        <f>Tabella3[[#This Row],[Lombardy fit]]*NOT(ISBLANK(Tabella3[[#This Row],[Lombardy data]]))</f>
        <v>888.99304505859823</v>
      </c>
      <c r="Y75" s="91">
        <f>Tabella3[[#This Row],[Lombardy fit]]+CIl</f>
        <v>1637.9484168622218</v>
      </c>
      <c r="Z75" s="91">
        <f>MAX(Tabella3[[#This Row],[Lombardy fit]]-CIl,0)</f>
        <v>140.03767325497461</v>
      </c>
      <c r="AA75" s="10">
        <f>Tabella8[[#This Row],[rest of Italy ]]</f>
        <v>3186</v>
      </c>
      <c r="AB75" s="10">
        <f>(Tabella3[[#This Row],[rest of Italy cum. Data]]-AA74)</f>
        <v>723</v>
      </c>
      <c r="AC75" s="91">
        <f>Tabella3[[#This Row],[rest of Italy data]]*NOT(ISBLANK(Tabella3[[#This Row],[rest of Italy data]]))</f>
        <v>723</v>
      </c>
      <c r="AD75" s="96">
        <f>Tabella8[[#This Row],[rest of Italy fit]]</f>
        <v>3529.7758891787362</v>
      </c>
      <c r="AE75" s="91">
        <f>Tabella3[[#This Row],[rest of Italy cumul. Fit]]/Ka</f>
        <v>2.3849839865441275E-2</v>
      </c>
      <c r="AF75" s="91">
        <f>IFERROR(Ka*_xlfn.LOGNORM.DIST((Tabella3[[#This Row],[Day]]-pa),mu_a,sigma_a,FALSE),0)</f>
        <v>854.04911286766855</v>
      </c>
      <c r="AG75" s="91">
        <f>Tabella3[[#This Row],[rest of Italy fit]]/y_a_peak</f>
        <v>0.25274087815264679</v>
      </c>
      <c r="AH75" s="91">
        <f>Tabella3[[#This Row],[rest of Italy fit]]*NOT(ISBLANK(Tabella3[[#This Row],[rest of Italy data]]))</f>
        <v>854.04911286766855</v>
      </c>
      <c r="AI75" s="91">
        <f>Tabella3[[#This Row],[rest of Italy fit]]+CIa</f>
        <v>1548.7011487312659</v>
      </c>
      <c r="AJ75" s="91">
        <f>MAX(Tabella3[[#This Row],[rest of Italy fit]]-CIa,0)</f>
        <v>159.39707700407121</v>
      </c>
      <c r="AL75"/>
      <c r="AM75"/>
    </row>
    <row r="76" spans="2:39" x14ac:dyDescent="0.3">
      <c r="B76" s="9">
        <v>43899</v>
      </c>
      <c r="C76" s="4">
        <v>69</v>
      </c>
      <c r="D76" s="91">
        <f>'dpc-covid19-ita-andamento-naz'!L16</f>
        <v>9172</v>
      </c>
      <c r="E76" s="91">
        <f>(Tabella3[[#This Row],[Italy cumul. Data]]-D75)</f>
        <v>1797</v>
      </c>
      <c r="F76" s="91">
        <f>Tabella3[[#This Row],[Italy data]]*NOT(ISBLANK(Tabella3[[#This Row],[Italy data]]))</f>
        <v>1797</v>
      </c>
      <c r="G76" s="96">
        <f>Tabella8[[#This Row],[Italy fit]]</f>
        <v>11320.833652693669</v>
      </c>
      <c r="H76" s="96">
        <f>Tabella3[[#This Row],[Italy cumul. Fit]]/Kf</f>
        <v>4.8173773368636007E-2</v>
      </c>
      <c r="I76" s="96">
        <f>Tabella3[[#This Row],[Lombardy fit]]+Tabella3[[#This Row],[rest of Italy fit]]</f>
        <v>1976.4099873209905</v>
      </c>
      <c r="J76" s="96">
        <f>Tabella3[[#This Row],[Italy (fitted Lombardy + fitted sum of the other regions)]]/(y_l_peak+y_a_peak)</f>
        <v>0.38473236068689121</v>
      </c>
      <c r="K76" s="91">
        <f>IFERROR(Kf*_xlfn.LOGNORM.DIST((Tabella3[[#This Row],[Day]]-D_bk),mu_f,sigma_f,FALSE),0)</f>
        <v>2026.0769743118701</v>
      </c>
      <c r="L76" s="91">
        <f>Tabella3[[#This Row],[Italy fit]]/y_f_peak</f>
        <v>0.40028300636483127</v>
      </c>
      <c r="M76" s="91">
        <f>Tabella3[[#This Row],[Italy (fitted Lombardy + fitted sum of the other regions)]]*NOT(ISBLANK(Tabella3[[#This Row],[Italy data]]))</f>
        <v>1976.4099873209905</v>
      </c>
      <c r="N76" s="91">
        <f>Tabella3[[#This Row],[Italy fit]]*NOT(ISBLANK(Tabella3[[#This Row],[Italy data]]))</f>
        <v>2026.0769743118701</v>
      </c>
      <c r="O76" s="91">
        <f>Tabella3[[#This Row],[Italy fit]]+CIf</f>
        <v>3039.8399763321877</v>
      </c>
      <c r="P76" s="91">
        <f>MAX(Tabella3[[#This Row],[Italy fit]]-CIf,0)</f>
        <v>1012.3139722915524</v>
      </c>
      <c r="Q76" s="4">
        <f>Tabella8[[#This Row],[Lombardy]]</f>
        <v>5469</v>
      </c>
      <c r="R76" s="91">
        <f>(Tabella3[[#This Row],[Lombardy cumul. Data]]-Q75)</f>
        <v>1280</v>
      </c>
      <c r="S76" s="91">
        <f>Tabella3[[#This Row],[Lombardy data]]*NOT(ISBLANK(Tabella3[[#This Row],[Lombardy data]]))</f>
        <v>1280</v>
      </c>
      <c r="T76" s="96">
        <f>Tabella8[[#This Row],[Lombardy fit]]</f>
        <v>6651.0605708092144</v>
      </c>
      <c r="U76" s="91">
        <f>Tabella3[[#This Row],[Lombardy cumul. Fit]]/Kl</f>
        <v>7.6448972078266828E-2</v>
      </c>
      <c r="V76" s="91">
        <f>IFERROR(Kl*_xlfn.LOGNORM.DIST((Tabella3[[#This Row],[Day]]-pl),mu_l,sigma_l,FALSE),0)</f>
        <v>971.66217028128381</v>
      </c>
      <c r="W76" s="91">
        <f>Tabella3[[#This Row],[Lombardy fit]]/y_l_peak</f>
        <v>0.55272317099048163</v>
      </c>
      <c r="X76" s="91">
        <f>Tabella3[[#This Row],[Lombardy fit]]*NOT(ISBLANK(Tabella3[[#This Row],[Lombardy data]]))</f>
        <v>971.66217028128381</v>
      </c>
      <c r="Y76" s="91">
        <f>Tabella3[[#This Row],[Lombardy fit]]+CIl</f>
        <v>1720.6175420849074</v>
      </c>
      <c r="Z76" s="91">
        <f>MAX(Tabella3[[#This Row],[Lombardy fit]]-CIl,0)</f>
        <v>222.70679847766019</v>
      </c>
      <c r="AA76" s="10">
        <f>Tabella8[[#This Row],[rest of Italy ]]</f>
        <v>3703</v>
      </c>
      <c r="AB76" s="10">
        <f>(Tabella3[[#This Row],[rest of Italy cum. Data]]-AA75)</f>
        <v>517</v>
      </c>
      <c r="AC76" s="91">
        <f>Tabella3[[#This Row],[rest of Italy data]]*NOT(ISBLANK(Tabella3[[#This Row],[rest of Italy data]]))</f>
        <v>517</v>
      </c>
      <c r="AD76" s="96">
        <f>Tabella8[[#This Row],[rest of Italy fit]]</f>
        <v>4458.3318388133321</v>
      </c>
      <c r="AE76" s="91">
        <f>Tabella3[[#This Row],[rest of Italy cumul. Fit]]/Ka</f>
        <v>3.0123867282530494E-2</v>
      </c>
      <c r="AF76" s="91">
        <f>IFERROR(Ka*_xlfn.LOGNORM.DIST((Tabella3[[#This Row],[Day]]-pa),mu_a,sigma_a,FALSE),0)</f>
        <v>1004.7478170397067</v>
      </c>
      <c r="AG76" s="91">
        <f>Tabella3[[#This Row],[rest of Italy fit]]/y_a_peak</f>
        <v>0.29733752049446532</v>
      </c>
      <c r="AH76" s="91">
        <f>Tabella3[[#This Row],[rest of Italy fit]]*NOT(ISBLANK(Tabella3[[#This Row],[rest of Italy data]]))</f>
        <v>1004.7478170397067</v>
      </c>
      <c r="AI76" s="91">
        <f>Tabella3[[#This Row],[rest of Italy fit]]+CIa</f>
        <v>1699.399852903304</v>
      </c>
      <c r="AJ76" s="91">
        <f>MAX(Tabella3[[#This Row],[rest of Italy fit]]-CIa,0)</f>
        <v>310.09578117610931</v>
      </c>
      <c r="AL76"/>
      <c r="AM76"/>
    </row>
    <row r="77" spans="2:39" x14ac:dyDescent="0.3">
      <c r="B77" s="16">
        <v>43900</v>
      </c>
      <c r="C77" s="4">
        <v>70</v>
      </c>
      <c r="D77" s="91">
        <f>'dpc-covid19-ita-andamento-naz'!L17</f>
        <v>10149</v>
      </c>
      <c r="E77" s="91">
        <f>(Tabella3[[#This Row],[Italy cumul. Data]]-D76)</f>
        <v>977</v>
      </c>
      <c r="F77" s="91">
        <f>Tabella3[[#This Row],[Italy data]]*NOT(ISBLANK(Tabella3[[#This Row],[Italy data]]))</f>
        <v>977</v>
      </c>
      <c r="G77" s="96">
        <f>Tabella8[[#This Row],[Italy fit]]</f>
        <v>13465.882078228418</v>
      </c>
      <c r="H77" s="96">
        <f>Tabella3[[#This Row],[Italy cumul. Fit]]/Kf</f>
        <v>5.7301641499784901E-2</v>
      </c>
      <c r="I77" s="96">
        <f>Tabella3[[#This Row],[Lombardy fit]]+Tabella3[[#This Row],[rest of Italy fit]]</f>
        <v>2217.8634474250039</v>
      </c>
      <c r="J77" s="96">
        <f>Tabella3[[#This Row],[Italy (fitted Lombardy + fitted sum of the other regions)]]/(y_l_peak+y_a_peak)</f>
        <v>0.43173422785907328</v>
      </c>
      <c r="K77" s="91">
        <f>IFERROR(Kf*_xlfn.LOGNORM.DIST((Tabella3[[#This Row],[Day]]-D_bk),mu_f,sigma_f,FALSE),0)</f>
        <v>2264.82376222627</v>
      </c>
      <c r="L77" s="91">
        <f>Tabella3[[#This Row],[Italy fit]]/y_f_peak</f>
        <v>0.44745114619267795</v>
      </c>
      <c r="M77" s="91">
        <f>Tabella3[[#This Row],[Italy (fitted Lombardy + fitted sum of the other regions)]]*NOT(ISBLANK(Tabella3[[#This Row],[Italy data]]))</f>
        <v>2217.8634474250039</v>
      </c>
      <c r="N77" s="91">
        <f>Tabella3[[#This Row],[Italy fit]]*NOT(ISBLANK(Tabella3[[#This Row],[Italy data]]))</f>
        <v>2264.82376222627</v>
      </c>
      <c r="O77" s="91">
        <f>Tabella3[[#This Row],[Italy fit]]+CIf</f>
        <v>3278.5867642465878</v>
      </c>
      <c r="P77" s="91">
        <f>MAX(Tabella3[[#This Row],[Italy fit]]-CIf,0)</f>
        <v>1251.0607602059522</v>
      </c>
      <c r="Q77" s="4">
        <f>Tabella8[[#This Row],[Lombardy]]</f>
        <v>5791</v>
      </c>
      <c r="R77" s="91">
        <f>(Tabella3[[#This Row],[Lombardy cumul. Data]]-Q76)</f>
        <v>322</v>
      </c>
      <c r="S77" s="91">
        <f>Tabella3[[#This Row],[Lombardy data]]*NOT(ISBLANK(Tabella3[[#This Row],[Lombardy data]]))</f>
        <v>322</v>
      </c>
      <c r="T77" s="96">
        <f>Tabella8[[#This Row],[Lombardy fit]]</f>
        <v>7663.6423871361549</v>
      </c>
      <c r="U77" s="91">
        <f>Tabella3[[#This Row],[Lombardy cumul. Fit]]/Kl</f>
        <v>8.8087843530300636E-2</v>
      </c>
      <c r="V77" s="91">
        <f>IFERROR(Kl*_xlfn.LOGNORM.DIST((Tabella3[[#This Row],[Day]]-pl),mu_l,sigma_l,FALSE),0)</f>
        <v>1053.2488417170159</v>
      </c>
      <c r="W77" s="91">
        <f>Tabella3[[#This Row],[Lombardy fit]]/y_l_peak</f>
        <v>0.599133173484931</v>
      </c>
      <c r="X77" s="91">
        <f>Tabella3[[#This Row],[Lombardy fit]]*NOT(ISBLANK(Tabella3[[#This Row],[Lombardy data]]))</f>
        <v>1053.2488417170159</v>
      </c>
      <c r="Y77" s="91">
        <f>Tabella3[[#This Row],[Lombardy fit]]+CIl</f>
        <v>1802.2042135206395</v>
      </c>
      <c r="Z77" s="91">
        <f>MAX(Tabella3[[#This Row],[Lombardy fit]]-CIl,0)</f>
        <v>304.2934699133923</v>
      </c>
      <c r="AA77" s="10">
        <f>Tabella8[[#This Row],[rest of Italy ]]</f>
        <v>4358</v>
      </c>
      <c r="AB77" s="10">
        <f>(Tabella3[[#This Row],[rest of Italy cum. Data]]-AA76)</f>
        <v>655</v>
      </c>
      <c r="AC77" s="91">
        <f>Tabella3[[#This Row],[rest of Italy data]]*NOT(ISBLANK(Tabella3[[#This Row],[rest of Italy data]]))</f>
        <v>655</v>
      </c>
      <c r="AD77" s="96">
        <f>Tabella8[[#This Row],[rest of Italy fit]]</f>
        <v>5542.3304236886052</v>
      </c>
      <c r="AE77" s="91">
        <f>Tabella3[[#This Row],[rest of Italy cumul. Fit]]/Ka</f>
        <v>3.7448182897835865E-2</v>
      </c>
      <c r="AF77" s="91">
        <f>IFERROR(Ka*_xlfn.LOGNORM.DIST((Tabella3[[#This Row],[Day]]-pa),mu_a,sigma_a,FALSE),0)</f>
        <v>1164.6146057079882</v>
      </c>
      <c r="AG77" s="91">
        <f>Tabella3[[#This Row],[rest of Italy fit]]/y_a_peak</f>
        <v>0.3446472968840178</v>
      </c>
      <c r="AH77" s="91">
        <f>Tabella3[[#This Row],[rest of Italy fit]]*NOT(ISBLANK(Tabella3[[#This Row],[rest of Italy data]]))</f>
        <v>1164.6146057079882</v>
      </c>
      <c r="AI77" s="91">
        <f>Tabella3[[#This Row],[rest of Italy fit]]+CIa</f>
        <v>1859.2666415715855</v>
      </c>
      <c r="AJ77" s="91">
        <f>MAX(Tabella3[[#This Row],[rest of Italy fit]]-CIa,0)</f>
        <v>469.96256984439083</v>
      </c>
      <c r="AL77"/>
      <c r="AM77"/>
    </row>
    <row r="78" spans="2:39" x14ac:dyDescent="0.3">
      <c r="B78" s="9">
        <v>43901</v>
      </c>
      <c r="C78" s="4">
        <v>71</v>
      </c>
      <c r="D78" s="91">
        <f>'dpc-covid19-ita-andamento-naz'!L18</f>
        <v>12462</v>
      </c>
      <c r="E78" s="91">
        <f>(Tabella3[[#This Row],[Italy cumul. Data]]-D77)</f>
        <v>2313</v>
      </c>
      <c r="F78" s="91">
        <f>Tabella3[[#This Row],[Italy data]]*NOT(ISBLANK(Tabella3[[#This Row],[Italy data]]))</f>
        <v>2313</v>
      </c>
      <c r="G78" s="96">
        <f>Tabella8[[#This Row],[Italy fit]]</f>
        <v>15851.626278701038</v>
      </c>
      <c r="H78" s="96">
        <f>Tabella3[[#This Row],[Italy cumul. Fit]]/Kf</f>
        <v>6.7453747250562301E-2</v>
      </c>
      <c r="I78" s="96">
        <f>Tabella3[[#This Row],[Lombardy fit]]+Tabella3[[#This Row],[rest of Italy fit]]</f>
        <v>2464.5220788693687</v>
      </c>
      <c r="J78" s="96">
        <f>Tabella3[[#This Row],[Italy (fitted Lombardy + fitted sum of the other regions)]]/(y_l_peak+y_a_peak)</f>
        <v>0.47974934525281876</v>
      </c>
      <c r="K78" s="91">
        <f>IFERROR(Kf*_xlfn.LOGNORM.DIST((Tabella3[[#This Row],[Day]]-D_bk),mu_f,sigma_f,FALSE),0)</f>
        <v>2507.0044676140956</v>
      </c>
      <c r="L78" s="91">
        <f>Tabella3[[#This Row],[Italy fit]]/y_f_peak</f>
        <v>0.49529770980565169</v>
      </c>
      <c r="M78" s="91">
        <f>Tabella3[[#This Row],[Italy (fitted Lombardy + fitted sum of the other regions)]]*NOT(ISBLANK(Tabella3[[#This Row],[Italy data]]))</f>
        <v>2464.5220788693687</v>
      </c>
      <c r="N78" s="91">
        <f>Tabella3[[#This Row],[Italy fit]]*NOT(ISBLANK(Tabella3[[#This Row],[Italy data]]))</f>
        <v>2507.0044676140956</v>
      </c>
      <c r="O78" s="91">
        <f>Tabella3[[#This Row],[Italy fit]]+CIf</f>
        <v>3520.7674696344134</v>
      </c>
      <c r="P78" s="91">
        <f>MAX(Tabella3[[#This Row],[Italy fit]]-CIf,0)</f>
        <v>1493.2414655937778</v>
      </c>
      <c r="Q78" s="4">
        <f>Tabella8[[#This Row],[Lombardy]]</f>
        <v>7280</v>
      </c>
      <c r="R78" s="91">
        <f>(Tabella3[[#This Row],[Lombardy cumul. Data]]-Q77)</f>
        <v>1489</v>
      </c>
      <c r="S78" s="91">
        <f>Tabella3[[#This Row],[Lombardy data]]*NOT(ISBLANK(Tabella3[[#This Row],[Lombardy data]]))</f>
        <v>1489</v>
      </c>
      <c r="T78" s="96">
        <f>Tabella8[[#This Row],[Lombardy fit]]</f>
        <v>8756.9145256784268</v>
      </c>
      <c r="U78" s="91">
        <f>Tabella3[[#This Row],[Lombardy cumul. Fit]]/Kl</f>
        <v>0.10065418995032674</v>
      </c>
      <c r="V78" s="91">
        <f>IFERROR(Kl*_xlfn.LOGNORM.DIST((Tabella3[[#This Row],[Day]]-pl),mu_l,sigma_l,FALSE),0)</f>
        <v>1132.9063779653745</v>
      </c>
      <c r="W78" s="91">
        <f>Tabella3[[#This Row],[Lombardy fit]]/y_l_peak</f>
        <v>0.64444580103709381</v>
      </c>
      <c r="X78" s="91">
        <f>Tabella3[[#This Row],[Lombardy fit]]*NOT(ISBLANK(Tabella3[[#This Row],[Lombardy data]]))</f>
        <v>1132.9063779653745</v>
      </c>
      <c r="Y78" s="91">
        <f>Tabella3[[#This Row],[Lombardy fit]]+CIl</f>
        <v>1881.8617497689982</v>
      </c>
      <c r="Z78" s="91">
        <f>MAX(Tabella3[[#This Row],[Lombardy fit]]-CIl,0)</f>
        <v>383.95100616175091</v>
      </c>
      <c r="AA78" s="10">
        <f>Tabella8[[#This Row],[rest of Italy ]]</f>
        <v>5182</v>
      </c>
      <c r="AB78" s="10">
        <f>(Tabella3[[#This Row],[rest of Italy cum. Data]]-AA77)</f>
        <v>824</v>
      </c>
      <c r="AC78" s="91">
        <f>Tabella3[[#This Row],[rest of Italy data]]*NOT(ISBLANK(Tabella3[[#This Row],[rest of Italy data]]))</f>
        <v>824</v>
      </c>
      <c r="AD78" s="96">
        <f>Tabella8[[#This Row],[rest of Italy fit]]</f>
        <v>6789.9411612720642</v>
      </c>
      <c r="AE78" s="91">
        <f>Tabella3[[#This Row],[rest of Italy cumul. Fit]]/Ka</f>
        <v>4.5877986160131265E-2</v>
      </c>
      <c r="AF78" s="91">
        <f>IFERROR(Ka*_xlfn.LOGNORM.DIST((Tabella3[[#This Row],[Day]]-pa),mu_a,sigma_a,FALSE),0)</f>
        <v>1331.6157009039941</v>
      </c>
      <c r="AG78" s="91">
        <f>Tabella3[[#This Row],[rest of Italy fit]]/y_a_peak</f>
        <v>0.39406834634868981</v>
      </c>
      <c r="AH78" s="91">
        <f>Tabella3[[#This Row],[rest of Italy fit]]*NOT(ISBLANK(Tabella3[[#This Row],[rest of Italy data]]))</f>
        <v>1331.6157009039941</v>
      </c>
      <c r="AI78" s="91">
        <f>Tabella3[[#This Row],[rest of Italy fit]]+CIa</f>
        <v>2026.2677367675915</v>
      </c>
      <c r="AJ78" s="91">
        <f>MAX(Tabella3[[#This Row],[rest of Italy fit]]-CIa,0)</f>
        <v>636.96366504039679</v>
      </c>
      <c r="AL78"/>
      <c r="AM78"/>
    </row>
    <row r="79" spans="2:39" x14ac:dyDescent="0.3">
      <c r="B79" s="16">
        <v>43902</v>
      </c>
      <c r="C79" s="4">
        <v>72</v>
      </c>
      <c r="D79" s="91">
        <f>'dpc-covid19-ita-andamento-naz'!L19</f>
        <v>15113</v>
      </c>
      <c r="E79" s="91">
        <f>(Tabella3[[#This Row],[Italy cumul. Data]]-D78)</f>
        <v>2651</v>
      </c>
      <c r="F79" s="91">
        <f>Tabella3[[#This Row],[Italy data]]*NOT(ISBLANK(Tabella3[[#This Row],[Italy data]]))</f>
        <v>2651</v>
      </c>
      <c r="G79" s="96">
        <f>Tabella8[[#This Row],[Italy fit]]</f>
        <v>18480.104716344176</v>
      </c>
      <c r="H79" s="96">
        <f>Tabella3[[#This Row],[Italy cumul. Fit]]/Kf</f>
        <v>7.8638764930707997E-2</v>
      </c>
      <c r="I79" s="96">
        <f>Tabella3[[#This Row],[Lombardy fit]]+Tabella3[[#This Row],[rest of Italy fit]]</f>
        <v>2713.3858607407988</v>
      </c>
      <c r="J79" s="96">
        <f>Tabella3[[#This Row],[Italy (fitted Lombardy + fitted sum of the other regions)]]/(y_l_peak+y_a_peak)</f>
        <v>0.52819372212962545</v>
      </c>
      <c r="K79" s="91">
        <f>IFERROR(Kf*_xlfn.LOGNORM.DIST((Tabella3[[#This Row],[Day]]-D_bk),mu_f,sigma_f,FALSE),0)</f>
        <v>2749.8272842197771</v>
      </c>
      <c r="L79" s="91">
        <f>Tabella3[[#This Row],[Italy fit]]/y_f_peak</f>
        <v>0.54327113247282866</v>
      </c>
      <c r="M79" s="91">
        <f>Tabella3[[#This Row],[Italy (fitted Lombardy + fitted sum of the other regions)]]*NOT(ISBLANK(Tabella3[[#This Row],[Italy data]]))</f>
        <v>2713.3858607407988</v>
      </c>
      <c r="N79" s="91">
        <f>Tabella3[[#This Row],[Italy fit]]*NOT(ISBLANK(Tabella3[[#This Row],[Italy data]]))</f>
        <v>2749.8272842197771</v>
      </c>
      <c r="O79" s="91">
        <f>Tabella3[[#This Row],[Italy fit]]+CIf</f>
        <v>3763.5902862400949</v>
      </c>
      <c r="P79" s="91">
        <f>MAX(Tabella3[[#This Row],[Italy fit]]-CIf,0)</f>
        <v>1736.0642821994593</v>
      </c>
      <c r="Q79" s="4">
        <f>Tabella8[[#This Row],[Lombardy]]</f>
        <v>8725</v>
      </c>
      <c r="R79" s="91">
        <f>(Tabella3[[#This Row],[Lombardy cumul. Data]]-Q78)</f>
        <v>1445</v>
      </c>
      <c r="S79" s="91">
        <f>Tabella3[[#This Row],[Lombardy data]]*NOT(ISBLANK(Tabella3[[#This Row],[Lombardy data]]))</f>
        <v>1445</v>
      </c>
      <c r="T79" s="96">
        <f>Tabella8[[#This Row],[Lombardy fit]]</f>
        <v>9928.5494264847639</v>
      </c>
      <c r="U79" s="91">
        <f>Tabella3[[#This Row],[Lombardy cumul. Fit]]/Kl</f>
        <v>0.11412125777568694</v>
      </c>
      <c r="V79" s="91">
        <f>IFERROR(Kl*_xlfn.LOGNORM.DIST((Tabella3[[#This Row],[Day]]-pl),mu_l,sigma_l,FALSE),0)</f>
        <v>1209.8492131042087</v>
      </c>
      <c r="W79" s="91">
        <f>Tabella3[[#This Row],[Lombardy fit]]/y_l_peak</f>
        <v>0.68821419001391582</v>
      </c>
      <c r="X79" s="91">
        <f>Tabella3[[#This Row],[Lombardy fit]]*NOT(ISBLANK(Tabella3[[#This Row],[Lombardy data]]))</f>
        <v>1209.8492131042087</v>
      </c>
      <c r="Y79" s="91">
        <f>Tabella3[[#This Row],[Lombardy fit]]+CIl</f>
        <v>1958.8045849078323</v>
      </c>
      <c r="Z79" s="91">
        <f>MAX(Tabella3[[#This Row],[Lombardy fit]]-CIl,0)</f>
        <v>460.89384130058511</v>
      </c>
      <c r="AA79" s="10">
        <f>Tabella8[[#This Row],[rest of Italy ]]</f>
        <v>6388</v>
      </c>
      <c r="AB79" s="10">
        <f>(Tabella3[[#This Row],[rest of Italy cum. Data]]-AA78)</f>
        <v>1206</v>
      </c>
      <c r="AC79" s="91">
        <f>Tabella3[[#This Row],[rest of Italy data]]*NOT(ISBLANK(Tabella3[[#This Row],[rest of Italy data]]))</f>
        <v>1206</v>
      </c>
      <c r="AD79" s="96">
        <f>Tabella8[[#This Row],[rest of Italy fit]]</f>
        <v>8207.2029099055053</v>
      </c>
      <c r="AE79" s="91">
        <f>Tabella3[[#This Row],[rest of Italy cumul. Fit]]/Ka</f>
        <v>5.5454080171070688E-2</v>
      </c>
      <c r="AF79" s="91">
        <f>IFERROR(Ka*_xlfn.LOGNORM.DIST((Tabella3[[#This Row],[Day]]-pa),mu_a,sigma_a,FALSE),0)</f>
        <v>1503.53664763659</v>
      </c>
      <c r="AG79" s="91">
        <f>Tabella3[[#This Row],[rest of Italy fit]]/y_a_peak</f>
        <v>0.44494533971518646</v>
      </c>
      <c r="AH79" s="91">
        <f>Tabella3[[#This Row],[rest of Italy fit]]*NOT(ISBLANK(Tabella3[[#This Row],[rest of Italy data]]))</f>
        <v>1503.53664763659</v>
      </c>
      <c r="AI79" s="91">
        <f>Tabella3[[#This Row],[rest of Italy fit]]+CIa</f>
        <v>2198.1886835001874</v>
      </c>
      <c r="AJ79" s="91">
        <f>MAX(Tabella3[[#This Row],[rest of Italy fit]]-CIa,0)</f>
        <v>808.88461177299268</v>
      </c>
      <c r="AL79"/>
      <c r="AM79"/>
    </row>
    <row r="80" spans="2:39" x14ac:dyDescent="0.3">
      <c r="B80" s="9">
        <v>43903</v>
      </c>
      <c r="C80" s="4">
        <v>73</v>
      </c>
      <c r="D80" s="91">
        <f>'dpc-covid19-ita-andamento-naz'!L20</f>
        <v>17660</v>
      </c>
      <c r="E80" s="91">
        <f>(Tabella3[[#This Row],[Italy cumul. Data]]-D79)</f>
        <v>2547</v>
      </c>
      <c r="F80" s="91">
        <f>Tabella3[[#This Row],[Italy data]]*NOT(ISBLANK(Tabella3[[#This Row],[Italy data]]))</f>
        <v>2547</v>
      </c>
      <c r="G80" s="96">
        <f>Tabella8[[#This Row],[Italy fit]]</f>
        <v>21350.572972603877</v>
      </c>
      <c r="H80" s="96">
        <f>Tabella3[[#This Row],[Italy cumul. Fit]]/Kf</f>
        <v>9.085352680083017E-2</v>
      </c>
      <c r="I80" s="96">
        <f>Tabella3[[#This Row],[Lombardy fit]]+Tabella3[[#This Row],[rest of Italy fit]]</f>
        <v>2961.4254299142767</v>
      </c>
      <c r="J80" s="96">
        <f>Tabella3[[#This Row],[Italy (fitted Lombardy + fitted sum of the other regions)]]/(y_l_peak+y_a_peak)</f>
        <v>0.57647765593084288</v>
      </c>
      <c r="K80" s="91">
        <f>IFERROR(Kf*_xlfn.LOGNORM.DIST((Tabella3[[#This Row],[Day]]-D_bk),mu_f,sigma_f,FALSE),0)</f>
        <v>2990.5296322107793</v>
      </c>
      <c r="L80" s="91">
        <f>Tabella3[[#This Row],[Italy fit]]/y_f_peak</f>
        <v>0.59082562359754798</v>
      </c>
      <c r="M80" s="91">
        <f>Tabella3[[#This Row],[Italy (fitted Lombardy + fitted sum of the other regions)]]*NOT(ISBLANK(Tabella3[[#This Row],[Italy data]]))</f>
        <v>2961.4254299142767</v>
      </c>
      <c r="N80" s="91">
        <f>Tabella3[[#This Row],[Italy fit]]*NOT(ISBLANK(Tabella3[[#This Row],[Italy data]]))</f>
        <v>2990.5296322107793</v>
      </c>
      <c r="O80" s="91">
        <f>Tabella3[[#This Row],[Italy fit]]+CIf</f>
        <v>4004.2926342310971</v>
      </c>
      <c r="P80" s="91">
        <f>MAX(Tabella3[[#This Row],[Italy fit]]-CIf,0)</f>
        <v>1976.7666301904615</v>
      </c>
      <c r="Q80" s="4">
        <f>Tabella8[[#This Row],[Lombardy]]</f>
        <v>9820</v>
      </c>
      <c r="R80" s="91">
        <f>(Tabella3[[#This Row],[Lombardy cumul. Data]]-Q79)</f>
        <v>1095</v>
      </c>
      <c r="S80" s="91">
        <f>Tabella3[[#This Row],[Lombardy data]]*NOT(ISBLANK(Tabella3[[#This Row],[Lombardy data]]))</f>
        <v>1095</v>
      </c>
      <c r="T80" s="96">
        <f>Tabella8[[#This Row],[Lombardy fit]]</f>
        <v>11175.46964004266</v>
      </c>
      <c r="U80" s="91">
        <f>Tabella3[[#This Row],[Lombardy cumul. Fit]]/Kl</f>
        <v>0.12845367402347885</v>
      </c>
      <c r="V80" s="91">
        <f>IFERROR(Kl*_xlfn.LOGNORM.DIST((Tabella3[[#This Row],[Day]]-pl),mu_l,sigma_l,FALSE),0)</f>
        <v>1283.3648504414211</v>
      </c>
      <c r="W80" s="91">
        <f>Tabella3[[#This Row],[Lombardy fit]]/y_l_peak</f>
        <v>0.73003304169839311</v>
      </c>
      <c r="X80" s="91">
        <f>Tabella3[[#This Row],[Lombardy fit]]*NOT(ISBLANK(Tabella3[[#This Row],[Lombardy data]]))</f>
        <v>1283.3648504414211</v>
      </c>
      <c r="Y80" s="91">
        <f>Tabella3[[#This Row],[Lombardy fit]]+CIl</f>
        <v>2032.3202222450448</v>
      </c>
      <c r="Z80" s="91">
        <f>MAX(Tabella3[[#This Row],[Lombardy fit]]-CIl,0)</f>
        <v>534.40947863779752</v>
      </c>
      <c r="AA80" s="10">
        <f>Tabella8[[#This Row],[rest of Italy ]]</f>
        <v>7840</v>
      </c>
      <c r="AB80" s="10">
        <f>(Tabella3[[#This Row],[rest of Italy cum. Data]]-AA79)</f>
        <v>1452</v>
      </c>
      <c r="AC80" s="91">
        <f>Tabella3[[#This Row],[rest of Italy data]]*NOT(ISBLANK(Tabella3[[#This Row],[rest of Italy data]]))</f>
        <v>1452</v>
      </c>
      <c r="AD80" s="96">
        <f>Tabella8[[#This Row],[rest of Italy fit]]</f>
        <v>9797.8824105135063</v>
      </c>
      <c r="AE80" s="91">
        <f>Tabella3[[#This Row],[rest of Italy cumul. Fit]]/Ka</f>
        <v>6.6201915885809995E-2</v>
      </c>
      <c r="AF80" s="91">
        <f>IFERROR(Ka*_xlfn.LOGNORM.DIST((Tabella3[[#This Row],[Day]]-pa),mu_a,sigma_a,FALSE),0)</f>
        <v>1678.0605794728556</v>
      </c>
      <c r="AG80" s="91">
        <f>Tabella3[[#This Row],[rest of Italy fit]]/y_a_peak</f>
        <v>0.49659264093752842</v>
      </c>
      <c r="AH80" s="91">
        <f>Tabella3[[#This Row],[rest of Italy fit]]*NOT(ISBLANK(Tabella3[[#This Row],[rest of Italy data]]))</f>
        <v>1678.0605794728556</v>
      </c>
      <c r="AI80" s="91">
        <f>Tabella3[[#This Row],[rest of Italy fit]]+CIa</f>
        <v>2372.7126153364529</v>
      </c>
      <c r="AJ80" s="91">
        <f>MAX(Tabella3[[#This Row],[rest of Italy fit]]-CIa,0)</f>
        <v>983.40854360925823</v>
      </c>
      <c r="AL80"/>
      <c r="AM80"/>
    </row>
    <row r="81" spans="2:39" x14ac:dyDescent="0.3">
      <c r="B81" s="9">
        <v>43904</v>
      </c>
      <c r="C81" s="4">
        <v>74</v>
      </c>
      <c r="D81" s="91">
        <f>'dpc-covid19-ita-andamento-naz'!L21</f>
        <v>21157</v>
      </c>
      <c r="E81" s="91">
        <f>(Tabella3[[#This Row],[Italy cumul. Data]]-D80)</f>
        <v>3497</v>
      </c>
      <c r="F81" s="91">
        <f>Tabella3[[#This Row],[Italy data]]*NOT(ISBLANK(Tabella3[[#This Row],[Italy data]]))</f>
        <v>3497</v>
      </c>
      <c r="G81" s="96">
        <f>Tabella8[[#This Row],[Italy fit]]</f>
        <v>24459.565830411917</v>
      </c>
      <c r="H81" s="96">
        <f>Tabella3[[#This Row],[Italy cumul. Fit]]/Kf</f>
        <v>0.10408328725235981</v>
      </c>
      <c r="I81" s="96">
        <f>Tabella3[[#This Row],[Lombardy fit]]+Tabella3[[#This Row],[rest of Italy fit]]</f>
        <v>3205.6661437882458</v>
      </c>
      <c r="J81" s="96">
        <f>Tabella3[[#This Row],[Italy (fitted Lombardy + fitted sum of the other regions)]]/(y_l_peak+y_a_peak)</f>
        <v>0.62402209611653314</v>
      </c>
      <c r="K81" s="91">
        <f>IFERROR(Kf*_xlfn.LOGNORM.DIST((Tabella3[[#This Row],[Day]]-D_bk),mu_f,sigma_f,FALSE),0)</f>
        <v>3226.4425478219187</v>
      </c>
      <c r="L81" s="91">
        <f>Tabella3[[#This Row],[Italy fit]]/y_f_peak</f>
        <v>0.63743388789273459</v>
      </c>
      <c r="M81" s="91">
        <f>Tabella3[[#This Row],[Italy (fitted Lombardy + fitted sum of the other regions)]]*NOT(ISBLANK(Tabella3[[#This Row],[Italy data]]))</f>
        <v>3205.6661437882458</v>
      </c>
      <c r="N81" s="91">
        <f>Tabella3[[#This Row],[Italy fit]]*NOT(ISBLANK(Tabella3[[#This Row],[Italy data]]))</f>
        <v>3226.4425478219187</v>
      </c>
      <c r="O81" s="91">
        <f>Tabella3[[#This Row],[Italy fit]]+CIf</f>
        <v>4240.205549842236</v>
      </c>
      <c r="P81" s="91">
        <f>MAX(Tabella3[[#This Row],[Italy fit]]-CIf,0)</f>
        <v>2212.6795458016009</v>
      </c>
      <c r="Q81" s="4">
        <f>Tabella8[[#This Row],[Lombardy]]</f>
        <v>11685</v>
      </c>
      <c r="R81" s="91">
        <f>(Tabella3[[#This Row],[Lombardy cumul. Data]]-Q80)</f>
        <v>1865</v>
      </c>
      <c r="S81" s="91">
        <f>Tabella3[[#This Row],[Lombardy data]]*NOT(ISBLANK(Tabella3[[#This Row],[Lombardy data]]))</f>
        <v>1865</v>
      </c>
      <c r="T81" s="96">
        <f>Tabella8[[#This Row],[Lombardy fit]]</f>
        <v>12493.925509581044</v>
      </c>
      <c r="U81" s="91">
        <f>Tabella3[[#This Row],[Lombardy cumul. Fit]]/Kl</f>
        <v>0.14360833919058671</v>
      </c>
      <c r="V81" s="91">
        <f>IFERROR(Kl*_xlfn.LOGNORM.DIST((Tabella3[[#This Row],[Day]]-pl),mu_l,sigma_l,FALSE),0)</f>
        <v>1352.822558718497</v>
      </c>
      <c r="W81" s="91">
        <f>Tabella3[[#This Row],[Lombardy fit]]/y_l_peak</f>
        <v>0.76954356906360222</v>
      </c>
      <c r="X81" s="91">
        <f>Tabella3[[#This Row],[Lombardy fit]]*NOT(ISBLANK(Tabella3[[#This Row],[Lombardy data]]))</f>
        <v>1352.822558718497</v>
      </c>
      <c r="Y81" s="91">
        <f>Tabella3[[#This Row],[Lombardy fit]]+CIl</f>
        <v>2101.7779305221206</v>
      </c>
      <c r="Z81" s="91">
        <f>MAX(Tabella3[[#This Row],[Lombardy fit]]-CIl,0)</f>
        <v>603.8671869148734</v>
      </c>
      <c r="AA81" s="10">
        <f>Tabella8[[#This Row],[rest of Italy ]]</f>
        <v>9472</v>
      </c>
      <c r="AB81" s="10">
        <f>(Tabella3[[#This Row],[rest of Italy cum. Data]]-AA80)</f>
        <v>1632</v>
      </c>
      <c r="AC81" s="91">
        <f>Tabella3[[#This Row],[rest of Italy data]]*NOT(ISBLANK(Tabella3[[#This Row],[rest of Italy data]]))</f>
        <v>1632</v>
      </c>
      <c r="AD81" s="96">
        <f>Tabella8[[#This Row],[rest of Italy fit]]</f>
        <v>11563.409946216672</v>
      </c>
      <c r="AE81" s="91">
        <f>Tabella3[[#This Row],[rest of Italy cumul. Fit]]/Ka</f>
        <v>7.8131157380613422E-2</v>
      </c>
      <c r="AF81" s="91">
        <f>IFERROR(Ka*_xlfn.LOGNORM.DIST((Tabella3[[#This Row],[Day]]-pa),mu_a,sigma_a,FALSE),0)</f>
        <v>1852.8435850697485</v>
      </c>
      <c r="AG81" s="91">
        <f>Tabella3[[#This Row],[rest of Italy fit]]/y_a_peak</f>
        <v>0.54831661050221836</v>
      </c>
      <c r="AH81" s="91">
        <f>Tabella3[[#This Row],[rest of Italy fit]]*NOT(ISBLANK(Tabella3[[#This Row],[rest of Italy data]]))</f>
        <v>1852.8435850697485</v>
      </c>
      <c r="AI81" s="91">
        <f>Tabella3[[#This Row],[rest of Italy fit]]+CIa</f>
        <v>2547.4956209333459</v>
      </c>
      <c r="AJ81" s="91">
        <f>MAX(Tabella3[[#This Row],[rest of Italy fit]]-CIa,0)</f>
        <v>1158.1915492061512</v>
      </c>
      <c r="AL81"/>
      <c r="AM81"/>
    </row>
    <row r="82" spans="2:39" x14ac:dyDescent="0.3">
      <c r="B82" s="9">
        <v>43905</v>
      </c>
      <c r="C82" s="4">
        <v>75</v>
      </c>
      <c r="D82" s="91">
        <f>'dpc-covid19-ita-andamento-naz'!L22</f>
        <v>24747</v>
      </c>
      <c r="E82" s="91">
        <f>(Tabella3[[#This Row],[Italy cumul. Data]]-D81)</f>
        <v>3590</v>
      </c>
      <c r="F82" s="91">
        <f>Tabella3[[#This Row],[Italy data]]*NOT(ISBLANK(Tabella3[[#This Row],[Italy data]]))</f>
        <v>3590</v>
      </c>
      <c r="G82" s="96">
        <f>Tabella8[[#This Row],[Italy fit]]</f>
        <v>27801.019554172199</v>
      </c>
      <c r="H82" s="96">
        <f>Tabella3[[#This Row],[Italy cumul. Fit]]/Kf</f>
        <v>0.11830224314806025</v>
      </c>
      <c r="I82" s="96">
        <f>Tabella3[[#This Row],[Lombardy fit]]+Tabella3[[#This Row],[rest of Italy fit]]</f>
        <v>3443.2629898815831</v>
      </c>
      <c r="J82" s="96">
        <f>Tabella3[[#This Row],[Italy (fitted Lombardy + fitted sum of the other regions)]]/(y_l_peak+y_a_peak)</f>
        <v>0.6702732262341039</v>
      </c>
      <c r="K82" s="91">
        <f>IFERROR(Kf*_xlfn.LOGNORM.DIST((Tabella3[[#This Row],[Day]]-D_bk),mu_f,sigma_f,FALSE),0)</f>
        <v>3455.0464839391898</v>
      </c>
      <c r="L82" s="91">
        <f>Tabella3[[#This Row],[Italy fit]]/y_f_peak</f>
        <v>0.6825981496537834</v>
      </c>
      <c r="M82" s="91">
        <f>Tabella3[[#This Row],[Italy (fitted Lombardy + fitted sum of the other regions)]]*NOT(ISBLANK(Tabella3[[#This Row],[Italy data]]))</f>
        <v>3443.2629898815831</v>
      </c>
      <c r="N82" s="91">
        <f>Tabella3[[#This Row],[Italy fit]]*NOT(ISBLANK(Tabella3[[#This Row],[Italy data]]))</f>
        <v>3455.0464839391898</v>
      </c>
      <c r="O82" s="91">
        <f>Tabella3[[#This Row],[Italy fit]]+CIf</f>
        <v>4468.8094859595076</v>
      </c>
      <c r="P82" s="91">
        <f>MAX(Tabella3[[#This Row],[Italy fit]]-CIf,0)</f>
        <v>2441.283481918872</v>
      </c>
      <c r="Q82" s="4">
        <f>Tabella8[[#This Row],[Lombardy]]</f>
        <v>13272</v>
      </c>
      <c r="R82" s="91">
        <f>(Tabella3[[#This Row],[Lombardy cumul. Data]]-Q81)</f>
        <v>1587</v>
      </c>
      <c r="S82" s="91">
        <f>Tabella3[[#This Row],[Lombardy data]]*NOT(ISBLANK(Tabella3[[#This Row],[Lombardy data]]))</f>
        <v>1587</v>
      </c>
      <c r="T82" s="96">
        <f>Tabella8[[#This Row],[Lombardy fit]]</f>
        <v>13879.579996701837</v>
      </c>
      <c r="U82" s="91">
        <f>Tabella3[[#This Row],[Lombardy cumul. Fit]]/Kl</f>
        <v>0.15953540226094065</v>
      </c>
      <c r="V82" s="91">
        <f>IFERROR(Kl*_xlfn.LOGNORM.DIST((Tabella3[[#This Row],[Day]]-pl),mu_l,sigma_l,FALSE),0)</f>
        <v>1417.679002228017</v>
      </c>
      <c r="W82" s="91">
        <f>Tabella3[[#This Row],[Lombardy fit]]/y_l_peak</f>
        <v>0.80643669942533025</v>
      </c>
      <c r="X82" s="91">
        <f>Tabella3[[#This Row],[Lombardy fit]]*NOT(ISBLANK(Tabella3[[#This Row],[Lombardy data]]))</f>
        <v>1417.679002228017</v>
      </c>
      <c r="Y82" s="91">
        <f>Tabella3[[#This Row],[Lombardy fit]]+CIl</f>
        <v>2166.6343740316406</v>
      </c>
      <c r="Z82" s="91">
        <f>MAX(Tabella3[[#This Row],[Lombardy fit]]-CIl,0)</f>
        <v>668.72363042439338</v>
      </c>
      <c r="AA82" s="10">
        <f>Tabella8[[#This Row],[rest of Italy ]]</f>
        <v>11475</v>
      </c>
      <c r="AB82" s="10">
        <f>(Tabella3[[#This Row],[rest of Italy cum. Data]]-AA81)</f>
        <v>2003</v>
      </c>
      <c r="AC82" s="91">
        <f>Tabella3[[#This Row],[rest of Italy data]]*NOT(ISBLANK(Tabella3[[#This Row],[rest of Italy data]]))</f>
        <v>2003</v>
      </c>
      <c r="AD82" s="96">
        <f>Tabella8[[#This Row],[rest of Italy fit]]</f>
        <v>13502.887554047407</v>
      </c>
      <c r="AE82" s="91">
        <f>Tabella3[[#This Row],[rest of Italy cumul. Fit]]/Ka</f>
        <v>9.1235737337426057E-2</v>
      </c>
      <c r="AF82" s="91">
        <f>IFERROR(Ka*_xlfn.LOGNORM.DIST((Tabella3[[#This Row],[Day]]-pa),mu_a,sigma_a,FALSE),0)</f>
        <v>2025.5839876535661</v>
      </c>
      <c r="AG82" s="91">
        <f>Tabella3[[#This Row],[rest of Italy fit]]/y_a_peak</f>
        <v>0.59943610747690868</v>
      </c>
      <c r="AH82" s="91">
        <f>Tabella3[[#This Row],[rest of Italy fit]]*NOT(ISBLANK(Tabella3[[#This Row],[rest of Italy data]]))</f>
        <v>2025.5839876535661</v>
      </c>
      <c r="AI82" s="91">
        <f>Tabella3[[#This Row],[rest of Italy fit]]+CIa</f>
        <v>2720.2360235171636</v>
      </c>
      <c r="AJ82" s="91">
        <f>MAX(Tabella3[[#This Row],[rest of Italy fit]]-CIa,0)</f>
        <v>1330.9319517899687</v>
      </c>
      <c r="AL82"/>
      <c r="AM82"/>
    </row>
    <row r="83" spans="2:39" x14ac:dyDescent="0.3">
      <c r="B83" s="9">
        <v>43906</v>
      </c>
      <c r="C83" s="4">
        <v>76</v>
      </c>
      <c r="D83" s="91">
        <f>'dpc-covid19-ita-andamento-naz'!L23</f>
        <v>27980</v>
      </c>
      <c r="E83" s="91">
        <f>(Tabella3[[#This Row],[Italy cumul. Data]]-D82)</f>
        <v>3233</v>
      </c>
      <c r="F83" s="91">
        <f>Tabella3[[#This Row],[Italy data]]*NOT(ISBLANK(Tabella3[[#This Row],[Italy data]]))</f>
        <v>3233</v>
      </c>
      <c r="G83" s="96">
        <f>Tabella8[[#This Row],[Italy fit]]</f>
        <v>31366.445262399022</v>
      </c>
      <c r="H83" s="96">
        <f>Tabella3[[#This Row],[Italy cumul. Fit]]/Kf</f>
        <v>0.13347427157813607</v>
      </c>
      <c r="I83" s="96">
        <f>Tabella3[[#This Row],[Lombardy fit]]+Tabella3[[#This Row],[rest of Italy fit]]</f>
        <v>3671.5643038010967</v>
      </c>
      <c r="J83" s="96">
        <f>Tabella3[[#This Row],[Italy (fitted Lombardy + fitted sum of the other regions)]]/(y_l_peak+y_a_peak)</f>
        <v>0.71471486739947421</v>
      </c>
      <c r="K83" s="91">
        <f>IFERROR(Kf*_xlfn.LOGNORM.DIST((Tabella3[[#This Row],[Day]]-D_bk),mu_f,sigma_f,FALSE),0)</f>
        <v>3674.0175869115842</v>
      </c>
      <c r="L83" s="91">
        <f>Tabella3[[#This Row],[Italy fit]]/y_f_peak</f>
        <v>0.72585929546221573</v>
      </c>
      <c r="M83" s="91">
        <f>Tabella3[[#This Row],[Italy (fitted Lombardy + fitted sum of the other regions)]]*NOT(ISBLANK(Tabella3[[#This Row],[Italy data]]))</f>
        <v>3671.5643038010967</v>
      </c>
      <c r="N83" s="91">
        <f>Tabella3[[#This Row],[Italy fit]]*NOT(ISBLANK(Tabella3[[#This Row],[Italy data]]))</f>
        <v>3674.0175869115842</v>
      </c>
      <c r="O83" s="91">
        <f>Tabella3[[#This Row],[Italy fit]]+CIf</f>
        <v>4687.7805889319015</v>
      </c>
      <c r="P83" s="91">
        <f>MAX(Tabella3[[#This Row],[Italy fit]]-CIf,0)</f>
        <v>2660.2545848912664</v>
      </c>
      <c r="Q83" s="4">
        <f>Tabella8[[#This Row],[Lombardy]]</f>
        <v>14649</v>
      </c>
      <c r="R83" s="91">
        <f>(Tabella3[[#This Row],[Lombardy cumul. Data]]-Q82)</f>
        <v>1377</v>
      </c>
      <c r="S83" s="91">
        <f>Tabella3[[#This Row],[Lombardy data]]*NOT(ISBLANK(Tabella3[[#This Row],[Lombardy data]]))</f>
        <v>1377</v>
      </c>
      <c r="T83" s="96">
        <f>Tabella8[[#This Row],[Lombardy fit]]</f>
        <v>15327.597715323067</v>
      </c>
      <c r="U83" s="91">
        <f>Tabella3[[#This Row],[Lombardy cumul. Fit]]/Kl</f>
        <v>0.17617928408417319</v>
      </c>
      <c r="V83" s="91">
        <f>IFERROR(Kl*_xlfn.LOGNORM.DIST((Tabella3[[#This Row],[Day]]-pl),mu_l,sigma_l,FALSE),0)</f>
        <v>1477.4810780998919</v>
      </c>
      <c r="W83" s="91">
        <f>Tabella3[[#This Row],[Lombardy fit]]/y_l_peak</f>
        <v>0.84045468841233317</v>
      </c>
      <c r="X83" s="91">
        <f>Tabella3[[#This Row],[Lombardy fit]]*NOT(ISBLANK(Tabella3[[#This Row],[Lombardy data]]))</f>
        <v>1477.4810780998919</v>
      </c>
      <c r="Y83" s="91">
        <f>Tabella3[[#This Row],[Lombardy fit]]+CIl</f>
        <v>2226.4364499035155</v>
      </c>
      <c r="Z83" s="91">
        <f>MAX(Tabella3[[#This Row],[Lombardy fit]]-CIl,0)</f>
        <v>728.52570629626825</v>
      </c>
      <c r="AA83" s="10">
        <f>Tabella8[[#This Row],[rest of Italy ]]</f>
        <v>13331</v>
      </c>
      <c r="AB83" s="10">
        <f>(Tabella3[[#This Row],[rest of Italy cum. Data]]-AA82)</f>
        <v>1856</v>
      </c>
      <c r="AC83" s="91">
        <f>Tabella3[[#This Row],[rest of Italy data]]*NOT(ISBLANK(Tabella3[[#This Row],[rest of Italy data]]))</f>
        <v>1856</v>
      </c>
      <c r="AD83" s="96">
        <f>Tabella8[[#This Row],[rest of Italy fit]]</f>
        <v>15613.162473367664</v>
      </c>
      <c r="AE83" s="91">
        <f>Tabella3[[#This Row],[rest of Italy cumul. Fit]]/Ka</f>
        <v>0.10549435331702446</v>
      </c>
      <c r="AF83" s="91">
        <f>IFERROR(Ka*_xlfn.LOGNORM.DIST((Tabella3[[#This Row],[Day]]-pa),mu_a,sigma_a,FALSE),0)</f>
        <v>2194.0832257012048</v>
      </c>
      <c r="AG83" s="91">
        <f>Tabella3[[#This Row],[rest of Italy fit]]/y_a_peak</f>
        <v>0.6493005060818291</v>
      </c>
      <c r="AH83" s="91">
        <f>Tabella3[[#This Row],[rest of Italy fit]]*NOT(ISBLANK(Tabella3[[#This Row],[rest of Italy data]]))</f>
        <v>2194.0832257012048</v>
      </c>
      <c r="AI83" s="91">
        <f>Tabella3[[#This Row],[rest of Italy fit]]+CIa</f>
        <v>2888.7352615648024</v>
      </c>
      <c r="AJ83" s="91">
        <f>MAX(Tabella3[[#This Row],[rest of Italy fit]]-CIa,0)</f>
        <v>1499.4311898376075</v>
      </c>
      <c r="AL83"/>
      <c r="AM83"/>
    </row>
    <row r="84" spans="2:39" x14ac:dyDescent="0.3">
      <c r="B84" s="9">
        <v>43907</v>
      </c>
      <c r="C84" s="4">
        <v>77</v>
      </c>
      <c r="D84" s="91">
        <f>'dpc-covid19-ita-andamento-naz'!L24</f>
        <v>31506</v>
      </c>
      <c r="E84" s="91">
        <f>(Tabella3[[#This Row],[Italy cumul. Data]]-D83)</f>
        <v>3526</v>
      </c>
      <c r="F84" s="91">
        <f>Tabella3[[#This Row],[Italy data]]*NOT(ISBLANK(Tabella3[[#This Row],[Italy data]]))</f>
        <v>3526</v>
      </c>
      <c r="G84" s="96">
        <f>Tabella8[[#This Row],[Italy fit]]</f>
        <v>35145.1436326927</v>
      </c>
      <c r="H84" s="96">
        <f>Tabella3[[#This Row],[Italy cumul. Fit]]/Kf</f>
        <v>0.14955384349867648</v>
      </c>
      <c r="I84" s="96">
        <f>Tabella3[[#This Row],[Lombardy fit]]+Tabella3[[#This Row],[rest of Italy fit]]</f>
        <v>3888.163150682507</v>
      </c>
      <c r="J84" s="96">
        <f>Tabella3[[#This Row],[Italy (fitted Lombardy + fitted sum of the other regions)]]/(y_l_peak+y_a_peak)</f>
        <v>0.75687848032257032</v>
      </c>
      <c r="K84" s="91">
        <f>IFERROR(Kf*_xlfn.LOGNORM.DIST((Tabella3[[#This Row],[Day]]-D_bk),mu_f,sigma_f,FALSE),0)</f>
        <v>3881.2640608588599</v>
      </c>
      <c r="L84" s="91">
        <f>Tabella3[[#This Row],[Italy fit]]/y_f_peak</f>
        <v>0.76680405852004641</v>
      </c>
      <c r="M84" s="91">
        <f>Tabella3[[#This Row],[Italy (fitted Lombardy + fitted sum of the other regions)]]*NOT(ISBLANK(Tabella3[[#This Row],[Italy data]]))</f>
        <v>3888.163150682507</v>
      </c>
      <c r="N84" s="91">
        <f>Tabella3[[#This Row],[Italy fit]]*NOT(ISBLANK(Tabella3[[#This Row],[Italy data]]))</f>
        <v>3881.2640608588599</v>
      </c>
      <c r="O84" s="91">
        <f>Tabella3[[#This Row],[Italy fit]]+CIf</f>
        <v>4895.0270628791777</v>
      </c>
      <c r="P84" s="91">
        <f>MAX(Tabella3[[#This Row],[Italy fit]]-CIf,0)</f>
        <v>2867.5010588385421</v>
      </c>
      <c r="Q84" s="4">
        <f>Tabella8[[#This Row],[Lombardy]]</f>
        <v>16220</v>
      </c>
      <c r="R84" s="91">
        <f>(Tabella3[[#This Row],[Lombardy cumul. Data]]-Q83)</f>
        <v>1571</v>
      </c>
      <c r="S84" s="91">
        <f>Tabella3[[#This Row],[Lombardy data]]*NOT(ISBLANK(Tabella3[[#This Row],[Lombardy data]]))</f>
        <v>1571</v>
      </c>
      <c r="T84" s="96">
        <f>Tabella8[[#This Row],[Lombardy fit]]</f>
        <v>16832.735540922957</v>
      </c>
      <c r="U84" s="91">
        <f>Tabella3[[#This Row],[Lombardy cumul. Fit]]/Kl</f>
        <v>0.1934797188611834</v>
      </c>
      <c r="V84" s="91">
        <f>IFERROR(Kl*_xlfn.LOGNORM.DIST((Tabella3[[#This Row],[Day]]-pl),mu_l,sigma_l,FALSE),0)</f>
        <v>1531.8662870557482</v>
      </c>
      <c r="W84" s="91">
        <f>Tabella3[[#This Row],[Lombardy fit]]/y_l_peak</f>
        <v>0.8713913308673531</v>
      </c>
      <c r="X84" s="91">
        <f>Tabella3[[#This Row],[Lombardy fit]]*NOT(ISBLANK(Tabella3[[#This Row],[Lombardy data]]))</f>
        <v>1531.8662870557482</v>
      </c>
      <c r="Y84" s="91">
        <f>Tabella3[[#This Row],[Lombardy fit]]+CIl</f>
        <v>2280.8216588593718</v>
      </c>
      <c r="Z84" s="91">
        <f>MAX(Tabella3[[#This Row],[Lombardy fit]]-CIl,0)</f>
        <v>782.9109152521246</v>
      </c>
      <c r="AA84" s="10">
        <f>Tabella8[[#This Row],[rest of Italy ]]</f>
        <v>15286</v>
      </c>
      <c r="AB84" s="10">
        <f>(Tabella3[[#This Row],[rest of Italy cum. Data]]-AA83)</f>
        <v>1955</v>
      </c>
      <c r="AC84" s="91">
        <f>Tabella3[[#This Row],[rest of Italy data]]*NOT(ISBLANK(Tabella3[[#This Row],[rest of Italy data]]))</f>
        <v>1955</v>
      </c>
      <c r="AD84" s="96">
        <f>Tabella8[[#This Row],[rest of Italy fit]]</f>
        <v>17888.956629534136</v>
      </c>
      <c r="AE84" s="91">
        <f>Tabella3[[#This Row],[rest of Italy cumul. Fit]]/Ka</f>
        <v>0.1208713426487483</v>
      </c>
      <c r="AF84" s="91">
        <f>IFERROR(Ka*_xlfn.LOGNORM.DIST((Tabella3[[#This Row],[Day]]-pa),mu_a,sigma_a,FALSE),0)</f>
        <v>2356.2968636267587</v>
      </c>
      <c r="AG84" s="91">
        <f>Tabella3[[#This Row],[rest of Italy fit]]/y_a_peak</f>
        <v>0.69730479140914425</v>
      </c>
      <c r="AH84" s="91">
        <f>Tabella3[[#This Row],[rest of Italy fit]]*NOT(ISBLANK(Tabella3[[#This Row],[rest of Italy data]]))</f>
        <v>2356.2968636267587</v>
      </c>
      <c r="AI84" s="91">
        <f>Tabella3[[#This Row],[rest of Italy fit]]+CIa</f>
        <v>3050.9488994903559</v>
      </c>
      <c r="AJ84" s="91">
        <f>MAX(Tabella3[[#This Row],[rest of Italy fit]]-CIa,0)</f>
        <v>1661.6448277631614</v>
      </c>
      <c r="AL84"/>
      <c r="AM84"/>
    </row>
    <row r="85" spans="2:39" x14ac:dyDescent="0.3">
      <c r="B85" s="9">
        <v>43908</v>
      </c>
      <c r="C85" s="4">
        <v>78</v>
      </c>
      <c r="D85" s="91">
        <f>'dpc-covid19-ita-andamento-naz'!L25</f>
        <v>35713</v>
      </c>
      <c r="E85" s="91">
        <f>(Tabella3[[#This Row],[Italy cumul. Data]]-D84)</f>
        <v>4207</v>
      </c>
      <c r="F85" s="91">
        <f>Tabella3[[#This Row],[Italy data]]*NOT(ISBLANK(Tabella3[[#This Row],[Italy data]]))</f>
        <v>4207</v>
      </c>
      <c r="G85" s="96">
        <f>Tabella8[[#This Row],[Italy fit]]</f>
        <v>39124.451028498035</v>
      </c>
      <c r="H85" s="96">
        <f>Tabella3[[#This Row],[Italy cumul. Fit]]/Kf</f>
        <v>0.16648707107984942</v>
      </c>
      <c r="I85" s="96">
        <f>Tabella3[[#This Row],[Lombardy fit]]+Tabella3[[#This Row],[rest of Italy fit]]</f>
        <v>4090.9360079542544</v>
      </c>
      <c r="J85" s="96">
        <f>Tabella3[[#This Row],[Italy (fitted Lombardy + fitted sum of the other regions)]]/(y_l_peak+y_a_peak)</f>
        <v>0.79635069538010084</v>
      </c>
      <c r="K85" s="91">
        <f>IFERROR(Kf*_xlfn.LOGNORM.DIST((Tabella3[[#This Row],[Day]]-D_bk),mu_f,sigma_f,FALSE),0)</f>
        <v>4074.9526929418871</v>
      </c>
      <c r="L85" s="91">
        <f>Tabella3[[#This Row],[Italy fit]]/y_f_peak</f>
        <v>0.80507025912933872</v>
      </c>
      <c r="M85" s="91">
        <f>Tabella3[[#This Row],[Italy (fitted Lombardy + fitted sum of the other regions)]]*NOT(ISBLANK(Tabella3[[#This Row],[Italy data]]))</f>
        <v>4090.9360079542544</v>
      </c>
      <c r="N85" s="91">
        <f>Tabella3[[#This Row],[Italy fit]]*NOT(ISBLANK(Tabella3[[#This Row],[Italy data]]))</f>
        <v>4074.9526929418871</v>
      </c>
      <c r="O85" s="91">
        <f>Tabella3[[#This Row],[Italy fit]]+CIf</f>
        <v>5088.7156949622049</v>
      </c>
      <c r="P85" s="91">
        <f>MAX(Tabella3[[#This Row],[Italy fit]]-CIf,0)</f>
        <v>3061.1896909215693</v>
      </c>
      <c r="Q85" s="4">
        <f>Tabella8[[#This Row],[Lombardy]]</f>
        <v>17713</v>
      </c>
      <c r="R85" s="91">
        <f>(Tabella3[[#This Row],[Lombardy cumul. Data]]-Q84)</f>
        <v>1493</v>
      </c>
      <c r="S85" s="91">
        <f>Tabella3[[#This Row],[Lombardy data]]*NOT(ISBLANK(Tabella3[[#This Row],[Lombardy data]]))</f>
        <v>1493</v>
      </c>
      <c r="T85" s="96">
        <f>Tabella8[[#This Row],[Lombardy fit]]</f>
        <v>18389.432504465833</v>
      </c>
      <c r="U85" s="91">
        <f>Tabella3[[#This Row],[Lombardy cumul. Fit]]/Kl</f>
        <v>0.21137278740765325</v>
      </c>
      <c r="V85" s="91">
        <f>IFERROR(Kl*_xlfn.LOGNORM.DIST((Tabella3[[#This Row],[Day]]-pl),mu_l,sigma_l,FALSE),0)</f>
        <v>1580.5609923813795</v>
      </c>
      <c r="W85" s="91">
        <f>Tabella3[[#This Row],[Lombardy fit]]/y_l_peak</f>
        <v>0.89909097047587938</v>
      </c>
      <c r="X85" s="91">
        <f>Tabella3[[#This Row],[Lombardy fit]]*NOT(ISBLANK(Tabella3[[#This Row],[Lombardy data]]))</f>
        <v>1580.5609923813795</v>
      </c>
      <c r="Y85" s="91">
        <f>Tabella3[[#This Row],[Lombardy fit]]+CIl</f>
        <v>2329.5163641850031</v>
      </c>
      <c r="Z85" s="91">
        <f>MAX(Tabella3[[#This Row],[Lombardy fit]]-CIl,0)</f>
        <v>831.60562057775587</v>
      </c>
      <c r="AA85" s="10">
        <f>Tabella8[[#This Row],[rest of Italy ]]</f>
        <v>18000</v>
      </c>
      <c r="AB85" s="10">
        <f>(Tabella3[[#This Row],[rest of Italy cum. Data]]-AA84)</f>
        <v>2714</v>
      </c>
      <c r="AC85" s="91">
        <f>Tabella3[[#This Row],[rest of Italy data]]*NOT(ISBLANK(Tabella3[[#This Row],[rest of Italy data]]))</f>
        <v>2714</v>
      </c>
      <c r="AD85" s="96">
        <f>Tabella8[[#This Row],[rest of Italy fit]]</f>
        <v>20323.041866037074</v>
      </c>
      <c r="AE85" s="91">
        <f>Tabella3[[#This Row],[rest of Italy cumul. Fit]]/Ka</f>
        <v>0.13731786643157598</v>
      </c>
      <c r="AF85" s="91">
        <f>IFERROR(Ka*_xlfn.LOGNORM.DIST((Tabella3[[#This Row],[Day]]-pa),mu_a,sigma_a,FALSE),0)</f>
        <v>2510.3750155728749</v>
      </c>
      <c r="AG85" s="91">
        <f>Tabella3[[#This Row],[rest of Italy fit]]/y_a_peak</f>
        <v>0.74290152213607175</v>
      </c>
      <c r="AH85" s="91">
        <f>Tabella3[[#This Row],[rest of Italy fit]]*NOT(ISBLANK(Tabella3[[#This Row],[rest of Italy data]]))</f>
        <v>2510.3750155728749</v>
      </c>
      <c r="AI85" s="91">
        <f>Tabella3[[#This Row],[rest of Italy fit]]+CIa</f>
        <v>3205.027051436472</v>
      </c>
      <c r="AJ85" s="91">
        <f>MAX(Tabella3[[#This Row],[rest of Italy fit]]-CIa,0)</f>
        <v>1815.7229797092775</v>
      </c>
      <c r="AL85"/>
      <c r="AM85"/>
    </row>
    <row r="86" spans="2:39" x14ac:dyDescent="0.3">
      <c r="B86" s="9">
        <v>43909</v>
      </c>
      <c r="C86" s="4">
        <v>79</v>
      </c>
      <c r="D86" s="91">
        <f>'dpc-covid19-ita-andamento-naz'!L26</f>
        <v>41035</v>
      </c>
      <c r="E86" s="91">
        <f>(Tabella3[[#This Row],[Italy cumul. Data]]-D85)</f>
        <v>5322</v>
      </c>
      <c r="F86" s="91">
        <f>Tabella3[[#This Row],[Italy data]]*NOT(ISBLANK(Tabella3[[#This Row],[Italy data]]))</f>
        <v>5322</v>
      </c>
      <c r="G86" s="96">
        <f>Tabella8[[#This Row],[Italy fit]]</f>
        <v>43290.007403986529</v>
      </c>
      <c r="H86" s="96">
        <f>Tabella3[[#This Row],[Italy cumul. Fit]]/Kf</f>
        <v>0.18421284772698815</v>
      </c>
      <c r="I86" s="96">
        <f>Tabella3[[#This Row],[Lombardy fit]]+Tabella3[[#This Row],[rest of Italy fit]]</f>
        <v>4278.0690335182653</v>
      </c>
      <c r="J86" s="96">
        <f>Tabella3[[#This Row],[Italy (fitted Lombardy + fitted sum of the other regions)]]/(y_l_peak+y_a_peak)</f>
        <v>0.83277842603800578</v>
      </c>
      <c r="K86" s="91">
        <f>IFERROR(Kf*_xlfn.LOGNORM.DIST((Tabella3[[#This Row],[Day]]-D_bk),mu_f,sigma_f,FALSE),0)</f>
        <v>4253.5259846613581</v>
      </c>
      <c r="L86" s="91">
        <f>Tabella3[[#This Row],[Italy fit]]/y_f_peak</f>
        <v>0.84035018924660931</v>
      </c>
      <c r="M86" s="91">
        <f>Tabella3[[#This Row],[Italy (fitted Lombardy + fitted sum of the other regions)]]*NOT(ISBLANK(Tabella3[[#This Row],[Italy data]]))</f>
        <v>4278.0690335182653</v>
      </c>
      <c r="N86" s="91">
        <f>Tabella3[[#This Row],[Italy fit]]*NOT(ISBLANK(Tabella3[[#This Row],[Italy data]]))</f>
        <v>4253.5259846613581</v>
      </c>
      <c r="O86" s="91">
        <f>Tabella3[[#This Row],[Italy fit]]+CIf</f>
        <v>5267.2889866816759</v>
      </c>
      <c r="P86" s="91">
        <f>MAX(Tabella3[[#This Row],[Italy fit]]-CIf,0)</f>
        <v>3239.7629826410403</v>
      </c>
      <c r="Q86" s="4">
        <f>Tabella8[[#This Row],[Lombardy]]</f>
        <v>19884</v>
      </c>
      <c r="R86" s="91">
        <f>(Tabella3[[#This Row],[Lombardy cumul. Data]]-Q85)</f>
        <v>2171</v>
      </c>
      <c r="S86" s="91">
        <f>Tabella3[[#This Row],[Lombardy data]]*NOT(ISBLANK(Tabella3[[#This Row],[Lombardy data]]))</f>
        <v>2171</v>
      </c>
      <c r="T86" s="96">
        <f>Tabella8[[#This Row],[Lombardy fit]]</f>
        <v>19991.897040773845</v>
      </c>
      <c r="U86" s="91">
        <f>Tabella3[[#This Row],[Lombardy cumul. Fit]]/Kl</f>
        <v>0.22979192000889478</v>
      </c>
      <c r="V86" s="91">
        <f>IFERROR(Kl*_xlfn.LOGNORM.DIST((Tabella3[[#This Row],[Day]]-pl),mu_l,sigma_l,FALSE),0)</f>
        <v>1623.3769301389393</v>
      </c>
      <c r="W86" s="91">
        <f>Tabella3[[#This Row],[Lombardy fit]]/y_l_peak</f>
        <v>0.92344651462497263</v>
      </c>
      <c r="X86" s="91">
        <f>Tabella3[[#This Row],[Lombardy fit]]*NOT(ISBLANK(Tabella3[[#This Row],[Lombardy data]]))</f>
        <v>1623.3769301389393</v>
      </c>
      <c r="Y86" s="91">
        <f>Tabella3[[#This Row],[Lombardy fit]]+CIl</f>
        <v>2372.3323019425629</v>
      </c>
      <c r="Z86" s="91">
        <f>MAX(Tabella3[[#This Row],[Lombardy fit]]-CIl,0)</f>
        <v>874.42155833531569</v>
      </c>
      <c r="AA86" s="10">
        <f>Tabella8[[#This Row],[rest of Italy ]]</f>
        <v>21151</v>
      </c>
      <c r="AB86" s="10">
        <f>(Tabella3[[#This Row],[rest of Italy cum. Data]]-AA85)</f>
        <v>3151</v>
      </c>
      <c r="AC86" s="91">
        <f>Tabella3[[#This Row],[rest of Italy data]]*NOT(ISBLANK(Tabella3[[#This Row],[rest of Italy data]]))</f>
        <v>3151</v>
      </c>
      <c r="AD86" s="96">
        <f>Tabella8[[#This Row],[rest of Italy fit]]</f>
        <v>22906.450250895345</v>
      </c>
      <c r="AE86" s="91">
        <f>Tabella3[[#This Row],[rest of Italy cumul. Fit]]/Ka</f>
        <v>0.15477333052344602</v>
      </c>
      <c r="AF86" s="91">
        <f>IFERROR(Ka*_xlfn.LOGNORM.DIST((Tabella3[[#This Row],[Day]]-pa),mu_a,sigma_a,FALSE),0)</f>
        <v>2654.692103379326</v>
      </c>
      <c r="AG86" s="91">
        <f>Tabella3[[#This Row],[rest of Italy fit]]/y_a_peak</f>
        <v>0.78560963687453489</v>
      </c>
      <c r="AH86" s="91">
        <f>Tabella3[[#This Row],[rest of Italy fit]]*NOT(ISBLANK(Tabella3[[#This Row],[rest of Italy data]]))</f>
        <v>2654.692103379326</v>
      </c>
      <c r="AI86" s="91">
        <f>Tabella3[[#This Row],[rest of Italy fit]]+CIa</f>
        <v>3349.3441392429231</v>
      </c>
      <c r="AJ86" s="91">
        <f>MAX(Tabella3[[#This Row],[rest of Italy fit]]-CIa,0)</f>
        <v>1960.0400675157287</v>
      </c>
      <c r="AL86"/>
      <c r="AM86"/>
    </row>
    <row r="87" spans="2:39" x14ac:dyDescent="0.3">
      <c r="B87" s="9">
        <v>43910</v>
      </c>
      <c r="C87" s="4">
        <v>80</v>
      </c>
      <c r="D87" s="91">
        <f>'dpc-covid19-ita-andamento-naz'!L27</f>
        <v>47021</v>
      </c>
      <c r="E87" s="91">
        <f>(Tabella3[[#This Row],[Italy cumul. Data]]-D86)</f>
        <v>5986</v>
      </c>
      <c r="F87" s="91">
        <f>Tabella3[[#This Row],[Italy data]]*NOT(ISBLANK(Tabella3[[#This Row],[Italy data]]))</f>
        <v>5986</v>
      </c>
      <c r="G87" s="96">
        <f>Tabella8[[#This Row],[Italy fit]]</f>
        <v>47626.036936478224</v>
      </c>
      <c r="H87" s="96">
        <f>Tabella3[[#This Row],[Italy cumul. Fit]]/Kf</f>
        <v>0.20266404226143536</v>
      </c>
      <c r="I87" s="96">
        <f>Tabella3[[#This Row],[Lombardy fit]]+Tabella3[[#This Row],[rest of Italy fit]]</f>
        <v>4448.0727043127472</v>
      </c>
      <c r="J87" s="96">
        <f>Tabella3[[#This Row],[Italy (fitted Lombardy + fitted sum of the other regions)]]/(y_l_peak+y_a_peak)</f>
        <v>0.86587171842662369</v>
      </c>
      <c r="K87" s="91">
        <f>IFERROR(Kf*_xlfn.LOGNORM.DIST((Tabella3[[#This Row],[Day]]-D_bk),mu_f,sigma_f,FALSE),0)</f>
        <v>4415.710615542187</v>
      </c>
      <c r="L87" s="91">
        <f>Tabella3[[#This Row],[Italy fit]]/y_f_peak</f>
        <v>0.87239228461527007</v>
      </c>
      <c r="M87" s="91">
        <f>Tabella3[[#This Row],[Italy (fitted Lombardy + fitted sum of the other regions)]]*NOT(ISBLANK(Tabella3[[#This Row],[Italy data]]))</f>
        <v>4448.0727043127472</v>
      </c>
      <c r="N87" s="91">
        <f>Tabella3[[#This Row],[Italy fit]]*NOT(ISBLANK(Tabella3[[#This Row],[Italy data]]))</f>
        <v>4415.710615542187</v>
      </c>
      <c r="O87" s="91">
        <f>Tabella3[[#This Row],[Italy fit]]+CIf</f>
        <v>5429.4736175625048</v>
      </c>
      <c r="P87" s="91">
        <f>MAX(Tabella3[[#This Row],[Italy fit]]-CIf,0)</f>
        <v>3401.9476135218692</v>
      </c>
      <c r="Q87" s="4">
        <f>Tabella8[[#This Row],[Lombardy]]</f>
        <v>22264</v>
      </c>
      <c r="R87" s="91">
        <f>(Tabella3[[#This Row],[Lombardy cumul. Data]]-Q86)</f>
        <v>2380</v>
      </c>
      <c r="S87" s="91">
        <f>Tabella3[[#This Row],[Lombardy data]]*NOT(ISBLANK(Tabella3[[#This Row],[Lombardy data]]))</f>
        <v>2380</v>
      </c>
      <c r="T87" s="96">
        <f>Tabella8[[#This Row],[Lombardy fit]]</f>
        <v>21634.190021491242</v>
      </c>
      <c r="U87" s="91">
        <f>Tabella3[[#This Row],[Lombardy cumul. Fit]]/Kl</f>
        <v>0.24866885082173842</v>
      </c>
      <c r="V87" s="91">
        <f>IFERROR(Kl*_xlfn.LOGNORM.DIST((Tabella3[[#This Row],[Day]]-pl),mu_l,sigma_l,FALSE),0)</f>
        <v>1660.2063260677619</v>
      </c>
      <c r="W87" s="91">
        <f>Tabella3[[#This Row],[Lombardy fit]]/y_l_peak</f>
        <v>0.94439665668674477</v>
      </c>
      <c r="X87" s="91">
        <f>Tabella3[[#This Row],[Lombardy fit]]*NOT(ISBLANK(Tabella3[[#This Row],[Lombardy data]]))</f>
        <v>1660.2063260677619</v>
      </c>
      <c r="Y87" s="91">
        <f>Tabella3[[#This Row],[Lombardy fit]]+CIl</f>
        <v>2409.1616978713855</v>
      </c>
      <c r="Z87" s="91">
        <f>MAX(Tabella3[[#This Row],[Lombardy fit]]-CIl,0)</f>
        <v>911.25095426413827</v>
      </c>
      <c r="AA87" s="10">
        <f>Tabella8[[#This Row],[rest of Italy ]]</f>
        <v>24757</v>
      </c>
      <c r="AB87" s="10">
        <f>(Tabella3[[#This Row],[rest of Italy cum. Data]]-AA86)</f>
        <v>3606</v>
      </c>
      <c r="AC87" s="91">
        <f>Tabella3[[#This Row],[rest of Italy data]]*NOT(ISBLANK(Tabella3[[#This Row],[rest of Italy data]]))</f>
        <v>3606</v>
      </c>
      <c r="AD87" s="96">
        <f>Tabella8[[#This Row],[rest of Italy fit]]</f>
        <v>25628.708969359228</v>
      </c>
      <c r="AE87" s="91">
        <f>Tabella3[[#This Row],[rest of Italy cumul. Fit]]/Ka</f>
        <v>0.17316697265429842</v>
      </c>
      <c r="AF87" s="91">
        <f>IFERROR(Ka*_xlfn.LOGNORM.DIST((Tabella3[[#This Row],[Day]]-pa),mu_a,sigma_a,FALSE),0)</f>
        <v>2787.8663782449853</v>
      </c>
      <c r="AG87" s="91">
        <f>Tabella3[[#This Row],[rest of Italy fit]]/y_a_peak</f>
        <v>0.82502023126514579</v>
      </c>
      <c r="AH87" s="91">
        <f>Tabella3[[#This Row],[rest of Italy fit]]*NOT(ISBLANK(Tabella3[[#This Row],[rest of Italy data]]))</f>
        <v>2787.8663782449853</v>
      </c>
      <c r="AI87" s="91">
        <f>Tabella3[[#This Row],[rest of Italy fit]]+CIa</f>
        <v>3482.5184141085829</v>
      </c>
      <c r="AJ87" s="91">
        <f>MAX(Tabella3[[#This Row],[rest of Italy fit]]-CIa,0)</f>
        <v>2093.2143423813877</v>
      </c>
      <c r="AL87"/>
      <c r="AM87"/>
    </row>
    <row r="88" spans="2:39" x14ac:dyDescent="0.3">
      <c r="B88" s="9">
        <v>43911</v>
      </c>
      <c r="C88" s="4">
        <v>81</v>
      </c>
      <c r="D88" s="91">
        <f>'dpc-covid19-ita-andamento-naz'!L28</f>
        <v>53578</v>
      </c>
      <c r="E88" s="91">
        <f>(Tabella3[[#This Row],[Italy cumul. Data]]-D87)</f>
        <v>6557</v>
      </c>
      <c r="F88" s="91">
        <f>Tabella3[[#This Row],[Italy data]]*NOT(ISBLANK(Tabella3[[#This Row],[Italy data]]))</f>
        <v>6557</v>
      </c>
      <c r="G88" s="96">
        <f>Tabella8[[#This Row],[Italy fit]]</f>
        <v>52115.633167139393</v>
      </c>
      <c r="H88" s="96">
        <f>Tabella3[[#This Row],[Italy cumul. Fit]]/Kf</f>
        <v>0.22176871228554546</v>
      </c>
      <c r="I88" s="96">
        <f>Tabella3[[#This Row],[Lombardy fit]]+Tabella3[[#This Row],[rest of Italy fit]]</f>
        <v>4599.7859694055769</v>
      </c>
      <c r="J88" s="96">
        <f>Tabella3[[#This Row],[Italy (fitted Lombardy + fitted sum of the other regions)]]/(y_l_peak+y_a_peak)</f>
        <v>0.89540455979108136</v>
      </c>
      <c r="K88" s="91">
        <f>IFERROR(Kf*_xlfn.LOGNORM.DIST((Tabella3[[#This Row],[Day]]-D_bk),mu_f,sigma_f,FALSE),0)</f>
        <v>4560.5181620028688</v>
      </c>
      <c r="L88" s="91">
        <f>Tabella3[[#This Row],[Italy fit]]/y_f_peak</f>
        <v>0.90100126678944603</v>
      </c>
      <c r="M88" s="91">
        <f>Tabella3[[#This Row],[Italy (fitted Lombardy + fitted sum of the other regions)]]*NOT(ISBLANK(Tabella3[[#This Row],[Italy data]]))</f>
        <v>4599.7859694055769</v>
      </c>
      <c r="N88" s="91">
        <f>Tabella3[[#This Row],[Italy fit]]*NOT(ISBLANK(Tabella3[[#This Row],[Italy data]]))</f>
        <v>4560.5181620028688</v>
      </c>
      <c r="O88" s="91">
        <f>Tabella3[[#This Row],[Italy fit]]+CIf</f>
        <v>5574.2811640231866</v>
      </c>
      <c r="P88" s="91">
        <f>MAX(Tabella3[[#This Row],[Italy fit]]-CIf,0)</f>
        <v>3546.755159982551</v>
      </c>
      <c r="Q88" s="4">
        <f>Tabella8[[#This Row],[Lombardy]]</f>
        <v>25515</v>
      </c>
      <c r="R88" s="91">
        <f>(Tabella3[[#This Row],[Lombardy cumul. Data]]-Q87)</f>
        <v>3251</v>
      </c>
      <c r="S88" s="91">
        <f>Tabella3[[#This Row],[Lombardy data]]*NOT(ISBLANK(Tabella3[[#This Row],[Lombardy data]]))</f>
        <v>3251</v>
      </c>
      <c r="T88" s="96">
        <f>Tabella8[[#This Row],[Lombardy fit]]</f>
        <v>23310.302349365797</v>
      </c>
      <c r="U88" s="91">
        <f>Tabella3[[#This Row],[Lombardy cumul. Fit]]/Kl</f>
        <v>0.26793450976282523</v>
      </c>
      <c r="V88" s="91">
        <f>IFERROR(Kl*_xlfn.LOGNORM.DIST((Tabella3[[#This Row],[Day]]-pl),mu_l,sigma_l,FALSE),0)</f>
        <v>1691.0159552256368</v>
      </c>
      <c r="W88" s="91">
        <f>Tabella3[[#This Row],[Lombardy fit]]/y_l_peak</f>
        <v>0.96192249688720433</v>
      </c>
      <c r="X88" s="91">
        <f>Tabella3[[#This Row],[Lombardy fit]]*NOT(ISBLANK(Tabella3[[#This Row],[Lombardy data]]))</f>
        <v>1691.0159552256368</v>
      </c>
      <c r="Y88" s="91">
        <f>Tabella3[[#This Row],[Lombardy fit]]+CIl</f>
        <v>2439.9713270292605</v>
      </c>
      <c r="Z88" s="91">
        <f>MAX(Tabella3[[#This Row],[Lombardy fit]]-CIl,0)</f>
        <v>942.06058342201322</v>
      </c>
      <c r="AA88" s="10">
        <f>Tabella8[[#This Row],[rest of Italy ]]</f>
        <v>28063</v>
      </c>
      <c r="AB88" s="10">
        <f>(Tabella3[[#This Row],[rest of Italy cum. Data]]-AA87)</f>
        <v>3306</v>
      </c>
      <c r="AC88" s="91">
        <f>Tabella3[[#This Row],[rest of Italy data]]*NOT(ISBLANK(Tabella3[[#This Row],[rest of Italy data]]))</f>
        <v>3306</v>
      </c>
      <c r="AD88" s="96">
        <f>Tabella8[[#This Row],[rest of Italy fit]]</f>
        <v>28478.089944348303</v>
      </c>
      <c r="AE88" s="91">
        <f>Tabella3[[#This Row],[rest of Italy cumul. Fit]]/Ka</f>
        <v>0.1924195490508514</v>
      </c>
      <c r="AF88" s="91">
        <f>IFERROR(Ka*_xlfn.LOGNORM.DIST((Tabella3[[#This Row],[Day]]-pa),mu_a,sigma_a,FALSE),0)</f>
        <v>2908.7700141799401</v>
      </c>
      <c r="AG88" s="91">
        <f>Tabella3[[#This Row],[rest of Italy fit]]/y_a_peak</f>
        <v>0.8607995449575927</v>
      </c>
      <c r="AH88" s="91">
        <f>Tabella3[[#This Row],[rest of Italy fit]]*NOT(ISBLANK(Tabella3[[#This Row],[rest of Italy data]]))</f>
        <v>2908.7700141799401</v>
      </c>
      <c r="AI88" s="91">
        <f>Tabella3[[#This Row],[rest of Italy fit]]+CIa</f>
        <v>3603.4220500435376</v>
      </c>
      <c r="AJ88" s="91">
        <f>MAX(Tabella3[[#This Row],[rest of Italy fit]]-CIa,0)</f>
        <v>2214.1179783163425</v>
      </c>
      <c r="AL88"/>
      <c r="AM88"/>
    </row>
    <row r="89" spans="2:39" x14ac:dyDescent="0.3">
      <c r="B89" s="9">
        <v>43912</v>
      </c>
      <c r="C89" s="4">
        <v>82</v>
      </c>
      <c r="D89" s="91">
        <f>'dpc-covid19-ita-andamento-naz'!L29</f>
        <v>59138</v>
      </c>
      <c r="E89" s="91">
        <f>(Tabella3[[#This Row],[Italy cumul. Data]]-D88)</f>
        <v>5560</v>
      </c>
      <c r="F89" s="91">
        <f>Tabella3[[#This Row],[Italy data]]*NOT(ISBLANK(Tabella3[[#This Row],[Italy data]]))</f>
        <v>5560</v>
      </c>
      <c r="G89" s="96">
        <f>Tabella8[[#This Row],[Italy fit]]</f>
        <v>56741.041419626286</v>
      </c>
      <c r="H89" s="96">
        <f>Tabella3[[#This Row],[Italy cumul. Fit]]/Kf</f>
        <v>0.24145130596447512</v>
      </c>
      <c r="I89" s="96">
        <f>Tabella3[[#This Row],[Lombardy fit]]+Tabella3[[#This Row],[rest of Italy fit]]</f>
        <v>4732.3712915423384</v>
      </c>
      <c r="J89" s="96">
        <f>Tabella3[[#This Row],[Italy (fitted Lombardy + fitted sum of the other regions)]]/(y_l_peak+y_a_peak)</f>
        <v>0.92121391326801438</v>
      </c>
      <c r="K89" s="91">
        <f>IFERROR(Kf*_xlfn.LOGNORM.DIST((Tabella3[[#This Row],[Day]]-D_bk),mu_f,sigma_f,FALSE),0)</f>
        <v>4687.2391146868067</v>
      </c>
      <c r="L89" s="91">
        <f>Tabella3[[#This Row],[Italy fit]]/y_f_peak</f>
        <v>0.92603696116476464</v>
      </c>
      <c r="M89" s="91">
        <f>Tabella3[[#This Row],[Italy (fitted Lombardy + fitted sum of the other regions)]]*NOT(ISBLANK(Tabella3[[#This Row],[Italy data]]))</f>
        <v>4732.3712915423384</v>
      </c>
      <c r="N89" s="91">
        <f>Tabella3[[#This Row],[Italy fit]]*NOT(ISBLANK(Tabella3[[#This Row],[Italy data]]))</f>
        <v>4687.2391146868067</v>
      </c>
      <c r="O89" s="91">
        <f>Tabella3[[#This Row],[Italy fit]]+CIf</f>
        <v>5701.0021167071245</v>
      </c>
      <c r="P89" s="91">
        <f>MAX(Tabella3[[#This Row],[Italy fit]]-CIf,0)</f>
        <v>3673.4761126664889</v>
      </c>
      <c r="Q89" s="4">
        <f>Tabella8[[#This Row],[Lombardy]]</f>
        <v>27206</v>
      </c>
      <c r="R89" s="91">
        <f>(Tabella3[[#This Row],[Lombardy cumul. Data]]-Q88)</f>
        <v>1691</v>
      </c>
      <c r="S89" s="91">
        <f>Tabella3[[#This Row],[Lombardy data]]*NOT(ISBLANK(Tabella3[[#This Row],[Lombardy data]]))</f>
        <v>1691</v>
      </c>
      <c r="T89" s="96">
        <f>Tabella8[[#This Row],[Lombardy fit]]</f>
        <v>25014.226213352795</v>
      </c>
      <c r="U89" s="91">
        <f>Tabella3[[#This Row],[Lombardy cumul. Fit]]/Kl</f>
        <v>0.28751984153279075</v>
      </c>
      <c r="V89" s="91">
        <f>IFERROR(Kl*_xlfn.LOGNORM.DIST((Tabella3[[#This Row],[Day]]-pl),mu_l,sigma_l,FALSE),0)</f>
        <v>1715.840452770231</v>
      </c>
      <c r="W89" s="91">
        <f>Tabella3[[#This Row],[Lombardy fit]]/y_l_peak</f>
        <v>0.97604373719145676</v>
      </c>
      <c r="X89" s="91">
        <f>Tabella3[[#This Row],[Lombardy fit]]*NOT(ISBLANK(Tabella3[[#This Row],[Lombardy data]]))</f>
        <v>1715.840452770231</v>
      </c>
      <c r="Y89" s="91">
        <f>Tabella3[[#This Row],[Lombardy fit]]+CIl</f>
        <v>2464.7958245738546</v>
      </c>
      <c r="Z89" s="91">
        <f>MAX(Tabella3[[#This Row],[Lombardy fit]]-CIl,0)</f>
        <v>966.88508096660735</v>
      </c>
      <c r="AA89" s="10">
        <f>Tabella8[[#This Row],[rest of Italy ]]</f>
        <v>31932</v>
      </c>
      <c r="AB89" s="10">
        <f>(Tabella3[[#This Row],[rest of Italy cum. Data]]-AA88)</f>
        <v>3869</v>
      </c>
      <c r="AC89" s="91">
        <f>Tabella3[[#This Row],[rest of Italy data]]*NOT(ISBLANK(Tabella3[[#This Row],[rest of Italy data]]))</f>
        <v>3869</v>
      </c>
      <c r="AD89" s="96">
        <f>Tabella8[[#This Row],[rest of Italy fit]]</f>
        <v>31441.865272423573</v>
      </c>
      <c r="AE89" s="91">
        <f>Tabella3[[#This Row],[rest of Italy cumul. Fit]]/Ka</f>
        <v>0.21244506035553287</v>
      </c>
      <c r="AF89" s="91">
        <f>IFERROR(Ka*_xlfn.LOGNORM.DIST((Tabella3[[#This Row],[Day]]-pa),mu_a,sigma_a,FALSE),0)</f>
        <v>3016.5308387721075</v>
      </c>
      <c r="AG89" s="91">
        <f>Tabella3[[#This Row],[rest of Italy fit]]/y_a_peak</f>
        <v>0.8926894738007104</v>
      </c>
      <c r="AH89" s="91">
        <f>Tabella3[[#This Row],[rest of Italy fit]]*NOT(ISBLANK(Tabella3[[#This Row],[rest of Italy data]]))</f>
        <v>3016.5308387721075</v>
      </c>
      <c r="AI89" s="91">
        <f>Tabella3[[#This Row],[rest of Italy fit]]+CIa</f>
        <v>3711.182874635705</v>
      </c>
      <c r="AJ89" s="91">
        <f>MAX(Tabella3[[#This Row],[rest of Italy fit]]-CIa,0)</f>
        <v>2321.8788029085099</v>
      </c>
      <c r="AL89"/>
      <c r="AM89"/>
    </row>
    <row r="90" spans="2:39" x14ac:dyDescent="0.3">
      <c r="B90" s="16">
        <v>43913</v>
      </c>
      <c r="C90" s="4">
        <v>83</v>
      </c>
      <c r="D90" s="91">
        <f>'dpc-covid19-ita-andamento-naz'!L30</f>
        <v>63927</v>
      </c>
      <c r="E90" s="91">
        <f>(Tabella3[[#This Row],[Italy cumul. Data]]-D89)</f>
        <v>4789</v>
      </c>
      <c r="F90" s="91">
        <f>Tabella3[[#This Row],[Italy data]]*NOT(ISBLANK(Tabella3[[#This Row],[Italy data]]))</f>
        <v>4789</v>
      </c>
      <c r="G90" s="96">
        <f>Tabella8[[#This Row],[Italy fit]]</f>
        <v>61483.932342251152</v>
      </c>
      <c r="H90" s="96">
        <f>Tabella3[[#This Row],[Italy cumul. Fit]]/Kf</f>
        <v>0.26163382603571794</v>
      </c>
      <c r="I90" s="96">
        <f>Tabella3[[#This Row],[Lombardy fit]]+Tabella3[[#This Row],[rest of Italy fit]]</f>
        <v>4845.302068884469</v>
      </c>
      <c r="J90" s="96">
        <f>Tabella3[[#This Row],[Italy (fitted Lombardy + fitted sum of the other regions)]]/(y_l_peak+y_a_peak)</f>
        <v>0.94319726937315995</v>
      </c>
      <c r="K90" s="91">
        <f>IFERROR(Kf*_xlfn.LOGNORM.DIST((Tabella3[[#This Row],[Day]]-D_bk),mu_f,sigma_f,FALSE),0)</f>
        <v>4795.4312928887284</v>
      </c>
      <c r="L90" s="91">
        <f>Tabella3[[#This Row],[Italy fit]]/y_f_peak</f>
        <v>0.9474120080681695</v>
      </c>
      <c r="M90" s="91">
        <f>Tabella3[[#This Row],[Italy (fitted Lombardy + fitted sum of the other regions)]]*NOT(ISBLANK(Tabella3[[#This Row],[Italy data]]))</f>
        <v>4845.302068884469</v>
      </c>
      <c r="N90" s="91">
        <f>Tabella3[[#This Row],[Italy fit]]*NOT(ISBLANK(Tabella3[[#This Row],[Italy data]]))</f>
        <v>4795.4312928887284</v>
      </c>
      <c r="O90" s="91">
        <f>Tabella3[[#This Row],[Italy fit]]+CIf</f>
        <v>5809.1942949090462</v>
      </c>
      <c r="P90" s="91">
        <f>MAX(Tabella3[[#This Row],[Italy fit]]-CIf,0)</f>
        <v>3781.6682908684106</v>
      </c>
      <c r="Q90" s="4">
        <f>Tabella8[[#This Row],[Lombardy]]</f>
        <v>28761</v>
      </c>
      <c r="R90" s="91">
        <f>(Tabella3[[#This Row],[Lombardy cumul. Data]]-Q89)</f>
        <v>1555</v>
      </c>
      <c r="S90" s="91">
        <f>Tabella3[[#This Row],[Lombardy data]]*NOT(ISBLANK(Tabella3[[#This Row],[Lombardy data]]))</f>
        <v>1555</v>
      </c>
      <c r="T90" s="96">
        <f>Tabella8[[#This Row],[Lombardy fit]]</f>
        <v>26740.019396335363</v>
      </c>
      <c r="U90" s="91">
        <f>Tabella3[[#This Row],[Lombardy cumul. Fit]]/Kl</f>
        <v>0.30735654478546393</v>
      </c>
      <c r="V90" s="91">
        <f>IFERROR(Kl*_xlfn.LOGNORM.DIST((Tabella3[[#This Row],[Day]]-pl),mu_l,sigma_l,FALSE),0)</f>
        <v>1734.7751514208735</v>
      </c>
      <c r="W90" s="91">
        <f>Tabella3[[#This Row],[Lombardy fit]]/y_l_peak</f>
        <v>0.98681460694436962</v>
      </c>
      <c r="X90" s="91">
        <f>Tabella3[[#This Row],[Lombardy fit]]*NOT(ISBLANK(Tabella3[[#This Row],[Lombardy data]]))</f>
        <v>1734.7751514208735</v>
      </c>
      <c r="Y90" s="91">
        <f>Tabella3[[#This Row],[Lombardy fit]]+CIl</f>
        <v>2483.7305232244971</v>
      </c>
      <c r="Z90" s="91">
        <f>MAX(Tabella3[[#This Row],[Lombardy fit]]-CIl,0)</f>
        <v>985.81977961724988</v>
      </c>
      <c r="AA90" s="10">
        <f>Tabella8[[#This Row],[rest of Italy ]]</f>
        <v>35166</v>
      </c>
      <c r="AB90" s="10">
        <f>(Tabella3[[#This Row],[rest of Italy cum. Data]]-AA89)</f>
        <v>3234</v>
      </c>
      <c r="AC90" s="91">
        <f>Tabella3[[#This Row],[rest of Italy data]]*NOT(ISBLANK(Tabella3[[#This Row],[rest of Italy data]]))</f>
        <v>3234</v>
      </c>
      <c r="AD90" s="96">
        <f>Tabella8[[#This Row],[rest of Italy fit]]</f>
        <v>34506.560712151368</v>
      </c>
      <c r="AE90" s="91">
        <f>Tabella3[[#This Row],[rest of Italy cumul. Fit]]/Ka</f>
        <v>0.23315246438589535</v>
      </c>
      <c r="AF90" s="91">
        <f>IFERROR(Ka*_xlfn.LOGNORM.DIST((Tabella3[[#This Row],[Day]]-pa),mu_a,sigma_a,FALSE),0)</f>
        <v>3110.5269174635955</v>
      </c>
      <c r="AG90" s="91">
        <f>Tabella3[[#This Row],[rest of Italy fit]]/y_a_peak</f>
        <v>0.92050596715391286</v>
      </c>
      <c r="AH90" s="91">
        <f>Tabella3[[#This Row],[rest of Italy fit]]*NOT(ISBLANK(Tabella3[[#This Row],[rest of Italy data]]))</f>
        <v>3110.5269174635955</v>
      </c>
      <c r="AI90" s="91">
        <f>Tabella3[[#This Row],[rest of Italy fit]]+CIa</f>
        <v>3805.1789533271931</v>
      </c>
      <c r="AJ90" s="91">
        <f>MAX(Tabella3[[#This Row],[rest of Italy fit]]-CIa,0)</f>
        <v>2415.8748815999979</v>
      </c>
      <c r="AL90"/>
      <c r="AM90"/>
    </row>
    <row r="91" spans="2:39" x14ac:dyDescent="0.3">
      <c r="B91" s="9">
        <v>43914</v>
      </c>
      <c r="C91" s="4">
        <v>84</v>
      </c>
      <c r="D91" s="91">
        <f>'dpc-covid19-ita-andamento-naz'!L31</f>
        <v>69176</v>
      </c>
      <c r="E91" s="91">
        <f>(Tabella3[[#This Row],[Italy cumul. Data]]-D90)</f>
        <v>5249</v>
      </c>
      <c r="F91" s="91">
        <f>Tabella3[[#This Row],[Italy data]]*NOT(ISBLANK(Tabella3[[#This Row],[Italy data]]))</f>
        <v>5249</v>
      </c>
      <c r="G91" s="96">
        <f>Tabella8[[#This Row],[Italy fit]]</f>
        <v>66325.661522775845</v>
      </c>
      <c r="H91" s="96">
        <f>Tabella3[[#This Row],[Italy cumul. Fit]]/Kf</f>
        <v>0.28223693455320864</v>
      </c>
      <c r="I91" s="96">
        <f>Tabella3[[#This Row],[Lombardy fit]]+Tabella3[[#This Row],[rest of Italy fit]]</f>
        <v>4938.3439543782169</v>
      </c>
      <c r="J91" s="96">
        <f>Tabella3[[#This Row],[Italy (fitted Lombardy + fitted sum of the other regions)]]/(y_l_peak+y_a_peak)</f>
        <v>0.96130900958820031</v>
      </c>
      <c r="K91" s="91">
        <f>IFERROR(Kf*_xlfn.LOGNORM.DIST((Tabella3[[#This Row],[Day]]-D_bk),mu_f,sigma_f,FALSE),0)</f>
        <v>4884.9037565722474</v>
      </c>
      <c r="L91" s="91">
        <f>Tabella3[[#This Row],[Italy fit]]/y_f_peak</f>
        <v>0.96508868432686445</v>
      </c>
      <c r="M91" s="91">
        <f>Tabella3[[#This Row],[Italy (fitted Lombardy + fitted sum of the other regions)]]*NOT(ISBLANK(Tabella3[[#This Row],[Italy data]]))</f>
        <v>4938.3439543782169</v>
      </c>
      <c r="N91" s="91">
        <f>Tabella3[[#This Row],[Italy fit]]*NOT(ISBLANK(Tabella3[[#This Row],[Italy data]]))</f>
        <v>4884.9037565722474</v>
      </c>
      <c r="O91" s="91">
        <f>Tabella3[[#This Row],[Italy fit]]+CIf</f>
        <v>5898.6667585925652</v>
      </c>
      <c r="P91" s="91">
        <f>MAX(Tabella3[[#This Row],[Italy fit]]-CIf,0)</f>
        <v>3871.1407545519296</v>
      </c>
      <c r="Q91" s="4">
        <f>Tabella8[[#This Row],[Lombardy]]</f>
        <v>30703</v>
      </c>
      <c r="R91" s="91">
        <f>(Tabella3[[#This Row],[Lombardy cumul. Data]]-Q90)</f>
        <v>1942</v>
      </c>
      <c r="S91" s="91">
        <f>Tabella3[[#This Row],[Lombardy data]]*NOT(ISBLANK(Tabella3[[#This Row],[Lombardy data]]))</f>
        <v>1942</v>
      </c>
      <c r="T91" s="96">
        <f>Tabella8[[#This Row],[Lombardy fit]]</f>
        <v>28481.862285154002</v>
      </c>
      <c r="U91" s="91">
        <f>Tabella3[[#This Row],[Lombardy cumul. Fit]]/Kl</f>
        <v>0.32737772741556326</v>
      </c>
      <c r="V91" s="91">
        <f>IFERROR(Kl*_xlfn.LOGNORM.DIST((Tabella3[[#This Row],[Day]]-pl),mu_l,sigma_l,FALSE),0)</f>
        <v>1747.968685586088</v>
      </c>
      <c r="W91" s="91">
        <f>Tabella3[[#This Row],[Lombardy fit]]/y_l_peak</f>
        <v>0.99431965578069259</v>
      </c>
      <c r="X91" s="91">
        <f>Tabella3[[#This Row],[Lombardy fit]]*NOT(ISBLANK(Tabella3[[#This Row],[Lombardy data]]))</f>
        <v>1747.968685586088</v>
      </c>
      <c r="Y91" s="91">
        <f>Tabella3[[#This Row],[Lombardy fit]]+CIl</f>
        <v>2496.9240573897114</v>
      </c>
      <c r="Z91" s="91">
        <f>MAX(Tabella3[[#This Row],[Lombardy fit]]-CIl,0)</f>
        <v>999.01331378246437</v>
      </c>
      <c r="AA91" s="10">
        <f>Tabella8[[#This Row],[rest of Italy ]]</f>
        <v>38473</v>
      </c>
      <c r="AB91" s="10">
        <f>(Tabella3[[#This Row],[rest of Italy cum. Data]]-AA90)</f>
        <v>3307</v>
      </c>
      <c r="AC91" s="91">
        <f>Tabella3[[#This Row],[rest of Italy data]]*NOT(ISBLANK(Tabella3[[#This Row],[rest of Italy data]]))</f>
        <v>3307</v>
      </c>
      <c r="AD91" s="96">
        <f>Tabella8[[#This Row],[rest of Italy fit]]</f>
        <v>37658.20071523654</v>
      </c>
      <c r="AE91" s="91">
        <f>Tabella3[[#This Row],[rest of Italy cumul. Fit]]/Ka</f>
        <v>0.25444733175057355</v>
      </c>
      <c r="AF91" s="91">
        <f>IFERROR(Ka*_xlfn.LOGNORM.DIST((Tabella3[[#This Row],[Day]]-pa),mu_a,sigma_a,FALSE),0)</f>
        <v>3190.3752687921292</v>
      </c>
      <c r="AG91" s="91">
        <f>Tabella3[[#This Row],[rest of Italy fit]]/y_a_peak</f>
        <v>0.94413568836052175</v>
      </c>
      <c r="AH91" s="91">
        <f>Tabella3[[#This Row],[rest of Italy fit]]*NOT(ISBLANK(Tabella3[[#This Row],[rest of Italy data]]))</f>
        <v>3190.3752687921292</v>
      </c>
      <c r="AI91" s="91">
        <f>Tabella3[[#This Row],[rest of Italy fit]]+CIa</f>
        <v>3885.0273046557268</v>
      </c>
      <c r="AJ91" s="91">
        <f>MAX(Tabella3[[#This Row],[rest of Italy fit]]-CIa,0)</f>
        <v>2495.7232329285316</v>
      </c>
      <c r="AL91"/>
      <c r="AM91"/>
    </row>
    <row r="92" spans="2:39" x14ac:dyDescent="0.3">
      <c r="B92" s="9">
        <v>43915</v>
      </c>
      <c r="C92" s="4">
        <v>85</v>
      </c>
      <c r="D92" s="91">
        <f>'dpc-covid19-ita-andamento-naz'!L32</f>
        <v>74386</v>
      </c>
      <c r="E92" s="91">
        <f>(Tabella3[[#This Row],[Italy cumul. Data]]-D91)</f>
        <v>5210</v>
      </c>
      <c r="F92" s="91">
        <f>Tabella3[[#This Row],[Italy data]]*NOT(ISBLANK(Tabella3[[#This Row],[Italy data]]))</f>
        <v>5210</v>
      </c>
      <c r="G92" s="96">
        <f>Tabella8[[#This Row],[Italy fit]]</f>
        <v>71247.51120842305</v>
      </c>
      <c r="H92" s="96">
        <f>Tabella3[[#This Row],[Italy cumul. Fit]]/Kf</f>
        <v>0.30318098148339601</v>
      </c>
      <c r="I92" s="96">
        <f>Tabella3[[#This Row],[Lombardy fit]]+Tabella3[[#This Row],[rest of Italy fit]]</f>
        <v>5011.5315439927372</v>
      </c>
      <c r="J92" s="96">
        <f>Tabella3[[#This Row],[Italy (fitted Lombardy + fitted sum of the other regions)]]/(y_l_peak+y_a_peak)</f>
        <v>0.97555586844138054</v>
      </c>
      <c r="K92" s="91">
        <f>IFERROR(Kf*_xlfn.LOGNORM.DIST((Tabella3[[#This Row],[Day]]-D_bk),mu_f,sigma_f,FALSE),0)</f>
        <v>4955.6972763765934</v>
      </c>
      <c r="L92" s="91">
        <f>Tabella3[[#This Row],[Italy fit]]/y_f_peak</f>
        <v>0.97907504481450403</v>
      </c>
      <c r="M92" s="91">
        <f>Tabella3[[#This Row],[Italy (fitted Lombardy + fitted sum of the other regions)]]*NOT(ISBLANK(Tabella3[[#This Row],[Italy data]]))</f>
        <v>5011.5315439927372</v>
      </c>
      <c r="N92" s="91">
        <f>Tabella3[[#This Row],[Italy fit]]*NOT(ISBLANK(Tabella3[[#This Row],[Italy data]]))</f>
        <v>4955.6972763765934</v>
      </c>
      <c r="O92" s="91">
        <f>Tabella3[[#This Row],[Italy fit]]+CIf</f>
        <v>5969.4602783969112</v>
      </c>
      <c r="P92" s="91">
        <f>MAX(Tabella3[[#This Row],[Italy fit]]-CIf,0)</f>
        <v>3941.9342743562756</v>
      </c>
      <c r="Q92" s="4">
        <f>Tabella8[[#This Row],[Lombardy]]</f>
        <v>32346</v>
      </c>
      <c r="R92" s="91">
        <f>(Tabella3[[#This Row],[Lombardy cumul. Data]]-Q91)</f>
        <v>1643</v>
      </c>
      <c r="S92" s="91">
        <f>Tabella3[[#This Row],[Lombardy data]]*NOT(ISBLANK(Tabella3[[#This Row],[Lombardy data]]))</f>
        <v>1643</v>
      </c>
      <c r="T92" s="96">
        <f>Tabella8[[#This Row],[Lombardy fit]]</f>
        <v>30234.107454482848</v>
      </c>
      <c r="U92" s="91">
        <f>Tabella3[[#This Row],[Lombardy cumul. Fit]]/Kl</f>
        <v>0.34751847648830858</v>
      </c>
      <c r="V92" s="91">
        <f>IFERROR(Kl*_xlfn.LOGNORM.DIST((Tabella3[[#This Row],[Day]]-pl),mu_l,sigma_l,FALSE),0)</f>
        <v>1755.6155658875773</v>
      </c>
      <c r="W92" s="91">
        <f>Tabella3[[#This Row],[Lombardy fit]]/y_l_peak</f>
        <v>0.99866952969540956</v>
      </c>
      <c r="X92" s="91">
        <f>Tabella3[[#This Row],[Lombardy fit]]*NOT(ISBLANK(Tabella3[[#This Row],[Lombardy data]]))</f>
        <v>1755.6155658875773</v>
      </c>
      <c r="Y92" s="91">
        <f>Tabella3[[#This Row],[Lombardy fit]]+CIl</f>
        <v>2504.5709376912009</v>
      </c>
      <c r="Z92" s="91">
        <f>MAX(Tabella3[[#This Row],[Lombardy fit]]-CIl,0)</f>
        <v>1006.6601940839537</v>
      </c>
      <c r="AA92" s="10">
        <f>Tabella8[[#This Row],[rest of Italy ]]</f>
        <v>42040</v>
      </c>
      <c r="AB92" s="10">
        <f>(Tabella3[[#This Row],[rest of Italy cum. Data]]-AA91)</f>
        <v>3567</v>
      </c>
      <c r="AC92" s="91">
        <f>Tabella3[[#This Row],[rest of Italy data]]*NOT(ISBLANK(Tabella3[[#This Row],[rest of Italy data]]))</f>
        <v>3567</v>
      </c>
      <c r="AD92" s="96">
        <f>Tabella8[[#This Row],[rest of Italy fit]]</f>
        <v>40882.539768465918</v>
      </c>
      <c r="AE92" s="91">
        <f>Tabella3[[#This Row],[rest of Italy cumul. Fit]]/Ka</f>
        <v>0.27623340897070586</v>
      </c>
      <c r="AF92" s="91">
        <f>IFERROR(Ka*_xlfn.LOGNORM.DIST((Tabella3[[#This Row],[Day]]-pa),mu_a,sigma_a,FALSE),0)</f>
        <v>3255.9159781051599</v>
      </c>
      <c r="AG92" s="91">
        <f>Tabella3[[#This Row],[rest of Italy fit]]/y_a_peak</f>
        <v>0.96353131347967036</v>
      </c>
      <c r="AH92" s="91">
        <f>Tabella3[[#This Row],[rest of Italy fit]]*NOT(ISBLANK(Tabella3[[#This Row],[rest of Italy data]]))</f>
        <v>3255.9159781051599</v>
      </c>
      <c r="AI92" s="91">
        <f>Tabella3[[#This Row],[rest of Italy fit]]+CIa</f>
        <v>3950.5680139687574</v>
      </c>
      <c r="AJ92" s="91">
        <f>MAX(Tabella3[[#This Row],[rest of Italy fit]]-CIa,0)</f>
        <v>2561.2639422415623</v>
      </c>
      <c r="AL92"/>
      <c r="AM92"/>
    </row>
    <row r="93" spans="2:39" x14ac:dyDescent="0.3">
      <c r="B93" s="186">
        <v>43916</v>
      </c>
      <c r="C93" s="187">
        <v>86</v>
      </c>
      <c r="D93" s="188">
        <f>'dpc-covid19-ita-andamento-naz'!L33</f>
        <v>80539</v>
      </c>
      <c r="E93" s="188">
        <f>(Tabella3[[#This Row],[Italy cumul. Data]]-D92)</f>
        <v>6153</v>
      </c>
      <c r="F93" s="188">
        <f>Tabella3[[#This Row],[Italy data]]*NOT(ISBLANK(Tabella3[[#This Row],[Italy data]]))</f>
        <v>6153</v>
      </c>
      <c r="G93" s="189">
        <f>Tabella8[[#This Row],[Italy fit]]</f>
        <v>76230.911190638726</v>
      </c>
      <c r="H93" s="189">
        <f>Tabella3[[#This Row],[Italy cumul. Fit]]/Kf</f>
        <v>0.32438694464065881</v>
      </c>
      <c r="I93" s="189">
        <f>Tabella3[[#This Row],[Lombardy fit]]+Tabella3[[#This Row],[rest of Italy fit]]</f>
        <v>5065.1418060534634</v>
      </c>
      <c r="J93" s="189">
        <f>Tabella3[[#This Row],[Italy (fitted Lombardy + fitted sum of the other regions)]]/(y_l_peak+y_a_peak)</f>
        <v>0.98599176120248921</v>
      </c>
      <c r="K93" s="188">
        <f>IFERROR(Kf*_xlfn.LOGNORM.DIST((Tabella3[[#This Row],[Day]]-D_bk),mu_f,sigma_f,FALSE),0)</f>
        <v>5008.062350765952</v>
      </c>
      <c r="L93" s="188">
        <f>Tabella3[[#This Row],[Italy fit]]/y_f_peak</f>
        <v>0.98942057939727057</v>
      </c>
      <c r="M93" s="188">
        <f>Tabella3[[#This Row],[Italy (fitted Lombardy + fitted sum of the other regions)]]*NOT(ISBLANK(Tabella3[[#This Row],[Italy data]]))</f>
        <v>5065.1418060534634</v>
      </c>
      <c r="N93" s="188">
        <f>Tabella3[[#This Row],[Italy fit]]*NOT(ISBLANK(Tabella3[[#This Row],[Italy data]]))</f>
        <v>5008.062350765952</v>
      </c>
      <c r="O93" s="188">
        <f>Tabella3[[#This Row],[Italy fit]]+CIf</f>
        <v>6021.8253527862698</v>
      </c>
      <c r="P93" s="188">
        <f>MAX(Tabella3[[#This Row],[Italy fit]]-CIf,0)</f>
        <v>3994.2993487456342</v>
      </c>
      <c r="Q93" s="187">
        <f>Tabella8[[#This Row],[Lombardy]]</f>
        <v>34889</v>
      </c>
      <c r="R93" s="188">
        <f>(Tabella3[[#This Row],[Lombardy cumul. Data]]-Q92)</f>
        <v>2543</v>
      </c>
      <c r="S93" s="188">
        <f>Tabella3[[#This Row],[Lombardy data]]*NOT(ISBLANK(Tabella3[[#This Row],[Lombardy data]]))</f>
        <v>2543</v>
      </c>
      <c r="T93" s="189">
        <f>Tabella8[[#This Row],[Lombardy fit]]</f>
        <v>31991.321881984775</v>
      </c>
      <c r="U93" s="188">
        <f>Tabella3[[#This Row],[Lombardy cumul. Fit]]/Kl</f>
        <v>0.36771634347108939</v>
      </c>
      <c r="V93" s="190">
        <f>IFERROR(Kl*_xlfn.LOGNORM.DIST((Tabella3[[#This Row],[Day]]-pl),mu_l,sigma_l,FALSE),0)</f>
        <v>1757.9488923792978</v>
      </c>
      <c r="W93" s="188">
        <f>Tabella3[[#This Row],[Lombardy fit]]/y_l_peak</f>
        <v>0.99999682600981332</v>
      </c>
      <c r="X93" s="188">
        <f>Tabella3[[#This Row],[Lombardy fit]]*NOT(ISBLANK(Tabella3[[#This Row],[Lombardy data]]))</f>
        <v>1757.9488923792978</v>
      </c>
      <c r="Y93" s="188">
        <f>Tabella3[[#This Row],[Lombardy fit]]+CIl</f>
        <v>2506.9042641829215</v>
      </c>
      <c r="Z93" s="188">
        <f>MAX(Tabella3[[#This Row],[Lombardy fit]]-CIl,0)</f>
        <v>1008.9935205756742</v>
      </c>
      <c r="AA93" s="191">
        <f>Tabella8[[#This Row],[rest of Italy ]]</f>
        <v>45650</v>
      </c>
      <c r="AB93" s="191">
        <f>(Tabella3[[#This Row],[rest of Italy cum. Data]]-AA92)</f>
        <v>3610</v>
      </c>
      <c r="AC93" s="188">
        <f>Tabella3[[#This Row],[rest of Italy data]]*NOT(ISBLANK(Tabella3[[#This Row],[rest of Italy data]]))</f>
        <v>3610</v>
      </c>
      <c r="AD93" s="189">
        <f>Tabella8[[#This Row],[rest of Italy fit]]</f>
        <v>44165.276053994246</v>
      </c>
      <c r="AE93" s="188">
        <f>Tabella3[[#This Row],[rest of Italy cumul. Fit]]/Ka</f>
        <v>0.29841406213068317</v>
      </c>
      <c r="AF93" s="188">
        <f>IFERROR(Ka*_xlfn.LOGNORM.DIST((Tabella3[[#This Row],[Day]]-pa),mu_a,sigma_a,FALSE),0)</f>
        <v>3307.192913674166</v>
      </c>
      <c r="AG93" s="188">
        <f>Tabella3[[#This Row],[rest of Italy fit]]/y_a_peak</f>
        <v>0.978705824558046</v>
      </c>
      <c r="AH93" s="188">
        <f>Tabella3[[#This Row],[rest of Italy fit]]*NOT(ISBLANK(Tabella3[[#This Row],[rest of Italy data]]))</f>
        <v>3307.192913674166</v>
      </c>
      <c r="AI93" s="188">
        <f>Tabella3[[#This Row],[rest of Italy fit]]+CIa</f>
        <v>4001.8449495377636</v>
      </c>
      <c r="AJ93" s="188">
        <f>MAX(Tabella3[[#This Row],[rest of Italy fit]]-CIa,0)</f>
        <v>2612.5408778105684</v>
      </c>
      <c r="AL93"/>
      <c r="AM93"/>
    </row>
    <row r="94" spans="2:39" x14ac:dyDescent="0.3">
      <c r="B94" s="9">
        <v>43917</v>
      </c>
      <c r="C94" s="4">
        <v>87</v>
      </c>
      <c r="D94" s="91">
        <f>'dpc-covid19-ita-andamento-naz'!L34</f>
        <v>86498</v>
      </c>
      <c r="E94" s="91">
        <f>(Tabella3[[#This Row],[Italy cumul. Data]]-D93)</f>
        <v>5959</v>
      </c>
      <c r="F94" s="91">
        <f>Tabella3[[#This Row],[Italy data]]*NOT(ISBLANK(Tabella3[[#This Row],[Italy data]]))</f>
        <v>5959</v>
      </c>
      <c r="G94" s="96">
        <f>Tabella8[[#This Row],[Italy fit]]</f>
        <v>81257.636858365309</v>
      </c>
      <c r="H94" s="96">
        <f>Tabella3[[#This Row],[Italy cumul. Fit]]/Kf</f>
        <v>0.34577727246742157</v>
      </c>
      <c r="I94" s="96">
        <f>Tabella3[[#This Row],[Lombardy fit]]+Tabella3[[#This Row],[rest of Italy fit]]</f>
        <v>5099.6654891610215</v>
      </c>
      <c r="J94" s="96">
        <f>Tabella3[[#This Row],[Italy (fitted Lombardy + fitted sum of the other regions)]]/(y_l_peak+y_a_peak)</f>
        <v>0.99271221808480903</v>
      </c>
      <c r="K94" s="91">
        <f>IFERROR(Kf*_xlfn.LOGNORM.DIST((Tabella3[[#This Row],[Day]]-D_bk),mu_f,sigma_f,FALSE),0)</f>
        <v>5042.4356667828333</v>
      </c>
      <c r="L94" s="91">
        <f>Tabella3[[#This Row],[Italy fit]]/y_f_peak</f>
        <v>0.99621156238973008</v>
      </c>
      <c r="M94" s="91">
        <f>Tabella3[[#This Row],[Italy (fitted Lombardy + fitted sum of the other regions)]]*NOT(ISBLANK(Tabella3[[#This Row],[Italy data]]))</f>
        <v>5099.6654891610215</v>
      </c>
      <c r="N94" s="91">
        <f>Tabella3[[#This Row],[Italy fit]]*NOT(ISBLANK(Tabella3[[#This Row],[Italy data]]))</f>
        <v>5042.4356667828333</v>
      </c>
      <c r="O94" s="91">
        <f>Tabella3[[#This Row],[Italy fit]]+CIf</f>
        <v>6056.1986688031511</v>
      </c>
      <c r="P94" s="91">
        <f>MAX(Tabella3[[#This Row],[Italy fit]]-CIf,0)</f>
        <v>4028.6726647625155</v>
      </c>
      <c r="Q94" s="4">
        <f>Tabella8[[#This Row],[Lombardy]]</f>
        <v>37298</v>
      </c>
      <c r="R94" s="91">
        <f>(Tabella3[[#This Row],[Lombardy cumul. Data]]-Q93)</f>
        <v>2409</v>
      </c>
      <c r="S94" s="91">
        <f>Tabella3[[#This Row],[Lombardy data]]*NOT(ISBLANK(Tabella3[[#This Row],[Lombardy data]]))</f>
        <v>2409</v>
      </c>
      <c r="T94" s="96">
        <f>Tabella8[[#This Row],[Lombardy fit]]</f>
        <v>33748.322003527355</v>
      </c>
      <c r="U94" s="91">
        <f>Tabella3[[#This Row],[Lombardy cumul. Fit]]/Kl</f>
        <v>0.38791174716698107</v>
      </c>
      <c r="V94" s="91">
        <f>IFERROR(Kl*_xlfn.LOGNORM.DIST((Tabella3[[#This Row],[Day]]-pl),mu_l,sigma_l,FALSE),0)</f>
        <v>1755.2333412571345</v>
      </c>
      <c r="W94" s="91">
        <f>Tabella3[[#This Row],[Lombardy fit]]/y_l_peak</f>
        <v>0.99845210391077921</v>
      </c>
      <c r="X94" s="91">
        <f>Tabella3[[#This Row],[Lombardy fit]]*NOT(ISBLANK(Tabella3[[#This Row],[Lombardy data]]))</f>
        <v>1755.2333412571345</v>
      </c>
      <c r="Y94" s="91">
        <f>Tabella3[[#This Row],[Lombardy fit]]+CIl</f>
        <v>2504.1887130607583</v>
      </c>
      <c r="Z94" s="91">
        <f>MAX(Tabella3[[#This Row],[Lombardy fit]]-CIl,0)</f>
        <v>1006.2779694535109</v>
      </c>
      <c r="AA94" s="10">
        <f>Tabella8[[#This Row],[rest of Italy ]]</f>
        <v>49200</v>
      </c>
      <c r="AB94" s="10">
        <f>(Tabella3[[#This Row],[rest of Italy cum. Data]]-AA93)</f>
        <v>3550</v>
      </c>
      <c r="AC94" s="91">
        <f>Tabella3[[#This Row],[rest of Italy data]]*NOT(ISBLANK(Tabella3[[#This Row],[rest of Italy data]]))</f>
        <v>3550</v>
      </c>
      <c r="AD94" s="96">
        <f>Tabella8[[#This Row],[rest of Italy fit]]</f>
        <v>47492.244591342511</v>
      </c>
      <c r="AE94" s="91">
        <f>Tabella3[[#This Row],[rest of Italy cumul. Fit]]/Ka</f>
        <v>0.32089358189180295</v>
      </c>
      <c r="AF94" s="91">
        <f>IFERROR(Ka*_xlfn.LOGNORM.DIST((Tabella3[[#This Row],[Day]]-pa),mu_a,sigma_a,FALSE),0)</f>
        <v>3344.4321479038872</v>
      </c>
      <c r="AG94" s="91">
        <f>Tabella3[[#This Row],[rest of Italy fit]]/y_a_peak</f>
        <v>0.98972612376466806</v>
      </c>
      <c r="AH94" s="91">
        <f>Tabella3[[#This Row],[rest of Italy fit]]*NOT(ISBLANK(Tabella3[[#This Row],[rest of Italy data]]))</f>
        <v>3344.4321479038872</v>
      </c>
      <c r="AI94" s="91">
        <f>Tabella3[[#This Row],[rest of Italy fit]]+CIa</f>
        <v>4039.0841837674843</v>
      </c>
      <c r="AJ94" s="91">
        <f>MAX(Tabella3[[#This Row],[rest of Italy fit]]-CIa,0)</f>
        <v>2649.7801120402901</v>
      </c>
      <c r="AL94"/>
      <c r="AM94"/>
    </row>
    <row r="95" spans="2:39" x14ac:dyDescent="0.3">
      <c r="B95" s="9">
        <v>43918</v>
      </c>
      <c r="C95" s="4">
        <v>88</v>
      </c>
      <c r="D95" s="91">
        <f>'dpc-covid19-ita-andamento-naz'!L35</f>
        <v>92472</v>
      </c>
      <c r="E95" s="91">
        <f>(Tabella3[[#This Row],[Italy cumul. Data]]-D94)</f>
        <v>5974</v>
      </c>
      <c r="F95" s="91">
        <f>Tabella3[[#This Row],[Italy data]]*NOT(ISBLANK(Tabella3[[#This Row],[Italy data]]))</f>
        <v>5974</v>
      </c>
      <c r="G95" s="96">
        <f>Tabella8[[#This Row],[Italy fit]]</f>
        <v>86309.98326793914</v>
      </c>
      <c r="H95" s="96">
        <f>Tabella3[[#This Row],[Italy cumul. Fit]]/Kf</f>
        <v>0.36727662475732464</v>
      </c>
      <c r="I95" s="96">
        <f>Tabella3[[#This Row],[Lombardy fit]]+Tabella3[[#This Row],[rest of Italy fit]]</f>
        <v>5115.7775903136253</v>
      </c>
      <c r="J95" s="96">
        <f>Tabella3[[#This Row],[Italy (fitted Lombardy + fitted sum of the other regions)]]/(y_l_peak+y_a_peak)</f>
        <v>0.99584863550418756</v>
      </c>
      <c r="K95" s="91">
        <f>IFERROR(Kf*_xlfn.LOGNORM.DIST((Tabella3[[#This Row],[Day]]-D_bk),mu_f,sigma_f,FALSE),0)</f>
        <v>5059.4157950935632</v>
      </c>
      <c r="L95" s="91">
        <f>Tabella3[[#This Row],[Italy fit]]/y_f_peak</f>
        <v>0.9995662507331915</v>
      </c>
      <c r="M95" s="91">
        <f>Tabella3[[#This Row],[Italy (fitted Lombardy + fitted sum of the other regions)]]*NOT(ISBLANK(Tabella3[[#This Row],[Italy data]]))</f>
        <v>5115.7775903136253</v>
      </c>
      <c r="N95" s="91">
        <f>Tabella3[[#This Row],[Italy fit]]*NOT(ISBLANK(Tabella3[[#This Row],[Italy data]]))</f>
        <v>5059.4157950935632</v>
      </c>
      <c r="O95" s="91">
        <f>Tabella3[[#This Row],[Italy fit]]+CIf</f>
        <v>6073.178797113881</v>
      </c>
      <c r="P95" s="91">
        <f>MAX(Tabella3[[#This Row],[Italy fit]]-CIf,0)</f>
        <v>4045.6527930732454</v>
      </c>
      <c r="Q95" s="4">
        <f>Tabella8[[#This Row],[Lombardy]]</f>
        <v>39415</v>
      </c>
      <c r="R95" s="91">
        <f>(Tabella3[[#This Row],[Lombardy cumul. Data]]-Q94)</f>
        <v>2117</v>
      </c>
      <c r="S95" s="91">
        <f>Tabella3[[#This Row],[Lombardy data]]*NOT(ISBLANK(Tabella3[[#This Row],[Lombardy data]]))</f>
        <v>2117</v>
      </c>
      <c r="T95" s="96">
        <f>Tabella8[[#This Row],[Lombardy fit]]</f>
        <v>35500.201936379526</v>
      </c>
      <c r="U95" s="91">
        <f>Tabella3[[#This Row],[Lombardy cumul. Fit]]/Kl</f>
        <v>0.40804829811930488</v>
      </c>
      <c r="V95" s="91">
        <f>IFERROR(Kl*_xlfn.LOGNORM.DIST((Tabella3[[#This Row],[Day]]-pl),mu_l,sigma_l,FALSE),0)</f>
        <v>1747.7585290314307</v>
      </c>
      <c r="W95" s="91">
        <f>Tabella3[[#This Row],[Lombardy fit]]/y_l_peak</f>
        <v>0.99420010970712158</v>
      </c>
      <c r="X95" s="91">
        <f>Tabella3[[#This Row],[Lombardy fit]]*NOT(ISBLANK(Tabella3[[#This Row],[Lombardy data]]))</f>
        <v>1747.7585290314307</v>
      </c>
      <c r="Y95" s="91">
        <f>Tabella3[[#This Row],[Lombardy fit]]+CIl</f>
        <v>2496.7139008350541</v>
      </c>
      <c r="Z95" s="91">
        <f>MAX(Tabella3[[#This Row],[Lombardy fit]]-CIl,0)</f>
        <v>998.80315722780711</v>
      </c>
      <c r="AA95" s="10">
        <f>Tabella8[[#This Row],[rest of Italy ]]</f>
        <v>53057</v>
      </c>
      <c r="AB95" s="10">
        <f>(Tabella3[[#This Row],[rest of Italy cum. Data]]-AA94)</f>
        <v>3857</v>
      </c>
      <c r="AC95" s="91">
        <f>Tabella3[[#This Row],[rest of Italy data]]*NOT(ISBLANK(Tabella3[[#This Row],[rest of Italy data]]))</f>
        <v>3857</v>
      </c>
      <c r="AD95" s="96">
        <f>Tabella8[[#This Row],[rest of Italy fit]]</f>
        <v>50849.58806611818</v>
      </c>
      <c r="AE95" s="91">
        <f>Tabella3[[#This Row],[rest of Italy cumul. Fit]]/Ka</f>
        <v>0.34357833774051322</v>
      </c>
      <c r="AF95" s="91">
        <f>IFERROR(Ka*_xlfn.LOGNORM.DIST((Tabella3[[#This Row],[Day]]-pa),mu_a,sigma_a,FALSE),0)</f>
        <v>3368.0190612821943</v>
      </c>
      <c r="AG95" s="91">
        <f>Tabella3[[#This Row],[rest of Italy fit]]/y_a_peak</f>
        <v>0.99670625770582633</v>
      </c>
      <c r="AH95" s="91">
        <f>Tabella3[[#This Row],[rest of Italy fit]]*NOT(ISBLANK(Tabella3[[#This Row],[rest of Italy data]]))</f>
        <v>3368.0190612821943</v>
      </c>
      <c r="AI95" s="91">
        <f>Tabella3[[#This Row],[rest of Italy fit]]+CIa</f>
        <v>4062.6710971457915</v>
      </c>
      <c r="AJ95" s="91">
        <f>MAX(Tabella3[[#This Row],[rest of Italy fit]]-CIa,0)</f>
        <v>2673.3670254185972</v>
      </c>
      <c r="AL95"/>
      <c r="AM95"/>
    </row>
    <row r="96" spans="2:39" x14ac:dyDescent="0.3">
      <c r="B96" s="180">
        <v>43919</v>
      </c>
      <c r="C96" s="181">
        <v>89</v>
      </c>
      <c r="D96" s="182">
        <f>'dpc-covid19-ita-andamento-naz'!L36</f>
        <v>97689</v>
      </c>
      <c r="E96" s="182">
        <f>(Tabella3[[#This Row],[Italy cumul. Data]]-D95)</f>
        <v>5217</v>
      </c>
      <c r="F96" s="182">
        <f>Tabella3[[#This Row],[Italy data]]*NOT(ISBLANK(Tabella3[[#This Row],[Italy data]]))</f>
        <v>5217</v>
      </c>
      <c r="G96" s="183">
        <f>Tabella8[[#This Row],[Italy fit]]</f>
        <v>91370.914812723233</v>
      </c>
      <c r="H96" s="183">
        <f>Tabella3[[#This Row],[Italy cumul. Fit]]/Kf</f>
        <v>0.38881250954745222</v>
      </c>
      <c r="I96" s="183">
        <f>Tabella3[[#This Row],[Lombardy fit]]+Tabella3[[#This Row],[rest of Italy fit]]</f>
        <v>5114.307799768937</v>
      </c>
      <c r="J96" s="183">
        <f>Tabella3[[#This Row],[Italy (fitted Lombardy + fitted sum of the other regions)]]/(y_l_peak+y_a_peak)</f>
        <v>0.99556252281016111</v>
      </c>
      <c r="K96" s="184">
        <f>IFERROR(Kf*_xlfn.LOGNORM.DIST((Tabella3[[#This Row],[Day]]-D_bk),mu_f,sigma_f,FALSE),0)</f>
        <v>5059.7387981126558</v>
      </c>
      <c r="L96" s="182">
        <f>Tabella3[[#This Row],[Italy fit]]/y_f_peak</f>
        <v>0.99963006500144802</v>
      </c>
      <c r="M96" s="182">
        <f>Tabella3[[#This Row],[Italy (fitted Lombardy + fitted sum of the other regions)]]*NOT(ISBLANK(Tabella3[[#This Row],[Italy data]]))</f>
        <v>5114.307799768937</v>
      </c>
      <c r="N96" s="182">
        <f>Tabella3[[#This Row],[Italy fit]]*NOT(ISBLANK(Tabella3[[#This Row],[Italy data]]))</f>
        <v>5059.7387981126558</v>
      </c>
      <c r="O96" s="182">
        <f>Tabella3[[#This Row],[Italy fit]]+CIf</f>
        <v>6073.5018001329736</v>
      </c>
      <c r="P96" s="182">
        <f>MAX(Tabella3[[#This Row],[Italy fit]]-CIf,0)</f>
        <v>4045.975796092338</v>
      </c>
      <c r="Q96" s="181">
        <f>Tabella8[[#This Row],[Lombardy]]</f>
        <v>41007</v>
      </c>
      <c r="R96" s="182">
        <f>(Tabella3[[#This Row],[Lombardy cumul. Data]]-Q95)</f>
        <v>1592</v>
      </c>
      <c r="S96" s="182">
        <f>Tabella3[[#This Row],[Lombardy data]]*NOT(ISBLANK(Tabella3[[#This Row],[Lombardy data]]))</f>
        <v>1592</v>
      </c>
      <c r="T96" s="183">
        <f>Tabella8[[#This Row],[Lombardy fit]]</f>
        <v>37242.355288164421</v>
      </c>
      <c r="U96" s="182">
        <f>Tabella3[[#This Row],[Lombardy cumul. Fit]]/Kl</f>
        <v>0.42807304928924622</v>
      </c>
      <c r="V96" s="182">
        <f>IFERROR(Kl*_xlfn.LOGNORM.DIST((Tabella3[[#This Row],[Day]]-pl),mu_l,sigma_l,FALSE),0)</f>
        <v>1735.8328304500953</v>
      </c>
      <c r="W96" s="182">
        <f>Tabella3[[#This Row],[Lombardy fit]]/y_l_peak</f>
        <v>0.98741626019876394</v>
      </c>
      <c r="X96" s="182">
        <f>Tabella3[[#This Row],[Lombardy fit]]*NOT(ISBLANK(Tabella3[[#This Row],[Lombardy data]]))</f>
        <v>1735.8328304500953</v>
      </c>
      <c r="Y96" s="182">
        <f>Tabella3[[#This Row],[Lombardy fit]]+CIl</f>
        <v>2484.7882022537187</v>
      </c>
      <c r="Z96" s="182">
        <f>MAX(Tabella3[[#This Row],[Lombardy fit]]-CIl,0)</f>
        <v>986.87745864647172</v>
      </c>
      <c r="AA96" s="185">
        <f>Tabella8[[#This Row],[rest of Italy ]]</f>
        <v>56682</v>
      </c>
      <c r="AB96" s="185">
        <f>(Tabella3[[#This Row],[rest of Italy cum. Data]]-AA95)</f>
        <v>3625</v>
      </c>
      <c r="AC96" s="182">
        <f>Tabella3[[#This Row],[rest of Italy data]]*NOT(ISBLANK(Tabella3[[#This Row],[rest of Italy data]]))</f>
        <v>3625</v>
      </c>
      <c r="AD96" s="183">
        <f>Tabella8[[#This Row],[rest of Italy fit]]</f>
        <v>54223.904460029429</v>
      </c>
      <c r="AE96" s="182">
        <f>Tabella3[[#This Row],[rest of Italy cumul. Fit]]/Ka</f>
        <v>0.36637777548862505</v>
      </c>
      <c r="AF96" s="184">
        <f>IFERROR(Ka*_xlfn.LOGNORM.DIST((Tabella3[[#This Row],[Day]]-pa),mu_a,sigma_a,FALSE),0)</f>
        <v>3378.4749693188419</v>
      </c>
      <c r="AG96" s="182">
        <f>Tabella3[[#This Row],[rest of Italy fit]]/y_a_peak</f>
        <v>0.99980050057693282</v>
      </c>
      <c r="AH96" s="182">
        <f>Tabella3[[#This Row],[rest of Italy fit]]*NOT(ISBLANK(Tabella3[[#This Row],[rest of Italy data]]))</f>
        <v>3378.4749693188419</v>
      </c>
      <c r="AI96" s="182">
        <f>Tabella3[[#This Row],[rest of Italy fit]]+CIa</f>
        <v>4073.1270051824395</v>
      </c>
      <c r="AJ96" s="182">
        <f>MAX(Tabella3[[#This Row],[rest of Italy fit]]-CIa,0)</f>
        <v>2683.8229334552443</v>
      </c>
      <c r="AL96"/>
      <c r="AM96"/>
    </row>
    <row r="97" spans="2:39" x14ac:dyDescent="0.3">
      <c r="B97" s="9">
        <v>43920</v>
      </c>
      <c r="C97" s="4">
        <v>90</v>
      </c>
      <c r="D97" s="91">
        <f>'dpc-covid19-ita-andamento-naz'!L37</f>
        <v>101739</v>
      </c>
      <c r="E97" s="91">
        <f>(Tabella3[[#This Row],[Italy cumul. Data]]-D96)</f>
        <v>4050</v>
      </c>
      <c r="F97" s="91">
        <f>Tabella3[[#This Row],[Italy data]]*NOT(ISBLANK(Tabella3[[#This Row],[Italy data]]))</f>
        <v>4050</v>
      </c>
      <c r="G97" s="96">
        <f>Tabella8[[#This Row],[Italy fit]]</f>
        <v>96424.190697983926</v>
      </c>
      <c r="H97" s="96">
        <f>Tabella3[[#This Row],[Italy cumul. Fit]]/Kf</f>
        <v>0.41031581705412329</v>
      </c>
      <c r="I97" s="96">
        <f>Tabella3[[#This Row],[Lombardy fit]]+Tabella3[[#This Row],[rest of Italy fit]]</f>
        <v>5096.2116742131684</v>
      </c>
      <c r="J97" s="96">
        <f>Tabella3[[#This Row],[Italy (fitted Lombardy + fitted sum of the other regions)]]/(y_l_peak+y_a_peak)</f>
        <v>0.99203989079098454</v>
      </c>
      <c r="K97" s="91">
        <f>IFERROR(Kf*_xlfn.LOGNORM.DIST((Tabella3[[#This Row],[Day]]-D_bk),mu_f,sigma_f,FALSE),0)</f>
        <v>5044.2543175289993</v>
      </c>
      <c r="L97" s="91">
        <f>Tabella3[[#This Row],[Italy fit]]/y_f_peak</f>
        <v>0.99657086511980042</v>
      </c>
      <c r="M97" s="91">
        <f>Tabella3[[#This Row],[Italy (fitted Lombardy + fitted sum of the other regions)]]*NOT(ISBLANK(Tabella3[[#This Row],[Italy data]]))</f>
        <v>5096.2116742131684</v>
      </c>
      <c r="N97" s="91">
        <f>Tabella3[[#This Row],[Italy fit]]*NOT(ISBLANK(Tabella3[[#This Row],[Italy data]]))</f>
        <v>5044.2543175289993</v>
      </c>
      <c r="O97" s="91">
        <f>Tabella3[[#This Row],[Italy fit]]+CIf</f>
        <v>6058.0173195493171</v>
      </c>
      <c r="P97" s="91">
        <f>MAX(Tabella3[[#This Row],[Italy fit]]-CIf,0)</f>
        <v>4030.4913155086815</v>
      </c>
      <c r="Q97" s="4">
        <f>Tabella8[[#This Row],[Lombardy]]</f>
        <v>42161</v>
      </c>
      <c r="R97" s="91">
        <f>(Tabella3[[#This Row],[Lombardy cumul. Data]]-Q96)</f>
        <v>1154</v>
      </c>
      <c r="S97" s="91">
        <f>Tabella3[[#This Row],[Lombardy data]]*NOT(ISBLANK(Tabella3[[#This Row],[Lombardy data]]))</f>
        <v>1154</v>
      </c>
      <c r="T97" s="96">
        <f>Tabella8[[#This Row],[Lombardy fit]]</f>
        <v>38970.491033185979</v>
      </c>
      <c r="U97" s="91">
        <f>Tabella3[[#This Row],[Lombardy cumul. Fit]]/Kl</f>
        <v>0.44793667854236757</v>
      </c>
      <c r="V97" s="91">
        <f>IFERROR(Kl*_xlfn.LOGNORM.DIST((Tabella3[[#This Row],[Day]]-pl),mu_l,sigma_l,FALSE),0)</f>
        <v>1719.7777021380912</v>
      </c>
      <c r="W97" s="91">
        <f>Tabella3[[#This Row],[Lombardy fit]]/y_l_peak</f>
        <v>0.97828341371910621</v>
      </c>
      <c r="X97" s="91">
        <f>Tabella3[[#This Row],[Lombardy fit]]*NOT(ISBLANK(Tabella3[[#This Row],[Lombardy data]]))</f>
        <v>1719.7777021380912</v>
      </c>
      <c r="Y97" s="91">
        <f>Tabella3[[#This Row],[Lombardy fit]]+CIl</f>
        <v>2468.7330739417148</v>
      </c>
      <c r="Z97" s="91">
        <f>MAX(Tabella3[[#This Row],[Lombardy fit]]-CIl,0)</f>
        <v>970.82233033446755</v>
      </c>
      <c r="AA97" s="10">
        <f>Tabella8[[#This Row],[rest of Italy ]]</f>
        <v>59578</v>
      </c>
      <c r="AB97" s="10">
        <f>(Tabella3[[#This Row],[rest of Italy cum. Data]]-AA96)</f>
        <v>2896</v>
      </c>
      <c r="AC97" s="91">
        <f>Tabella3[[#This Row],[rest of Italy data]]*NOT(ISBLANK(Tabella3[[#This Row],[rest of Italy data]]))</f>
        <v>2896</v>
      </c>
      <c r="AD97" s="96">
        <f>Tabella8[[#This Row],[rest of Italy fit]]</f>
        <v>57602.371366640451</v>
      </c>
      <c r="AE97" s="91">
        <f>Tabella3[[#This Row],[rest of Italy cumul. Fit]]/Ka</f>
        <v>0.38920525724472965</v>
      </c>
      <c r="AF97" s="91">
        <f>IFERROR(Ka*_xlfn.LOGNORM.DIST((Tabella3[[#This Row],[Day]]-pa),mu_a,sigma_a,FALSE),0)</f>
        <v>3376.4339720750772</v>
      </c>
      <c r="AG97" s="91">
        <f>Tabella3[[#This Row],[rest of Italy fit]]/y_a_peak</f>
        <v>0.99919650318623932</v>
      </c>
      <c r="AH97" s="91">
        <f>Tabella3[[#This Row],[rest of Italy fit]]*NOT(ISBLANK(Tabella3[[#This Row],[rest of Italy data]]))</f>
        <v>3376.4339720750772</v>
      </c>
      <c r="AI97" s="91">
        <f>Tabella3[[#This Row],[rest of Italy fit]]+CIa</f>
        <v>4071.0860079386748</v>
      </c>
      <c r="AJ97" s="91">
        <f>MAX(Tabella3[[#This Row],[rest of Italy fit]]-CIa,0)</f>
        <v>2681.7819362114797</v>
      </c>
      <c r="AL97"/>
      <c r="AM97"/>
    </row>
    <row r="98" spans="2:39" x14ac:dyDescent="0.3">
      <c r="B98" s="9">
        <v>43921</v>
      </c>
      <c r="C98" s="4">
        <v>91</v>
      </c>
      <c r="D98" s="91">
        <f>'dpc-covid19-ita-andamento-naz'!L38</f>
        <v>105792</v>
      </c>
      <c r="E98" s="91">
        <f>(Tabella3[[#This Row],[Italy cumul. Data]]-D97)</f>
        <v>4053</v>
      </c>
      <c r="F98" s="91">
        <f>Tabella3[[#This Row],[Italy data]]*NOT(ISBLANK(Tabella3[[#This Row],[Italy data]]))</f>
        <v>4053</v>
      </c>
      <c r="G98" s="96">
        <f>Tabella8[[#This Row],[Italy fit]]</f>
        <v>101454.46693801886</v>
      </c>
      <c r="H98" s="96">
        <f>Tabella3[[#This Row],[Italy cumul. Fit]]/Kf</f>
        <v>0.43172125370334197</v>
      </c>
      <c r="I98" s="96">
        <f>Tabella3[[#This Row],[Lombardy fit]]+Tabella3[[#This Row],[rest of Italy fit]]</f>
        <v>5062.543131881941</v>
      </c>
      <c r="J98" s="96">
        <f>Tabella3[[#This Row],[Italy (fitted Lombardy + fitted sum of the other regions)]]/(y_l_peak+y_a_peak)</f>
        <v>0.98548589751272864</v>
      </c>
      <c r="K98" s="91">
        <f>IFERROR(Kf*_xlfn.LOGNORM.DIST((Tabella3[[#This Row],[Day]]-D_bk),mu_f,sigma_f,FALSE),0)</f>
        <v>5013.90259879731</v>
      </c>
      <c r="L98" s="91">
        <f>Tabella3[[#This Row],[Italy fit]]/y_f_peak</f>
        <v>0.9905744111961351</v>
      </c>
      <c r="M98" s="91">
        <f>Tabella3[[#This Row],[Italy (fitted Lombardy + fitted sum of the other regions)]]*NOT(ISBLANK(Tabella3[[#This Row],[Italy data]]))</f>
        <v>5062.543131881941</v>
      </c>
      <c r="N98" s="91">
        <f>Tabella3[[#This Row],[Italy fit]]*NOT(ISBLANK(Tabella3[[#This Row],[Italy data]]))</f>
        <v>5013.90259879731</v>
      </c>
      <c r="O98" s="91">
        <f>Tabella3[[#This Row],[Italy fit]]+CIf</f>
        <v>6027.6656008176278</v>
      </c>
      <c r="P98" s="91">
        <f>MAX(Tabella3[[#This Row],[Italy fit]]-CIf,0)</f>
        <v>4000.1395967769922</v>
      </c>
      <c r="Q98" s="4">
        <f>Tabella8[[#This Row],[Lombardy]]</f>
        <v>43208</v>
      </c>
      <c r="R98" s="91">
        <f>(Tabella3[[#This Row],[Lombardy cumul. Data]]-Q97)</f>
        <v>1047</v>
      </c>
      <c r="S98" s="91">
        <f>Tabella3[[#This Row],[Lombardy data]]*NOT(ISBLANK(Tabella3[[#This Row],[Lombardy data]]))</f>
        <v>1047</v>
      </c>
      <c r="T98" s="96">
        <f>Tabella8[[#This Row],[Lombardy fit]]</f>
        <v>40680.643978973909</v>
      </c>
      <c r="U98" s="91">
        <f>Tabella3[[#This Row],[Lombardy cumul. Fit]]/Kl</f>
        <v>0.46759360895372309</v>
      </c>
      <c r="V98" s="91">
        <f>IFERROR(Kl*_xlfn.LOGNORM.DIST((Tabella3[[#This Row],[Day]]-pl),mu_l,sigma_l,FALSE),0)</f>
        <v>1699.9225430030324</v>
      </c>
      <c r="W98" s="91">
        <f>Tabella3[[#This Row],[Lombardy fit]]/y_l_peak</f>
        <v>0.96698894651300582</v>
      </c>
      <c r="X98" s="91">
        <f>Tabella3[[#This Row],[Lombardy fit]]*NOT(ISBLANK(Tabella3[[#This Row],[Lombardy data]]))</f>
        <v>1699.9225430030324</v>
      </c>
      <c r="Y98" s="91">
        <f>Tabella3[[#This Row],[Lombardy fit]]+CIl</f>
        <v>2448.877914806656</v>
      </c>
      <c r="Z98" s="91">
        <f>MAX(Tabella3[[#This Row],[Lombardy fit]]-CIl,0)</f>
        <v>950.96717119940877</v>
      </c>
      <c r="AA98" s="10">
        <f>Tabella8[[#This Row],[rest of Italy ]]</f>
        <v>62584</v>
      </c>
      <c r="AB98" s="10">
        <f>(Tabella3[[#This Row],[rest of Italy cum. Data]]-AA97)</f>
        <v>3006</v>
      </c>
      <c r="AC98" s="91">
        <f>Tabella3[[#This Row],[rest of Italy data]]*NOT(ISBLANK(Tabella3[[#This Row],[rest of Italy data]]))</f>
        <v>3006</v>
      </c>
      <c r="AD98" s="96">
        <f>Tabella8[[#This Row],[rest of Italy fit]]</f>
        <v>60972.847507879022</v>
      </c>
      <c r="AE98" s="91">
        <f>Tabella3[[#This Row],[rest of Italy cumul. Fit]]/Ka</f>
        <v>0.41197874733662709</v>
      </c>
      <c r="AF98" s="91">
        <f>IFERROR(Ka*_xlfn.LOGNORM.DIST((Tabella3[[#This Row],[Day]]-pa),mu_a,sigma_a,FALSE),0)</f>
        <v>3362.6205888789086</v>
      </c>
      <c r="AG98" s="91">
        <f>Tabella3[[#This Row],[rest of Italy fit]]/y_a_peak</f>
        <v>0.99510867434049977</v>
      </c>
      <c r="AH98" s="91">
        <f>Tabella3[[#This Row],[rest of Italy fit]]*NOT(ISBLANK(Tabella3[[#This Row],[rest of Italy data]]))</f>
        <v>3362.6205888789086</v>
      </c>
      <c r="AI98" s="91">
        <f>Tabella3[[#This Row],[rest of Italy fit]]+CIa</f>
        <v>4057.2726247425062</v>
      </c>
      <c r="AJ98" s="91">
        <f>MAX(Tabella3[[#This Row],[rest of Italy fit]]-CIa,0)</f>
        <v>2667.968553015311</v>
      </c>
      <c r="AL98"/>
      <c r="AM98"/>
    </row>
    <row r="99" spans="2:39" x14ac:dyDescent="0.3">
      <c r="B99" s="9">
        <v>43922</v>
      </c>
      <c r="C99" s="4">
        <v>92</v>
      </c>
      <c r="D99" s="91">
        <f>'dpc-covid19-ita-andamento-naz'!L39</f>
        <v>110574</v>
      </c>
      <c r="E99" s="91">
        <f>(Tabella3[[#This Row],[Italy cumul. Data]]-D98)</f>
        <v>4782</v>
      </c>
      <c r="F99" s="91">
        <f>Tabella3[[#This Row],[Italy data]]*NOT(ISBLANK(Tabella3[[#This Row],[Italy data]]))</f>
        <v>4782</v>
      </c>
      <c r="G99" s="96">
        <f>Tabella8[[#This Row],[Italy fit]]</f>
        <v>106447.37599845715</v>
      </c>
      <c r="H99" s="96">
        <f>Tabella3[[#This Row],[Italy cumul. Fit]]/Kf</f>
        <v>0.45296768103429502</v>
      </c>
      <c r="I99" s="96">
        <f>Tabella3[[#This Row],[Lombardy fit]]+Tabella3[[#This Row],[rest of Italy fit]]</f>
        <v>5014.4287172286413</v>
      </c>
      <c r="J99" s="96">
        <f>Tabella3[[#This Row],[Italy (fitted Lombardy + fitted sum of the other regions)]]/(y_l_peak+y_a_peak)</f>
        <v>0.97611983862242535</v>
      </c>
      <c r="K99" s="91">
        <f>IFERROR(Kf*_xlfn.LOGNORM.DIST((Tabella3[[#This Row],[Day]]-D_bk),mu_f,sigma_f,FALSE),0)</f>
        <v>4969.6928082093418</v>
      </c>
      <c r="L99" s="91">
        <f>Tabella3[[#This Row],[Italy fit]]/y_f_peak</f>
        <v>0.98184007972123055</v>
      </c>
      <c r="M99" s="91">
        <f>Tabella3[[#This Row],[Italy (fitted Lombardy + fitted sum of the other regions)]]*NOT(ISBLANK(Tabella3[[#This Row],[Italy data]]))</f>
        <v>5014.4287172286413</v>
      </c>
      <c r="N99" s="91">
        <f>Tabella3[[#This Row],[Italy fit]]*NOT(ISBLANK(Tabella3[[#This Row],[Italy data]]))</f>
        <v>4969.6928082093418</v>
      </c>
      <c r="O99" s="91">
        <f>Tabella3[[#This Row],[Italy fit]]+CIf</f>
        <v>5983.4558102296596</v>
      </c>
      <c r="P99" s="91">
        <f>MAX(Tabella3[[#This Row],[Italy fit]]-CIf,0)</f>
        <v>3955.929806189024</v>
      </c>
      <c r="Q99" s="4">
        <f>Tabella8[[#This Row],[Lombardy]]</f>
        <v>44773</v>
      </c>
      <c r="R99" s="91">
        <f>(Tabella3[[#This Row],[Lombardy cumul. Data]]-Q98)</f>
        <v>1565</v>
      </c>
      <c r="S99" s="91">
        <f>Tabella3[[#This Row],[Lombardy data]]*NOT(ISBLANK(Tabella3[[#This Row],[Lombardy data]]))</f>
        <v>1565</v>
      </c>
      <c r="T99" s="96">
        <f>Tabella8[[#This Row],[Lombardy fit]]</f>
        <v>42369.180367868961</v>
      </c>
      <c r="U99" s="91">
        <f>Tabella3[[#This Row],[Lombardy cumul. Fit]]/Kl</f>
        <v>0.4870020731938961</v>
      </c>
      <c r="V99" s="91">
        <f>IFERROR(Kl*_xlfn.LOGNORM.DIST((Tabella3[[#This Row],[Day]]-pl),mu_l,sigma_l,FALSE),0)</f>
        <v>1676.6001048543555</v>
      </c>
      <c r="W99" s="91">
        <f>Tabella3[[#This Row],[Lombardy fit]]/y_l_peak</f>
        <v>0.95372214209986883</v>
      </c>
      <c r="X99" s="91">
        <f>Tabella3[[#This Row],[Lombardy fit]]*NOT(ISBLANK(Tabella3[[#This Row],[Lombardy data]]))</f>
        <v>1676.6001048543555</v>
      </c>
      <c r="Y99" s="91">
        <f>Tabella3[[#This Row],[Lombardy fit]]+CIl</f>
        <v>2425.5554766579789</v>
      </c>
      <c r="Z99" s="91">
        <f>MAX(Tabella3[[#This Row],[Lombardy fit]]-CIl,0)</f>
        <v>927.64473305073193</v>
      </c>
      <c r="AA99" s="10">
        <f>Tabella8[[#This Row],[rest of Italy ]]</f>
        <v>65801</v>
      </c>
      <c r="AB99" s="10">
        <f>(Tabella3[[#This Row],[rest of Italy cum. Data]]-AA98)</f>
        <v>3217</v>
      </c>
      <c r="AC99" s="91">
        <f>Tabella3[[#This Row],[rest of Italy data]]*NOT(ISBLANK(Tabella3[[#This Row],[rest of Italy data]]))</f>
        <v>3217</v>
      </c>
      <c r="AD99" s="96">
        <f>Tabella8[[#This Row],[rest of Italy fit]]</f>
        <v>64323.952463805501</v>
      </c>
      <c r="AE99" s="91">
        <f>Tabella3[[#This Row],[rest of Italy cumul. Fit]]/Ka</f>
        <v>0.43462135102604393</v>
      </c>
      <c r="AF99" s="91">
        <f>IFERROR(Ka*_xlfn.LOGNORM.DIST((Tabella3[[#This Row],[Day]]-pa),mu_a,sigma_a,FALSE),0)</f>
        <v>3337.828612374286</v>
      </c>
      <c r="AG99" s="91">
        <f>Tabella3[[#This Row],[rest of Italy fit]]/y_a_peak</f>
        <v>0.98777192307115103</v>
      </c>
      <c r="AH99" s="91">
        <f>Tabella3[[#This Row],[rest of Italy fit]]*NOT(ISBLANK(Tabella3[[#This Row],[rest of Italy data]]))</f>
        <v>3337.828612374286</v>
      </c>
      <c r="AI99" s="91">
        <f>Tabella3[[#This Row],[rest of Italy fit]]+CIa</f>
        <v>4032.4806482378835</v>
      </c>
      <c r="AJ99" s="91">
        <f>MAX(Tabella3[[#This Row],[rest of Italy fit]]-CIa,0)</f>
        <v>2643.1765765106884</v>
      </c>
      <c r="AL99"/>
      <c r="AM99"/>
    </row>
    <row r="100" spans="2:39" x14ac:dyDescent="0.3">
      <c r="B100" s="9">
        <v>43923</v>
      </c>
      <c r="C100" s="4">
        <v>93</v>
      </c>
      <c r="D100" s="91">
        <f>'dpc-covid19-ita-andamento-naz'!L40</f>
        <v>115242</v>
      </c>
      <c r="E100" s="91">
        <f>(Tabella3[[#This Row],[Italy cumul. Data]]-D99)</f>
        <v>4668</v>
      </c>
      <c r="F100" s="91">
        <f>Tabella3[[#This Row],[Italy data]]*NOT(ISBLANK(Tabella3[[#This Row],[Italy data]]))</f>
        <v>4668</v>
      </c>
      <c r="G100" s="96">
        <f>Tabella8[[#This Row],[Italy fit]]</f>
        <v>111389.58551494063</v>
      </c>
      <c r="H100" s="96">
        <f>Tabella3[[#This Row],[Italy cumul. Fit]]/Kf</f>
        <v>0.47399836556614849</v>
      </c>
      <c r="I100" s="96">
        <f>Tabella3[[#This Row],[Lombardy fit]]+Tabella3[[#This Row],[rest of Italy fit]]</f>
        <v>4953.0439516199003</v>
      </c>
      <c r="J100" s="96">
        <f>Tabella3[[#This Row],[Italy (fitted Lombardy + fitted sum of the other regions)]]/(y_l_peak+y_a_peak)</f>
        <v>0.96417054372188971</v>
      </c>
      <c r="K100" s="91">
        <f>IFERROR(Kf*_xlfn.LOGNORM.DIST((Tabella3[[#This Row],[Day]]-D_bk),mu_f,sigma_f,FALSE),0)</f>
        <v>4912.6829051208697</v>
      </c>
      <c r="L100" s="91">
        <f>Tabella3[[#This Row],[Italy fit]]/y_f_peak</f>
        <v>0.97057688701426448</v>
      </c>
      <c r="M100" s="91">
        <f>Tabella3[[#This Row],[Italy (fitted Lombardy + fitted sum of the other regions)]]*NOT(ISBLANK(Tabella3[[#This Row],[Italy data]]))</f>
        <v>4953.0439516199003</v>
      </c>
      <c r="N100" s="91">
        <f>Tabella3[[#This Row],[Italy fit]]*NOT(ISBLANK(Tabella3[[#This Row],[Italy data]]))</f>
        <v>4912.6829051208697</v>
      </c>
      <c r="O100" s="91">
        <f>Tabella3[[#This Row],[Italy fit]]+CIf</f>
        <v>5926.4459071411875</v>
      </c>
      <c r="P100" s="91">
        <f>MAX(Tabella3[[#This Row],[Italy fit]]-CIf,0)</f>
        <v>3898.9199031005519</v>
      </c>
      <c r="Q100" s="4">
        <f>Tabella8[[#This Row],[Lombardy]]</f>
        <v>46065</v>
      </c>
      <c r="R100" s="91">
        <f>(Tabella3[[#This Row],[Lombardy cumul. Data]]-Q99)</f>
        <v>1292</v>
      </c>
      <c r="S100" s="91">
        <f>Tabella3[[#This Row],[Lombardy data]]*NOT(ISBLANK(Tabella3[[#This Row],[Lombardy data]]))</f>
        <v>1292</v>
      </c>
      <c r="T100" s="96">
        <f>Tabella8[[#This Row],[Lombardy fit]]</f>
        <v>44032.799164431563</v>
      </c>
      <c r="U100" s="91">
        <f>Tabella3[[#This Row],[Lombardy cumul. Fit]]/Kl</f>
        <v>0.50612412832679954</v>
      </c>
      <c r="V100" s="91">
        <f>IFERROR(Kl*_xlfn.LOGNORM.DIST((Tabella3[[#This Row],[Day]]-pl),mu_l,sigma_l,FALSE),0)</f>
        <v>1650.1424522075963</v>
      </c>
      <c r="W100" s="91">
        <f>Tabella3[[#This Row],[Lombardy fit]]/y_l_peak</f>
        <v>0.9386718930368142</v>
      </c>
      <c r="X100" s="91">
        <f>Tabella3[[#This Row],[Lombardy fit]]*NOT(ISBLANK(Tabella3[[#This Row],[Lombardy data]]))</f>
        <v>1650.1424522075963</v>
      </c>
      <c r="Y100" s="91">
        <f>Tabella3[[#This Row],[Lombardy fit]]+CIl</f>
        <v>2399.0978240112199</v>
      </c>
      <c r="Z100" s="91">
        <f>MAX(Tabella3[[#This Row],[Lombardy fit]]-CIl,0)</f>
        <v>901.18708040397269</v>
      </c>
      <c r="AA100" s="10">
        <f>Tabella8[[#This Row],[rest of Italy ]]</f>
        <v>69177</v>
      </c>
      <c r="AB100" s="10">
        <f>(Tabella3[[#This Row],[rest of Italy cum. Data]]-AA99)</f>
        <v>3376</v>
      </c>
      <c r="AC100" s="91">
        <f>Tabella3[[#This Row],[rest of Italy data]]*NOT(ISBLANK(Tabella3[[#This Row],[rest of Italy data]]))</f>
        <v>3376</v>
      </c>
      <c r="AD100" s="96">
        <f>Tabella8[[#This Row],[rest of Italy fit]]</f>
        <v>67645.126002901379</v>
      </c>
      <c r="AE100" s="91">
        <f>Tabella3[[#This Row],[rest of Italy cumul. Fit]]/Ka</f>
        <v>0.45706171538900836</v>
      </c>
      <c r="AF100" s="91">
        <f>IFERROR(Ka*_xlfn.LOGNORM.DIST((Tabella3[[#This Row],[Day]]-pa),mu_a,sigma_a,FALSE),0)</f>
        <v>3302.901499412304</v>
      </c>
      <c r="AG100" s="91">
        <f>Tabella3[[#This Row],[rest of Italy fit]]/y_a_peak</f>
        <v>0.977435855661974</v>
      </c>
      <c r="AH100" s="91">
        <f>Tabella3[[#This Row],[rest of Italy fit]]*NOT(ISBLANK(Tabella3[[#This Row],[rest of Italy data]]))</f>
        <v>3302.901499412304</v>
      </c>
      <c r="AI100" s="91">
        <f>Tabella3[[#This Row],[rest of Italy fit]]+CIa</f>
        <v>3997.5535352759016</v>
      </c>
      <c r="AJ100" s="91">
        <f>MAX(Tabella3[[#This Row],[rest of Italy fit]]-CIa,0)</f>
        <v>2608.2494635487064</v>
      </c>
      <c r="AL100"/>
      <c r="AM100"/>
    </row>
    <row r="101" spans="2:39" x14ac:dyDescent="0.3">
      <c r="B101" s="9">
        <v>43924</v>
      </c>
      <c r="C101" s="4">
        <v>94</v>
      </c>
      <c r="D101" s="91">
        <f>'dpc-covid19-ita-andamento-naz'!L41</f>
        <v>119827</v>
      </c>
      <c r="E101" s="91">
        <f>(Tabella3[[#This Row],[Italy cumul. Data]]-D100)</f>
        <v>4585</v>
      </c>
      <c r="F101" s="91">
        <f>Tabella3[[#This Row],[Italy data]]*NOT(ISBLANK(Tabella3[[#This Row],[Italy data]]))</f>
        <v>4585</v>
      </c>
      <c r="G101" s="96">
        <f>Tabella8[[#This Row],[Italy fit]]</f>
        <v>116268.83773965859</v>
      </c>
      <c r="H101" s="96">
        <f>Tabella3[[#This Row],[Italy cumul. Fit]]/Kf</f>
        <v>0.49476114665568849</v>
      </c>
      <c r="I101" s="96">
        <f>Tabella3[[#This Row],[Lombardy fit]]+Tabella3[[#This Row],[rest of Italy fit]]</f>
        <v>4879.5919719746007</v>
      </c>
      <c r="J101" s="96">
        <f>Tabella3[[#This Row],[Italy (fitted Lombardy + fitted sum of the other regions)]]/(y_l_peak+y_a_peak)</f>
        <v>0.94987221811771338</v>
      </c>
      <c r="K101" s="91">
        <f>IFERROR(Kf*_xlfn.LOGNORM.DIST((Tabella3[[#This Row],[Day]]-D_bk),mu_f,sigma_f,FALSE),0)</f>
        <v>4843.9612490423042</v>
      </c>
      <c r="L101" s="91">
        <f>Tabella3[[#This Row],[Italy fit]]/y_f_peak</f>
        <v>0.95699985541760424</v>
      </c>
      <c r="M101" s="91">
        <f>Tabella3[[#This Row],[Italy (fitted Lombardy + fitted sum of the other regions)]]*NOT(ISBLANK(Tabella3[[#This Row],[Italy data]]))</f>
        <v>4879.5919719746007</v>
      </c>
      <c r="N101" s="91">
        <f>Tabella3[[#This Row],[Italy fit]]*NOT(ISBLANK(Tabella3[[#This Row],[Italy data]]))</f>
        <v>4843.9612490423042</v>
      </c>
      <c r="O101" s="91">
        <f>Tabella3[[#This Row],[Italy fit]]+CIf</f>
        <v>5857.724251062622</v>
      </c>
      <c r="P101" s="91">
        <f>MAX(Tabella3[[#This Row],[Italy fit]]-CIf,0)</f>
        <v>3830.1982470219864</v>
      </c>
      <c r="Q101" s="4">
        <f>Tabella8[[#This Row],[Lombardy]]</f>
        <v>47520</v>
      </c>
      <c r="R101" s="91">
        <f>(Tabella3[[#This Row],[Lombardy cumul. Data]]-Q100)</f>
        <v>1455</v>
      </c>
      <c r="S101" s="91">
        <f>Tabella3[[#This Row],[Lombardy data]]*NOT(ISBLANK(Tabella3[[#This Row],[Lombardy data]]))</f>
        <v>1455</v>
      </c>
      <c r="T101" s="96">
        <f>Tabella8[[#This Row],[Lombardy fit]]</f>
        <v>45668.529572397463</v>
      </c>
      <c r="U101" s="91">
        <f>Tabella3[[#This Row],[Lombardy cumul. Fit]]/Kl</f>
        <v>0.52492562726893632</v>
      </c>
      <c r="V101" s="91">
        <f>IFERROR(Kl*_xlfn.LOGNORM.DIST((Tabella3[[#This Row],[Day]]-pl),mu_l,sigma_l,FALSE),0)</f>
        <v>1620.8774586452207</v>
      </c>
      <c r="W101" s="91">
        <f>Tabella3[[#This Row],[Lombardy fit]]/y_l_peak</f>
        <v>0.92202470789824931</v>
      </c>
      <c r="X101" s="91">
        <f>Tabella3[[#This Row],[Lombardy fit]]*NOT(ISBLANK(Tabella3[[#This Row],[Lombardy data]]))</f>
        <v>1620.8774586452207</v>
      </c>
      <c r="Y101" s="91">
        <f>Tabella3[[#This Row],[Lombardy fit]]+CIl</f>
        <v>2369.8328304488441</v>
      </c>
      <c r="Z101" s="91">
        <f>MAX(Tabella3[[#This Row],[Lombardy fit]]-CIl,0)</f>
        <v>871.92208684159709</v>
      </c>
      <c r="AA101" s="10">
        <f>Tabella8[[#This Row],[rest of Italy ]]</f>
        <v>72307</v>
      </c>
      <c r="AB101" s="10">
        <f>(Tabella3[[#This Row],[rest of Italy cum. Data]]-AA100)</f>
        <v>3130</v>
      </c>
      <c r="AC101" s="91">
        <f>Tabella3[[#This Row],[rest of Italy data]]*NOT(ISBLANK(Tabella3[[#This Row],[rest of Italy data]]))</f>
        <v>3130</v>
      </c>
      <c r="AD101" s="96">
        <f>Tabella8[[#This Row],[rest of Italy fit]]</f>
        <v>70926.668664974175</v>
      </c>
      <c r="AE101" s="91">
        <f>Tabella3[[#This Row],[rest of Italy cumul. Fit]]/Ka</f>
        <v>0.47923430352469865</v>
      </c>
      <c r="AF101" s="91">
        <f>IFERROR(Ka*_xlfn.LOGNORM.DIST((Tabella3[[#This Row],[Day]]-pa),mu_a,sigma_a,FALSE),0)</f>
        <v>3258.7145133293802</v>
      </c>
      <c r="AG101" s="91">
        <f>Tabella3[[#This Row],[rest of Italy fit]]/y_a_peak</f>
        <v>0.96435949096906048</v>
      </c>
      <c r="AH101" s="91">
        <f>Tabella3[[#This Row],[rest of Italy fit]]*NOT(ISBLANK(Tabella3[[#This Row],[rest of Italy data]]))</f>
        <v>3258.7145133293802</v>
      </c>
      <c r="AI101" s="91">
        <f>Tabella3[[#This Row],[rest of Italy fit]]+CIa</f>
        <v>3953.3665491929778</v>
      </c>
      <c r="AJ101" s="91">
        <f>MAX(Tabella3[[#This Row],[rest of Italy fit]]-CIa,0)</f>
        <v>2564.0624774657826</v>
      </c>
      <c r="AL101"/>
      <c r="AM101"/>
    </row>
    <row r="102" spans="2:39" x14ac:dyDescent="0.3">
      <c r="B102" s="9">
        <v>43925</v>
      </c>
      <c r="C102" s="4">
        <v>95</v>
      </c>
      <c r="D102" s="91">
        <f>'dpc-covid19-ita-andamento-naz'!L42</f>
        <v>124632</v>
      </c>
      <c r="E102" s="91">
        <f>(Tabella3[[#This Row],[Italy cumul. Data]]-D101)</f>
        <v>4805</v>
      </c>
      <c r="F102" s="91">
        <f>Tabella3[[#This Row],[Italy data]]*NOT(ISBLANK(Tabella3[[#This Row],[Italy data]]))</f>
        <v>4805</v>
      </c>
      <c r="G102" s="96">
        <f>Tabella8[[#This Row],[Italy fit]]</f>
        <v>121073.97150995432</v>
      </c>
      <c r="H102" s="96">
        <f>Tabella3[[#This Row],[Italy cumul. Fit]]/Kf</f>
        <v>0.51520852998077848</v>
      </c>
      <c r="I102" s="96">
        <f>Tabella3[[#This Row],[Lombardy fit]]+Tabella3[[#This Row],[rest of Italy fit]]</f>
        <v>4795.2845617497796</v>
      </c>
      <c r="J102" s="96">
        <f>Tabella3[[#This Row],[Italy (fitted Lombardy + fitted sum of the other regions)]]/(y_l_peak+y_a_peak)</f>
        <v>0.93346075027082187</v>
      </c>
      <c r="K102" s="91">
        <f>IFERROR(Kf*_xlfn.LOGNORM.DIST((Tabella3[[#This Row],[Day]]-D_bk),mu_f,sigma_f,FALSE),0)</f>
        <v>4764.6300491810689</v>
      </c>
      <c r="L102" s="91">
        <f>Tabella3[[#This Row],[Italy fit]]/y_f_peak</f>
        <v>0.94132674349658763</v>
      </c>
      <c r="M102" s="91">
        <f>Tabella3[[#This Row],[Italy (fitted Lombardy + fitted sum of the other regions)]]*NOT(ISBLANK(Tabella3[[#This Row],[Italy data]]))</f>
        <v>4795.2845617497796</v>
      </c>
      <c r="N102" s="91">
        <f>Tabella3[[#This Row],[Italy fit]]*NOT(ISBLANK(Tabella3[[#This Row],[Italy data]]))</f>
        <v>4764.6300491810689</v>
      </c>
      <c r="O102" s="91">
        <f>Tabella3[[#This Row],[Italy fit]]+CIf</f>
        <v>5778.3930512013867</v>
      </c>
      <c r="P102" s="91">
        <f>MAX(Tabella3[[#This Row],[Italy fit]]-CIf,0)</f>
        <v>3750.8670471607511</v>
      </c>
      <c r="Q102" s="4">
        <f>Tabella8[[#This Row],[Lombardy]]</f>
        <v>49118</v>
      </c>
      <c r="R102" s="91">
        <f>(Tabella3[[#This Row],[Lombardy cumul. Data]]-Q101)</f>
        <v>1598</v>
      </c>
      <c r="S102" s="91">
        <f>Tabella3[[#This Row],[Lombardy data]]*NOT(ISBLANK(Tabella3[[#This Row],[Lombardy data]]))</f>
        <v>1598</v>
      </c>
      <c r="T102" s="96">
        <f>Tabella8[[#This Row],[Lombardy fit]]</f>
        <v>47273.725307568522</v>
      </c>
      <c r="U102" s="91">
        <f>Tabella3[[#This Row],[Lombardy cumul. Fit]]/Kl</f>
        <v>0.54337615296055775</v>
      </c>
      <c r="V102" s="91">
        <f>IFERROR(Kl*_xlfn.LOGNORM.DIST((Tabella3[[#This Row],[Day]]-pl),mu_l,sigma_l,FALSE),0)</f>
        <v>1589.1258180934817</v>
      </c>
      <c r="W102" s="91">
        <f>Tabella3[[#This Row],[Lombardy fit]]/y_l_peak</f>
        <v>0.90396301116179345</v>
      </c>
      <c r="X102" s="91">
        <f>Tabella3[[#This Row],[Lombardy fit]]*NOT(ISBLANK(Tabella3[[#This Row],[Lombardy data]]))</f>
        <v>1589.1258180934817</v>
      </c>
      <c r="Y102" s="91">
        <f>Tabella3[[#This Row],[Lombardy fit]]+CIl</f>
        <v>2338.0811898971051</v>
      </c>
      <c r="Z102" s="91">
        <f>MAX(Tabella3[[#This Row],[Lombardy fit]]-CIl,0)</f>
        <v>840.17044628985809</v>
      </c>
      <c r="AA102" s="10">
        <f>Tabella8[[#This Row],[rest of Italy ]]</f>
        <v>75514</v>
      </c>
      <c r="AB102" s="10">
        <f>(Tabella3[[#This Row],[rest of Italy cum. Data]]-AA101)</f>
        <v>3207</v>
      </c>
      <c r="AC102" s="91">
        <f>Tabella3[[#This Row],[rest of Italy data]]*NOT(ISBLANK(Tabella3[[#This Row],[rest of Italy data]]))</f>
        <v>3207</v>
      </c>
      <c r="AD102" s="96">
        <f>Tabella8[[#This Row],[rest of Italy fit]]</f>
        <v>74159.765417855233</v>
      </c>
      <c r="AE102" s="91">
        <f>Tabella3[[#This Row],[rest of Italy cumul. Fit]]/Ka</f>
        <v>0.50107955439801466</v>
      </c>
      <c r="AF102" s="91">
        <f>IFERROR(Ka*_xlfn.LOGNORM.DIST((Tabella3[[#This Row],[Day]]-pa),mu_a,sigma_a,FALSE),0)</f>
        <v>3206.1587436562982</v>
      </c>
      <c r="AG102" s="91">
        <f>Tabella3[[#This Row],[rest of Italy fit]]/y_a_peak</f>
        <v>0.9488065313335633</v>
      </c>
      <c r="AH102" s="91">
        <f>Tabella3[[#This Row],[rest of Italy fit]]*NOT(ISBLANK(Tabella3[[#This Row],[rest of Italy data]]))</f>
        <v>3206.1587436562982</v>
      </c>
      <c r="AI102" s="91">
        <f>Tabella3[[#This Row],[rest of Italy fit]]+CIa</f>
        <v>3900.8107795198957</v>
      </c>
      <c r="AJ102" s="91">
        <f>MAX(Tabella3[[#This Row],[rest of Italy fit]]-CIa,0)</f>
        <v>2511.5067077927006</v>
      </c>
      <c r="AL102"/>
      <c r="AM102"/>
    </row>
    <row r="103" spans="2:39" x14ac:dyDescent="0.3">
      <c r="B103" s="9">
        <v>43926</v>
      </c>
      <c r="C103" s="4">
        <v>96</v>
      </c>
      <c r="D103" s="91">
        <f>'dpc-covid19-ita-andamento-naz'!L43</f>
        <v>128948</v>
      </c>
      <c r="E103" s="91">
        <f>(Tabella3[[#This Row],[Italy cumul. Data]]-D102)</f>
        <v>4316</v>
      </c>
      <c r="F103" s="91">
        <f>Tabella3[[#This Row],[Italy data]]*NOT(ISBLANK(Tabella3[[#This Row],[Italy data]]))</f>
        <v>4316</v>
      </c>
      <c r="G103" s="96">
        <f>Tabella8[[#This Row],[Italy fit]]</f>
        <v>125794.92860924851</v>
      </c>
      <c r="H103" s="96">
        <f>Tabella3[[#This Row],[Italy cumul. Fit]]/Kf</f>
        <v>0.53529771460812592</v>
      </c>
      <c r="I103" s="96">
        <f>Tabella3[[#This Row],[Lombardy fit]]+Tabella3[[#This Row],[rest of Italy fit]]</f>
        <v>4701.3255978708648</v>
      </c>
      <c r="J103" s="96">
        <f>Tabella3[[#This Row],[Italy (fitted Lombardy + fitted sum of the other regions)]]/(y_l_peak+y_a_peak)</f>
        <v>0.91517048953912572</v>
      </c>
      <c r="K103" s="91">
        <f>IFERROR(Kf*_xlfn.LOGNORM.DIST((Tabella3[[#This Row],[Day]]-D_bk),mu_f,sigma_f,FALSE),0)</f>
        <v>4675.7907026983685</v>
      </c>
      <c r="L103" s="91">
        <f>Tabella3[[#This Row],[Italy fit]]/y_f_peak</f>
        <v>0.92377514938419714</v>
      </c>
      <c r="M103" s="91">
        <f>Tabella3[[#This Row],[Italy (fitted Lombardy + fitted sum of the other regions)]]*NOT(ISBLANK(Tabella3[[#This Row],[Italy data]]))</f>
        <v>4701.3255978708648</v>
      </c>
      <c r="N103" s="91">
        <f>Tabella3[[#This Row],[Italy fit]]*NOT(ISBLANK(Tabella3[[#This Row],[Italy data]]))</f>
        <v>4675.7907026983685</v>
      </c>
      <c r="O103" s="91">
        <f>Tabella3[[#This Row],[Italy fit]]+CIf</f>
        <v>5689.5537047186863</v>
      </c>
      <c r="P103" s="91">
        <f>MAX(Tabella3[[#This Row],[Italy fit]]-CIf,0)</f>
        <v>3662.0277006780507</v>
      </c>
      <c r="Q103" s="4">
        <f>Tabella8[[#This Row],[Lombardy]]</f>
        <v>50455</v>
      </c>
      <c r="R103" s="91">
        <f>(Tabella3[[#This Row],[Lombardy cumul. Data]]-Q102)</f>
        <v>1337</v>
      </c>
      <c r="S103" s="91">
        <f>Tabella3[[#This Row],[Lombardy data]]*NOT(ISBLANK(Tabella3[[#This Row],[Lombardy data]]))</f>
        <v>1337</v>
      </c>
      <c r="T103" s="96">
        <f>Tabella8[[#This Row],[Lombardy fit]]</f>
        <v>48846.056127844786</v>
      </c>
      <c r="U103" s="91">
        <f>Tabella3[[#This Row],[Lombardy cumul. Fit]]/Kl</f>
        <v>0.56144892100971022</v>
      </c>
      <c r="V103" s="91">
        <f>IFERROR(Kl*_xlfn.LOGNORM.DIST((Tabella3[[#This Row],[Day]]-pl),mu_l,sigma_l,FALSE),0)</f>
        <v>1555.1985426467959</v>
      </c>
      <c r="W103" s="91">
        <f>Tabella3[[#This Row],[Lombardy fit]]/y_l_peak</f>
        <v>0.88466371986332581</v>
      </c>
      <c r="X103" s="91">
        <f>Tabella3[[#This Row],[Lombardy fit]]*NOT(ISBLANK(Tabella3[[#This Row],[Lombardy data]]))</f>
        <v>1555.1985426467959</v>
      </c>
      <c r="Y103" s="91">
        <f>Tabella3[[#This Row],[Lombardy fit]]+CIl</f>
        <v>2304.1539144504195</v>
      </c>
      <c r="Z103" s="91">
        <f>MAX(Tabella3[[#This Row],[Lombardy fit]]-CIl,0)</f>
        <v>806.24317084317227</v>
      </c>
      <c r="AA103" s="10">
        <f>Tabella8[[#This Row],[rest of Italy ]]</f>
        <v>78493</v>
      </c>
      <c r="AB103" s="10">
        <f>(Tabella3[[#This Row],[rest of Italy cum. Data]]-AA102)</f>
        <v>2979</v>
      </c>
      <c r="AC103" s="91">
        <f>Tabella3[[#This Row],[rest of Italy data]]*NOT(ISBLANK(Tabella3[[#This Row],[rest of Italy data]]))</f>
        <v>2979</v>
      </c>
      <c r="AD103" s="96">
        <f>Tabella8[[#This Row],[rest of Italy fit]]</f>
        <v>77336.494296891717</v>
      </c>
      <c r="AE103" s="91">
        <f>Tabella3[[#This Row],[rest of Italy cumul. Fit]]/Ka</f>
        <v>0.52254394121453029</v>
      </c>
      <c r="AF103" s="91">
        <f>IFERROR(Ka*_xlfn.LOGNORM.DIST((Tabella3[[#This Row],[Day]]-pa),mu_a,sigma_a,FALSE),0)</f>
        <v>3146.127055224069</v>
      </c>
      <c r="AG103" s="91">
        <f>Tabella3[[#This Row],[rest of Italy fit]]/y_a_peak</f>
        <v>0.93104120446564742</v>
      </c>
      <c r="AH103" s="91">
        <f>Tabella3[[#This Row],[rest of Italy fit]]*NOT(ISBLANK(Tabella3[[#This Row],[rest of Italy data]]))</f>
        <v>3146.127055224069</v>
      </c>
      <c r="AI103" s="91">
        <f>Tabella3[[#This Row],[rest of Italy fit]]+CIa</f>
        <v>3840.7790910876665</v>
      </c>
      <c r="AJ103" s="91">
        <f>MAX(Tabella3[[#This Row],[rest of Italy fit]]-CIa,0)</f>
        <v>2451.4750193604714</v>
      </c>
      <c r="AL103"/>
      <c r="AM103"/>
    </row>
    <row r="104" spans="2:39" x14ac:dyDescent="0.3">
      <c r="B104" s="9">
        <v>43927</v>
      </c>
      <c r="C104" s="4">
        <v>97</v>
      </c>
      <c r="D104" s="91">
        <f>'dpc-covid19-ita-andamento-naz'!L44</f>
        <v>132547</v>
      </c>
      <c r="E104" s="91">
        <f>(Tabella3[[#This Row],[Italy cumul. Data]]-D103)</f>
        <v>3599</v>
      </c>
      <c r="F104" s="91">
        <f>Tabella3[[#This Row],[Italy data]]*NOT(ISBLANK(Tabella3[[#This Row],[Italy data]]))</f>
        <v>3599</v>
      </c>
      <c r="G104" s="96">
        <f>Tabella8[[#This Row],[Italy fit]]</f>
        <v>130422.74641050897</v>
      </c>
      <c r="H104" s="96">
        <f>Tabella3[[#This Row],[Italy cumul. Fit]]/Kf</f>
        <v>0.55499056168888972</v>
      </c>
      <c r="I104" s="96">
        <f>Tabella3[[#This Row],[Lombardy fit]]+Tabella3[[#This Row],[rest of Italy fit]]</f>
        <v>4598.8968721661004</v>
      </c>
      <c r="J104" s="96">
        <f>Tabella3[[#This Row],[Italy (fitted Lombardy + fitted sum of the other regions)]]/(y_l_peak+y_a_peak)</f>
        <v>0.89523148614643344</v>
      </c>
      <c r="K104" s="91">
        <f>IFERROR(Kf*_xlfn.LOGNORM.DIST((Tabella3[[#This Row],[Day]]-D_bk),mu_f,sigma_f,FALSE),0)</f>
        <v>4578.531017056589</v>
      </c>
      <c r="L104" s="91">
        <f>Tabella3[[#This Row],[Italy fit]]/y_f_peak</f>
        <v>0.90455998635712975</v>
      </c>
      <c r="M104" s="91">
        <f>Tabella3[[#This Row],[Italy (fitted Lombardy + fitted sum of the other regions)]]*NOT(ISBLANK(Tabella3[[#This Row],[Italy data]]))</f>
        <v>4598.8968721661004</v>
      </c>
      <c r="N104" s="91">
        <f>Tabella3[[#This Row],[Italy fit]]*NOT(ISBLANK(Tabella3[[#This Row],[Italy data]]))</f>
        <v>4578.531017056589</v>
      </c>
      <c r="O104" s="91">
        <f>Tabella3[[#This Row],[Italy fit]]+CIf</f>
        <v>5592.2940190769068</v>
      </c>
      <c r="P104" s="91">
        <f>MAX(Tabella3[[#This Row],[Italy fit]]-CIf,0)</f>
        <v>3564.7680150362712</v>
      </c>
      <c r="Q104" s="4">
        <f>Tabella8[[#This Row],[Lombardy]]</f>
        <v>51534</v>
      </c>
      <c r="R104" s="91">
        <f>(Tabella3[[#This Row],[Lombardy cumul. Data]]-Q103)</f>
        <v>1079</v>
      </c>
      <c r="S104" s="91">
        <f>Tabella3[[#This Row],[Lombardy data]]*NOT(ISBLANK(Tabella3[[#This Row],[Lombardy data]]))</f>
        <v>1079</v>
      </c>
      <c r="T104" s="96">
        <f>Tabella8[[#This Row],[Lombardy fit]]</f>
        <v>50383.497090705459</v>
      </c>
      <c r="U104" s="91">
        <f>Tabella3[[#This Row],[Lombardy cumul. Fit]]/Kl</f>
        <v>0.5791206562150053</v>
      </c>
      <c r="V104" s="91">
        <f>IFERROR(Kl*_xlfn.LOGNORM.DIST((Tabella3[[#This Row],[Day]]-pl),mu_l,sigma_l,FALSE),0)</f>
        <v>1519.3949138216258</v>
      </c>
      <c r="W104" s="91">
        <f>Tabella3[[#This Row],[Lombardy fit]]/y_l_peak</f>
        <v>0.86429707818221002</v>
      </c>
      <c r="X104" s="91">
        <f>Tabella3[[#This Row],[Lombardy fit]]*NOT(ISBLANK(Tabella3[[#This Row],[Lombardy data]]))</f>
        <v>1519.3949138216258</v>
      </c>
      <c r="Y104" s="91">
        <f>Tabella3[[#This Row],[Lombardy fit]]+CIl</f>
        <v>2268.3502856252494</v>
      </c>
      <c r="Z104" s="91">
        <f>MAX(Tabella3[[#This Row],[Lombardy fit]]-CIl,0)</f>
        <v>770.43954201800216</v>
      </c>
      <c r="AA104" s="10">
        <f>Tabella8[[#This Row],[rest of Italy ]]</f>
        <v>81013</v>
      </c>
      <c r="AB104" s="10">
        <f>(Tabella3[[#This Row],[rest of Italy cum. Data]]-AA103)</f>
        <v>2520</v>
      </c>
      <c r="AC104" s="91">
        <f>Tabella3[[#This Row],[rest of Italy data]]*NOT(ISBLANK(Tabella3[[#This Row],[rest of Italy data]]))</f>
        <v>2520</v>
      </c>
      <c r="AD104" s="96">
        <f>Tabella8[[#This Row],[rest of Italy fit]]</f>
        <v>80449.821956939806</v>
      </c>
      <c r="AE104" s="91">
        <f>Tabella3[[#This Row],[rest of Italy cumul. Fit]]/Ka</f>
        <v>0.54357994136639032</v>
      </c>
      <c r="AF104" s="91">
        <f>IFERROR(Ka*_xlfn.LOGNORM.DIST((Tabella3[[#This Row],[Day]]-pa),mu_a,sigma_a,FALSE),0)</f>
        <v>3079.5019583444746</v>
      </c>
      <c r="AG104" s="91">
        <f>Tabella3[[#This Row],[rest of Italy fit]]/y_a_peak</f>
        <v>0.91132467383684856</v>
      </c>
      <c r="AH104" s="91">
        <f>Tabella3[[#This Row],[rest of Italy fit]]*NOT(ISBLANK(Tabella3[[#This Row],[rest of Italy data]]))</f>
        <v>3079.5019583444746</v>
      </c>
      <c r="AI104" s="91">
        <f>Tabella3[[#This Row],[rest of Italy fit]]+CIa</f>
        <v>3774.1539942080717</v>
      </c>
      <c r="AJ104" s="91">
        <f>MAX(Tabella3[[#This Row],[rest of Italy fit]]-CIa,0)</f>
        <v>2384.8499224808775</v>
      </c>
      <c r="AL104"/>
      <c r="AM104"/>
    </row>
    <row r="105" spans="2:39" x14ac:dyDescent="0.3">
      <c r="B105" s="9">
        <v>43928</v>
      </c>
      <c r="C105" s="4">
        <v>98</v>
      </c>
      <c r="D105" s="91">
        <f>'dpc-covid19-ita-andamento-naz'!L45</f>
        <v>135586</v>
      </c>
      <c r="E105" s="91">
        <f>(Tabella3[[#This Row],[Italy cumul. Data]]-D104)</f>
        <v>3039</v>
      </c>
      <c r="F105" s="91">
        <f>Tabella3[[#This Row],[Italy data]]*NOT(ISBLANK(Tabella3[[#This Row],[Italy data]]))</f>
        <v>3039</v>
      </c>
      <c r="G105" s="96">
        <f>Tabella8[[#This Row],[Italy fit]]</f>
        <v>134949.53866653281</v>
      </c>
      <c r="H105" s="96">
        <f>Tabella3[[#This Row],[Italy cumul. Fit]]/Kf</f>
        <v>0.57425351271517755</v>
      </c>
      <c r="I105" s="96">
        <f>Tabella3[[#This Row],[Lombardy fit]]+Tabella3[[#This Row],[rest of Italy fit]]</f>
        <v>4489.1461952643504</v>
      </c>
      <c r="J105" s="96">
        <f>Tabella3[[#This Row],[Italy (fitted Lombardy + fitted sum of the other regions)]]/(y_l_peak+y_a_peak)</f>
        <v>0.87386717546075954</v>
      </c>
      <c r="K105" s="91">
        <f>IFERROR(Kf*_xlfn.LOGNORM.DIST((Tabella3[[#This Row],[Day]]-D_bk),mu_f,sigma_f,FALSE),0)</f>
        <v>4473.9142707463106</v>
      </c>
      <c r="L105" s="91">
        <f>Tabella3[[#This Row],[Italy fit]]/y_f_peak</f>
        <v>0.88389132161234252</v>
      </c>
      <c r="M105" s="91">
        <f>Tabella3[[#This Row],[Italy (fitted Lombardy + fitted sum of the other regions)]]*NOT(ISBLANK(Tabella3[[#This Row],[Italy data]]))</f>
        <v>4489.1461952643504</v>
      </c>
      <c r="N105" s="91">
        <f>Tabella3[[#This Row],[Italy fit]]*NOT(ISBLANK(Tabella3[[#This Row],[Italy data]]))</f>
        <v>4473.9142707463106</v>
      </c>
      <c r="O105" s="91">
        <f>Tabella3[[#This Row],[Italy fit]]+CIf</f>
        <v>5487.6772727666284</v>
      </c>
      <c r="P105" s="91">
        <f>MAX(Tabella3[[#This Row],[Italy fit]]-CIf,0)</f>
        <v>3460.1512687259928</v>
      </c>
      <c r="Q105" s="4">
        <f>Tabella8[[#This Row],[Lombardy]]</f>
        <v>52325</v>
      </c>
      <c r="R105" s="91">
        <f>(Tabella3[[#This Row],[Lombardy cumul. Data]]-Q104)</f>
        <v>791</v>
      </c>
      <c r="S105" s="91">
        <f>Tabella3[[#This Row],[Lombardy data]]*NOT(ISBLANK(Tabella3[[#This Row],[Lombardy data]]))</f>
        <v>791</v>
      </c>
      <c r="T105" s="96">
        <f>Tabella8[[#This Row],[Lombardy fit]]</f>
        <v>51884.31597367175</v>
      </c>
      <c r="U105" s="91">
        <f>Tabella3[[#This Row],[Lombardy cumul. Fit]]/Kl</f>
        <v>0.59637144797323849</v>
      </c>
      <c r="V105" s="91">
        <f>IFERROR(Kl*_xlfn.LOGNORM.DIST((Tabella3[[#This Row],[Day]]-pl),mu_l,sigma_l,FALSE),0)</f>
        <v>1482.0008510551986</v>
      </c>
      <c r="W105" s="91">
        <f>Tabella3[[#This Row],[Lombardy fit]]/y_l_peak</f>
        <v>0.843025729373299</v>
      </c>
      <c r="X105" s="91">
        <f>Tabella3[[#This Row],[Lombardy fit]]*NOT(ISBLANK(Tabella3[[#This Row],[Lombardy data]]))</f>
        <v>1482.0008510551986</v>
      </c>
      <c r="Y105" s="91">
        <f>Tabella3[[#This Row],[Lombardy fit]]+CIl</f>
        <v>2230.956222858822</v>
      </c>
      <c r="Z105" s="91">
        <f>MAX(Tabella3[[#This Row],[Lombardy fit]]-CIl,0)</f>
        <v>733.04547925157499</v>
      </c>
      <c r="AA105" s="10">
        <f>Tabella8[[#This Row],[rest of Italy ]]</f>
        <v>83261</v>
      </c>
      <c r="AB105" s="10">
        <f>(Tabella3[[#This Row],[rest of Italy cum. Data]]-AA104)</f>
        <v>2248</v>
      </c>
      <c r="AC105" s="91">
        <f>Tabella3[[#This Row],[rest of Italy data]]*NOT(ISBLANK(Tabella3[[#This Row],[rest of Italy data]]))</f>
        <v>2248</v>
      </c>
      <c r="AD105" s="96">
        <f>Tabella8[[#This Row],[rest of Italy fit]]</f>
        <v>83493.588033471126</v>
      </c>
      <c r="AE105" s="91">
        <f>Tabella3[[#This Row],[rest of Italy cumul. Fit]]/Ka</f>
        <v>0.56414593076409814</v>
      </c>
      <c r="AF105" s="91">
        <f>IFERROR(Ka*_xlfn.LOGNORM.DIST((Tabella3[[#This Row],[Day]]-pa),mu_a,sigma_a,FALSE),0)</f>
        <v>3007.145344209152</v>
      </c>
      <c r="AG105" s="91">
        <f>Tabella3[[#This Row],[rest of Italy fit]]/y_a_peak</f>
        <v>0.88991200105119439</v>
      </c>
      <c r="AH105" s="91">
        <f>Tabella3[[#This Row],[rest of Italy fit]]*NOT(ISBLANK(Tabella3[[#This Row],[rest of Italy data]]))</f>
        <v>3007.145344209152</v>
      </c>
      <c r="AI105" s="91">
        <f>Tabella3[[#This Row],[rest of Italy fit]]+CIa</f>
        <v>3701.7973800727495</v>
      </c>
      <c r="AJ105" s="91">
        <f>MAX(Tabella3[[#This Row],[rest of Italy fit]]-CIa,0)</f>
        <v>2312.4933083455544</v>
      </c>
      <c r="AL105"/>
      <c r="AM105"/>
    </row>
    <row r="106" spans="2:39" x14ac:dyDescent="0.3">
      <c r="B106" s="9">
        <v>43929</v>
      </c>
      <c r="C106" s="4">
        <v>99</v>
      </c>
      <c r="D106" s="91">
        <f>'dpc-covid19-ita-andamento-naz'!L46</f>
        <v>139422</v>
      </c>
      <c r="E106" s="91">
        <f>(Tabella3[[#This Row],[Italy cumul. Data]]-D105)</f>
        <v>3836</v>
      </c>
      <c r="F106" s="91">
        <f>Tabella3[[#This Row],[Italy data]]*NOT(ISBLANK(Tabella3[[#This Row],[Italy data]]))</f>
        <v>3836</v>
      </c>
      <c r="G106" s="96">
        <f>Tabella8[[#This Row],[Italy fit]]</f>
        <v>139368.46624883637</v>
      </c>
      <c r="H106" s="96">
        <f>Tabella3[[#This Row],[Italy cumul. Fit]]/Kf</f>
        <v>0.59305746500464995</v>
      </c>
      <c r="I106" s="96">
        <f>Tabella3[[#This Row],[Lombardy fit]]+Tabella3[[#This Row],[rest of Italy fit]]</f>
        <v>4373.1776531928672</v>
      </c>
      <c r="J106" s="96">
        <f>Tabella3[[#This Row],[Italy (fitted Lombardy + fitted sum of the other regions)]]/(y_l_peak+y_a_peak)</f>
        <v>0.85129248132199098</v>
      </c>
      <c r="K106" s="91">
        <f>IFERROR(Kf*_xlfn.LOGNORM.DIST((Tabella3[[#This Row],[Day]]-D_bk),mu_f,sigma_f,FALSE),0)</f>
        <v>4362.9700345643041</v>
      </c>
      <c r="L106" s="91">
        <f>Tabella3[[#This Row],[Italy fit]]/y_f_peak</f>
        <v>0.86197256286781532</v>
      </c>
      <c r="M106" s="91">
        <f>Tabella3[[#This Row],[Italy (fitted Lombardy + fitted sum of the other regions)]]*NOT(ISBLANK(Tabella3[[#This Row],[Italy data]]))</f>
        <v>4373.1776531928672</v>
      </c>
      <c r="N106" s="91">
        <f>Tabella3[[#This Row],[Italy fit]]*NOT(ISBLANK(Tabella3[[#This Row],[Italy data]]))</f>
        <v>4362.9700345643041</v>
      </c>
      <c r="O106" s="91">
        <f>Tabella3[[#This Row],[Italy fit]]+CIf</f>
        <v>5376.7330365846219</v>
      </c>
      <c r="P106" s="91">
        <f>MAX(Tabella3[[#This Row],[Italy fit]]-CIf,0)</f>
        <v>3349.2070325439863</v>
      </c>
      <c r="Q106" s="4">
        <f>Tabella8[[#This Row],[Lombardy]]</f>
        <v>53414</v>
      </c>
      <c r="R106" s="91">
        <f>(Tabella3[[#This Row],[Lombardy cumul. Data]]-Q105)</f>
        <v>1089</v>
      </c>
      <c r="S106" s="91">
        <f>Tabella3[[#This Row],[Lombardy data]]*NOT(ISBLANK(Tabella3[[#This Row],[Lombardy data]]))</f>
        <v>1089</v>
      </c>
      <c r="T106" s="96">
        <f>Tabella8[[#This Row],[Lombardy fit]]</f>
        <v>53347.059256157372</v>
      </c>
      <c r="U106" s="91">
        <f>Tabella3[[#This Row],[Lombardy cumul. Fit]]/Kl</f>
        <v>0.61318458915123419</v>
      </c>
      <c r="V106" s="91">
        <f>IFERROR(Kl*_xlfn.LOGNORM.DIST((Tabella3[[#This Row],[Day]]-pl),mu_l,sigma_l,FALSE),0)</f>
        <v>1443.2876596031119</v>
      </c>
      <c r="W106" s="91">
        <f>Tabella3[[#This Row],[Lombardy fit]]/y_l_peak</f>
        <v>0.82100400351732106</v>
      </c>
      <c r="X106" s="91">
        <f>Tabella3[[#This Row],[Lombardy fit]]*NOT(ISBLANK(Tabella3[[#This Row],[Lombardy data]]))</f>
        <v>1443.2876596031119</v>
      </c>
      <c r="Y106" s="91">
        <f>Tabella3[[#This Row],[Lombardy fit]]+CIl</f>
        <v>2192.2430314067356</v>
      </c>
      <c r="Z106" s="91">
        <f>MAX(Tabella3[[#This Row],[Lombardy fit]]-CIl,0)</f>
        <v>694.33228779948831</v>
      </c>
      <c r="AA106" s="10">
        <f>Tabella8[[#This Row],[rest of Italy ]]</f>
        <v>86008</v>
      </c>
      <c r="AB106" s="10">
        <f>(Tabella3[[#This Row],[rest of Italy cum. Data]]-AA105)</f>
        <v>2747</v>
      </c>
      <c r="AC106" s="91">
        <f>Tabella3[[#This Row],[rest of Italy data]]*NOT(ISBLANK(Tabella3[[#This Row],[rest of Italy data]]))</f>
        <v>2747</v>
      </c>
      <c r="AD106" s="96">
        <f>Tabella8[[#This Row],[rest of Italy fit]]</f>
        <v>86462.480134613143</v>
      </c>
      <c r="AE106" s="91">
        <f>Tabella3[[#This Row],[rest of Italy cumul. Fit]]/Ka</f>
        <v>0.58420601486379575</v>
      </c>
      <c r="AF106" s="91">
        <f>IFERROR(Ka*_xlfn.LOGNORM.DIST((Tabella3[[#This Row],[Day]]-pa),mu_a,sigma_a,FALSE),0)</f>
        <v>2929.8899935897552</v>
      </c>
      <c r="AG106" s="91">
        <f>Tabella3[[#This Row],[rest of Italy fit]]/y_a_peak</f>
        <v>0.86704963299372373</v>
      </c>
      <c r="AH106" s="91">
        <f>Tabella3[[#This Row],[rest of Italy fit]]*NOT(ISBLANK(Tabella3[[#This Row],[rest of Italy data]]))</f>
        <v>2929.8899935897552</v>
      </c>
      <c r="AI106" s="91">
        <f>Tabella3[[#This Row],[rest of Italy fit]]+CIa</f>
        <v>3624.5420294533524</v>
      </c>
      <c r="AJ106" s="91">
        <f>MAX(Tabella3[[#This Row],[rest of Italy fit]]-CIa,0)</f>
        <v>2235.2379577261581</v>
      </c>
      <c r="AL106"/>
      <c r="AM106"/>
    </row>
    <row r="107" spans="2:39" x14ac:dyDescent="0.3">
      <c r="B107" s="9">
        <v>43930</v>
      </c>
      <c r="C107" s="4">
        <v>100</v>
      </c>
      <c r="D107" s="91">
        <f>'dpc-covid19-ita-andamento-naz'!L47</f>
        <v>143626</v>
      </c>
      <c r="E107" s="91">
        <f>(Tabella3[[#This Row],[Italy cumul. Data]]-D106)</f>
        <v>4204</v>
      </c>
      <c r="F107" s="91">
        <f>Tabella3[[#This Row],[Italy data]]*NOT(ISBLANK(Tabella3[[#This Row],[Italy data]]))</f>
        <v>4204</v>
      </c>
      <c r="G107" s="96">
        <f>Tabella8[[#This Row],[Italy fit]]</f>
        <v>143673.69954644406</v>
      </c>
      <c r="H107" s="96">
        <f>Tabella3[[#This Row],[Italy cumul. Fit]]/Kf</f>
        <v>0.61137761169532323</v>
      </c>
      <c r="I107" s="96">
        <f>Tabella3[[#This Row],[Lombardy fit]]+Tabella3[[#This Row],[rest of Italy fit]]</f>
        <v>4252.0438604061874</v>
      </c>
      <c r="J107" s="96">
        <f>Tabella3[[#This Row],[Italy (fitted Lombardy + fitted sum of the other regions)]]/(y_l_peak+y_a_peak)</f>
        <v>0.82771230799927487</v>
      </c>
      <c r="K107" s="91">
        <f>IFERROR(Kf*_xlfn.LOGNORM.DIST((Tabella3[[#This Row],[Day]]-D_bk),mu_f,sigma_f,FALSE),0)</f>
        <v>4246.6866515255051</v>
      </c>
      <c r="L107" s="91">
        <f>Tabella3[[#This Row],[Italy fit]]/y_f_peak</f>
        <v>0.83899897265224488</v>
      </c>
      <c r="M107" s="91">
        <f>Tabella3[[#This Row],[Italy (fitted Lombardy + fitted sum of the other regions)]]*NOT(ISBLANK(Tabella3[[#This Row],[Italy data]]))</f>
        <v>4252.0438604061874</v>
      </c>
      <c r="N107" s="91">
        <f>Tabella3[[#This Row],[Italy fit]]*NOT(ISBLANK(Tabella3[[#This Row],[Italy data]]))</f>
        <v>4246.6866515255051</v>
      </c>
      <c r="O107" s="91">
        <f>Tabella3[[#This Row],[Italy fit]]+CIf</f>
        <v>5260.4496535458229</v>
      </c>
      <c r="P107" s="91">
        <f>MAX(Tabella3[[#This Row],[Italy fit]]-CIf,0)</f>
        <v>3232.9236495051873</v>
      </c>
      <c r="Q107" s="4">
        <f>Tabella8[[#This Row],[Lombardy]]</f>
        <v>54802</v>
      </c>
      <c r="R107" s="91">
        <f>(Tabella3[[#This Row],[Lombardy cumul. Data]]-Q106)</f>
        <v>1388</v>
      </c>
      <c r="S107" s="91">
        <f>Tabella3[[#This Row],[Lombardy data]]*NOT(ISBLANK(Tabella3[[#This Row],[Lombardy data]]))</f>
        <v>1388</v>
      </c>
      <c r="T107" s="96">
        <f>Tabella8[[#This Row],[Lombardy fit]]</f>
        <v>54770.537022930162</v>
      </c>
      <c r="U107" s="91">
        <f>Tabella3[[#This Row],[Lombardy cumul. Fit]]/Kl</f>
        <v>0.62954640256241567</v>
      </c>
      <c r="V107" s="91">
        <f>IFERROR(Kl*_xlfn.LOGNORM.DIST((Tabella3[[#This Row],[Day]]-pl),mu_l,sigma_l,FALSE),0)</f>
        <v>1403.5111194784272</v>
      </c>
      <c r="W107" s="91">
        <f>Tabella3[[#This Row],[Lombardy fit]]/y_l_peak</f>
        <v>0.79837739927031059</v>
      </c>
      <c r="X107" s="91">
        <f>Tabella3[[#This Row],[Lombardy fit]]*NOT(ISBLANK(Tabella3[[#This Row],[Lombardy data]]))</f>
        <v>1403.5111194784272</v>
      </c>
      <c r="Y107" s="91">
        <f>Tabella3[[#This Row],[Lombardy fit]]+CIl</f>
        <v>2152.4664912820508</v>
      </c>
      <c r="Z107" s="91">
        <f>MAX(Tabella3[[#This Row],[Lombardy fit]]-CIl,0)</f>
        <v>654.55574767480357</v>
      </c>
      <c r="AA107" s="10">
        <f>Tabella8[[#This Row],[rest of Italy ]]</f>
        <v>88824</v>
      </c>
      <c r="AB107" s="10">
        <f>(Tabella3[[#This Row],[rest of Italy cum. Data]]-AA106)</f>
        <v>2816</v>
      </c>
      <c r="AC107" s="91">
        <f>Tabella3[[#This Row],[rest of Italy data]]*NOT(ISBLANK(Tabella3[[#This Row],[rest of Italy data]]))</f>
        <v>2816</v>
      </c>
      <c r="AD107" s="96">
        <f>Tabella8[[#This Row],[rest of Italy fit]]</f>
        <v>89352.001180257022</v>
      </c>
      <c r="AE107" s="91">
        <f>Tabella3[[#This Row],[rest of Italy cumul. Fit]]/Ka</f>
        <v>0.60372980798553511</v>
      </c>
      <c r="AF107" s="91">
        <f>IFERROR(Ka*_xlfn.LOGNORM.DIST((Tabella3[[#This Row],[Day]]-pa),mu_a,sigma_a,FALSE),0)</f>
        <v>2848.5327409277602</v>
      </c>
      <c r="AG107" s="91">
        <f>Tabella3[[#This Row],[rest of Italy fit]]/y_a_peak</f>
        <v>0.8429733788625805</v>
      </c>
      <c r="AH107" s="91">
        <f>Tabella3[[#This Row],[rest of Italy fit]]*NOT(ISBLANK(Tabella3[[#This Row],[rest of Italy data]]))</f>
        <v>2848.5327409277602</v>
      </c>
      <c r="AI107" s="91">
        <f>Tabella3[[#This Row],[rest of Italy fit]]+CIa</f>
        <v>3543.1847767913578</v>
      </c>
      <c r="AJ107" s="91">
        <f>MAX(Tabella3[[#This Row],[rest of Italy fit]]-CIa,0)</f>
        <v>2153.8807050641626</v>
      </c>
      <c r="AL107"/>
      <c r="AM107"/>
    </row>
    <row r="108" spans="2:39" x14ac:dyDescent="0.3">
      <c r="B108" s="9">
        <v>43931</v>
      </c>
      <c r="C108" s="4">
        <v>101</v>
      </c>
      <c r="D108" s="91">
        <f>'dpc-covid19-ita-andamento-naz'!L48</f>
        <v>147577</v>
      </c>
      <c r="E108" s="91">
        <f>(Tabella3[[#This Row],[Italy cumul. Data]]-D107)</f>
        <v>3951</v>
      </c>
      <c r="F108" s="91">
        <f>Tabella3[[#This Row],[Italy data]]*NOT(ISBLANK(Tabella3[[#This Row],[Italy data]]))</f>
        <v>3951</v>
      </c>
      <c r="G108" s="96">
        <f>Tabella8[[#This Row],[Italy fit]]</f>
        <v>147860.37412487992</v>
      </c>
      <c r="H108" s="96">
        <f>Tabella3[[#This Row],[Italy cumul. Fit]]/Kf</f>
        <v>0.62919325306037499</v>
      </c>
      <c r="I108" s="96">
        <f>Tabella3[[#This Row],[Lombardy fit]]+Tabella3[[#This Row],[rest of Italy fit]]</f>
        <v>4126.7400360264865</v>
      </c>
      <c r="J108" s="96">
        <f>Tabella3[[#This Row],[Italy (fitted Lombardy + fitted sum of the other regions)]]/(y_l_peak+y_a_peak)</f>
        <v>0.80332038705880038</v>
      </c>
      <c r="K108" s="91">
        <f>IFERROR(Kf*_xlfn.LOGNORM.DIST((Tabella3[[#This Row],[Day]]-D_bk),mu_f,sigma_f,FALSE),0)</f>
        <v>4126.0052564450889</v>
      </c>
      <c r="L108" s="91">
        <f>Tabella3[[#This Row],[Italy fit]]/y_f_peak</f>
        <v>0.81515648678050368</v>
      </c>
      <c r="M108" s="91">
        <f>Tabella3[[#This Row],[Italy (fitted Lombardy + fitted sum of the other regions)]]*NOT(ISBLANK(Tabella3[[#This Row],[Italy data]]))</f>
        <v>4126.7400360264865</v>
      </c>
      <c r="N108" s="91">
        <f>Tabella3[[#This Row],[Italy fit]]*NOT(ISBLANK(Tabella3[[#This Row],[Italy data]]))</f>
        <v>4126.0052564450889</v>
      </c>
      <c r="O108" s="91">
        <f>Tabella3[[#This Row],[Italy fit]]+CIf</f>
        <v>5139.7682584654067</v>
      </c>
      <c r="P108" s="91">
        <f>MAX(Tabella3[[#This Row],[Italy fit]]-CIf,0)</f>
        <v>3112.2422544247711</v>
      </c>
      <c r="Q108" s="4">
        <f>Tabella8[[#This Row],[Lombardy]]</f>
        <v>56048</v>
      </c>
      <c r="R108" s="91">
        <f>(Tabella3[[#This Row],[Lombardy cumul. Data]]-Q107)</f>
        <v>1246</v>
      </c>
      <c r="S108" s="91">
        <f>Tabella3[[#This Row],[Lombardy data]]*NOT(ISBLANK(Tabella3[[#This Row],[Lombardy data]]))</f>
        <v>1246</v>
      </c>
      <c r="T108" s="96">
        <f>Tabella8[[#This Row],[Lombardy fit]]</f>
        <v>56153.80711118412</v>
      </c>
      <c r="U108" s="91">
        <f>Tabella3[[#This Row],[Lombardy cumul. Fit]]/Kl</f>
        <v>0.64544605874924277</v>
      </c>
      <c r="V108" s="91">
        <f>IFERROR(Kl*_xlfn.LOGNORM.DIST((Tabella3[[#This Row],[Day]]-pl),mu_l,sigma_l,FALSE),0)</f>
        <v>1362.9108774841045</v>
      </c>
      <c r="W108" s="91">
        <f>Tabella3[[#This Row],[Lombardy fit]]/y_l_peak</f>
        <v>0.7752822380255473</v>
      </c>
      <c r="X108" s="91">
        <f>Tabella3[[#This Row],[Lombardy fit]]*NOT(ISBLANK(Tabella3[[#This Row],[Lombardy data]]))</f>
        <v>1362.9108774841045</v>
      </c>
      <c r="Y108" s="91">
        <f>Tabella3[[#This Row],[Lombardy fit]]+CIl</f>
        <v>2111.8662492877284</v>
      </c>
      <c r="Z108" s="91">
        <f>MAX(Tabella3[[#This Row],[Lombardy fit]]-CIl,0)</f>
        <v>613.95550568048088</v>
      </c>
      <c r="AA108" s="10">
        <f>Tabella8[[#This Row],[rest of Italy ]]</f>
        <v>91529</v>
      </c>
      <c r="AB108" s="10">
        <f>(Tabella3[[#This Row],[rest of Italy cum. Data]]-AA107)</f>
        <v>2705</v>
      </c>
      <c r="AC108" s="91">
        <f>Tabella3[[#This Row],[rest of Italy data]]*NOT(ISBLANK(Tabella3[[#This Row],[rest of Italy data]]))</f>
        <v>2705</v>
      </c>
      <c r="AD108" s="96">
        <f>Tabella8[[#This Row],[rest of Italy fit]]</f>
        <v>92158.430677105629</v>
      </c>
      <c r="AE108" s="91">
        <f>Tabella3[[#This Row],[rest of Italy cumul. Fit]]/Ka</f>
        <v>0.62269217165816571</v>
      </c>
      <c r="AF108" s="91">
        <f>IFERROR(Ka*_xlfn.LOGNORM.DIST((Tabella3[[#This Row],[Day]]-pa),mu_a,sigma_a,FALSE),0)</f>
        <v>2763.8291585423817</v>
      </c>
      <c r="AG108" s="91">
        <f>Tabella3[[#This Row],[rest of Italy fit]]/y_a_peak</f>
        <v>0.81790683705344136</v>
      </c>
      <c r="AH108" s="91">
        <f>Tabella3[[#This Row],[rest of Italy fit]]*NOT(ISBLANK(Tabella3[[#This Row],[rest of Italy data]]))</f>
        <v>2763.8291585423817</v>
      </c>
      <c r="AI108" s="91">
        <f>Tabella3[[#This Row],[rest of Italy fit]]+CIa</f>
        <v>3458.4811944059793</v>
      </c>
      <c r="AJ108" s="91">
        <f>MAX(Tabella3[[#This Row],[rest of Italy fit]]-CIa,0)</f>
        <v>2069.1771226787841</v>
      </c>
      <c r="AL108"/>
      <c r="AM108"/>
    </row>
    <row r="109" spans="2:39" x14ac:dyDescent="0.3">
      <c r="B109" s="9">
        <v>43932</v>
      </c>
      <c r="C109" s="4">
        <v>102</v>
      </c>
      <c r="D109" s="91">
        <f>'dpc-covid19-ita-andamento-naz'!L49</f>
        <v>152271</v>
      </c>
      <c r="E109" s="91">
        <f>(Tabella3[[#This Row],[Italy cumul. Data]]-D108)</f>
        <v>4694</v>
      </c>
      <c r="F109" s="91">
        <f>Tabella3[[#This Row],[Italy data]]*NOT(ISBLANK(Tabella3[[#This Row],[Italy data]]))</f>
        <v>4694</v>
      </c>
      <c r="G109" s="96">
        <f>Tabella8[[#This Row],[Italy fit]]</f>
        <v>151924.54112074536</v>
      </c>
      <c r="H109" s="96">
        <f>Tabella3[[#This Row],[Italy cumul. Fit]]/Kf</f>
        <v>0.64648758542118367</v>
      </c>
      <c r="I109" s="96">
        <f>Tabella3[[#This Row],[Lombardy fit]]+Tabella3[[#This Row],[rest of Italy fit]]</f>
        <v>3998.1997210778554</v>
      </c>
      <c r="J109" s="96">
        <f>Tabella3[[#This Row],[Italy (fitted Lombardy + fitted sum of the other regions)]]/(y_l_peak+y_a_peak)</f>
        <v>0.77829844367110401</v>
      </c>
      <c r="K109" s="91">
        <f>IFERROR(Kf*_xlfn.LOGNORM.DIST((Tabella3[[#This Row],[Day]]-D_bk),mu_f,sigma_f,FALSE),0)</f>
        <v>4001.8152052320552</v>
      </c>
      <c r="L109" s="91">
        <f>Tabella3[[#This Row],[Italy fit]]/y_f_peak</f>
        <v>0.79062081133952533</v>
      </c>
      <c r="M109" s="91">
        <f>Tabella3[[#This Row],[Italy (fitted Lombardy + fitted sum of the other regions)]]*NOT(ISBLANK(Tabella3[[#This Row],[Italy data]]))</f>
        <v>3998.1997210778554</v>
      </c>
      <c r="N109" s="91">
        <f>Tabella3[[#This Row],[Italy fit]]*NOT(ISBLANK(Tabella3[[#This Row],[Italy data]]))</f>
        <v>4001.8152052320552</v>
      </c>
      <c r="O109" s="91">
        <f>Tabella3[[#This Row],[Italy fit]]+CIf</f>
        <v>5015.5782072523725</v>
      </c>
      <c r="P109" s="91">
        <f>MAX(Tabella3[[#This Row],[Italy fit]]-CIf,0)</f>
        <v>2988.0522032117374</v>
      </c>
      <c r="Q109" s="4">
        <f>Tabella8[[#This Row],[Lombardy]]</f>
        <v>57592</v>
      </c>
      <c r="R109" s="91">
        <f>(Tabella3[[#This Row],[Lombardy cumul. Data]]-Q108)</f>
        <v>1544</v>
      </c>
      <c r="S109" s="91">
        <f>Tabella3[[#This Row],[Lombardy data]]*NOT(ISBLANK(Tabella3[[#This Row],[Lombardy data]]))</f>
        <v>1544</v>
      </c>
      <c r="T109" s="96">
        <f>Tabella8[[#This Row],[Lombardy fit]]</f>
        <v>57496.158785785505</v>
      </c>
      <c r="U109" s="91">
        <f>Tabella3[[#This Row],[Lombardy cumul. Fit]]/Kl</f>
        <v>0.66087538834236215</v>
      </c>
      <c r="V109" s="91">
        <f>IFERROR(Kl*_xlfn.LOGNORM.DIST((Tabella3[[#This Row],[Day]]-pl),mu_l,sigma_l,FALSE),0)</f>
        <v>1321.7101055171868</v>
      </c>
      <c r="W109" s="91">
        <f>Tabella3[[#This Row],[Lombardy fit]]/y_l_peak</f>
        <v>0.75184546954230158</v>
      </c>
      <c r="X109" s="91">
        <f>Tabella3[[#This Row],[Lombardy fit]]*NOT(ISBLANK(Tabella3[[#This Row],[Lombardy data]]))</f>
        <v>1321.7101055171868</v>
      </c>
      <c r="Y109" s="91">
        <f>Tabella3[[#This Row],[Lombardy fit]]+CIl</f>
        <v>2070.6654773208102</v>
      </c>
      <c r="Z109" s="91">
        <f>MAX(Tabella3[[#This Row],[Lombardy fit]]-CIl,0)</f>
        <v>572.75473371356316</v>
      </c>
      <c r="AA109" s="10">
        <f>Tabella8[[#This Row],[rest of Italy ]]</f>
        <v>94679</v>
      </c>
      <c r="AB109" s="10">
        <f>(Tabella3[[#This Row],[rest of Italy cum. Data]]-AA108)</f>
        <v>3150</v>
      </c>
      <c r="AC109" s="91">
        <f>Tabella3[[#This Row],[rest of Italy data]]*NOT(ISBLANK(Tabella3[[#This Row],[rest of Italy data]]))</f>
        <v>3150</v>
      </c>
      <c r="AD109" s="96">
        <f>Tabella8[[#This Row],[rest of Italy fit]]</f>
        <v>94878.781377666935</v>
      </c>
      <c r="AE109" s="91">
        <f>Tabella3[[#This Row],[rest of Italy cumul. Fit]]/Ka</f>
        <v>0.64107292177466202</v>
      </c>
      <c r="AF109" s="91">
        <f>IFERROR(Ka*_xlfn.LOGNORM.DIST((Tabella3[[#This Row],[Day]]-pa),mu_a,sigma_a,FALSE),0)</f>
        <v>2676.4896155606684</v>
      </c>
      <c r="AG109" s="91">
        <f>Tabella3[[#This Row],[rest of Italy fit]]/y_a_peak</f>
        <v>0.79206022886889615</v>
      </c>
      <c r="AH109" s="91">
        <f>Tabella3[[#This Row],[rest of Italy fit]]*NOT(ISBLANK(Tabella3[[#This Row],[rest of Italy data]]))</f>
        <v>2676.4896155606684</v>
      </c>
      <c r="AI109" s="91">
        <f>Tabella3[[#This Row],[rest of Italy fit]]+CIa</f>
        <v>3371.1416514242655</v>
      </c>
      <c r="AJ109" s="91">
        <f>MAX(Tabella3[[#This Row],[rest of Italy fit]]-CIa,0)</f>
        <v>1981.8375796970711</v>
      </c>
      <c r="AL109"/>
      <c r="AM109"/>
    </row>
    <row r="110" spans="2:39" x14ac:dyDescent="0.3">
      <c r="B110" s="9">
        <v>43933</v>
      </c>
      <c r="C110" s="4">
        <v>103</v>
      </c>
      <c r="D110" s="91">
        <f>'dpc-covid19-ita-andamento-naz'!L50</f>
        <v>156363</v>
      </c>
      <c r="E110" s="91">
        <f>(Tabella3[[#This Row],[Italy cumul. Data]]-D109)</f>
        <v>4092</v>
      </c>
      <c r="F110" s="91">
        <f>Tabella3[[#This Row],[Italy data]]*NOT(ISBLANK(Tabella3[[#This Row],[Italy data]]))</f>
        <v>4092</v>
      </c>
      <c r="G110" s="96">
        <f>Tabella8[[#This Row],[Italy fit]]</f>
        <v>155863.11371396549</v>
      </c>
      <c r="H110" s="96">
        <f>Tabella3[[#This Row],[Italy cumul. Fit]]/Kf</f>
        <v>0.66324747336959122</v>
      </c>
      <c r="I110" s="96">
        <f>Tabella3[[#This Row],[Lombardy fit]]+Tabella3[[#This Row],[rest of Italy fit]]</f>
        <v>3867.2919519655156</v>
      </c>
      <c r="J110" s="96">
        <f>Tabella3[[#This Row],[Italy (fitted Lombardy + fitted sum of the other regions)]]/(y_l_peak+y_a_peak)</f>
        <v>0.7528156463942528</v>
      </c>
      <c r="K110" s="91">
        <f>IFERROR(Kf*_xlfn.LOGNORM.DIST((Tabella3[[#This Row],[Day]]-D_bk),mu_f,sigma_f,FALSE),0)</f>
        <v>3874.9507780392314</v>
      </c>
      <c r="L110" s="91">
        <f>Tabella3[[#This Row],[Italy fit]]/y_f_peak</f>
        <v>0.76555677134433064</v>
      </c>
      <c r="M110" s="91">
        <f>Tabella3[[#This Row],[Italy (fitted Lombardy + fitted sum of the other regions)]]*NOT(ISBLANK(Tabella3[[#This Row],[Italy data]]))</f>
        <v>3867.2919519655156</v>
      </c>
      <c r="N110" s="91">
        <f>Tabella3[[#This Row],[Italy fit]]*NOT(ISBLANK(Tabella3[[#This Row],[Italy data]]))</f>
        <v>3874.9507780392314</v>
      </c>
      <c r="O110" s="91">
        <f>Tabella3[[#This Row],[Italy fit]]+CIf</f>
        <v>4888.7137800595492</v>
      </c>
      <c r="P110" s="91">
        <f>MAX(Tabella3[[#This Row],[Italy fit]]-CIf,0)</f>
        <v>2861.1877760189136</v>
      </c>
      <c r="Q110" s="4">
        <f>Tabella8[[#This Row],[Lombardy]]</f>
        <v>59052</v>
      </c>
      <c r="R110" s="91">
        <f>(Tabella3[[#This Row],[Lombardy cumul. Data]]-Q109)</f>
        <v>1460</v>
      </c>
      <c r="S110" s="91">
        <f>Tabella3[[#This Row],[Lombardy data]]*NOT(ISBLANK(Tabella3[[#This Row],[Lombardy data]]))</f>
        <v>1460</v>
      </c>
      <c r="T110" s="96">
        <f>Tabella8[[#This Row],[Lombardy fit]]</f>
        <v>58797.096191230899</v>
      </c>
      <c r="U110" s="91">
        <f>Tabella3[[#This Row],[Lombardy cumul. Fit]]/Kl</f>
        <v>0.67582869185322869</v>
      </c>
      <c r="V110" s="91">
        <f>IFERROR(Kl*_xlfn.LOGNORM.DIST((Tabella3[[#This Row],[Day]]-pl),mu_l,sigma_l,FALSE),0)</f>
        <v>1280.115389990418</v>
      </c>
      <c r="W110" s="91">
        <f>Tabella3[[#This Row],[Lombardy fit]]/y_l_peak</f>
        <v>0.72818460904410265</v>
      </c>
      <c r="X110" s="91">
        <f>Tabella3[[#This Row],[Lombardy fit]]*NOT(ISBLANK(Tabella3[[#This Row],[Lombardy data]]))</f>
        <v>1280.115389990418</v>
      </c>
      <c r="Y110" s="91">
        <f>Tabella3[[#This Row],[Lombardy fit]]+CIl</f>
        <v>2029.0707617940416</v>
      </c>
      <c r="Z110" s="91">
        <f>MAX(Tabella3[[#This Row],[Lombardy fit]]-CIl,0)</f>
        <v>531.16001818679433</v>
      </c>
      <c r="AA110" s="10">
        <f>Tabella8[[#This Row],[rest of Italy ]]</f>
        <v>97311</v>
      </c>
      <c r="AB110" s="10">
        <f>(Tabella3[[#This Row],[rest of Italy cum. Data]]-AA109)</f>
        <v>2632</v>
      </c>
      <c r="AC110" s="91">
        <f>Tabella3[[#This Row],[rest of Italy data]]*NOT(ISBLANK(Tabella3[[#This Row],[rest of Italy data]]))</f>
        <v>2632</v>
      </c>
      <c r="AD110" s="96">
        <f>Tabella8[[#This Row],[rest of Italy fit]]</f>
        <v>97510.752623245149</v>
      </c>
      <c r="AE110" s="91">
        <f>Tabella3[[#This Row],[rest of Italy cumul. Fit]]/Ka</f>
        <v>0.65885651334202677</v>
      </c>
      <c r="AF110" s="91">
        <f>IFERROR(Ka*_xlfn.LOGNORM.DIST((Tabella3[[#This Row],[Day]]-pa),mu_a,sigma_a,FALSE),0)</f>
        <v>2587.1765619750977</v>
      </c>
      <c r="AG110" s="91">
        <f>Tabella3[[#This Row],[rest of Italy fit]]/y_a_peak</f>
        <v>0.76562959478285719</v>
      </c>
      <c r="AH110" s="91">
        <f>Tabella3[[#This Row],[rest of Italy fit]]*NOT(ISBLANK(Tabella3[[#This Row],[rest of Italy data]]))</f>
        <v>2587.1765619750977</v>
      </c>
      <c r="AI110" s="91">
        <f>Tabella3[[#This Row],[rest of Italy fit]]+CIa</f>
        <v>3281.8285978386948</v>
      </c>
      <c r="AJ110" s="91">
        <f>MAX(Tabella3[[#This Row],[rest of Italy fit]]-CIa,0)</f>
        <v>1892.5245261115003</v>
      </c>
      <c r="AL110"/>
      <c r="AM110"/>
    </row>
    <row r="111" spans="2:39" x14ac:dyDescent="0.3">
      <c r="B111" s="9">
        <v>43934</v>
      </c>
      <c r="C111" s="4">
        <v>104</v>
      </c>
      <c r="D111" s="91">
        <f>'dpc-covid19-ita-andamento-naz'!L51</f>
        <v>159516</v>
      </c>
      <c r="E111" s="91">
        <f>(Tabella3[[#This Row],[Italy cumul. Data]]-D110)</f>
        <v>3153</v>
      </c>
      <c r="F111" s="91">
        <f>Tabella3[[#This Row],[Italy data]]*NOT(ISBLANK(Tabella3[[#This Row],[Italy data]]))</f>
        <v>3153</v>
      </c>
      <c r="G111" s="96">
        <f>Tabella8[[#This Row],[Italy fit]]</f>
        <v>159673.81088277901</v>
      </c>
      <c r="H111" s="96">
        <f>Tabella3[[#This Row],[Italy cumul. Fit]]/Kf</f>
        <v>0.67946321042736924</v>
      </c>
      <c r="I111" s="96">
        <f>Tabella3[[#This Row],[Lombardy fit]]+Tabella3[[#This Row],[rest of Italy fit]]</f>
        <v>3734.8197080346808</v>
      </c>
      <c r="J111" s="96">
        <f>Tabella3[[#This Row],[Italy (fitted Lombardy + fitted sum of the other regions)]]/(y_l_peak+y_a_peak)</f>
        <v>0.72702830497220083</v>
      </c>
      <c r="K111" s="91">
        <f>IFERROR(Kf*_xlfn.LOGNORM.DIST((Tabella3[[#This Row],[Day]]-D_bk),mu_f,sigma_f,FALSE),0)</f>
        <v>3746.1890187214435</v>
      </c>
      <c r="L111" s="91">
        <f>Tabella3[[#This Row],[Italy fit]]/y_f_peak</f>
        <v>0.74011788388939859</v>
      </c>
      <c r="M111" s="91">
        <f>Tabella3[[#This Row],[Italy (fitted Lombardy + fitted sum of the other regions)]]*NOT(ISBLANK(Tabella3[[#This Row],[Italy data]]))</f>
        <v>3734.8197080346808</v>
      </c>
      <c r="N111" s="91">
        <f>Tabella3[[#This Row],[Italy fit]]*NOT(ISBLANK(Tabella3[[#This Row],[Italy data]]))</f>
        <v>3746.1890187214435</v>
      </c>
      <c r="O111" s="91">
        <f>Tabella3[[#This Row],[Italy fit]]+CIf</f>
        <v>4759.9520207417609</v>
      </c>
      <c r="P111" s="91">
        <f>MAX(Tabella3[[#This Row],[Italy fit]]-CIf,0)</f>
        <v>2732.4260167011257</v>
      </c>
      <c r="Q111" s="4">
        <f>Tabella8[[#This Row],[Lombardy]]</f>
        <v>60314</v>
      </c>
      <c r="R111" s="91">
        <f>(Tabella3[[#This Row],[Lombardy cumul. Data]]-Q110)</f>
        <v>1262</v>
      </c>
      <c r="S111" s="91">
        <f>Tabella3[[#This Row],[Lombardy data]]*NOT(ISBLANK(Tabella3[[#This Row],[Lombardy data]]))</f>
        <v>1262</v>
      </c>
      <c r="T111" s="96">
        <f>Tabella8[[#This Row],[Lombardy fit]]</f>
        <v>60056.3217947015</v>
      </c>
      <c r="U111" s="91">
        <f>Tabella3[[#This Row],[Lombardy cumul. Fit]]/Kl</f>
        <v>0.69030254936438507</v>
      </c>
      <c r="V111" s="91">
        <f>IFERROR(Kl*_xlfn.LOGNORM.DIST((Tabella3[[#This Row],[Day]]-pl),mu_l,sigma_l,FALSE),0)</f>
        <v>1238.3168192739481</v>
      </c>
      <c r="W111" s="91">
        <f>Tabella3[[#This Row],[Lombardy fit]]/y_l_peak</f>
        <v>0.70440778695933515</v>
      </c>
      <c r="X111" s="91">
        <f>Tabella3[[#This Row],[Lombardy fit]]*NOT(ISBLANK(Tabella3[[#This Row],[Lombardy data]]))</f>
        <v>1238.3168192739481</v>
      </c>
      <c r="Y111" s="91">
        <f>Tabella3[[#This Row],[Lombardy fit]]+CIl</f>
        <v>1987.2721910775717</v>
      </c>
      <c r="Z111" s="91">
        <f>MAX(Tabella3[[#This Row],[Lombardy fit]]-CIl,0)</f>
        <v>489.36144747032449</v>
      </c>
      <c r="AA111" s="10">
        <f>Tabella8[[#This Row],[rest of Italy ]]</f>
        <v>99202</v>
      </c>
      <c r="AB111" s="10">
        <f>(Tabella3[[#This Row],[rest of Italy cum. Data]]-AA110)</f>
        <v>1891</v>
      </c>
      <c r="AC111" s="91">
        <f>Tabella3[[#This Row],[rest of Italy data]]*NOT(ISBLANK(Tabella3[[#This Row],[rest of Italy data]]))</f>
        <v>1891</v>
      </c>
      <c r="AD111" s="96">
        <f>Tabella8[[#This Row],[rest of Italy fit]]</f>
        <v>100052.68152131849</v>
      </c>
      <c r="AE111" s="91">
        <f>Tabella3[[#This Row],[rest of Italy cumul. Fit]]/Ka</f>
        <v>0.67603171059866962</v>
      </c>
      <c r="AF111" s="91">
        <f>IFERROR(Ka*_xlfn.LOGNORM.DIST((Tabella3[[#This Row],[Day]]-pa),mu_a,sigma_a,FALSE),0)</f>
        <v>2496.5028887607327</v>
      </c>
      <c r="AG111" s="91">
        <f>Tabella3[[#This Row],[rest of Italy fit]]/y_a_peak</f>
        <v>0.73879630914595074</v>
      </c>
      <c r="AH111" s="91">
        <f>Tabella3[[#This Row],[rest of Italy fit]]*NOT(ISBLANK(Tabella3[[#This Row],[rest of Italy data]]))</f>
        <v>2496.5028887607327</v>
      </c>
      <c r="AI111" s="91">
        <f>Tabella3[[#This Row],[rest of Italy fit]]+CIa</f>
        <v>3191.1549246243303</v>
      </c>
      <c r="AJ111" s="91">
        <f>MAX(Tabella3[[#This Row],[rest of Italy fit]]-CIa,0)</f>
        <v>1801.8508528971354</v>
      </c>
      <c r="AL111"/>
      <c r="AM111"/>
    </row>
    <row r="112" spans="2:39" x14ac:dyDescent="0.3">
      <c r="B112" s="9">
        <v>43935</v>
      </c>
      <c r="C112" s="4">
        <v>105</v>
      </c>
      <c r="D112" s="91">
        <f>'dpc-covid19-ita-andamento-naz'!L52</f>
        <v>162488</v>
      </c>
      <c r="E112" s="91">
        <f>(Tabella3[[#This Row],[Italy cumul. Data]]-D111)</f>
        <v>2972</v>
      </c>
      <c r="F112" s="91">
        <f>Tabella3[[#This Row],[Italy data]]*NOT(ISBLANK(Tabella3[[#This Row],[Italy data]]))</f>
        <v>2972</v>
      </c>
      <c r="G112" s="96">
        <f>Tabella8[[#This Row],[Italy fit]]</f>
        <v>163355.09950958795</v>
      </c>
      <c r="H112" s="96">
        <f>Tabella3[[#This Row],[Italy cumul. Fit]]/Kf</f>
        <v>0.69512827268806543</v>
      </c>
      <c r="I112" s="96">
        <f>Tabella3[[#This Row],[Lombardy fit]]+Tabella3[[#This Row],[rest of Italy fit]]</f>
        <v>3601.5194575497671</v>
      </c>
      <c r="J112" s="96">
        <f>Tabella3[[#This Row],[Italy (fitted Lombardy + fitted sum of the other regions)]]/(y_l_peak+y_a_peak)</f>
        <v>0.70107978195409415</v>
      </c>
      <c r="K112" s="91">
        <f>IFERROR(Kf*_xlfn.LOGNORM.DIST((Tabella3[[#This Row],[Day]]-D_bk),mu_f,sigma_f,FALSE),0)</f>
        <v>3616.2485747440851</v>
      </c>
      <c r="L112" s="91">
        <f>Tabella3[[#This Row],[Italy fit]]/y_f_peak</f>
        <v>0.71444612895456772</v>
      </c>
      <c r="M112" s="91">
        <f>Tabella3[[#This Row],[Italy (fitted Lombardy + fitted sum of the other regions)]]*NOT(ISBLANK(Tabella3[[#This Row],[Italy data]]))</f>
        <v>3601.5194575497671</v>
      </c>
      <c r="N112" s="91">
        <f>Tabella3[[#This Row],[Italy fit]]*NOT(ISBLANK(Tabella3[[#This Row],[Italy data]]))</f>
        <v>3616.2485747440851</v>
      </c>
      <c r="O112" s="91">
        <f>Tabella3[[#This Row],[Italy fit]]+CIf</f>
        <v>4630.0115767644029</v>
      </c>
      <c r="P112" s="91">
        <f>MAX(Tabella3[[#This Row],[Italy fit]]-CIf,0)</f>
        <v>2602.4855727237673</v>
      </c>
      <c r="Q112" s="4">
        <f>Tabella8[[#This Row],[Lombardy]]</f>
        <v>61326</v>
      </c>
      <c r="R112" s="91">
        <f>(Tabella3[[#This Row],[Lombardy cumul. Data]]-Q111)</f>
        <v>1012</v>
      </c>
      <c r="S112" s="91">
        <f>Tabella3[[#This Row],[Lombardy data]]*NOT(ISBLANK(Tabella3[[#This Row],[Lombardy data]]))</f>
        <v>1012</v>
      </c>
      <c r="T112" s="96">
        <f>Tabella8[[#This Row],[Lombardy fit]]</f>
        <v>61273.720002643167</v>
      </c>
      <c r="U112" s="91">
        <f>Tabella3[[#This Row],[Lombardy cumul. Fit]]/Kl</f>
        <v>0.70429563221428926</v>
      </c>
      <c r="V112" s="91">
        <f>IFERROR(Kl*_xlfn.LOGNORM.DIST((Tabella3[[#This Row],[Day]]-pl),mu_l,sigma_l,FALSE),0)</f>
        <v>1196.4882383786437</v>
      </c>
      <c r="W112" s="91">
        <f>Tabella3[[#This Row],[Lombardy fit]]/y_l_peak</f>
        <v>0.68061389379604398</v>
      </c>
      <c r="X112" s="91">
        <f>Tabella3[[#This Row],[Lombardy fit]]*NOT(ISBLANK(Tabella3[[#This Row],[Lombardy data]]))</f>
        <v>1196.4882383786437</v>
      </c>
      <c r="Y112" s="91">
        <f>Tabella3[[#This Row],[Lombardy fit]]+CIl</f>
        <v>1945.4436101822673</v>
      </c>
      <c r="Z112" s="91">
        <f>MAX(Tabella3[[#This Row],[Lombardy fit]]-CIl,0)</f>
        <v>447.53286657502008</v>
      </c>
      <c r="AA112" s="10">
        <f>Tabella8[[#This Row],[rest of Italy ]]</f>
        <v>101162</v>
      </c>
      <c r="AB112" s="10">
        <f>(Tabella3[[#This Row],[rest of Italy cum. Data]]-AA111)</f>
        <v>1960</v>
      </c>
      <c r="AC112" s="91">
        <f>Tabella3[[#This Row],[rest of Italy data]]*NOT(ISBLANK(Tabella3[[#This Row],[rest of Italy data]]))</f>
        <v>1960</v>
      </c>
      <c r="AD112" s="96">
        <f>Tabella8[[#This Row],[rest of Italy fit]]</f>
        <v>102503.49296044245</v>
      </c>
      <c r="AE112" s="91">
        <f>Tabella3[[#This Row],[rest of Italy cumul. Fit]]/Ka</f>
        <v>0.69259124927722804</v>
      </c>
      <c r="AF112" s="91">
        <f>IFERROR(Ka*_xlfn.LOGNORM.DIST((Tabella3[[#This Row],[Day]]-pa),mu_a,sigma_a,FALSE),0)</f>
        <v>2405.0312191711232</v>
      </c>
      <c r="AG112" s="91">
        <f>Tabella3[[#This Row],[rest of Italy fit]]/y_a_peak</f>
        <v>0.71172687045695016</v>
      </c>
      <c r="AH112" s="91">
        <f>Tabella3[[#This Row],[rest of Italy fit]]*NOT(ISBLANK(Tabella3[[#This Row],[rest of Italy data]]))</f>
        <v>2405.0312191711232</v>
      </c>
      <c r="AI112" s="91">
        <f>Tabella3[[#This Row],[rest of Italy fit]]+CIa</f>
        <v>3099.6832550347208</v>
      </c>
      <c r="AJ112" s="91">
        <f>MAX(Tabella3[[#This Row],[rest of Italy fit]]-CIa,0)</f>
        <v>1710.3791833075259</v>
      </c>
      <c r="AL112"/>
      <c r="AM112"/>
    </row>
    <row r="113" spans="2:39" x14ac:dyDescent="0.3">
      <c r="B113" s="9">
        <v>43936</v>
      </c>
      <c r="C113" s="4">
        <v>106</v>
      </c>
      <c r="D113" s="91">
        <f>'dpc-covid19-ita-andamento-naz'!L53</f>
        <v>165155</v>
      </c>
      <c r="E113" s="91">
        <f>(Tabella3[[#This Row],[Italy cumul. Data]]-D112)</f>
        <v>2667</v>
      </c>
      <c r="F113" s="91">
        <f>Tabella3[[#This Row],[Italy data]]*NOT(ISBLANK(Tabella3[[#This Row],[Italy data]]))</f>
        <v>2667</v>
      </c>
      <c r="G113" s="96">
        <f>Tabella8[[#This Row],[Italy fit]]</f>
        <v>166906.13577190106</v>
      </c>
      <c r="H113" s="96">
        <f>Tabella3[[#This Row],[Italy cumul. Fit]]/Kf</f>
        <v>0.71023906941669468</v>
      </c>
      <c r="I113" s="96">
        <f>Tabella3[[#This Row],[Lombardy fit]]+Tabella3[[#This Row],[rest of Italy fit]]</f>
        <v>3468.0616358244838</v>
      </c>
      <c r="J113" s="96">
        <f>Tabella3[[#This Row],[Italy (fitted Lombardy + fitted sum of the other regions)]]/(y_l_peak+y_a_peak)</f>
        <v>0.67510058576813625</v>
      </c>
      <c r="K113" s="91">
        <f>IFERROR(Kf*_xlfn.LOGNORM.DIST((Tabella3[[#This Row],[Day]]-D_bk),mu_f,sigma_f,FALSE),0)</f>
        <v>3485.7894060229742</v>
      </c>
      <c r="L113" s="91">
        <f>Tabella3[[#This Row],[Italy fit]]/y_f_peak</f>
        <v>0.68867189188182321</v>
      </c>
      <c r="M113" s="91">
        <f>Tabella3[[#This Row],[Italy (fitted Lombardy + fitted sum of the other regions)]]*NOT(ISBLANK(Tabella3[[#This Row],[Italy data]]))</f>
        <v>3468.0616358244838</v>
      </c>
      <c r="N113" s="91">
        <f>Tabella3[[#This Row],[Italy fit]]*NOT(ISBLANK(Tabella3[[#This Row],[Italy data]]))</f>
        <v>3485.7894060229742</v>
      </c>
      <c r="O113" s="91">
        <f>Tabella3[[#This Row],[Italy fit]]+CIf</f>
        <v>4499.5524080432915</v>
      </c>
      <c r="P113" s="91">
        <f>MAX(Tabella3[[#This Row],[Italy fit]]-CIf,0)</f>
        <v>2472.0264040026564</v>
      </c>
      <c r="Q113" s="4">
        <f>Tabella8[[#This Row],[Lombardy]]</f>
        <v>62153</v>
      </c>
      <c r="R113" s="91">
        <f>(Tabella3[[#This Row],[Lombardy cumul. Data]]-Q112)</f>
        <v>827</v>
      </c>
      <c r="S113" s="91">
        <f>Tabella3[[#This Row],[Lombardy data]]*NOT(ISBLANK(Tabella3[[#This Row],[Lombardy data]]))</f>
        <v>827</v>
      </c>
      <c r="T113" s="96">
        <f>Tabella8[[#This Row],[Lombardy fit]]</f>
        <v>62449.3411037525</v>
      </c>
      <c r="U113" s="91">
        <f>Tabella3[[#This Row],[Lombardy cumul. Fit]]/Kl</f>
        <v>0.71780851843393678</v>
      </c>
      <c r="V113" s="91">
        <f>IFERROR(Kl*_xlfn.LOGNORM.DIST((Tabella3[[#This Row],[Day]]-pl),mu_l,sigma_l,FALSE),0)</f>
        <v>1154.7876425778054</v>
      </c>
      <c r="W113" s="91">
        <f>Tabella3[[#This Row],[Lombardy fit]]/y_l_peak</f>
        <v>0.65689280405087114</v>
      </c>
      <c r="X113" s="91">
        <f>Tabella3[[#This Row],[Lombardy fit]]*NOT(ISBLANK(Tabella3[[#This Row],[Lombardy data]]))</f>
        <v>1154.7876425778054</v>
      </c>
      <c r="Y113" s="91">
        <f>Tabella3[[#This Row],[Lombardy fit]]+CIl</f>
        <v>1903.743014381429</v>
      </c>
      <c r="Z113" s="91">
        <f>MAX(Tabella3[[#This Row],[Lombardy fit]]-CIl,0)</f>
        <v>405.83227077418178</v>
      </c>
      <c r="AA113" s="10">
        <f>Tabella8[[#This Row],[rest of Italy ]]</f>
        <v>103002</v>
      </c>
      <c r="AB113" s="10">
        <f>(Tabella3[[#This Row],[rest of Italy cum. Data]]-AA112)</f>
        <v>1840</v>
      </c>
      <c r="AC113" s="91">
        <f>Tabella3[[#This Row],[rest of Italy data]]*NOT(ISBLANK(Tabella3[[#This Row],[rest of Italy data]]))</f>
        <v>1840</v>
      </c>
      <c r="AD113" s="96">
        <f>Tabella8[[#This Row],[rest of Italy fit]]</f>
        <v>104862.64932420803</v>
      </c>
      <c r="AE113" s="91">
        <f>Tabella3[[#This Row],[rest of Italy cumul. Fit]]/Ka</f>
        <v>0.70853149683397509</v>
      </c>
      <c r="AF113" s="91">
        <f>IFERROR(Ka*_xlfn.LOGNORM.DIST((Tabella3[[#This Row],[Day]]-pa),mu_a,sigma_a,FALSE),0)</f>
        <v>2313.2739932466784</v>
      </c>
      <c r="AG113" s="91">
        <f>Tabella3[[#This Row],[rest of Italy fit]]/y_a_peak</f>
        <v>0.68457292637154921</v>
      </c>
      <c r="AH113" s="91">
        <f>Tabella3[[#This Row],[rest of Italy fit]]*NOT(ISBLANK(Tabella3[[#This Row],[rest of Italy data]]))</f>
        <v>2313.2739932466784</v>
      </c>
      <c r="AI113" s="91">
        <f>Tabella3[[#This Row],[rest of Italy fit]]+CIa</f>
        <v>3007.9260291102755</v>
      </c>
      <c r="AJ113" s="91">
        <f>MAX(Tabella3[[#This Row],[rest of Italy fit]]-CIa,0)</f>
        <v>1618.6219573830811</v>
      </c>
      <c r="AL113"/>
      <c r="AM113"/>
    </row>
    <row r="114" spans="2:39" x14ac:dyDescent="0.3">
      <c r="B114" s="9">
        <v>43937</v>
      </c>
      <c r="C114" s="4">
        <v>107</v>
      </c>
      <c r="D114" s="91">
        <f>'dpc-covid19-ita-andamento-naz'!L54</f>
        <v>168941</v>
      </c>
      <c r="E114" s="91">
        <f>(Tabella3[[#This Row],[Italy cumul. Data]]-D113)</f>
        <v>3786</v>
      </c>
      <c r="F114" s="91">
        <f>Tabella3[[#This Row],[Italy data]]*NOT(ISBLANK(Tabella3[[#This Row],[Italy data]]))</f>
        <v>3786</v>
      </c>
      <c r="G114" s="96">
        <f>Tabella8[[#This Row],[Italy fit]]</f>
        <v>170326.70662412138</v>
      </c>
      <c r="H114" s="96">
        <f>Tabella3[[#This Row],[Italy cumul. Fit]]/Kf</f>
        <v>0.72479469403600139</v>
      </c>
      <c r="I114" s="96">
        <f>Tabella3[[#This Row],[Lombardy fit]]+Tabella3[[#This Row],[rest of Italy fit]]</f>
        <v>3335.0519006268864</v>
      </c>
      <c r="J114" s="96">
        <f>Tabella3[[#This Row],[Italy (fitted Lombardy + fitted sum of the other regions)]]/(y_l_peak+y_a_peak)</f>
        <v>0.64920861510152628</v>
      </c>
      <c r="K114" s="91">
        <f>IFERROR(Kf*_xlfn.LOGNORM.DIST((Tabella3[[#This Row],[Day]]-D_bk),mu_f,sigma_f,FALSE),0)</f>
        <v>3355.4132375153608</v>
      </c>
      <c r="L114" s="91">
        <f>Tabella3[[#This Row],[Italy fit]]/y_f_peak</f>
        <v>0.66291405279168691</v>
      </c>
      <c r="M114" s="91">
        <f>Tabella3[[#This Row],[Italy (fitted Lombardy + fitted sum of the other regions)]]*NOT(ISBLANK(Tabella3[[#This Row],[Italy data]]))</f>
        <v>3335.0519006268864</v>
      </c>
      <c r="N114" s="91">
        <f>Tabella3[[#This Row],[Italy fit]]*NOT(ISBLANK(Tabella3[[#This Row],[Italy data]]))</f>
        <v>3355.4132375153608</v>
      </c>
      <c r="O114" s="91">
        <f>Tabella3[[#This Row],[Italy fit]]+CIf</f>
        <v>4369.1762395356782</v>
      </c>
      <c r="P114" s="91">
        <f>MAX(Tabella3[[#This Row],[Italy fit]]-CIf,0)</f>
        <v>2341.650235495043</v>
      </c>
      <c r="Q114" s="4">
        <f>Tabella8[[#This Row],[Lombardy]]</f>
        <v>63094</v>
      </c>
      <c r="R114" s="91">
        <f>(Tabella3[[#This Row],[Lombardy cumul. Data]]-Q113)</f>
        <v>941</v>
      </c>
      <c r="S114" s="91">
        <f>Tabella3[[#This Row],[Lombardy data]]*NOT(ISBLANK(Tabella3[[#This Row],[Lombardy data]]))</f>
        <v>941</v>
      </c>
      <c r="T114" s="96">
        <f>Tabella8[[#This Row],[Lombardy fit]]</f>
        <v>63583.38566421374</v>
      </c>
      <c r="U114" s="91">
        <f>Tabella3[[#This Row],[Lombardy cumul. Fit]]/Kl</f>
        <v>0.73084351338176712</v>
      </c>
      <c r="V114" s="91">
        <f>IFERROR(Kl*_xlfn.LOGNORM.DIST((Tabella3[[#This Row],[Day]]-pl),mu_l,sigma_l,FALSE),0)</f>
        <v>1113.3576842095831</v>
      </c>
      <c r="W114" s="91">
        <f>Tabella3[[#This Row],[Lombardy fit]]/y_l_peak</f>
        <v>0.63332566450003491</v>
      </c>
      <c r="X114" s="91">
        <f>Tabella3[[#This Row],[Lombardy fit]]*NOT(ISBLANK(Tabella3[[#This Row],[Lombardy data]]))</f>
        <v>1113.3576842095831</v>
      </c>
      <c r="Y114" s="91">
        <f>Tabella3[[#This Row],[Lombardy fit]]+CIl</f>
        <v>1862.3130560132067</v>
      </c>
      <c r="Z114" s="91">
        <f>MAX(Tabella3[[#This Row],[Lombardy fit]]-CIl,0)</f>
        <v>364.40231240595949</v>
      </c>
      <c r="AA114" s="10">
        <f>Tabella8[[#This Row],[rest of Italy ]]</f>
        <v>105847</v>
      </c>
      <c r="AB114" s="10">
        <f>(Tabella3[[#This Row],[rest of Italy cum. Data]]-AA113)</f>
        <v>2845</v>
      </c>
      <c r="AC114" s="91">
        <f>Tabella3[[#This Row],[rest of Italy data]]*NOT(ISBLANK(Tabella3[[#This Row],[rest of Italy data]]))</f>
        <v>2845</v>
      </c>
      <c r="AD114" s="96">
        <f>Tabella8[[#This Row],[rest of Italy fit]]</f>
        <v>107130.10063210889</v>
      </c>
      <c r="AE114" s="91">
        <f>Tabella3[[#This Row],[rest of Italy cumul. Fit]]/Ka</f>
        <v>0.72385211556274742</v>
      </c>
      <c r="AF114" s="91">
        <f>IFERROR(Ka*_xlfn.LOGNORM.DIST((Tabella3[[#This Row],[Day]]-pa),mu_a,sigma_a,FALSE),0)</f>
        <v>2221.6942164173033</v>
      </c>
      <c r="AG114" s="91">
        <f>Tabella3[[#This Row],[rest of Italy fit]]/y_a_peak</f>
        <v>0.6574714952382017</v>
      </c>
      <c r="AH114" s="91">
        <f>Tabella3[[#This Row],[rest of Italy fit]]*NOT(ISBLANK(Tabella3[[#This Row],[rest of Italy data]]))</f>
        <v>2221.6942164173033</v>
      </c>
      <c r="AI114" s="91">
        <f>Tabella3[[#This Row],[rest of Italy fit]]+CIa</f>
        <v>2916.3462522809004</v>
      </c>
      <c r="AJ114" s="91">
        <f>MAX(Tabella3[[#This Row],[rest of Italy fit]]-CIa,0)</f>
        <v>1527.042180553706</v>
      </c>
    </row>
    <row r="115" spans="2:39" x14ac:dyDescent="0.3">
      <c r="B115" s="9">
        <v>43938</v>
      </c>
      <c r="C115" s="4">
        <v>108</v>
      </c>
      <c r="D115" s="91">
        <f>'dpc-covid19-ita-andamento-naz'!L55</f>
        <v>172434</v>
      </c>
      <c r="E115" s="91">
        <f>(Tabella3[[#This Row],[Italy cumul. Data]]-D114)</f>
        <v>3493</v>
      </c>
      <c r="F115" s="91">
        <f>Tabella3[[#This Row],[Italy data]]*NOT(ISBLANK(Tabella3[[#This Row],[Italy data]]))</f>
        <v>3493</v>
      </c>
      <c r="G115" s="96">
        <f>Tabella8[[#This Row],[Italy fit]]</f>
        <v>173617.17205452768</v>
      </c>
      <c r="H115" s="96">
        <f>Tabella3[[#This Row],[Italy cumul. Fit]]/Kf</f>
        <v>0.73879667841141961</v>
      </c>
      <c r="I115" s="96">
        <f>Tabella3[[#This Row],[Lombardy fit]]+Tabella3[[#This Row],[rest of Italy fit]]</f>
        <v>3203.0330226441947</v>
      </c>
      <c r="J115" s="96">
        <f>Tabella3[[#This Row],[Italy (fitted Lombardy + fitted sum of the other regions)]]/(y_l_peak+y_a_peak)</f>
        <v>0.62350952690254202</v>
      </c>
      <c r="K115" s="91">
        <f>IFERROR(Kf*_xlfn.LOGNORM.DIST((Tabella3[[#This Row],[Day]]-D_bk),mu_f,sigma_f,FALSE),0)</f>
        <v>3225.6646381615683</v>
      </c>
      <c r="L115" s="91">
        <f>Tabella3[[#This Row],[Italy fit]]/y_f_peak</f>
        <v>0.63728019974491334</v>
      </c>
      <c r="M115" s="91">
        <f>Tabella3[[#This Row],[Italy (fitted Lombardy + fitted sum of the other regions)]]*NOT(ISBLANK(Tabella3[[#This Row],[Italy data]]))</f>
        <v>3203.0330226441947</v>
      </c>
      <c r="N115" s="91">
        <f>Tabella3[[#This Row],[Italy fit]]*NOT(ISBLANK(Tabella3[[#This Row],[Italy data]]))</f>
        <v>3225.6646381615683</v>
      </c>
      <c r="O115" s="91">
        <f>Tabella3[[#This Row],[Italy fit]]+CIf</f>
        <v>4239.4276401818861</v>
      </c>
      <c r="P115" s="91">
        <f>MAX(Tabella3[[#This Row],[Italy fit]]-CIf,0)</f>
        <v>2211.9016361412505</v>
      </c>
      <c r="Q115" s="4">
        <f>Tabella8[[#This Row],[Lombardy]]</f>
        <v>64135</v>
      </c>
      <c r="R115" s="91">
        <f>(Tabella3[[#This Row],[Lombardy cumul. Data]]-Q114)</f>
        <v>1041</v>
      </c>
      <c r="S115" s="91">
        <f>Tabella3[[#This Row],[Lombardy data]]*NOT(ISBLANK(Tabella3[[#This Row],[Lombardy data]]))</f>
        <v>1041</v>
      </c>
      <c r="T115" s="96">
        <f>Tabella8[[#This Row],[Lombardy fit]]</f>
        <v>64676.189476553751</v>
      </c>
      <c r="U115" s="91">
        <f>Tabella3[[#This Row],[Lombardy cumul. Fit]]/Kl</f>
        <v>0.74340447674199717</v>
      </c>
      <c r="V115" s="91">
        <f>IFERROR(Kl*_xlfn.LOGNORM.DIST((Tabella3[[#This Row],[Day]]-pl),mu_l,sigma_l,FALSE),0)</f>
        <v>1072.3262694491302</v>
      </c>
      <c r="W115" s="91">
        <f>Tabella3[[#This Row],[Lombardy fit]]/y_l_peak</f>
        <v>0.60998523366895918</v>
      </c>
      <c r="X115" s="91">
        <f>Tabella3[[#This Row],[Lombardy fit]]*NOT(ISBLANK(Tabella3[[#This Row],[Lombardy data]]))</f>
        <v>1072.3262694491302</v>
      </c>
      <c r="Y115" s="91">
        <f>Tabella3[[#This Row],[Lombardy fit]]+CIl</f>
        <v>1821.2816412527538</v>
      </c>
      <c r="Z115" s="91">
        <f>MAX(Tabella3[[#This Row],[Lombardy fit]]-CIl,0)</f>
        <v>323.3708976455066</v>
      </c>
      <c r="AA115" s="10">
        <f>Tabella8[[#This Row],[rest of Italy ]]</f>
        <v>108299</v>
      </c>
      <c r="AB115" s="10">
        <f>(Tabella3[[#This Row],[rest of Italy cum. Data]]-AA114)</f>
        <v>2452</v>
      </c>
      <c r="AC115" s="91">
        <f>Tabella3[[#This Row],[rest of Italy data]]*NOT(ISBLANK(Tabella3[[#This Row],[rest of Italy data]]))</f>
        <v>2452</v>
      </c>
      <c r="AD115" s="96">
        <f>Tabella8[[#This Row],[rest of Italy fit]]</f>
        <v>109306.23571102909</v>
      </c>
      <c r="AE115" s="91">
        <f>Tabella3[[#This Row],[rest of Italy cumul. Fit]]/Ka</f>
        <v>0.73855573267252705</v>
      </c>
      <c r="AF115" s="91">
        <f>IFERROR(Ka*_xlfn.LOGNORM.DIST((Tabella3[[#This Row],[Day]]-pa),mu_a,sigma_a,FALSE),0)</f>
        <v>2130.7067531950643</v>
      </c>
      <c r="AG115" s="91">
        <f>Tabella3[[#This Row],[rest of Italy fit]]/y_a_peak</f>
        <v>0.63054534894380987</v>
      </c>
      <c r="AH115" s="91">
        <f>Tabella3[[#This Row],[rest of Italy fit]]*NOT(ISBLANK(Tabella3[[#This Row],[rest of Italy data]]))</f>
        <v>2130.7067531950643</v>
      </c>
      <c r="AI115" s="91">
        <f>Tabella3[[#This Row],[rest of Italy fit]]+CIa</f>
        <v>2825.3587890586614</v>
      </c>
      <c r="AJ115" s="91">
        <f>MAX(Tabella3[[#This Row],[rest of Italy fit]]-CIa,0)</f>
        <v>1436.0547173314669</v>
      </c>
    </row>
    <row r="116" spans="2:39" x14ac:dyDescent="0.3">
      <c r="B116" s="9">
        <v>43939</v>
      </c>
      <c r="C116" s="4">
        <v>109</v>
      </c>
      <c r="D116" s="91">
        <f>'dpc-covid19-ita-andamento-naz'!L56</f>
        <v>175925</v>
      </c>
      <c r="E116" s="91">
        <f>(Tabella3[[#This Row],[Italy cumul. Data]]-D115)</f>
        <v>3491</v>
      </c>
      <c r="F116" s="91">
        <f>Tabella3[[#This Row],[Italy data]]*NOT(ISBLANK(Tabella3[[#This Row],[Italy data]]))</f>
        <v>3491</v>
      </c>
      <c r="G116" s="96">
        <f>Tabella8[[#This Row],[Italy fit]]</f>
        <v>176778.40868871909</v>
      </c>
      <c r="H116" s="96">
        <f>Tabella3[[#This Row],[Italy cumul. Fit]]/Kf</f>
        <v>0.75224875286566539</v>
      </c>
      <c r="I116" s="96">
        <f>Tabella3[[#This Row],[Lombardy fit]]+Tabella3[[#This Row],[rest of Italy fit]]</f>
        <v>3072.4872821201875</v>
      </c>
      <c r="J116" s="96">
        <f>Tabella3[[#This Row],[Italy (fitted Lombardy + fitted sum of the other regions)]]/(y_l_peak+y_a_peak)</f>
        <v>0.59809720291530111</v>
      </c>
      <c r="K116" s="91">
        <f>IFERROR(Kf*_xlfn.LOGNORM.DIST((Tabella3[[#This Row],[Day]]-D_bk),mu_f,sigma_f,FALSE),0)</f>
        <v>3097.0326175196587</v>
      </c>
      <c r="L116" s="91">
        <f>Tabella3[[#This Row],[Italy fit]]/y_f_peak</f>
        <v>0.61186694418249121</v>
      </c>
      <c r="M116" s="91">
        <f>Tabella3[[#This Row],[Italy (fitted Lombardy + fitted sum of the other regions)]]*NOT(ISBLANK(Tabella3[[#This Row],[Italy data]]))</f>
        <v>3072.4872821201875</v>
      </c>
      <c r="N116" s="91">
        <f>Tabella3[[#This Row],[Italy fit]]*NOT(ISBLANK(Tabella3[[#This Row],[Italy data]]))</f>
        <v>3097.0326175196587</v>
      </c>
      <c r="O116" s="91">
        <f>Tabella3[[#This Row],[Italy fit]]+CIf</f>
        <v>4110.7956195399765</v>
      </c>
      <c r="P116" s="91">
        <f>MAX(Tabella3[[#This Row],[Italy fit]]-CIf,0)</f>
        <v>2083.2696154993409</v>
      </c>
      <c r="Q116" s="4">
        <f>Tabella8[[#This Row],[Lombardy]]</f>
        <v>65381</v>
      </c>
      <c r="R116" s="91">
        <f>(Tabella3[[#This Row],[Lombardy cumul. Data]]-Q115)</f>
        <v>1246</v>
      </c>
      <c r="S116" s="91">
        <f>Tabella3[[#This Row],[Lombardy data]]*NOT(ISBLANK(Tabella3[[#This Row],[Lombardy data]]))</f>
        <v>1246</v>
      </c>
      <c r="T116" s="96">
        <f>Tabella8[[#This Row],[Lombardy fit]]</f>
        <v>65728.209141519241</v>
      </c>
      <c r="U116" s="91">
        <f>Tabella3[[#This Row],[Lombardy cumul. Fit]]/Kl</f>
        <v>0.75549665679907174</v>
      </c>
      <c r="V116" s="91">
        <f>IFERROR(Kl*_xlfn.LOGNORM.DIST((Tabella3[[#This Row],[Day]]-pl),mu_l,sigma_l,FALSE),0)</f>
        <v>1031.8072243341942</v>
      </c>
      <c r="W116" s="91">
        <f>Tabella3[[#This Row],[Lombardy fit]]/y_l_peak</f>
        <v>0.58693626069623295</v>
      </c>
      <c r="X116" s="91">
        <f>Tabella3[[#This Row],[Lombardy fit]]*NOT(ISBLANK(Tabella3[[#This Row],[Lombardy data]]))</f>
        <v>1031.8072243341942</v>
      </c>
      <c r="Y116" s="91">
        <f>Tabella3[[#This Row],[Lombardy fit]]+CIl</f>
        <v>1780.7625961378178</v>
      </c>
      <c r="Z116" s="91">
        <f>MAX(Tabella3[[#This Row],[Lombardy fit]]-CIl,0)</f>
        <v>282.85185253057057</v>
      </c>
      <c r="AA116" s="10">
        <f>Tabella8[[#This Row],[rest of Italy ]]</f>
        <v>110544</v>
      </c>
      <c r="AB116" s="10">
        <f>(Tabella3[[#This Row],[rest of Italy cum. Data]]-AA115)</f>
        <v>2245</v>
      </c>
      <c r="AC116" s="91">
        <f>Tabella3[[#This Row],[rest of Italy data]]*NOT(ISBLANK(Tabella3[[#This Row],[rest of Italy data]]))</f>
        <v>2245</v>
      </c>
      <c r="AD116" s="96">
        <f>Tabella8[[#This Row],[rest of Italy fit]]</f>
        <v>111391.83488743517</v>
      </c>
      <c r="AE116" s="91">
        <f>Tabella3[[#This Row],[rest of Italy cumul. Fit]]/Ka</f>
        <v>0.75264762064005308</v>
      </c>
      <c r="AF116" s="91">
        <f>IFERROR(Ka*_xlfn.LOGNORM.DIST((Tabella3[[#This Row],[Day]]-pa),mu_a,sigma_a,FALSE),0)</f>
        <v>2040.6800577859933</v>
      </c>
      <c r="AG116" s="91">
        <f>Tabella3[[#This Row],[rest of Italy fit]]/y_a_peak</f>
        <v>0.60390352505798028</v>
      </c>
      <c r="AH116" s="91">
        <f>Tabella3[[#This Row],[rest of Italy fit]]*NOT(ISBLANK(Tabella3[[#This Row],[rest of Italy data]]))</f>
        <v>2040.6800577859933</v>
      </c>
      <c r="AI116" s="91">
        <f>Tabella3[[#This Row],[rest of Italy fit]]+CIa</f>
        <v>2735.3320936495907</v>
      </c>
      <c r="AJ116" s="91">
        <f>MAX(Tabella3[[#This Row],[rest of Italy fit]]-CIa,0)</f>
        <v>1346.028021922396</v>
      </c>
    </row>
    <row r="117" spans="2:39" x14ac:dyDescent="0.3">
      <c r="B117" s="9">
        <v>43940</v>
      </c>
      <c r="C117" s="4">
        <v>110</v>
      </c>
      <c r="D117" s="91">
        <f>'dpc-covid19-ita-andamento-naz'!L57</f>
        <v>178972</v>
      </c>
      <c r="E117" s="91">
        <f>(Tabella3[[#This Row],[Italy cumul. Data]]-D116)</f>
        <v>3047</v>
      </c>
      <c r="F117" s="91">
        <f>Tabella3[[#This Row],[Italy data]]*NOT(ISBLANK(Tabella3[[#This Row],[Italy data]]))</f>
        <v>3047</v>
      </c>
      <c r="G117" s="96">
        <f>Tabella8[[#This Row],[Italy fit]]</f>
        <v>179811.75520674791</v>
      </c>
      <c r="H117" s="96">
        <f>Tabella3[[#This Row],[Italy cumul. Fit]]/Kf</f>
        <v>0.76515661391115408</v>
      </c>
      <c r="I117" s="96">
        <f>Tabella3[[#This Row],[Lombardy fit]]+Tabella3[[#This Row],[rest of Italy fit]]</f>
        <v>2943.8392562918957</v>
      </c>
      <c r="J117" s="96">
        <f>Tabella3[[#This Row],[Italy (fitted Lombardy + fitted sum of the other regions)]]/(y_l_peak+y_a_peak)</f>
        <v>0.57305429228838356</v>
      </c>
      <c r="K117" s="91">
        <f>IFERROR(Kf*_xlfn.LOGNORM.DIST((Tabella3[[#This Row],[Day]]-D_bk),mu_f,sigma_f,FALSE),0)</f>
        <v>2969.9526407449694</v>
      </c>
      <c r="L117" s="91">
        <f>Tabella3[[#This Row],[Italy fit]]/y_f_peak</f>
        <v>0.5867603190161782</v>
      </c>
      <c r="M117" s="91">
        <f>Tabella3[[#This Row],[Italy (fitted Lombardy + fitted sum of the other regions)]]*NOT(ISBLANK(Tabella3[[#This Row],[Italy data]]))</f>
        <v>2943.8392562918957</v>
      </c>
      <c r="N117" s="91">
        <f>Tabella3[[#This Row],[Italy fit]]*NOT(ISBLANK(Tabella3[[#This Row],[Italy data]]))</f>
        <v>2969.9526407449694</v>
      </c>
      <c r="O117" s="91">
        <f>Tabella3[[#This Row],[Italy fit]]+CIf</f>
        <v>3983.7156427652872</v>
      </c>
      <c r="P117" s="91">
        <f>MAX(Tabella3[[#This Row],[Italy fit]]-CIf,0)</f>
        <v>1956.1896387246516</v>
      </c>
      <c r="Q117" s="4">
        <f>Tabella8[[#This Row],[Lombardy]]</f>
        <v>66236</v>
      </c>
      <c r="R117" s="91">
        <f>(Tabella3[[#This Row],[Lombardy cumul. Data]]-Q116)</f>
        <v>855</v>
      </c>
      <c r="S117" s="91">
        <f>Tabella3[[#This Row],[Lombardy data]]*NOT(ISBLANK(Tabella3[[#This Row],[Lombardy data]]))</f>
        <v>855</v>
      </c>
      <c r="T117" s="96">
        <f>Tabella8[[#This Row],[Lombardy fit]]</f>
        <v>66740.0083428785</v>
      </c>
      <c r="U117" s="91">
        <f>Tabella3[[#This Row],[Lombardy cumul. Fit]]/Kl</f>
        <v>0.76712653267676434</v>
      </c>
      <c r="V117" s="91">
        <f>IFERROR(Kl*_xlfn.LOGNORM.DIST((Tabella3[[#This Row],[Day]]-pl),mu_l,sigma_l,FALSE),0)</f>
        <v>991.90101172920083</v>
      </c>
      <c r="W117" s="91">
        <f>Tabella3[[#This Row],[Lombardy fit]]/y_l_peak</f>
        <v>0.56423589317357126</v>
      </c>
      <c r="X117" s="91">
        <f>Tabella3[[#This Row],[Lombardy fit]]*NOT(ISBLANK(Tabella3[[#This Row],[Lombardy data]]))</f>
        <v>991.90101172920083</v>
      </c>
      <c r="Y117" s="91">
        <f>Tabella3[[#This Row],[Lombardy fit]]+CIl</f>
        <v>1740.8563835328246</v>
      </c>
      <c r="Z117" s="91">
        <f>MAX(Tabella3[[#This Row],[Lombardy fit]]-CIl,0)</f>
        <v>242.94563992557721</v>
      </c>
      <c r="AA117" s="10">
        <f>Tabella8[[#This Row],[rest of Italy ]]</f>
        <v>112736</v>
      </c>
      <c r="AB117" s="10">
        <f>(Tabella3[[#This Row],[rest of Italy cum. Data]]-AA116)</f>
        <v>2192</v>
      </c>
      <c r="AC117" s="91">
        <f>Tabella3[[#This Row],[rest of Italy data]]*NOT(ISBLANK(Tabella3[[#This Row],[rest of Italy data]]))</f>
        <v>2192</v>
      </c>
      <c r="AD117" s="96">
        <f>Tabella8[[#This Row],[rest of Italy fit]]</f>
        <v>113388.02458773604</v>
      </c>
      <c r="AE117" s="91">
        <f>Tabella3[[#This Row],[rest of Italy cumul. Fit]]/Ka</f>
        <v>0.76613539045546086</v>
      </c>
      <c r="AF117" s="91">
        <f>IFERROR(Ka*_xlfn.LOGNORM.DIST((Tabella3[[#This Row],[Day]]-pa),mu_a,sigma_a,FALSE),0)</f>
        <v>1951.938244562695</v>
      </c>
      <c r="AG117" s="91">
        <f>Tabella3[[#This Row],[rest of Italy fit]]/y_a_peak</f>
        <v>0.57764193955313148</v>
      </c>
      <c r="AH117" s="91">
        <f>Tabella3[[#This Row],[rest of Italy fit]]*NOT(ISBLANK(Tabella3[[#This Row],[rest of Italy data]]))</f>
        <v>1951.938244562695</v>
      </c>
      <c r="AI117" s="91">
        <f>Tabella3[[#This Row],[rest of Italy fit]]+CIa</f>
        <v>2646.5902804262923</v>
      </c>
      <c r="AJ117" s="91">
        <f>MAX(Tabella3[[#This Row],[rest of Italy fit]]-CIa,0)</f>
        <v>1257.2862086990976</v>
      </c>
    </row>
    <row r="118" spans="2:39" x14ac:dyDescent="0.3">
      <c r="B118" s="9">
        <v>43941</v>
      </c>
      <c r="C118" s="4">
        <v>111</v>
      </c>
      <c r="D118" s="91">
        <f>'dpc-covid19-ita-andamento-naz'!L58</f>
        <v>181228</v>
      </c>
      <c r="E118" s="91">
        <f>(Tabella3[[#This Row],[Italy cumul. Data]]-D117)</f>
        <v>2256</v>
      </c>
      <c r="F118" s="91">
        <f>Tabella3[[#This Row],[Italy data]]*NOT(ISBLANK(Tabella3[[#This Row],[Italy data]]))</f>
        <v>2256</v>
      </c>
      <c r="G118" s="96">
        <f>Tabella8[[#This Row],[Italy fit]]</f>
        <v>182718.95994659094</v>
      </c>
      <c r="H118" s="96">
        <f>Tabella3[[#This Row],[Italy cumul. Fit]]/Kf</f>
        <v>0.77752770128598692</v>
      </c>
      <c r="I118" s="96">
        <f>Tabella3[[#This Row],[Lombardy fit]]+Tabella3[[#This Row],[rest of Italy fit]]</f>
        <v>2817.4588955786617</v>
      </c>
      <c r="J118" s="96">
        <f>Tabella3[[#This Row],[Italy (fitted Lombardy + fitted sum of the other regions)]]/(y_l_peak+y_a_peak)</f>
        <v>0.54845281039263027</v>
      </c>
      <c r="K118" s="91">
        <f>IFERROR(Kf*_xlfn.LOGNORM.DIST((Tabella3[[#This Row],[Day]]-D_bk),mu_f,sigma_f,FALSE),0)</f>
        <v>2844.8089721158422</v>
      </c>
      <c r="L118" s="91">
        <f>Tabella3[[#This Row],[Italy fit]]/y_f_peak</f>
        <v>0.5620362416284449</v>
      </c>
      <c r="M118" s="91">
        <f>Tabella3[[#This Row],[Italy (fitted Lombardy + fitted sum of the other regions)]]*NOT(ISBLANK(Tabella3[[#This Row],[Italy data]]))</f>
        <v>2817.4588955786617</v>
      </c>
      <c r="N118" s="91">
        <f>Tabella3[[#This Row],[Italy fit]]*NOT(ISBLANK(Tabella3[[#This Row],[Italy data]]))</f>
        <v>2844.8089721158422</v>
      </c>
      <c r="O118" s="91">
        <f>Tabella3[[#This Row],[Italy fit]]+CIf</f>
        <v>3858.57197413616</v>
      </c>
      <c r="P118" s="91">
        <f>MAX(Tabella3[[#This Row],[Italy fit]]-CIf,0)</f>
        <v>1831.0459700955244</v>
      </c>
      <c r="Q118" s="4">
        <f>Tabella8[[#This Row],[Lombardy]]</f>
        <v>66971</v>
      </c>
      <c r="R118" s="91">
        <f>(Tabella3[[#This Row],[Lombardy cumul. Data]]-Q117)</f>
        <v>735</v>
      </c>
      <c r="S118" s="91">
        <f>Tabella3[[#This Row],[Lombardy data]]*NOT(ISBLANK(Tabella3[[#This Row],[Lombardy data]]))</f>
        <v>735</v>
      </c>
      <c r="T118" s="96">
        <f>Tabella8[[#This Row],[Lombardy fit]]</f>
        <v>67712.244857883314</v>
      </c>
      <c r="U118" s="91">
        <f>Tabella3[[#This Row],[Lombardy cumul. Fit]]/Kl</f>
        <v>0.77830166503314158</v>
      </c>
      <c r="V118" s="91">
        <f>IFERROR(Kl*_xlfn.LOGNORM.DIST((Tabella3[[#This Row],[Day]]-pl),mu_l,sigma_l,FALSE),0)</f>
        <v>952.6954831916421</v>
      </c>
      <c r="W118" s="91">
        <f>Tabella3[[#This Row],[Lombardy fit]]/y_l_peak</f>
        <v>0.54193410483970605</v>
      </c>
      <c r="X118" s="91">
        <f>Tabella3[[#This Row],[Lombardy fit]]*NOT(ISBLANK(Tabella3[[#This Row],[Lombardy data]]))</f>
        <v>952.6954831916421</v>
      </c>
      <c r="Y118" s="91">
        <f>Tabella3[[#This Row],[Lombardy fit]]+CIl</f>
        <v>1701.6508549952657</v>
      </c>
      <c r="Z118" s="91">
        <f>MAX(Tabella3[[#This Row],[Lombardy fit]]-CIl,0)</f>
        <v>203.74011138801848</v>
      </c>
      <c r="AA118" s="10">
        <f>Tabella8[[#This Row],[rest of Italy ]]</f>
        <v>114257</v>
      </c>
      <c r="AB118" s="10">
        <f>(Tabella3[[#This Row],[rest of Italy cum. Data]]-AA117)</f>
        <v>1521</v>
      </c>
      <c r="AC118" s="91">
        <f>Tabella3[[#This Row],[rest of Italy data]]*NOT(ISBLANK(Tabella3[[#This Row],[rest of Italy data]]))</f>
        <v>1521</v>
      </c>
      <c r="AD118" s="96">
        <f>Tabella8[[#This Row],[rest of Italy fit]]</f>
        <v>115296.23414275379</v>
      </c>
      <c r="AE118" s="91">
        <f>Tabella3[[#This Row],[rest of Italy cumul. Fit]]/Ka</f>
        <v>0.77902869976056432</v>
      </c>
      <c r="AF118" s="91">
        <f>IFERROR(Ka*_xlfn.LOGNORM.DIST((Tabella3[[#This Row],[Day]]-pa),mu_a,sigma_a,FALSE),0)</f>
        <v>1864.7634123870196</v>
      </c>
      <c r="AG118" s="91">
        <f>Tabella3[[#This Row],[rest of Italy fit]]/y_a_peak</f>
        <v>0.55184407464708396</v>
      </c>
      <c r="AH118" s="91">
        <f>Tabella3[[#This Row],[rest of Italy fit]]*NOT(ISBLANK(Tabella3[[#This Row],[rest of Italy data]]))</f>
        <v>1864.7634123870196</v>
      </c>
      <c r="AI118" s="91">
        <f>Tabella3[[#This Row],[rest of Italy fit]]+CIa</f>
        <v>2559.4154482506169</v>
      </c>
      <c r="AJ118" s="91">
        <f>MAX(Tabella3[[#This Row],[rest of Italy fit]]-CIa,0)</f>
        <v>1170.1113765234222</v>
      </c>
    </row>
    <row r="119" spans="2:39" x14ac:dyDescent="0.3">
      <c r="B119" s="9">
        <v>43942</v>
      </c>
      <c r="C119" s="4">
        <v>112</v>
      </c>
      <c r="D119" s="91">
        <f>'dpc-covid19-ita-andamento-naz'!L59</f>
        <v>183957</v>
      </c>
      <c r="E119" s="91">
        <f>(Tabella3[[#This Row],[Italy cumul. Data]]-D118)</f>
        <v>2729</v>
      </c>
      <c r="F119" s="91">
        <f>Tabella3[[#This Row],[Italy data]]*NOT(ISBLANK(Tabella3[[#This Row],[Italy data]]))</f>
        <v>2729</v>
      </c>
      <c r="G119" s="96">
        <f>Tabella8[[#This Row],[Italy fit]]</f>
        <v>185502.13098157951</v>
      </c>
      <c r="H119" s="96">
        <f>Tabella3[[#This Row],[Italy cumul. Fit]]/Kf</f>
        <v>0.78937098551742602</v>
      </c>
      <c r="I119" s="96">
        <f>Tabella3[[#This Row],[Lombardy fit]]+Tabella3[[#This Row],[rest of Italy fit]]</f>
        <v>2693.6647993322536</v>
      </c>
      <c r="J119" s="96">
        <f>Tabella3[[#This Row],[Italy (fitted Lombardy + fitted sum of the other regions)]]/(y_l_peak+y_a_peak)</f>
        <v>0.52435477648594087</v>
      </c>
      <c r="K119" s="91">
        <f>IFERROR(Kf*_xlfn.LOGNORM.DIST((Tabella3[[#This Row],[Day]]-D_bk),mu_f,sigma_f,FALSE),0)</f>
        <v>2721.9372668355281</v>
      </c>
      <c r="L119" s="91">
        <f>Tabella3[[#This Row],[Italy fit]]/y_f_peak</f>
        <v>0.53776102592323605</v>
      </c>
      <c r="M119" s="91">
        <f>Tabella3[[#This Row],[Italy (fitted Lombardy + fitted sum of the other regions)]]*NOT(ISBLANK(Tabella3[[#This Row],[Italy data]]))</f>
        <v>2693.6647993322536</v>
      </c>
      <c r="N119" s="91">
        <f>Tabella3[[#This Row],[Italy fit]]*NOT(ISBLANK(Tabella3[[#This Row],[Italy data]]))</f>
        <v>2721.9372668355281</v>
      </c>
      <c r="O119" s="91">
        <f>Tabella3[[#This Row],[Italy fit]]+CIf</f>
        <v>3735.7002688558459</v>
      </c>
      <c r="P119" s="91">
        <f>MAX(Tabella3[[#This Row],[Italy fit]]-CIf,0)</f>
        <v>1708.1742648152103</v>
      </c>
      <c r="Q119" s="4">
        <f>Tabella8[[#This Row],[Lombardy]]</f>
        <v>67931</v>
      </c>
      <c r="R119" s="91">
        <f>(Tabella3[[#This Row],[Lombardy cumul. Data]]-Q118)</f>
        <v>960</v>
      </c>
      <c r="S119" s="91">
        <f>Tabella3[[#This Row],[Lombardy data]]*NOT(ISBLANK(Tabella3[[#This Row],[Lombardy data]]))</f>
        <v>960</v>
      </c>
      <c r="T119" s="96">
        <f>Tabella8[[#This Row],[Lombardy fit]]</f>
        <v>68645.658331171959</v>
      </c>
      <c r="U119" s="91">
        <f>Tabella3[[#This Row],[Lombardy cumul. Fit]]/Kl</f>
        <v>0.78903055553071222</v>
      </c>
      <c r="V119" s="91">
        <f>IFERROR(Kl*_xlfn.LOGNORM.DIST((Tabella3[[#This Row],[Day]]-pl),mu_l,sigma_l,FALSE),0)</f>
        <v>914.26665184004321</v>
      </c>
      <c r="W119" s="91">
        <f>Tabella3[[#This Row],[Lombardy fit]]/y_l_peak</f>
        <v>0.5200741352208772</v>
      </c>
      <c r="X119" s="91">
        <f>Tabella3[[#This Row],[Lombardy fit]]*NOT(ISBLANK(Tabella3[[#This Row],[Lombardy data]]))</f>
        <v>914.26665184004321</v>
      </c>
      <c r="Y119" s="91">
        <f>Tabella3[[#This Row],[Lombardy fit]]+CIl</f>
        <v>1663.2220236436669</v>
      </c>
      <c r="Z119" s="91">
        <f>MAX(Tabella3[[#This Row],[Lombardy fit]]-CIl,0)</f>
        <v>165.31128003641959</v>
      </c>
      <c r="AA119" s="10">
        <f>Tabella8[[#This Row],[rest of Italy ]]</f>
        <v>116026</v>
      </c>
      <c r="AB119" s="10">
        <f>(Tabella3[[#This Row],[rest of Italy cum. Data]]-AA118)</f>
        <v>1769</v>
      </c>
      <c r="AC119" s="91">
        <f>Tabella3[[#This Row],[rest of Italy data]]*NOT(ISBLANK(Tabella3[[#This Row],[rest of Italy data]]))</f>
        <v>1769</v>
      </c>
      <c r="AD119" s="96">
        <f>Tabella8[[#This Row],[rest of Italy fit]]</f>
        <v>117118.15501163721</v>
      </c>
      <c r="AE119" s="91">
        <f>Tabella3[[#This Row],[rest of Italy cumul. Fit]]/Ka</f>
        <v>0.79133897733472647</v>
      </c>
      <c r="AF119" s="91">
        <f>IFERROR(Ka*_xlfn.LOGNORM.DIST((Tabella3[[#This Row],[Day]]-pa),mu_a,sigma_a,FALSE),0)</f>
        <v>1779.3981474922105</v>
      </c>
      <c r="AG119" s="91">
        <f>Tabella3[[#This Row],[rest of Italy fit]]/y_a_peak</f>
        <v>0.52658171948719934</v>
      </c>
      <c r="AH119" s="91">
        <f>Tabella3[[#This Row],[rest of Italy fit]]*NOT(ISBLANK(Tabella3[[#This Row],[rest of Italy data]]))</f>
        <v>1779.3981474922105</v>
      </c>
      <c r="AI119" s="91">
        <f>Tabella3[[#This Row],[rest of Italy fit]]+CIa</f>
        <v>2474.0501833558078</v>
      </c>
      <c r="AJ119" s="91">
        <f>MAX(Tabella3[[#This Row],[rest of Italy fit]]-CIa,0)</f>
        <v>1084.7461116286131</v>
      </c>
    </row>
    <row r="120" spans="2:39" x14ac:dyDescent="0.3">
      <c r="B120" s="9">
        <v>43943</v>
      </c>
      <c r="C120" s="4">
        <v>113</v>
      </c>
      <c r="D120" s="91">
        <f>'dpc-covid19-ita-andamento-naz'!L60</f>
        <v>187327</v>
      </c>
      <c r="E120" s="91">
        <f>(Tabella3[[#This Row],[Italy cumul. Data]]-D119)</f>
        <v>3370</v>
      </c>
      <c r="F120" s="91">
        <f>Tabella3[[#This Row],[Italy data]]*NOT(ISBLANK(Tabella3[[#This Row],[Italy data]]))</f>
        <v>3370</v>
      </c>
      <c r="G120" s="96">
        <f>Tabella8[[#This Row],[Italy fit]]</f>
        <v>188163.68888382229</v>
      </c>
      <c r="H120" s="96">
        <f>Tabella3[[#This Row],[Italy cumul. Fit]]/Kf</f>
        <v>0.80069676691512703</v>
      </c>
      <c r="I120" s="96">
        <f>Tabella3[[#This Row],[Lombardy fit]]+Tabella3[[#This Row],[rest of Italy fit]]</f>
        <v>2572.7276141367142</v>
      </c>
      <c r="J120" s="96">
        <f>Tabella3[[#This Row],[Italy (fitted Lombardy + fitted sum of the other regions)]]/(y_l_peak+y_a_peak)</f>
        <v>0.50081287523387485</v>
      </c>
      <c r="K120" s="91">
        <f>IFERROR(Kf*_xlfn.LOGNORM.DIST((Tabella3[[#This Row],[Day]]-D_bk),mu_f,sigma_f,FALSE),0)</f>
        <v>2601.6273401431858</v>
      </c>
      <c r="L120" s="91">
        <f>Tabella3[[#This Row],[Italy fit]]/y_f_peak</f>
        <v>0.51399192940690086</v>
      </c>
      <c r="M120" s="91">
        <f>Tabella3[[#This Row],[Italy (fitted Lombardy + fitted sum of the other regions)]]*NOT(ISBLANK(Tabella3[[#This Row],[Italy data]]))</f>
        <v>2572.7276141367142</v>
      </c>
      <c r="N120" s="91">
        <f>Tabella3[[#This Row],[Italy fit]]*NOT(ISBLANK(Tabella3[[#This Row],[Italy data]]))</f>
        <v>2601.6273401431858</v>
      </c>
      <c r="O120" s="91">
        <f>Tabella3[[#This Row],[Italy fit]]+CIf</f>
        <v>3615.3903421635036</v>
      </c>
      <c r="P120" s="91">
        <f>MAX(Tabella3[[#This Row],[Italy fit]]-CIf,0)</f>
        <v>1587.864338122868</v>
      </c>
      <c r="Q120" s="4">
        <f>Tabella8[[#This Row],[Lombardy]]</f>
        <v>69092</v>
      </c>
      <c r="R120" s="91">
        <f>(Tabella3[[#This Row],[Lombardy cumul. Data]]-Q119)</f>
        <v>1161</v>
      </c>
      <c r="S120" s="91">
        <f>Tabella3[[#This Row],[Lombardy data]]*NOT(ISBLANK(Tabella3[[#This Row],[Lombardy data]]))</f>
        <v>1161</v>
      </c>
      <c r="T120" s="96">
        <f>Tabella8[[#This Row],[Lombardy fit]]</f>
        <v>69541.058826994791</v>
      </c>
      <c r="U120" s="91">
        <f>Tabella3[[#This Row],[Lombardy cumul. Fit]]/Kl</f>
        <v>0.79932251525281373</v>
      </c>
      <c r="V120" s="91">
        <f>IFERROR(Kl*_xlfn.LOGNORM.DIST((Tabella3[[#This Row],[Day]]-pl),mu_l,sigma_l,FALSE),0)</f>
        <v>876.67947430216725</v>
      </c>
      <c r="W120" s="91">
        <f>Tabella3[[#This Row],[Lombardy fit]]/y_l_peak</f>
        <v>0.49869293443655227</v>
      </c>
      <c r="X120" s="91">
        <f>Tabella3[[#This Row],[Lombardy fit]]*NOT(ISBLANK(Tabella3[[#This Row],[Lombardy data]]))</f>
        <v>876.67947430216725</v>
      </c>
      <c r="Y120" s="91">
        <f>Tabella3[[#This Row],[Lombardy fit]]+CIl</f>
        <v>1625.634846105791</v>
      </c>
      <c r="Z120" s="91">
        <f>MAX(Tabella3[[#This Row],[Lombardy fit]]-CIl,0)</f>
        <v>127.72410249854363</v>
      </c>
      <c r="AA120" s="10">
        <f>Tabella8[[#This Row],[rest of Italy ]]</f>
        <v>118235</v>
      </c>
      <c r="AB120" s="10">
        <f>(Tabella3[[#This Row],[rest of Italy cum. Data]]-AA119)</f>
        <v>2209</v>
      </c>
      <c r="AC120" s="91">
        <f>Tabella3[[#This Row],[rest of Italy data]]*NOT(ISBLANK(Tabella3[[#This Row],[rest of Italy data]]))</f>
        <v>2209</v>
      </c>
      <c r="AD120" s="96">
        <f>Tabella8[[#This Row],[rest of Italy fit]]</f>
        <v>118855.70257040823</v>
      </c>
      <c r="AE120" s="91">
        <f>Tabella3[[#This Row],[rest of Italy cumul. Fit]]/Ka</f>
        <v>0.80307916490933173</v>
      </c>
      <c r="AF120" s="91">
        <f>IFERROR(Ka*_xlfn.LOGNORM.DIST((Tabella3[[#This Row],[Day]]-pa),mu_a,sigma_a,FALSE),0)</f>
        <v>1696.0481398345469</v>
      </c>
      <c r="AG120" s="91">
        <f>Tabella3[[#This Row],[rest of Italy fit]]/y_a_peak</f>
        <v>0.50191574441382936</v>
      </c>
      <c r="AH120" s="91">
        <f>Tabella3[[#This Row],[rest of Italy fit]]*NOT(ISBLANK(Tabella3[[#This Row],[rest of Italy data]]))</f>
        <v>1696.0481398345469</v>
      </c>
      <c r="AI120" s="91">
        <f>Tabella3[[#This Row],[rest of Italy fit]]+CIa</f>
        <v>2390.7001756981444</v>
      </c>
      <c r="AJ120" s="91">
        <f>MAX(Tabella3[[#This Row],[rest of Italy fit]]-CIa,0)</f>
        <v>1001.3961039709495</v>
      </c>
    </row>
    <row r="121" spans="2:39" x14ac:dyDescent="0.3">
      <c r="B121" s="9">
        <v>43944</v>
      </c>
      <c r="C121" s="4">
        <v>114</v>
      </c>
      <c r="D121" s="91">
        <f>'dpc-covid19-ita-andamento-naz'!L61</f>
        <v>189973</v>
      </c>
      <c r="E121" s="91">
        <f>(Tabella3[[#This Row],[Italy cumul. Data]]-D120)</f>
        <v>2646</v>
      </c>
      <c r="F121" s="91">
        <f>Tabella3[[#This Row],[Italy data]]*NOT(ISBLANK(Tabella3[[#This Row],[Italy data]]))</f>
        <v>2646</v>
      </c>
      <c r="G121" s="96">
        <f>Tabella8[[#This Row],[Italy fit]]</f>
        <v>190706.32231918254</v>
      </c>
      <c r="H121" s="96">
        <f>Tabella3[[#This Row],[Italy cumul. Fit]]/Kf</f>
        <v>0.81151648661354492</v>
      </c>
      <c r="I121" s="96">
        <f>Tabella3[[#This Row],[Lombardy fit]]+Tabella3[[#This Row],[rest of Italy fit]]</f>
        <v>2454.8734890110663</v>
      </c>
      <c r="J121" s="96">
        <f>Tabella3[[#This Row],[Italy (fitted Lombardy + fitted sum of the other regions)]]/(y_l_peak+y_a_peak)</f>
        <v>0.47787112930708975</v>
      </c>
      <c r="K121" s="91">
        <f>IFERROR(Kf*_xlfn.LOGNORM.DIST((Tabella3[[#This Row],[Day]]-D_bk),mu_f,sigma_f,FALSE),0)</f>
        <v>2484.1260516902303</v>
      </c>
      <c r="L121" s="91">
        <f>Tabella3[[#This Row],[Italy fit]]/y_f_peak</f>
        <v>0.49077772304158507</v>
      </c>
      <c r="M121" s="91">
        <f>Tabella3[[#This Row],[Italy (fitted Lombardy + fitted sum of the other regions)]]*NOT(ISBLANK(Tabella3[[#This Row],[Italy data]]))</f>
        <v>2454.8734890110663</v>
      </c>
      <c r="N121" s="91">
        <f>Tabella3[[#This Row],[Italy fit]]*NOT(ISBLANK(Tabella3[[#This Row],[Italy data]]))</f>
        <v>2484.1260516902303</v>
      </c>
      <c r="O121" s="91">
        <f>Tabella3[[#This Row],[Italy fit]]+CIf</f>
        <v>3497.8890537105481</v>
      </c>
      <c r="P121" s="91">
        <f>MAX(Tabella3[[#This Row],[Italy fit]]-CIf,0)</f>
        <v>1470.3630496699125</v>
      </c>
      <c r="Q121" s="4">
        <f>Tabella8[[#This Row],[Lombardy]]</f>
        <v>70165</v>
      </c>
      <c r="R121" s="91">
        <f>(Tabella3[[#This Row],[Lombardy cumul. Data]]-Q120)</f>
        <v>1073</v>
      </c>
      <c r="S121" s="91">
        <f>Tabella3[[#This Row],[Lombardy data]]*NOT(ISBLANK(Tabella3[[#This Row],[Lombardy data]]))</f>
        <v>1073</v>
      </c>
      <c r="T121" s="96">
        <f>Tabella8[[#This Row],[Lombardy fit]]</f>
        <v>70399.316163647018</v>
      </c>
      <c r="U121" s="91">
        <f>Tabella3[[#This Row],[Lombardy cumul. Fit]]/Kl</f>
        <v>0.80918754211088528</v>
      </c>
      <c r="V121" s="91">
        <f>IFERROR(Kl*_xlfn.LOGNORM.DIST((Tabella3[[#This Row],[Day]]-pl),mu_l,sigma_l,FALSE),0)</f>
        <v>839.98863163849398</v>
      </c>
      <c r="W121" s="91">
        <f>Tabella3[[#This Row],[Lombardy fit]]/y_l_peak</f>
        <v>0.47782160742223873</v>
      </c>
      <c r="X121" s="91">
        <f>Tabella3[[#This Row],[Lombardy fit]]*NOT(ISBLANK(Tabella3[[#This Row],[Lombardy data]]))</f>
        <v>839.98863163849398</v>
      </c>
      <c r="Y121" s="91">
        <f>Tabella3[[#This Row],[Lombardy fit]]+CIl</f>
        <v>1588.9440034421177</v>
      </c>
      <c r="Z121" s="91">
        <f>MAX(Tabella3[[#This Row],[Lombardy fit]]-CIl,0)</f>
        <v>91.033259834870364</v>
      </c>
      <c r="AA121" s="10">
        <f>Tabella8[[#This Row],[rest of Italy ]]</f>
        <v>119808</v>
      </c>
      <c r="AB121" s="10">
        <f>(Tabella3[[#This Row],[rest of Italy cum. Data]]-AA120)</f>
        <v>1573</v>
      </c>
      <c r="AC121" s="91">
        <f>Tabella3[[#This Row],[rest of Italy data]]*NOT(ISBLANK(Tabella3[[#This Row],[rest of Italy data]]))</f>
        <v>1573</v>
      </c>
      <c r="AD121" s="96">
        <f>Tabella8[[#This Row],[rest of Italy fit]]</f>
        <v>120510.9805500728</v>
      </c>
      <c r="AE121" s="91">
        <f>Tabella3[[#This Row],[rest of Italy cumul. Fit]]/Ka</f>
        <v>0.81426347688472356</v>
      </c>
      <c r="AF121" s="91">
        <f>IFERROR(Ka*_xlfn.LOGNORM.DIST((Tabella3[[#This Row],[Day]]-pa),mu_a,sigma_a,FALSE),0)</f>
        <v>1614.8848573725725</v>
      </c>
      <c r="AG121" s="91">
        <f>Tabella3[[#This Row],[rest of Italy fit]]/y_a_peak</f>
        <v>0.47789689236641886</v>
      </c>
      <c r="AH121" s="91">
        <f>Tabella3[[#This Row],[rest of Italy fit]]*NOT(ISBLANK(Tabella3[[#This Row],[rest of Italy data]]))</f>
        <v>1614.8848573725725</v>
      </c>
      <c r="AI121" s="91">
        <f>Tabella3[[#This Row],[rest of Italy fit]]+CIa</f>
        <v>2309.5368932361698</v>
      </c>
      <c r="AJ121" s="91">
        <f>MAX(Tabella3[[#This Row],[rest of Italy fit]]-CIa,0)</f>
        <v>920.23282150897512</v>
      </c>
    </row>
    <row r="122" spans="2:39" x14ac:dyDescent="0.3">
      <c r="B122" s="9">
        <v>43945</v>
      </c>
      <c r="C122" s="4">
        <v>115</v>
      </c>
      <c r="D122" s="91">
        <f>'dpc-covid19-ita-andamento-naz'!L62</f>
        <v>192994</v>
      </c>
      <c r="E122" s="91">
        <f>(Tabella3[[#This Row],[Italy cumul. Data]]-D121)</f>
        <v>3021</v>
      </c>
      <c r="F122" s="91">
        <f>Tabella3[[#This Row],[Italy data]]*NOT(ISBLANK(Tabella3[[#This Row],[Italy data]]))</f>
        <v>3021</v>
      </c>
      <c r="G122" s="96">
        <f>Tabella8[[#This Row],[Italy fit]]</f>
        <v>193132.94656158893</v>
      </c>
      <c r="H122" s="96">
        <f>Tabella3[[#This Row],[Italy cumul. Fit]]/Kf</f>
        <v>0.82184255003703743</v>
      </c>
      <c r="I122" s="96">
        <f>Tabella3[[#This Row],[Lombardy fit]]+Tabella3[[#This Row],[rest of Italy fit]]</f>
        <v>2340.2875323296062</v>
      </c>
      <c r="J122" s="96">
        <f>Tabella3[[#This Row],[Italy (fitted Lombardy + fitted sum of the other regions)]]/(y_l_peak+y_a_peak)</f>
        <v>0.45556557231312778</v>
      </c>
      <c r="K122" s="91">
        <f>IFERROR(Kf*_xlfn.LOGNORM.DIST((Tabella3[[#This Row],[Day]]-D_bk),mu_f,sigma_f,FALSE),0)</f>
        <v>2369.6402515683762</v>
      </c>
      <c r="L122" s="91">
        <f>Tabella3[[#This Row],[Italy fit]]/y_f_peak</f>
        <v>0.46815927327887386</v>
      </c>
      <c r="M122" s="91">
        <f>Tabella3[[#This Row],[Italy (fitted Lombardy + fitted sum of the other regions)]]*NOT(ISBLANK(Tabella3[[#This Row],[Italy data]]))</f>
        <v>2340.2875323296062</v>
      </c>
      <c r="N122" s="91">
        <f>Tabella3[[#This Row],[Italy fit]]*NOT(ISBLANK(Tabella3[[#This Row],[Italy data]]))</f>
        <v>2369.6402515683762</v>
      </c>
      <c r="O122" s="91">
        <f>Tabella3[[#This Row],[Italy fit]]+CIf</f>
        <v>3383.403253588694</v>
      </c>
      <c r="P122" s="91">
        <f>MAX(Tabella3[[#This Row],[Italy fit]]-CIf,0)</f>
        <v>1355.8772495480584</v>
      </c>
      <c r="Q122" s="4">
        <f>Tabella8[[#This Row],[Lombardy]]</f>
        <v>71256</v>
      </c>
      <c r="R122" s="91">
        <f>(Tabella3[[#This Row],[Lombardy cumul. Data]]-Q121)</f>
        <v>1091</v>
      </c>
      <c r="S122" s="91">
        <f>Tabella3[[#This Row],[Lombardy data]]*NOT(ISBLANK(Tabella3[[#This Row],[Lombardy data]]))</f>
        <v>1091</v>
      </c>
      <c r="T122" s="96">
        <f>Tabella8[[#This Row],[Lombardy fit]]</f>
        <v>71221.350024725776</v>
      </c>
      <c r="U122" s="91">
        <f>Tabella3[[#This Row],[Lombardy cumul. Fit]]/Kl</f>
        <v>0.81863620718075603</v>
      </c>
      <c r="V122" s="91">
        <f>IFERROR(Kl*_xlfn.LOGNORM.DIST((Tabella3[[#This Row],[Day]]-pl),mu_l,sigma_l,FALSE),0)</f>
        <v>804.23930078788555</v>
      </c>
      <c r="W122" s="91">
        <f>Tabella3[[#This Row],[Lombardy fit]]/y_l_peak</f>
        <v>0.4574858527609082</v>
      </c>
      <c r="X122" s="91">
        <f>Tabella3[[#This Row],[Lombardy fit]]*NOT(ISBLANK(Tabella3[[#This Row],[Lombardy data]]))</f>
        <v>804.23930078788555</v>
      </c>
      <c r="Y122" s="91">
        <f>Tabella3[[#This Row],[Lombardy fit]]+CIl</f>
        <v>1553.1946725915091</v>
      </c>
      <c r="Z122" s="91">
        <f>MAX(Tabella3[[#This Row],[Lombardy fit]]-CIl,0)</f>
        <v>55.283928984261934</v>
      </c>
      <c r="AA122" s="10">
        <f>Tabella8[[#This Row],[rest of Italy ]]</f>
        <v>121738</v>
      </c>
      <c r="AB122" s="10">
        <f>(Tabella3[[#This Row],[rest of Italy cum. Data]]-AA121)</f>
        <v>1930</v>
      </c>
      <c r="AC122" s="91">
        <f>Tabella3[[#This Row],[rest of Italy data]]*NOT(ISBLANK(Tabella3[[#This Row],[rest of Italy data]]))</f>
        <v>1930</v>
      </c>
      <c r="AD122" s="96">
        <f>Tabella8[[#This Row],[rest of Italy fit]]</f>
        <v>122086.24815815724</v>
      </c>
      <c r="AE122" s="91">
        <f>Tabella3[[#This Row],[rest of Italy cumul. Fit]]/Ka</f>
        <v>0.82490717817839743</v>
      </c>
      <c r="AF122" s="91">
        <f>IFERROR(Ka*_xlfn.LOGNORM.DIST((Tabella3[[#This Row],[Day]]-pa),mu_a,sigma_a,FALSE),0)</f>
        <v>1536.0482315417205</v>
      </c>
      <c r="AG122" s="91">
        <f>Tabella3[[#This Row],[rest of Italy fit]]/y_a_peak</f>
        <v>0.45456657360269159</v>
      </c>
      <c r="AH122" s="91">
        <f>Tabella3[[#This Row],[rest of Italy fit]]*NOT(ISBLANK(Tabella3[[#This Row],[rest of Italy data]]))</f>
        <v>1536.0482315417205</v>
      </c>
      <c r="AI122" s="91">
        <f>Tabella3[[#This Row],[rest of Italy fit]]+CIa</f>
        <v>2230.7002674053178</v>
      </c>
      <c r="AJ122" s="91">
        <f>MAX(Tabella3[[#This Row],[rest of Italy fit]]-CIa,0)</f>
        <v>841.39619567812315</v>
      </c>
    </row>
    <row r="123" spans="2:39" x14ac:dyDescent="0.3">
      <c r="B123" s="9">
        <v>43946</v>
      </c>
      <c r="C123" s="4">
        <v>116</v>
      </c>
      <c r="D123" s="91">
        <f>'dpc-covid19-ita-andamento-naz'!L63</f>
        <v>195351</v>
      </c>
      <c r="E123" s="91">
        <f>(Tabella3[[#This Row],[Italy cumul. Data]]-D122)</f>
        <v>2357</v>
      </c>
      <c r="F123" s="91">
        <f>Tabella3[[#This Row],[Italy data]]*NOT(ISBLANK(Tabella3[[#This Row],[Italy data]]))</f>
        <v>2357</v>
      </c>
      <c r="G123" s="96">
        <f>Tabella8[[#This Row],[Italy fit]]</f>
        <v>195446.66496482416</v>
      </c>
      <c r="H123" s="96">
        <f>Tabella3[[#This Row],[Italy cumul. Fit]]/Kf</f>
        <v>0.83168816294998538</v>
      </c>
      <c r="I123" s="96">
        <f>Tabella3[[#This Row],[Lombardy fit]]+Tabella3[[#This Row],[rest of Italy fit]]</f>
        <v>2229.117224789502</v>
      </c>
      <c r="J123" s="96">
        <f>Tabella3[[#This Row],[Italy (fitted Lombardy + fitted sum of the other regions)]]/(y_l_peak+y_a_peak)</f>
        <v>0.43392491317227438</v>
      </c>
      <c r="K123" s="91">
        <f>IFERROR(Kf*_xlfn.LOGNORM.DIST((Tabella3[[#This Row],[Day]]-D_bk),mu_f,sigma_f,FALSE),0)</f>
        <v>2258.339742236954</v>
      </c>
      <c r="L123" s="91">
        <f>Tabella3[[#This Row],[Italy fit]]/y_f_peak</f>
        <v>0.44617012723458299</v>
      </c>
      <c r="M123" s="91">
        <f>Tabella3[[#This Row],[Italy (fitted Lombardy + fitted sum of the other regions)]]*NOT(ISBLANK(Tabella3[[#This Row],[Italy data]]))</f>
        <v>2229.117224789502</v>
      </c>
      <c r="N123" s="91">
        <f>Tabella3[[#This Row],[Italy fit]]*NOT(ISBLANK(Tabella3[[#This Row],[Italy data]]))</f>
        <v>2258.339742236954</v>
      </c>
      <c r="O123" s="91">
        <f>Tabella3[[#This Row],[Italy fit]]+CIf</f>
        <v>3272.1027442572718</v>
      </c>
      <c r="P123" s="91">
        <f>MAX(Tabella3[[#This Row],[Italy fit]]-CIf,0)</f>
        <v>1244.5767402166362</v>
      </c>
      <c r="Q123" s="4">
        <f>Tabella8[[#This Row],[Lombardy]]</f>
        <v>71969</v>
      </c>
      <c r="R123" s="91">
        <f>(Tabella3[[#This Row],[Lombardy cumul. Data]]-Q122)</f>
        <v>713</v>
      </c>
      <c r="S123" s="91">
        <f>Tabella3[[#This Row],[Lombardy data]]*NOT(ISBLANK(Tabella3[[#This Row],[Lombardy data]]))</f>
        <v>713</v>
      </c>
      <c r="T123" s="96">
        <f>Tabella8[[#This Row],[Lombardy fit]]</f>
        <v>72008.120834134315</v>
      </c>
      <c r="U123" s="91">
        <f>Tabella3[[#This Row],[Lombardy cumul. Fit]]/Kl</f>
        <v>0.82767954981763581</v>
      </c>
      <c r="V123" s="91">
        <f>IFERROR(Kl*_xlfn.LOGNORM.DIST((Tabella3[[#This Row],[Day]]-pl),mu_l,sigma_l,FALSE),0)</f>
        <v>769.46790957141582</v>
      </c>
      <c r="W123" s="91">
        <f>Tabella3[[#This Row],[Lombardy fit]]/y_l_peak</f>
        <v>0.43770639216159918</v>
      </c>
      <c r="X123" s="91">
        <f>Tabella3[[#This Row],[Lombardy fit]]*NOT(ISBLANK(Tabella3[[#This Row],[Lombardy data]]))</f>
        <v>769.46790957141582</v>
      </c>
      <c r="Y123" s="91">
        <f>Tabella3[[#This Row],[Lombardy fit]]+CIl</f>
        <v>1518.4232813750396</v>
      </c>
      <c r="Z123" s="91">
        <f>MAX(Tabella3[[#This Row],[Lombardy fit]]-CIl,0)</f>
        <v>20.512537767792196</v>
      </c>
      <c r="AA123" s="10">
        <f>Tabella8[[#This Row],[rest of Italy ]]</f>
        <v>123382</v>
      </c>
      <c r="AB123" s="10">
        <f>(Tabella3[[#This Row],[rest of Italy cum. Data]]-AA122)</f>
        <v>1644</v>
      </c>
      <c r="AC123" s="91">
        <f>Tabella3[[#This Row],[rest of Italy data]]*NOT(ISBLANK(Tabella3[[#This Row],[rest of Italy data]]))</f>
        <v>1644</v>
      </c>
      <c r="AD123" s="96">
        <f>Tabella8[[#This Row],[rest of Italy fit]]</f>
        <v>123583.88987487515</v>
      </c>
      <c r="AE123" s="91">
        <f>Tabella3[[#This Row],[rest of Italy cumul. Fit]]/Ka</f>
        <v>0.83502638014502351</v>
      </c>
      <c r="AF123" s="91">
        <f>IFERROR(Ka*_xlfn.LOGNORM.DIST((Tabella3[[#This Row],[Day]]-pa),mu_a,sigma_a,FALSE),0)</f>
        <v>1459.6493152180863</v>
      </c>
      <c r="AG123" s="91">
        <f>Tabella3[[#This Row],[rest of Italy fit]]/y_a_peak</f>
        <v>0.43195765227648003</v>
      </c>
      <c r="AH123" s="91">
        <f>Tabella3[[#This Row],[rest of Italy fit]]*NOT(ISBLANK(Tabella3[[#This Row],[rest of Italy data]]))</f>
        <v>1459.6493152180863</v>
      </c>
      <c r="AI123" s="91">
        <f>Tabella3[[#This Row],[rest of Italy fit]]+CIa</f>
        <v>2154.3013510816836</v>
      </c>
      <c r="AJ123" s="91">
        <f>MAX(Tabella3[[#This Row],[rest of Italy fit]]-CIa,0)</f>
        <v>764.99727935448891</v>
      </c>
    </row>
    <row r="124" spans="2:39" x14ac:dyDescent="0.3">
      <c r="B124" s="9">
        <v>43947</v>
      </c>
      <c r="C124" s="4">
        <v>117</v>
      </c>
      <c r="D124" s="91">
        <f>'dpc-covid19-ita-andamento-naz'!L64</f>
        <v>197675</v>
      </c>
      <c r="E124" s="91">
        <f>(Tabella3[[#This Row],[Italy cumul. Data]]-D123)</f>
        <v>2324</v>
      </c>
      <c r="F124" s="91">
        <f>Tabella3[[#This Row],[Italy data]]*NOT(ISBLANK(Tabella3[[#This Row],[Italy data]]))</f>
        <v>2324</v>
      </c>
      <c r="G124" s="96">
        <f>Tabella8[[#This Row],[Italy fit]]</f>
        <v>197650.73338786166</v>
      </c>
      <c r="H124" s="96">
        <f>Tabella3[[#This Row],[Italy cumul. Fit]]/Kf</f>
        <v>0.84106718007520487</v>
      </c>
      <c r="I124" s="96">
        <f>Tabella3[[#This Row],[Lombardy fit]]+Tabella3[[#This Row],[rest of Italy fit]]</f>
        <v>2121.4757513127861</v>
      </c>
      <c r="J124" s="96">
        <f>Tabella3[[#This Row],[Italy (fitted Lombardy + fitted sum of the other regions)]]/(y_l_peak+y_a_peak)</f>
        <v>0.41297118471300487</v>
      </c>
      <c r="K124" s="91">
        <f>IFERROR(Kf*_xlfn.LOGNORM.DIST((Tabella3[[#This Row],[Day]]-D_bk),mu_f,sigma_f,FALSE),0)</f>
        <v>2150.3602178406941</v>
      </c>
      <c r="L124" s="91">
        <f>Tabella3[[#This Row],[Italy fit]]/y_f_peak</f>
        <v>0.42483709339668579</v>
      </c>
      <c r="M124" s="91">
        <f>Tabella3[[#This Row],[Italy (fitted Lombardy + fitted sum of the other regions)]]*NOT(ISBLANK(Tabella3[[#This Row],[Italy data]]))</f>
        <v>2121.4757513127861</v>
      </c>
      <c r="N124" s="91">
        <f>Tabella3[[#This Row],[Italy fit]]*NOT(ISBLANK(Tabella3[[#This Row],[Italy data]]))</f>
        <v>2150.3602178406941</v>
      </c>
      <c r="O124" s="91">
        <f>Tabella3[[#This Row],[Italy fit]]+CIf</f>
        <v>3164.1232198610119</v>
      </c>
      <c r="P124" s="91">
        <f>MAX(Tabella3[[#This Row],[Italy fit]]-CIf,0)</f>
        <v>1136.5972158203763</v>
      </c>
      <c r="Q124" s="4">
        <f>Tabella8[[#This Row],[Lombardy]]</f>
        <v>72889</v>
      </c>
      <c r="R124" s="91">
        <f>(Tabella3[[#This Row],[Lombardy cumul. Data]]-Q123)</f>
        <v>920</v>
      </c>
      <c r="S124" s="91">
        <f>Tabella3[[#This Row],[Lombardy data]]*NOT(ISBLANK(Tabella3[[#This Row],[Lombardy data]]))</f>
        <v>920</v>
      </c>
      <c r="T124" s="96">
        <f>Tabella8[[#This Row],[Lombardy fit]]</f>
        <v>72760.621375470975</v>
      </c>
      <c r="U124" s="91">
        <f>Tabella3[[#This Row],[Lombardy cumul. Fit]]/Kl</f>
        <v>0.83632898132725264</v>
      </c>
      <c r="V124" s="91">
        <f>IFERROR(Kl*_xlfn.LOGNORM.DIST((Tabella3[[#This Row],[Day]]-pl),mu_l,sigma_l,FALSE),0)</f>
        <v>735.70286962182229</v>
      </c>
      <c r="W124" s="91">
        <f>Tabella3[[#This Row],[Lombardy fit]]/y_l_peak</f>
        <v>0.41849938738116504</v>
      </c>
      <c r="X124" s="91">
        <f>Tabella3[[#This Row],[Lombardy fit]]*NOT(ISBLANK(Tabella3[[#This Row],[Lombardy data]]))</f>
        <v>735.70286962182229</v>
      </c>
      <c r="Y124" s="91">
        <f>Tabella3[[#This Row],[Lombardy fit]]+CIl</f>
        <v>1484.6582414254458</v>
      </c>
      <c r="Z124" s="91">
        <f>MAX(Tabella3[[#This Row],[Lombardy fit]]-CIl,0)</f>
        <v>0</v>
      </c>
      <c r="AA124" s="10">
        <f>Tabella8[[#This Row],[rest of Italy ]]</f>
        <v>124786</v>
      </c>
      <c r="AB124" s="10">
        <f>(Tabella3[[#This Row],[rest of Italy cum. Data]]-AA123)</f>
        <v>1404</v>
      </c>
      <c r="AC124" s="91">
        <f>Tabella3[[#This Row],[rest of Italy data]]*NOT(ISBLANK(Tabella3[[#This Row],[rest of Italy data]]))</f>
        <v>1404</v>
      </c>
      <c r="AD124" s="96">
        <f>Tabella8[[#This Row],[rest of Italy fit]]</f>
        <v>125006.38788010621</v>
      </c>
      <c r="AE124" s="91">
        <f>Tabella3[[#This Row],[rest of Italy cumul. Fit]]/Ka</f>
        <v>0.8446378542722276</v>
      </c>
      <c r="AF124" s="91">
        <f>IFERROR(Ka*_xlfn.LOGNORM.DIST((Tabella3[[#This Row],[Day]]-pa),mu_a,sigma_a,FALSE),0)</f>
        <v>1385.7728816909639</v>
      </c>
      <c r="AG124" s="91">
        <f>Tabella3[[#This Row],[rest of Italy fit]]/y_a_peak</f>
        <v>0.41009521555813216</v>
      </c>
      <c r="AH124" s="91">
        <f>Tabella3[[#This Row],[rest of Italy fit]]*NOT(ISBLANK(Tabella3[[#This Row],[rest of Italy data]]))</f>
        <v>1385.7728816909639</v>
      </c>
      <c r="AI124" s="91">
        <f>Tabella3[[#This Row],[rest of Italy fit]]+CIa</f>
        <v>2080.424917554561</v>
      </c>
      <c r="AJ124" s="91">
        <f>MAX(Tabella3[[#This Row],[rest of Italy fit]]-CIa,0)</f>
        <v>691.12084582736657</v>
      </c>
    </row>
    <row r="125" spans="2:39" x14ac:dyDescent="0.3">
      <c r="B125" s="9">
        <v>43948</v>
      </c>
      <c r="C125" s="4">
        <v>118</v>
      </c>
      <c r="D125" s="91">
        <f>'dpc-covid19-ita-andamento-naz'!L65</f>
        <v>199414</v>
      </c>
      <c r="E125" s="91">
        <f>(Tabella3[[#This Row],[Italy cumul. Data]]-D124)</f>
        <v>1739</v>
      </c>
      <c r="F125" s="91">
        <f>Tabella3[[#This Row],[Italy data]]*NOT(ISBLANK(Tabella3[[#This Row],[Italy data]]))</f>
        <v>1739</v>
      </c>
      <c r="G125" s="96">
        <f>Tabella8[[#This Row],[Italy fit]]</f>
        <v>199748.52753466243</v>
      </c>
      <c r="H125" s="96">
        <f>Tabella3[[#This Row],[Italy cumul. Fit]]/Kf</f>
        <v>0.84999396611432187</v>
      </c>
      <c r="I125" s="96">
        <f>Tabella3[[#This Row],[Lombardy fit]]+Tabella3[[#This Row],[rest of Italy fit]]</f>
        <v>2017.4452223853577</v>
      </c>
      <c r="J125" s="96">
        <f>Tabella3[[#This Row],[Italy (fitted Lombardy + fitted sum of the other regions)]]/(y_l_peak+y_a_peak)</f>
        <v>0.39272037074499433</v>
      </c>
      <c r="K125" s="91">
        <f>IFERROR(Kf*_xlfn.LOGNORM.DIST((Tabella3[[#This Row],[Day]]-D_bk),mu_f,sigma_f,FALSE),0)</f>
        <v>2045.8061490134219</v>
      </c>
      <c r="L125" s="91">
        <f>Tabella3[[#This Row],[Italy fit]]/y_f_peak</f>
        <v>0.4041808115631339</v>
      </c>
      <c r="M125" s="91">
        <f>Tabella3[[#This Row],[Italy (fitted Lombardy + fitted sum of the other regions)]]*NOT(ISBLANK(Tabella3[[#This Row],[Italy data]]))</f>
        <v>2017.4452223853577</v>
      </c>
      <c r="N125" s="91">
        <f>Tabella3[[#This Row],[Italy fit]]*NOT(ISBLANK(Tabella3[[#This Row],[Italy data]]))</f>
        <v>2045.8061490134219</v>
      </c>
      <c r="O125" s="91">
        <f>Tabella3[[#This Row],[Italy fit]]+CIf</f>
        <v>3059.5691510337397</v>
      </c>
      <c r="P125" s="91">
        <f>MAX(Tabella3[[#This Row],[Italy fit]]-CIf,0)</f>
        <v>1032.0431469931041</v>
      </c>
      <c r="Q125" s="4">
        <f>Tabella8[[#This Row],[Lombardy]]</f>
        <v>73479</v>
      </c>
      <c r="R125" s="91">
        <f>(Tabella3[[#This Row],[Lombardy cumul. Data]]-Q124)</f>
        <v>590</v>
      </c>
      <c r="S125" s="91">
        <f>Tabella3[[#This Row],[Lombardy data]]*NOT(ISBLANK(Tabella3[[#This Row],[Lombardy data]]))</f>
        <v>590</v>
      </c>
      <c r="T125" s="96">
        <f>Tabella8[[#This Row],[Lombardy fit]]</f>
        <v>73479.869131409956</v>
      </c>
      <c r="U125" s="91">
        <f>Tabella3[[#This Row],[Lombardy cumul. Fit]]/Kl</f>
        <v>0.84459619691275811</v>
      </c>
      <c r="V125" s="91">
        <f>IFERROR(Kl*_xlfn.LOGNORM.DIST((Tabella3[[#This Row],[Day]]-pl),mu_l,sigma_l,FALSE),0)</f>
        <v>702.96528278682194</v>
      </c>
      <c r="W125" s="91">
        <f>Tabella3[[#This Row],[Lombardy fit]]/y_l_peak</f>
        <v>0.39987684205681695</v>
      </c>
      <c r="X125" s="91">
        <f>Tabella3[[#This Row],[Lombardy fit]]*NOT(ISBLANK(Tabella3[[#This Row],[Lombardy data]]))</f>
        <v>702.96528278682194</v>
      </c>
      <c r="Y125" s="91">
        <f>Tabella3[[#This Row],[Lombardy fit]]+CIl</f>
        <v>1451.9206545904456</v>
      </c>
      <c r="Z125" s="91">
        <f>MAX(Tabella3[[#This Row],[Lombardy fit]]-CIl,0)</f>
        <v>0</v>
      </c>
      <c r="AA125" s="10">
        <f>Tabella8[[#This Row],[rest of Italy ]]</f>
        <v>125935</v>
      </c>
      <c r="AB125" s="10">
        <f>(Tabella3[[#This Row],[rest of Italy cum. Data]]-AA124)</f>
        <v>1149</v>
      </c>
      <c r="AC125" s="91">
        <f>Tabella3[[#This Row],[rest of Italy data]]*NOT(ISBLANK(Tabella3[[#This Row],[rest of Italy data]]))</f>
        <v>1149</v>
      </c>
      <c r="AD125" s="96">
        <f>Tabella8[[#This Row],[rest of Italy fit]]</f>
        <v>126356.29703916883</v>
      </c>
      <c r="AE125" s="91">
        <f>Tabella3[[#This Row],[rest of Italy cumul. Fit]]/Ka</f>
        <v>0.85375886316552219</v>
      </c>
      <c r="AF125" s="91">
        <f>IFERROR(Ka*_xlfn.LOGNORM.DIST((Tabella3[[#This Row],[Day]]-pa),mu_a,sigma_a,FALSE),0)</f>
        <v>1314.4799395985358</v>
      </c>
      <c r="AG125" s="91">
        <f>Tabella3[[#This Row],[rest of Italy fit]]/y_a_peak</f>
        <v>0.38899731788568531</v>
      </c>
      <c r="AH125" s="91">
        <f>Tabella3[[#This Row],[rest of Italy fit]]*NOT(ISBLANK(Tabella3[[#This Row],[rest of Italy data]]))</f>
        <v>1314.4799395985358</v>
      </c>
      <c r="AI125" s="91">
        <f>Tabella3[[#This Row],[rest of Italy fit]]+CIa</f>
        <v>2009.1319754621331</v>
      </c>
      <c r="AJ125" s="91">
        <f>MAX(Tabella3[[#This Row],[rest of Italy fit]]-CIa,0)</f>
        <v>619.82790373493845</v>
      </c>
    </row>
    <row r="126" spans="2:39" x14ac:dyDescent="0.3">
      <c r="B126" s="9">
        <v>43949</v>
      </c>
      <c r="C126" s="4">
        <v>119</v>
      </c>
      <c r="D126" s="91">
        <f>'dpc-covid19-ita-andamento-naz'!L66</f>
        <v>201505</v>
      </c>
      <c r="E126" s="91">
        <f>(Tabella3[[#This Row],[Italy cumul. Data]]-D125)</f>
        <v>2091</v>
      </c>
      <c r="F126" s="91">
        <f>Tabella3[[#This Row],[Italy data]]*NOT(ISBLANK(Tabella3[[#This Row],[Italy data]]))</f>
        <v>2091</v>
      </c>
      <c r="G126" s="96">
        <f>Tabella8[[#This Row],[Italy fit]]</f>
        <v>201743.51314047718</v>
      </c>
      <c r="H126" s="96">
        <f>Tabella3[[#This Row],[Italy cumul. Fit]]/Kf</f>
        <v>0.85848326888093773</v>
      </c>
      <c r="I126" s="96">
        <f>Tabella3[[#This Row],[Lombardy fit]]+Tabella3[[#This Row],[rest of Italy fit]]</f>
        <v>1917.0797620436399</v>
      </c>
      <c r="J126" s="96">
        <f>Tabella3[[#This Row],[Italy (fitted Lombardy + fitted sum of the other regions)]]/(y_l_peak+y_a_peak)</f>
        <v>0.37318300717346309</v>
      </c>
      <c r="K126" s="91">
        <f>IFERROR(Kf*_xlfn.LOGNORM.DIST((Tabella3[[#This Row],[Day]]-D_bk),mu_f,sigma_f,FALSE),0)</f>
        <v>1944.7535872223357</v>
      </c>
      <c r="L126" s="91">
        <f>Tabella3[[#This Row],[Italy fit]]/y_f_peak</f>
        <v>0.38421630688366981</v>
      </c>
      <c r="M126" s="91">
        <f>Tabella3[[#This Row],[Italy (fitted Lombardy + fitted sum of the other regions)]]*NOT(ISBLANK(Tabella3[[#This Row],[Italy data]]))</f>
        <v>1917.0797620436399</v>
      </c>
      <c r="N126" s="91">
        <f>Tabella3[[#This Row],[Italy fit]]*NOT(ISBLANK(Tabella3[[#This Row],[Italy data]]))</f>
        <v>1944.7535872223357</v>
      </c>
      <c r="O126" s="91">
        <f>Tabella3[[#This Row],[Italy fit]]+CIf</f>
        <v>2958.5165892426535</v>
      </c>
      <c r="P126" s="91">
        <f>MAX(Tabella3[[#This Row],[Italy fit]]-CIf,0)</f>
        <v>930.990585202018</v>
      </c>
      <c r="Q126" s="4">
        <f>Tabella8[[#This Row],[Lombardy]]</f>
        <v>74348</v>
      </c>
      <c r="R126" s="91">
        <f>(Tabella3[[#This Row],[Lombardy cumul. Data]]-Q125)</f>
        <v>869</v>
      </c>
      <c r="S126" s="91">
        <f>Tabella3[[#This Row],[Lombardy data]]*NOT(ISBLANK(Tabella3[[#This Row],[Lombardy data]]))</f>
        <v>869</v>
      </c>
      <c r="T126" s="96">
        <f>Tabella8[[#This Row],[Lombardy fit]]</f>
        <v>74166.8993147609</v>
      </c>
      <c r="U126" s="91">
        <f>Tabella3[[#This Row],[Lombardy cumul. Fit]]/Kl</f>
        <v>0.8524930955719644</v>
      </c>
      <c r="V126" s="91">
        <f>IFERROR(Kl*_xlfn.LOGNORM.DIST((Tabella3[[#This Row],[Day]]-pl),mu_l,sigma_l,FALSE),0)</f>
        <v>671.26961759335336</v>
      </c>
      <c r="W126" s="91">
        <f>Tabella3[[#This Row],[Lombardy fit]]/y_l_peak</f>
        <v>0.38184698650803595</v>
      </c>
      <c r="X126" s="91">
        <f>Tabella3[[#This Row],[Lombardy fit]]*NOT(ISBLANK(Tabella3[[#This Row],[Lombardy data]]))</f>
        <v>671.26961759335336</v>
      </c>
      <c r="Y126" s="91">
        <f>Tabella3[[#This Row],[Lombardy fit]]+CIl</f>
        <v>1420.224989396977</v>
      </c>
      <c r="Z126" s="91">
        <f>MAX(Tabella3[[#This Row],[Lombardy fit]]-CIl,0)</f>
        <v>0</v>
      </c>
      <c r="AA126" s="10">
        <f>Tabella8[[#This Row],[rest of Italy ]]</f>
        <v>127157</v>
      </c>
      <c r="AB126" s="10">
        <f>(Tabella3[[#This Row],[rest of Italy cum. Data]]-AA125)</f>
        <v>1222</v>
      </c>
      <c r="AC126" s="91">
        <f>Tabella3[[#This Row],[rest of Italy data]]*NOT(ISBLANK(Tabella3[[#This Row],[rest of Italy data]]))</f>
        <v>1222</v>
      </c>
      <c r="AD126" s="96">
        <f>Tabella8[[#This Row],[rest of Italy fit]]</f>
        <v>127636.22235321964</v>
      </c>
      <c r="AE126" s="91">
        <f>Tabella3[[#This Row],[rest of Italy cumul. Fit]]/Ka</f>
        <v>0.86240700818612259</v>
      </c>
      <c r="AF126" s="91">
        <f>IFERROR(Ka*_xlfn.LOGNORM.DIST((Tabella3[[#This Row],[Day]]-pa),mu_a,sigma_a,FALSE),0)</f>
        <v>1245.8101444502865</v>
      </c>
      <c r="AG126" s="91">
        <f>Tabella3[[#This Row],[rest of Italy fit]]/y_a_peak</f>
        <v>0.36867569461269206</v>
      </c>
      <c r="AH126" s="91">
        <f>Tabella3[[#This Row],[rest of Italy fit]]*NOT(ISBLANK(Tabella3[[#This Row],[rest of Italy data]]))</f>
        <v>1245.8101444502865</v>
      </c>
      <c r="AI126" s="91">
        <f>Tabella3[[#This Row],[rest of Italy fit]]+CIa</f>
        <v>1940.4621803138839</v>
      </c>
      <c r="AJ126" s="91">
        <f>MAX(Tabella3[[#This Row],[rest of Italy fit]]-CIa,0)</f>
        <v>551.1581085866892</v>
      </c>
    </row>
    <row r="127" spans="2:39" x14ac:dyDescent="0.3">
      <c r="B127" s="9">
        <v>43950</v>
      </c>
      <c r="C127" s="4">
        <v>120</v>
      </c>
      <c r="D127" s="91"/>
      <c r="E127" s="10"/>
      <c r="F127" s="91">
        <f>Tabella3[[#This Row],[Italy data]]*NOT(ISBLANK(Tabella3[[#This Row],[Italy data]]))</f>
        <v>0</v>
      </c>
      <c r="G127" s="96">
        <f>Tabella8[[#This Row],[Italy fit]]</f>
        <v>203639.218913466</v>
      </c>
      <c r="H127" s="96">
        <f>Tabella3[[#This Row],[Italy cumul. Fit]]/Kf</f>
        <v>0.86655010415855438</v>
      </c>
      <c r="I127" s="96">
        <f>Tabella3[[#This Row],[Lombardy fit]]+Tabella3[[#This Row],[rest of Italy fit]]</f>
        <v>1820.408445568456</v>
      </c>
      <c r="J127" s="96">
        <f>Tabella3[[#This Row],[Italy (fitted Lombardy + fitted sum of the other regions)]]/(y_l_peak+y_a_peak)</f>
        <v>0.35436475385719579</v>
      </c>
      <c r="K127" s="91">
        <f>IFERROR(Kf*_xlfn.LOGNORM.DIST((Tabella3[[#This Row],[Day]]-D_bk),mu_f,sigma_f,FALSE),0)</f>
        <v>1847.2528680339526</v>
      </c>
      <c r="L127" s="91">
        <f>Tabella3[[#This Row],[Italy fit]]/y_f_peak</f>
        <v>0.36495352393204256</v>
      </c>
      <c r="M127" s="91">
        <f>Tabella3[[#This Row],[Italy (fitted Lombardy + fitted sum of the other regions)]]*NOT(ISBLANK(Tabella3[[#This Row],[Italy data]]))</f>
        <v>0</v>
      </c>
      <c r="N127" s="91">
        <f>Tabella3[[#This Row],[Italy fit]]*NOT(ISBLANK(Tabella3[[#This Row],[Italy data]]))</f>
        <v>0</v>
      </c>
      <c r="R127" s="10"/>
      <c r="S127" s="91">
        <f>Tabella3[[#This Row],[Lombardy data]]*NOT(ISBLANK(Tabella3[[#This Row],[Lombardy data]]))</f>
        <v>0</v>
      </c>
      <c r="T127" s="96">
        <f>Tabella8[[#This Row],[Lombardy fit]]</f>
        <v>74822.758559943803</v>
      </c>
      <c r="U127" s="91">
        <f>Tabella3[[#This Row],[Lombardy cumul. Fit]]/Kl</f>
        <v>0.86003170758556091</v>
      </c>
      <c r="V127" s="91">
        <f>IFERROR(Kl*_xlfn.LOGNORM.DIST((Tabella3[[#This Row],[Day]]-pl),mu_l,sigma_l,FALSE),0)</f>
        <v>640.62435326623688</v>
      </c>
      <c r="W127" s="91">
        <f>Tabella3[[#This Row],[Lombardy fit]]/y_l_peak</f>
        <v>0.36441464408204455</v>
      </c>
      <c r="X127" s="91">
        <f>Tabella3[[#This Row],[Lombardy fit]]*NOT(ISBLANK(Tabella3[[#This Row],[Lombardy data]]))</f>
        <v>0</v>
      </c>
      <c r="AB127" s="10"/>
      <c r="AC127" s="91">
        <f>Tabella3[[#This Row],[rest of Italy data]]*NOT(ISBLANK(Tabella3[[#This Row],[rest of Italy data]]))</f>
        <v>0</v>
      </c>
      <c r="AD127" s="96">
        <f>Tabella8[[#This Row],[rest of Italy fit]]</f>
        <v>128848.7987632664</v>
      </c>
      <c r="AE127" s="91">
        <f>Tabella3[[#This Row],[rest of Italy cumul. Fit]]/Ka</f>
        <v>0.87060009299155927</v>
      </c>
      <c r="AF127" s="91">
        <f>IFERROR(Ka*_xlfn.LOGNORM.DIST((Tabella3[[#This Row],[Day]]-pa),mu_a,sigma_a,FALSE),0)</f>
        <v>1179.7840923022191</v>
      </c>
      <c r="AG127" s="91">
        <f>Tabella3[[#This Row],[rest of Italy fit]]/y_a_peak</f>
        <v>0.34913644078123157</v>
      </c>
      <c r="AH127" s="91">
        <f>Tabella3[[#This Row],[rest of Italy fit]]*NOT(ISBLANK(Tabella3[[#This Row],[rest of Italy data]]))</f>
        <v>0</v>
      </c>
    </row>
    <row r="128" spans="2:39" x14ac:dyDescent="0.3">
      <c r="B128" s="9">
        <v>43951</v>
      </c>
      <c r="C128" s="4">
        <v>121</v>
      </c>
      <c r="E128" s="10"/>
      <c r="F128" s="91">
        <f>Tabella3[[#This Row],[Italy data]]*NOT(ISBLANK(Tabella3[[#This Row],[Italy data]]))</f>
        <v>0</v>
      </c>
      <c r="G128" s="96">
        <f>Tabella8[[#This Row],[Italy fit]]</f>
        <v>205439.21212223719</v>
      </c>
      <c r="H128" s="96">
        <f>Tabella3[[#This Row],[Italy cumul. Fit]]/Kf</f>
        <v>0.8742096518177318</v>
      </c>
      <c r="I128" s="96">
        <f>Tabella3[[#This Row],[Lombardy fit]]+Tabella3[[#This Row],[rest of Italy fit]]</f>
        <v>1727.438074993044</v>
      </c>
      <c r="J128" s="96">
        <f>Tabella3[[#This Row],[Italy (fitted Lombardy + fitted sum of the other regions)]]/(y_l_peak+y_a_peak)</f>
        <v>0.33626693489509996</v>
      </c>
      <c r="K128" s="91">
        <f>IFERROR(Kf*_xlfn.LOGNORM.DIST((Tabella3[[#This Row],[Day]]-D_bk),mu_f,sigma_f,FALSE),0)</f>
        <v>1753.3311973975901</v>
      </c>
      <c r="L128" s="91">
        <f>Tabella3[[#This Row],[Italy fit]]/y_f_peak</f>
        <v>0.34639783766651983</v>
      </c>
      <c r="M128" s="91">
        <f>Tabella3[[#This Row],[Italy (fitted Lombardy + fitted sum of the other regions)]]*NOT(ISBLANK(Tabella3[[#This Row],[Italy data]]))</f>
        <v>0</v>
      </c>
      <c r="N128" s="91">
        <f>Tabella3[[#This Row],[Italy fit]]*NOT(ISBLANK(Tabella3[[#This Row],[Italy data]]))</f>
        <v>0</v>
      </c>
      <c r="R128" s="10"/>
      <c r="S128" s="91">
        <f>Tabella3[[#This Row],[Lombardy data]]*NOT(ISBLANK(Tabella3[[#This Row],[Lombardy data]]))</f>
        <v>0</v>
      </c>
      <c r="T128" s="96">
        <f>Tabella8[[#This Row],[Lombardy fit]]</f>
        <v>75448.499241512851</v>
      </c>
      <c r="U128" s="91">
        <f>Tabella3[[#This Row],[Lombardy cumul. Fit]]/Kl</f>
        <v>0.86722412921279135</v>
      </c>
      <c r="V128" s="91">
        <f>IFERROR(Kl*_xlfn.LOGNORM.DIST((Tabella3[[#This Row],[Day]]-pl),mu_l,sigma_l,FALSE),0)</f>
        <v>611.03258957880848</v>
      </c>
      <c r="W128" s="91">
        <f>Tabella3[[#This Row],[Lombardy fit]]/y_l_peak</f>
        <v>0.34758157806303758</v>
      </c>
      <c r="X128" s="91">
        <f>Tabella3[[#This Row],[Lombardy fit]]*NOT(ISBLANK(Tabella3[[#This Row],[Lombardy data]]))</f>
        <v>0</v>
      </c>
      <c r="AB128" s="10"/>
      <c r="AC128" s="91">
        <f>Tabella3[[#This Row],[rest of Italy data]]*NOT(ISBLANK(Tabella3[[#This Row],[rest of Italy data]]))</f>
        <v>0</v>
      </c>
      <c r="AD128" s="96">
        <f>Tabella8[[#This Row],[rest of Italy fit]]</f>
        <v>129996.67318453532</v>
      </c>
      <c r="AE128" s="91">
        <f>Tabella3[[#This Row],[rest of Italy cumul. Fit]]/Ka</f>
        <v>0.87835600214625331</v>
      </c>
      <c r="AF128" s="91">
        <f>IFERROR(Ka*_xlfn.LOGNORM.DIST((Tabella3[[#This Row],[Day]]-pa),mu_a,sigma_a,FALSE),0)</f>
        <v>1116.4054854142355</v>
      </c>
      <c r="AG128" s="91">
        <f>Tabella3[[#This Row],[rest of Italy fit]]/y_a_peak</f>
        <v>0.33038065201028494</v>
      </c>
      <c r="AH128" s="91">
        <f>Tabella3[[#This Row],[rest of Italy fit]]*NOT(ISBLANK(Tabella3[[#This Row],[rest of Italy data]]))</f>
        <v>0</v>
      </c>
    </row>
    <row r="129" spans="2:34" x14ac:dyDescent="0.3">
      <c r="B129" s="9">
        <v>43952</v>
      </c>
      <c r="C129" s="4">
        <v>122</v>
      </c>
      <c r="E129" s="10"/>
      <c r="F129" s="91">
        <f>Tabella3[[#This Row],[Italy data]]*NOT(ISBLANK(Tabella3[[#This Row],[Italy data]]))</f>
        <v>0</v>
      </c>
      <c r="G129" s="96">
        <f>Tabella8[[#This Row],[Italy fit]]</f>
        <v>207147.07670611676</v>
      </c>
      <c r="H129" s="96">
        <f>Tabella3[[#This Row],[Italy cumul. Fit]]/Kf</f>
        <v>0.88147716266827392</v>
      </c>
      <c r="I129" s="96">
        <f>Tabella3[[#This Row],[Lombardy fit]]+Tabella3[[#This Row],[rest of Italy fit]]</f>
        <v>1638.1557848410855</v>
      </c>
      <c r="J129" s="96">
        <f>Tabella3[[#This Row],[Italy (fitted Lombardy + fitted sum of the other regions)]]/(y_l_peak+y_a_peak)</f>
        <v>0.31888704586496214</v>
      </c>
      <c r="K129" s="91">
        <f>IFERROR(Kf*_xlfn.LOGNORM.DIST((Tabella3[[#This Row],[Day]]-D_bk),mu_f,sigma_f,FALSE),0)</f>
        <v>1662.9951091767732</v>
      </c>
      <c r="L129" s="91">
        <f>Tabella3[[#This Row],[Italy fit]]/y_f_peak</f>
        <v>0.32855053895342501</v>
      </c>
      <c r="M129" s="91">
        <f>Tabella3[[#This Row],[Italy (fitted Lombardy + fitted sum of the other regions)]]*NOT(ISBLANK(Tabella3[[#This Row],[Italy data]]))</f>
        <v>0</v>
      </c>
      <c r="N129" s="91">
        <f>Tabella3[[#This Row],[Italy fit]]*NOT(ISBLANK(Tabella3[[#This Row],[Italy data]]))</f>
        <v>0</v>
      </c>
      <c r="R129" s="10"/>
      <c r="S129" s="91">
        <f>Tabella3[[#This Row],[Lombardy data]]*NOT(ISBLANK(Tabella3[[#This Row],[Lombardy data]]))</f>
        <v>0</v>
      </c>
      <c r="T129" s="96">
        <f>Tabella8[[#This Row],[Lombardy fit]]</f>
        <v>76045.1743849841</v>
      </c>
      <c r="U129" s="91">
        <f>Tabella3[[#This Row],[Lombardy cumul. Fit]]/Kl</f>
        <v>0.87408246419521951</v>
      </c>
      <c r="V129" s="91">
        <f>IFERROR(Kl*_xlfn.LOGNORM.DIST((Tabella3[[#This Row],[Day]]-pl),mu_l,sigma_l,FALSE),0)</f>
        <v>582.49262148530897</v>
      </c>
      <c r="W129" s="91">
        <f>Tabella3[[#This Row],[Lombardy fit]]/y_l_peak</f>
        <v>0.33134681854776321</v>
      </c>
      <c r="X129" s="91">
        <f>Tabella3[[#This Row],[Lombardy fit]]*NOT(ISBLANK(Tabella3[[#This Row],[Lombardy data]]))</f>
        <v>0</v>
      </c>
      <c r="AB129" s="10"/>
      <c r="AC129" s="91">
        <f>Tabella3[[#This Row],[rest of Italy data]]*NOT(ISBLANK(Tabella3[[#This Row],[rest of Italy data]]))</f>
        <v>0</v>
      </c>
      <c r="AD129" s="96">
        <f>Tabella8[[#This Row],[rest of Italy fit]]</f>
        <v>131082.48863962723</v>
      </c>
      <c r="AE129" s="91">
        <f>Tabella3[[#This Row],[rest of Italy cumul. Fit]]/Ka</f>
        <v>0.88569259391310018</v>
      </c>
      <c r="AF129" s="91">
        <f>IFERROR(Ka*_xlfn.LOGNORM.DIST((Tabella3[[#This Row],[Day]]-pa),mu_a,sigma_a,FALSE),0)</f>
        <v>1055.6631633557765</v>
      </c>
      <c r="AG129" s="91">
        <f>Tabella3[[#This Row],[rest of Italy fit]]/y_a_peak</f>
        <v>0.31240502556587862</v>
      </c>
      <c r="AH129" s="91">
        <f>Tabella3[[#This Row],[rest of Italy fit]]*NOT(ISBLANK(Tabella3[[#This Row],[rest of Italy data]]))</f>
        <v>0</v>
      </c>
    </row>
    <row r="130" spans="2:34" x14ac:dyDescent="0.3">
      <c r="B130" s="9">
        <v>43953</v>
      </c>
      <c r="C130" s="4">
        <v>123</v>
      </c>
      <c r="E130" s="10"/>
      <c r="F130" s="91">
        <f>Tabella3[[#This Row],[Italy data]]*NOT(ISBLANK(Tabella3[[#This Row],[Italy data]]))</f>
        <v>0</v>
      </c>
      <c r="G130" s="96">
        <f>Tabella8[[#This Row],[Italy fit]]</f>
        <v>208766.39377502905</v>
      </c>
      <c r="H130" s="96">
        <f>Tabella3[[#This Row],[Italy cumul. Fit]]/Kf</f>
        <v>0.88836787547997431</v>
      </c>
      <c r="I130" s="96">
        <f>Tabella3[[#This Row],[Lombardy fit]]+Tabella3[[#This Row],[rest of Italy fit]]</f>
        <v>1552.531474146982</v>
      </c>
      <c r="J130" s="96">
        <f>Tabella3[[#This Row],[Italy (fitted Lombardy + fitted sum of the other regions)]]/(y_l_peak+y_a_peak)</f>
        <v>0.30221922724591965</v>
      </c>
      <c r="K130" s="91">
        <f>IFERROR(Kf*_xlfn.LOGNORM.DIST((Tabella3[[#This Row],[Day]]-D_bk),mu_f,sigma_f,FALSE),0)</f>
        <v>1576.2327857486753</v>
      </c>
      <c r="L130" s="91">
        <f>Tabella3[[#This Row],[Italy fit]]/y_f_peak</f>
        <v>0.31140929303763631</v>
      </c>
      <c r="M130" s="91">
        <f>Tabella3[[#This Row],[Italy (fitted Lombardy + fitted sum of the other regions)]]*NOT(ISBLANK(Tabella3[[#This Row],[Italy data]]))</f>
        <v>0</v>
      </c>
      <c r="N130" s="91">
        <f>Tabella3[[#This Row],[Italy fit]]*NOT(ISBLANK(Tabella3[[#This Row],[Italy data]]))</f>
        <v>0</v>
      </c>
      <c r="R130" s="10"/>
      <c r="S130" s="91">
        <f>Tabella3[[#This Row],[Lombardy data]]*NOT(ISBLANK(Tabella3[[#This Row],[Lombardy data]]))</f>
        <v>0</v>
      </c>
      <c r="T130" s="96">
        <f>Tabella8[[#This Row],[Lombardy fit]]</f>
        <v>76613.833134465094</v>
      </c>
      <c r="U130" s="91">
        <f>Tabella3[[#This Row],[Lombardy cumul. Fit]]/Kl</f>
        <v>0.88061877166051827</v>
      </c>
      <c r="V130" s="91">
        <f>IFERROR(Kl*_xlfn.LOGNORM.DIST((Tabella3[[#This Row],[Day]]-pl),mu_l,sigma_l,FALSE),0)</f>
        <v>554.99847805544789</v>
      </c>
      <c r="W130" s="91">
        <f>Tabella3[[#This Row],[Lombardy fit]]/y_l_peak</f>
        <v>0.31570696901464751</v>
      </c>
      <c r="X130" s="91">
        <f>Tabella3[[#This Row],[Lombardy fit]]*NOT(ISBLANK(Tabella3[[#This Row],[Lombardy data]]))</f>
        <v>0</v>
      </c>
      <c r="AB130" s="10"/>
      <c r="AC130" s="91">
        <f>Tabella3[[#This Row],[rest of Italy data]]*NOT(ISBLANK(Tabella3[[#This Row],[rest of Italy data]]))</f>
        <v>0</v>
      </c>
      <c r="AD130" s="96">
        <f>Tabella8[[#This Row],[rest of Italy fit]]</f>
        <v>132108.87035394527</v>
      </c>
      <c r="AE130" s="91">
        <f>Tabella3[[#This Row],[rest of Italy cumul. Fit]]/Ka</f>
        <v>0.89262760630364535</v>
      </c>
      <c r="AF130" s="91">
        <f>IFERROR(Ka*_xlfn.LOGNORM.DIST((Tabella3[[#This Row],[Day]]-pa),mu_a,sigma_a,FALSE),0)</f>
        <v>997.53299609153396</v>
      </c>
      <c r="AG130" s="91">
        <f>Tabella3[[#This Row],[rest of Italy fit]]/y_a_peak</f>
        <v>0.29520242058664792</v>
      </c>
      <c r="AH130" s="91">
        <f>Tabella3[[#This Row],[rest of Italy fit]]*NOT(ISBLANK(Tabella3[[#This Row],[rest of Italy data]]))</f>
        <v>0</v>
      </c>
    </row>
    <row r="131" spans="2:34" x14ac:dyDescent="0.3">
      <c r="B131" s="9">
        <v>43954</v>
      </c>
      <c r="C131" s="4">
        <v>124</v>
      </c>
      <c r="E131" s="10"/>
      <c r="F131" s="91">
        <f>Tabella3[[#This Row],[Italy data]]*NOT(ISBLANK(Tabella3[[#This Row],[Italy data]]))</f>
        <v>0</v>
      </c>
      <c r="G131" s="96">
        <f>Tabella8[[#This Row],[Italy fit]]</f>
        <v>210300.72435927263</v>
      </c>
      <c r="H131" s="96">
        <f>Tabella3[[#This Row],[Italy cumul. Fit]]/Kf</f>
        <v>0.89489694357738692</v>
      </c>
      <c r="I131" s="96">
        <f>Tabella3[[#This Row],[Lombardy fit]]+Tabella3[[#This Row],[rest of Italy fit]]</f>
        <v>1470.5200638401993</v>
      </c>
      <c r="J131" s="96">
        <f>Tabella3[[#This Row],[Italy (fitted Lombardy + fitted sum of the other regions)]]/(y_l_peak+y_a_peak)</f>
        <v>0.28625470384591456</v>
      </c>
      <c r="K131" s="91">
        <f>IFERROR(Kf*_xlfn.LOGNORM.DIST((Tabella3[[#This Row],[Day]]-D_bk),mu_f,sigma_f,FALSE),0)</f>
        <v>1493.0162365773947</v>
      </c>
      <c r="L131" s="91">
        <f>Tabella3[[#This Row],[Italy fit]]/y_f_peak</f>
        <v>0.29496856995360821</v>
      </c>
      <c r="M131" s="91">
        <f>Tabella3[[#This Row],[Italy (fitted Lombardy + fitted sum of the other regions)]]*NOT(ISBLANK(Tabella3[[#This Row],[Italy data]]))</f>
        <v>0</v>
      </c>
      <c r="N131" s="91">
        <f>Tabella3[[#This Row],[Italy fit]]*NOT(ISBLANK(Tabella3[[#This Row],[Italy data]]))</f>
        <v>0</v>
      </c>
      <c r="R131" s="10"/>
      <c r="S131" s="91">
        <f>Tabella3[[#This Row],[Lombardy data]]*NOT(ISBLANK(Tabella3[[#This Row],[Lombardy data]]))</f>
        <v>0</v>
      </c>
      <c r="T131" s="96">
        <f>Tabella8[[#This Row],[Lombardy fit]]</f>
        <v>77155.516741352141</v>
      </c>
      <c r="U131" s="91">
        <f>Tabella3[[#This Row],[Lombardy cumul. Fit]]/Kl</f>
        <v>0.88684502001554188</v>
      </c>
      <c r="V131" s="91">
        <f>IFERROR(Kl*_xlfn.LOGNORM.DIST((Tabella3[[#This Row],[Day]]-pl),mu_l,sigma_l,FALSE),0)</f>
        <v>528.54042571051821</v>
      </c>
      <c r="W131" s="91">
        <f>Tabella3[[#This Row],[Lombardy fit]]/y_l_peak</f>
        <v>0.30065649258610833</v>
      </c>
      <c r="X131" s="91">
        <f>Tabella3[[#This Row],[Lombardy fit]]*NOT(ISBLANK(Tabella3[[#This Row],[Lombardy data]]))</f>
        <v>0</v>
      </c>
      <c r="AB131" s="10"/>
      <c r="AC131" s="91">
        <f>Tabella3[[#This Row],[rest of Italy data]]*NOT(ISBLANK(Tabella3[[#This Row],[rest of Italy data]]))</f>
        <v>0</v>
      </c>
      <c r="AD131" s="96">
        <f>Tabella8[[#This Row],[rest of Italy fit]]</f>
        <v>133078.41367472205</v>
      </c>
      <c r="AE131" s="91">
        <f>Tabella3[[#This Row],[rest of Italy cumul. Fit]]/Ka</f>
        <v>0.89917857544988045</v>
      </c>
      <c r="AF131" s="91">
        <f>IFERROR(Ka*_xlfn.LOGNORM.DIST((Tabella3[[#This Row],[Day]]-pa),mu_a,sigma_a,FALSE),0)</f>
        <v>941.97963812968112</v>
      </c>
      <c r="AG131" s="91">
        <f>Tabella3[[#This Row],[rest of Italy fit]]/y_a_peak</f>
        <v>0.27876237719328567</v>
      </c>
      <c r="AH131" s="91">
        <f>Tabella3[[#This Row],[rest of Italy fit]]*NOT(ISBLANK(Tabella3[[#This Row],[rest of Italy data]]))</f>
        <v>0</v>
      </c>
    </row>
    <row r="132" spans="2:34" x14ac:dyDescent="0.3">
      <c r="B132" s="9">
        <v>43955</v>
      </c>
      <c r="C132" s="4">
        <v>125</v>
      </c>
      <c r="E132" s="10"/>
      <c r="F132" s="91">
        <f>Tabella3[[#This Row],[Italy data]]*NOT(ISBLANK(Tabella3[[#This Row],[Italy data]]))</f>
        <v>0</v>
      </c>
      <c r="G132" s="96">
        <f>Tabella8[[#This Row],[Italy fit]]</f>
        <v>211753.59426572785</v>
      </c>
      <c r="H132" s="96">
        <f>Tabella3[[#This Row],[Italy cumul. Fit]]/Kf</f>
        <v>0.9010793703981389</v>
      </c>
      <c r="I132" s="96">
        <f>Tabella3[[#This Row],[Lombardy fit]]+Tabella3[[#This Row],[rest of Italy fit]]</f>
        <v>1392.0635810638353</v>
      </c>
      <c r="J132" s="96">
        <f>Tabella3[[#This Row],[Italy (fitted Lombardy + fitted sum of the other regions)]]/(y_l_peak+y_a_peak)</f>
        <v>0.27098219053977801</v>
      </c>
      <c r="K132" s="91">
        <f>IFERROR(Kf*_xlfn.LOGNORM.DIST((Tabella3[[#This Row],[Day]]-D_bk),mu_f,sigma_f,FALSE),0)</f>
        <v>1413.3033322896019</v>
      </c>
      <c r="L132" s="91">
        <f>Tabella3[[#This Row],[Italy fit]]/y_f_peak</f>
        <v>0.27922004638864012</v>
      </c>
      <c r="M132" s="91">
        <f>Tabella3[[#This Row],[Italy (fitted Lombardy + fitted sum of the other regions)]]*NOT(ISBLANK(Tabella3[[#This Row],[Italy data]]))</f>
        <v>0</v>
      </c>
      <c r="N132" s="91">
        <f>Tabella3[[#This Row],[Italy fit]]*NOT(ISBLANK(Tabella3[[#This Row],[Italy data]]))</f>
        <v>0</v>
      </c>
      <c r="R132" s="10"/>
      <c r="S132" s="91">
        <f>Tabella3[[#This Row],[Lombardy data]]*NOT(ISBLANK(Tabella3[[#This Row],[Lombardy data]]))</f>
        <v>0</v>
      </c>
      <c r="T132" s="96">
        <f>Tabella8[[#This Row],[Lombardy fit]]</f>
        <v>77671.255038565258</v>
      </c>
      <c r="U132" s="91">
        <f>Tabella3[[#This Row],[Lombardy cumul. Fit]]/Kl</f>
        <v>0.89277304642029032</v>
      </c>
      <c r="V132" s="91">
        <f>IFERROR(Kl*_xlfn.LOGNORM.DIST((Tabella3[[#This Row],[Day]]-pl),mu_l,sigma_l,FALSE),0)</f>
        <v>503.10543615765926</v>
      </c>
      <c r="W132" s="91">
        <f>Tabella3[[#This Row],[Lombardy fit]]/y_l_peak</f>
        <v>0.28618797820965974</v>
      </c>
      <c r="X132" s="91">
        <f>Tabella3[[#This Row],[Lombardy fit]]*NOT(ISBLANK(Tabella3[[#This Row],[Lombardy data]]))</f>
        <v>0</v>
      </c>
      <c r="AB132" s="10"/>
      <c r="AC132" s="91">
        <f>Tabella3[[#This Row],[rest of Italy data]]*NOT(ISBLANK(Tabella3[[#This Row],[rest of Italy data]]))</f>
        <v>0</v>
      </c>
      <c r="AD132" s="96">
        <f>Tabella8[[#This Row],[rest of Italy fit]]</f>
        <v>133993.67367513973</v>
      </c>
      <c r="AE132" s="91">
        <f>Tabella3[[#This Row],[rest of Italy cumul. Fit]]/Ka</f>
        <v>0.90536276536180271</v>
      </c>
      <c r="AF132" s="91">
        <f>IFERROR(Ka*_xlfn.LOGNORM.DIST((Tabella3[[#This Row],[Day]]-pa),mu_a,sigma_a,FALSE),0)</f>
        <v>888.95814490617602</v>
      </c>
      <c r="AG132" s="91">
        <f>Tabella3[[#This Row],[rest of Italy fit]]/y_a_peak</f>
        <v>0.26307159482916925</v>
      </c>
      <c r="AH132" s="91">
        <f>Tabella3[[#This Row],[rest of Italy fit]]*NOT(ISBLANK(Tabella3[[#This Row],[rest of Italy data]]))</f>
        <v>0</v>
      </c>
    </row>
    <row r="133" spans="2:34" x14ac:dyDescent="0.3">
      <c r="B133" s="9">
        <v>43956</v>
      </c>
      <c r="C133" s="4">
        <v>126</v>
      </c>
      <c r="E133" s="10"/>
      <c r="F133" s="10">
        <f>Tabella3[[#This Row],[Italy data]]*NOT(ISBLANK(Tabella3[[#This Row],[Italy data]]))</f>
        <v>0</v>
      </c>
      <c r="G133" s="96">
        <f>Tabella8[[#This Row],[Italy fit]]</f>
        <v>213128.4808956983</v>
      </c>
      <c r="H133" s="96">
        <f>Tabella3[[#This Row],[Italy cumul. Fit]]/Kf</f>
        <v>0.90692995339862359</v>
      </c>
      <c r="I133" s="96">
        <f>Tabella3[[#This Row],[Lombardy fit]]+Tabella3[[#This Row],[rest of Italy fit]]</f>
        <v>1317.0930740062945</v>
      </c>
      <c r="J133" s="96">
        <f>Tabella3[[#This Row],[Italy (fitted Lombardy + fitted sum of the other regions)]]/(y_l_peak+y_a_peak)</f>
        <v>0.25638826501462009</v>
      </c>
      <c r="K133" s="91">
        <f>IFERROR(Kf*_xlfn.LOGNORM.DIST((Tabella3[[#This Row],[Day]]-D_bk),mu_f,sigma_f,FALSE),0)</f>
        <v>1337.0396939837447</v>
      </c>
      <c r="L133" s="91">
        <f>Tabella3[[#This Row],[Italy fit]]/y_f_peak</f>
        <v>0.26415297894528361</v>
      </c>
      <c r="M133" s="10">
        <f>Tabella3[[#This Row],[Italy (fitted Lombardy + fitted sum of the other regions)]]*NOT(ISBLANK(Tabella3[[#This Row],[Italy data]]))</f>
        <v>0</v>
      </c>
      <c r="N133" s="10">
        <f>Tabella3[[#This Row],[Italy fit]]*NOT(ISBLANK(Tabella3[[#This Row],[Italy data]]))</f>
        <v>0</v>
      </c>
      <c r="R133" s="10"/>
      <c r="S133" s="10">
        <f>Tabella3[[#This Row],[Lombardy data]]*NOT(ISBLANK(Tabella3[[#This Row],[Lombardy data]]))</f>
        <v>0</v>
      </c>
      <c r="T133" s="96">
        <f>Tabella8[[#This Row],[Lombardy fit]]</f>
        <v>78162.063365355221</v>
      </c>
      <c r="U133" s="91">
        <f>Tabella3[[#This Row],[Lombardy cumul. Fit]]/Kl</f>
        <v>0.89841452144086464</v>
      </c>
      <c r="V133" s="91">
        <f>IFERROR(Kl*_xlfn.LOGNORM.DIST((Tabella3[[#This Row],[Day]]-pl),mu_l,sigma_l,FALSE),0)</f>
        <v>478.67761974325276</v>
      </c>
      <c r="W133" s="91">
        <f>Tabella3[[#This Row],[Lombardy fit]]/y_l_peak</f>
        <v>0.27229238716793436</v>
      </c>
      <c r="X133" s="10">
        <f>Tabella3[[#This Row],[Lombardy fit]]*NOT(ISBLANK(Tabella3[[#This Row],[Lombardy data]]))</f>
        <v>0</v>
      </c>
      <c r="AB133" s="10"/>
      <c r="AC133" s="10">
        <f>Tabella3[[#This Row],[rest of Italy data]]*NOT(ISBLANK(Tabella3[[#This Row],[rest of Italy data]]))</f>
        <v>0</v>
      </c>
      <c r="AD133" s="96">
        <f>Tabella8[[#This Row],[rest of Italy fit]]</f>
        <v>134857.15630708213</v>
      </c>
      <c r="AE133" s="91">
        <f>Tabella3[[#This Row],[rest of Italy cumul. Fit]]/Ka</f>
        <v>0.91119710814870625</v>
      </c>
      <c r="AF133" s="91">
        <f>IFERROR(Ka*_xlfn.LOGNORM.DIST((Tabella3[[#This Row],[Day]]-pa),mu_a,sigma_a,FALSE),0)</f>
        <v>838.41545426304185</v>
      </c>
      <c r="AG133" s="91">
        <f>Tabella3[[#This Row],[rest of Italy fit]]/y_a_peak</f>
        <v>0.24811437067791298</v>
      </c>
      <c r="AH133" s="10">
        <f>Tabella3[[#This Row],[rest of Italy fit]]*NOT(ISBLANK(Tabella3[[#This Row],[rest of Italy data]]))</f>
        <v>0</v>
      </c>
    </row>
    <row r="134" spans="2:34" x14ac:dyDescent="0.3">
      <c r="B134" s="9">
        <v>43957</v>
      </c>
      <c r="C134" s="4">
        <v>127</v>
      </c>
      <c r="E134" s="10"/>
      <c r="F134" s="10">
        <f>Tabella3[[#This Row],[Italy data]]*NOT(ISBLANK(Tabella3[[#This Row],[Italy data]]))</f>
        <v>0</v>
      </c>
      <c r="G134" s="96">
        <f>Tabella8[[#This Row],[Italy fit]]</f>
        <v>214428.80188025994</v>
      </c>
      <c r="H134" s="96">
        <f>Tabella3[[#This Row],[Italy cumul. Fit]]/Kf</f>
        <v>0.91246323569377052</v>
      </c>
      <c r="I134" s="96">
        <f>Tabella3[[#This Row],[Lombardy fit]]+Tabella3[[#This Row],[rest of Italy fit]]</f>
        <v>1245.5303624134483</v>
      </c>
      <c r="J134" s="96">
        <f>Tabella3[[#This Row],[Italy (fitted Lombardy + fitted sum of the other regions)]]/(y_l_peak+y_a_peak)</f>
        <v>0.24245770852841705</v>
      </c>
      <c r="K134" s="91">
        <f>IFERROR(Kf*_xlfn.LOGNORM.DIST((Tabella3[[#This Row],[Day]]-D_bk),mu_f,sigma_f,FALSE),0)</f>
        <v>1264.1604393283071</v>
      </c>
      <c r="L134" s="91">
        <f>Tabella3[[#This Row],[Italy fit]]/y_f_peak</f>
        <v>0.24975454911020062</v>
      </c>
      <c r="M134" s="10">
        <f>Tabella3[[#This Row],[Italy (fitted Lombardy + fitted sum of the other regions)]]*NOT(ISBLANK(Tabella3[[#This Row],[Italy data]]))</f>
        <v>0</v>
      </c>
      <c r="N134" s="10">
        <f>Tabella3[[#This Row],[Italy fit]]*NOT(ISBLANK(Tabella3[[#This Row],[Italy data]]))</f>
        <v>0</v>
      </c>
      <c r="R134" s="10"/>
      <c r="S134" s="10">
        <f>Tabella3[[#This Row],[Lombardy data]]*NOT(ISBLANK(Tabella3[[#This Row],[Lombardy data]]))</f>
        <v>0</v>
      </c>
      <c r="T134" s="96">
        <f>Tabella8[[#This Row],[Lombardy fit]]</f>
        <v>78628.939908572895</v>
      </c>
      <c r="U134" s="91">
        <f>Tabella3[[#This Row],[Lombardy cumul. Fit]]/Kl</f>
        <v>0.90378091848934361</v>
      </c>
      <c r="V134" s="91">
        <f>IFERROR(Kl*_xlfn.LOGNORM.DIST((Tabella3[[#This Row],[Day]]-pl),mu_l,sigma_l,FALSE),0)</f>
        <v>455.23862520672765</v>
      </c>
      <c r="W134" s="91">
        <f>Tabella3[[#This Row],[Lombardy fit]]/y_l_peak</f>
        <v>0.25895928047581485</v>
      </c>
      <c r="X134" s="10">
        <f>Tabella3[[#This Row],[Lombardy fit]]*NOT(ISBLANK(Tabella3[[#This Row],[Lombardy data]]))</f>
        <v>0</v>
      </c>
      <c r="AB134" s="10"/>
      <c r="AC134" s="10">
        <f>Tabella3[[#This Row],[rest of Italy data]]*NOT(ISBLANK(Tabella3[[#This Row],[rest of Italy data]]))</f>
        <v>0</v>
      </c>
      <c r="AD134" s="96">
        <f>Tabella8[[#This Row],[rest of Italy fit]]</f>
        <v>135671.31096960977</v>
      </c>
      <c r="AE134" s="91">
        <f>Tabella3[[#This Row],[rest of Italy cumul. Fit]]/Ka</f>
        <v>0.91669815380616992</v>
      </c>
      <c r="AF134" s="91">
        <f>IFERROR(Ka*_xlfn.LOGNORM.DIST((Tabella3[[#This Row],[Day]]-pa),mu_a,sigma_a,FALSE),0)</f>
        <v>790.29173720672065</v>
      </c>
      <c r="AG134" s="91">
        <f>Tabella3[[#This Row],[rest of Italy fit]]/y_a_peak</f>
        <v>0.23387299939664719</v>
      </c>
      <c r="AH134" s="10">
        <f>Tabella3[[#This Row],[rest of Italy fit]]*NOT(ISBLANK(Tabella3[[#This Row],[rest of Italy data]]))</f>
        <v>0</v>
      </c>
    </row>
    <row r="135" spans="2:34" x14ac:dyDescent="0.3">
      <c r="B135" s="9">
        <v>43958</v>
      </c>
      <c r="C135" s="4">
        <v>128</v>
      </c>
      <c r="E135" s="10"/>
      <c r="F135" s="10">
        <f>Tabella3[[#This Row],[Italy data]]*NOT(ISBLANK(Tabella3[[#This Row],[Italy data]]))</f>
        <v>0</v>
      </c>
      <c r="G135" s="96">
        <f>Tabella8[[#This Row],[Italy fit]]</f>
        <v>215657.90539131587</v>
      </c>
      <c r="H135" s="96">
        <f>Tabella3[[#This Row],[Italy cumul. Fit]]/Kf</f>
        <v>0.9176934648274806</v>
      </c>
      <c r="I135" s="96">
        <f>Tabella3[[#This Row],[Lombardy fit]]+Tabella3[[#This Row],[rest of Italy fit]]</f>
        <v>1177.2896301714331</v>
      </c>
      <c r="J135" s="96">
        <f>Tabella3[[#This Row],[Italy (fitted Lombardy + fitted sum of the other regions)]]/(y_l_peak+y_a_peak)</f>
        <v>0.22917381592571864</v>
      </c>
      <c r="K135" s="91">
        <f>IFERROR(Kf*_xlfn.LOGNORM.DIST((Tabella3[[#This Row],[Day]]-D_bk),mu_f,sigma_f,FALSE),0)</f>
        <v>1194.5917884914834</v>
      </c>
      <c r="L135" s="91">
        <f>Tabella3[[#This Row],[Italy fit]]/y_f_peak</f>
        <v>0.23601018053053846</v>
      </c>
      <c r="M135" s="10">
        <f>Tabella3[[#This Row],[Italy (fitted Lombardy + fitted sum of the other regions)]]*NOT(ISBLANK(Tabella3[[#This Row],[Italy data]]))</f>
        <v>0</v>
      </c>
      <c r="N135" s="10">
        <f>Tabella3[[#This Row],[Italy fit]]*NOT(ISBLANK(Tabella3[[#This Row],[Italy data]]))</f>
        <v>0</v>
      </c>
      <c r="R135" s="10"/>
      <c r="S135" s="10">
        <f>Tabella3[[#This Row],[Lombardy data]]*NOT(ISBLANK(Tabella3[[#This Row],[Lombardy data]]))</f>
        <v>0</v>
      </c>
      <c r="T135" s="96">
        <f>Tabella8[[#This Row],[Lombardy fit]]</f>
        <v>79072.86342737946</v>
      </c>
      <c r="U135" s="91">
        <f>Tabella3[[#This Row],[Lombardy cumul. Fit]]/Kl</f>
        <v>0.90888348767102822</v>
      </c>
      <c r="V135" s="91">
        <f>IFERROR(Kl*_xlfn.LOGNORM.DIST((Tabella3[[#This Row],[Day]]-pl),mu_l,sigma_l,FALSE),0)</f>
        <v>432.76800702007944</v>
      </c>
      <c r="W135" s="91">
        <f>Tabella3[[#This Row],[Lombardy fit]]/y_l_peak</f>
        <v>0.24617702783892856</v>
      </c>
      <c r="X135" s="10">
        <f>Tabella3[[#This Row],[Lombardy fit]]*NOT(ISBLANK(Tabella3[[#This Row],[Lombardy data]]))</f>
        <v>0</v>
      </c>
      <c r="AB135" s="10"/>
      <c r="AC135" s="10">
        <f>Tabella3[[#This Row],[rest of Italy data]]*NOT(ISBLANK(Tabella3[[#This Row],[rest of Italy data]]))</f>
        <v>0</v>
      </c>
      <c r="AD135" s="96">
        <f>Tabella8[[#This Row],[rest of Italy fit]]</f>
        <v>136438.52436496739</v>
      </c>
      <c r="AE135" s="91">
        <f>Tabella3[[#This Row],[rest of Italy cumul. Fit]]/Ka</f>
        <v>0.92188202870258951</v>
      </c>
      <c r="AF135" s="91">
        <f>IFERROR(Ka*_xlfn.LOGNORM.DIST((Tabella3[[#This Row],[Day]]-pa),mu_a,sigma_a,FALSE),0)</f>
        <v>744.52162315135365</v>
      </c>
      <c r="AG135" s="91">
        <f>Tabella3[[#This Row],[rest of Italy fit]]/y_a_peak</f>
        <v>0.22032813570530974</v>
      </c>
      <c r="AH135" s="10">
        <f>Tabella3[[#This Row],[rest of Italy fit]]*NOT(ISBLANK(Tabella3[[#This Row],[rest of Italy data]]))</f>
        <v>0</v>
      </c>
    </row>
    <row r="136" spans="2:34" x14ac:dyDescent="0.3">
      <c r="B136" s="9">
        <v>43959</v>
      </c>
      <c r="C136" s="4">
        <v>129</v>
      </c>
      <c r="E136" s="10"/>
      <c r="F136" s="10">
        <f>Tabella3[[#This Row],[Italy data]]*NOT(ISBLANK(Tabella3[[#This Row],[Italy data]]))</f>
        <v>0</v>
      </c>
      <c r="G136" s="96">
        <f>Tabella8[[#This Row],[Italy fit]]</f>
        <v>216819.06199021783</v>
      </c>
      <c r="H136" s="96">
        <f>Tabella3[[#This Row],[Italy cumul. Fit]]/Kf</f>
        <v>0.92263455808589878</v>
      </c>
      <c r="I136" s="96">
        <f>Tabella3[[#This Row],[Lombardy fit]]+Tabella3[[#This Row],[rest of Italy fit]]</f>
        <v>1112.2788672583345</v>
      </c>
      <c r="J136" s="96">
        <f>Tabella3[[#This Row],[Italy (fitted Lombardy + fitted sum of the other regions)]]/(y_l_peak+y_a_peak)</f>
        <v>0.21651867633116748</v>
      </c>
      <c r="K136" s="91">
        <f>IFERROR(Kf*_xlfn.LOGNORM.DIST((Tabella3[[#This Row],[Day]]-D_bk),mu_f,sigma_f,FALSE),0)</f>
        <v>1128.2525341323064</v>
      </c>
      <c r="L136" s="91">
        <f>Tabella3[[#This Row],[Italy fit]]/y_f_peak</f>
        <v>0.22290382943353168</v>
      </c>
      <c r="M136" s="10">
        <f>Tabella3[[#This Row],[Italy (fitted Lombardy + fitted sum of the other regions)]]*NOT(ISBLANK(Tabella3[[#This Row],[Italy data]]))</f>
        <v>0</v>
      </c>
      <c r="N136" s="10">
        <f>Tabella3[[#This Row],[Italy fit]]*NOT(ISBLANK(Tabella3[[#This Row],[Italy data]]))</f>
        <v>0</v>
      </c>
      <c r="R136" s="10"/>
      <c r="S136" s="10">
        <f>Tabella3[[#This Row],[Lombardy data]]*NOT(ISBLANK(Tabella3[[#This Row],[Lombardy data]]))</f>
        <v>0</v>
      </c>
      <c r="T136" s="96">
        <f>Tabella8[[#This Row],[Lombardy fit]]</f>
        <v>79494.791329642132</v>
      </c>
      <c r="U136" s="91">
        <f>Tabella3[[#This Row],[Lombardy cumul. Fit]]/Kl</f>
        <v>0.91373323367404746</v>
      </c>
      <c r="V136" s="91">
        <f>IFERROR(Kl*_xlfn.LOGNORM.DIST((Tabella3[[#This Row],[Day]]-pl),mu_l,sigma_l,FALSE),0)</f>
        <v>411.24356165364134</v>
      </c>
      <c r="W136" s="91">
        <f>Tabella3[[#This Row],[Lombardy fit]]/y_l_peak</f>
        <v>0.23393299893605896</v>
      </c>
      <c r="X136" s="10">
        <f>Tabella3[[#This Row],[Lombardy fit]]*NOT(ISBLANK(Tabella3[[#This Row],[Lombardy data]]))</f>
        <v>0</v>
      </c>
      <c r="AB136" s="10"/>
      <c r="AC136" s="10">
        <f>Tabella3[[#This Row],[rest of Italy data]]*NOT(ISBLANK(Tabella3[[#This Row],[rest of Italy data]]))</f>
        <v>0</v>
      </c>
      <c r="AD136" s="96">
        <f>Tabella8[[#This Row],[rest of Italy fit]]</f>
        <v>137161.11551953363</v>
      </c>
      <c r="AE136" s="91">
        <f>Tabella3[[#This Row],[rest of Italy cumul. Fit]]/Ka</f>
        <v>0.92676440193694198</v>
      </c>
      <c r="AF136" s="91">
        <f>IFERROR(Ka*_xlfn.LOGNORM.DIST((Tabella3[[#This Row],[Day]]-pa),mu_a,sigma_a,FALSE),0)</f>
        <v>701.03530560469312</v>
      </c>
      <c r="AG136" s="91">
        <f>Tabella3[[#This Row],[rest of Italy fit]]/y_a_peak</f>
        <v>0.20745912159502775</v>
      </c>
      <c r="AH136" s="10">
        <f>Tabella3[[#This Row],[rest of Italy fit]]*NOT(ISBLANK(Tabella3[[#This Row],[rest of Italy data]]))</f>
        <v>0</v>
      </c>
    </row>
    <row r="137" spans="2:34" x14ac:dyDescent="0.3">
      <c r="B137" s="9">
        <v>43960</v>
      </c>
      <c r="C137" s="4">
        <v>130</v>
      </c>
      <c r="E137" s="10"/>
      <c r="F137" s="10">
        <f>Tabella3[[#This Row],[Italy data]]*NOT(ISBLANK(Tabella3[[#This Row],[Italy data]]))</f>
        <v>0</v>
      </c>
      <c r="G137" s="96">
        <f>Tabella8[[#This Row],[Italy fit]]</f>
        <v>217915.45788052466</v>
      </c>
      <c r="H137" s="96">
        <f>Tabella3[[#This Row],[Italy cumul. Fit]]/Kf</f>
        <v>0.92730007378574109</v>
      </c>
      <c r="I137" s="96">
        <f>Tabella3[[#This Row],[Lombardy fit]]+Tabella3[[#This Row],[rest of Italy fit]]</f>
        <v>1050.4011690017655</v>
      </c>
      <c r="J137" s="96">
        <f>Tabella3[[#This Row],[Italy (fitted Lombardy + fitted sum of the other regions)]]/(y_l_peak+y_a_peak)</f>
        <v>0.20447342606586688</v>
      </c>
      <c r="K137" s="91">
        <f>IFERROR(Kf*_xlfn.LOGNORM.DIST((Tabella3[[#This Row],[Day]]-D_bk),mu_f,sigma_f,FALSE),0)</f>
        <v>1065.0553806090427</v>
      </c>
      <c r="L137" s="91">
        <f>Tabella3[[#This Row],[Italy fit]]/y_f_peak</f>
        <v>0.21041824920794153</v>
      </c>
      <c r="M137" s="10">
        <f>Tabella3[[#This Row],[Italy (fitted Lombardy + fitted sum of the other regions)]]*NOT(ISBLANK(Tabella3[[#This Row],[Italy data]]))</f>
        <v>0</v>
      </c>
      <c r="N137" s="10">
        <f>Tabella3[[#This Row],[Italy fit]]*NOT(ISBLANK(Tabella3[[#This Row],[Italy data]]))</f>
        <v>0</v>
      </c>
      <c r="R137" s="10"/>
      <c r="S137" s="10">
        <f>Tabella3[[#This Row],[Lombardy data]]*NOT(ISBLANK(Tabella3[[#This Row],[Lombardy data]]))</f>
        <v>0</v>
      </c>
      <c r="T137" s="96">
        <f>Tabella8[[#This Row],[Lombardy fit]]</f>
        <v>79895.658069660931</v>
      </c>
      <c r="U137" s="91">
        <f>Tabella3[[#This Row],[Lombardy cumul. Fit]]/Kl</f>
        <v>0.91834089735242452</v>
      </c>
      <c r="V137" s="91">
        <f>IFERROR(Kl*_xlfn.LOGNORM.DIST((Tabella3[[#This Row],[Day]]-pl),mu_l,sigma_l,FALSE),0)</f>
        <v>390.64163422160391</v>
      </c>
      <c r="W137" s="91">
        <f>Tabella3[[#This Row],[Lombardy fit]]/y_l_peak</f>
        <v>0.22221373785228632</v>
      </c>
      <c r="X137" s="10">
        <f>Tabella3[[#This Row],[Lombardy fit]]*NOT(ISBLANK(Tabella3[[#This Row],[Lombardy data]]))</f>
        <v>0</v>
      </c>
      <c r="AB137" s="10"/>
      <c r="AC137" s="10">
        <f>Tabella3[[#This Row],[rest of Italy data]]*NOT(ISBLANK(Tabella3[[#This Row],[rest of Italy data]]))</f>
        <v>0</v>
      </c>
      <c r="AD137" s="96">
        <f>Tabella8[[#This Row],[rest of Italy fit]]</f>
        <v>137841.33185336328</v>
      </c>
      <c r="AE137" s="91">
        <f>Tabella3[[#This Row],[rest of Italy cumul. Fit]]/Ka</f>
        <v>0.93136045878163576</v>
      </c>
      <c r="AF137" s="91">
        <f>IFERROR(Ka*_xlfn.LOGNORM.DIST((Tabella3[[#This Row],[Day]]-pa),mu_a,sigma_a,FALSE),0)</f>
        <v>659.75953478016152</v>
      </c>
      <c r="AG137" s="91">
        <f>Tabella3[[#This Row],[rest of Italy fit]]/y_a_peak</f>
        <v>0.19524428007427327</v>
      </c>
      <c r="AH137" s="10">
        <f>Tabella3[[#This Row],[rest of Italy fit]]*NOT(ISBLANK(Tabella3[[#This Row],[rest of Italy data]]))</f>
        <v>0</v>
      </c>
    </row>
    <row r="138" spans="2:34" x14ac:dyDescent="0.3">
      <c r="B138" s="9">
        <v>43961</v>
      </c>
      <c r="C138" s="4">
        <v>131</v>
      </c>
      <c r="E138" s="10"/>
      <c r="F138" s="10">
        <f>Tabella3[[#This Row],[Italy data]]*NOT(ISBLANK(Tabella3[[#This Row],[Italy data]]))</f>
        <v>0</v>
      </c>
      <c r="G138" s="96">
        <f>Tabella8[[#This Row],[Italy fit]]</f>
        <v>218950.18943699327</v>
      </c>
      <c r="H138" s="96">
        <f>Tabella3[[#This Row],[Italy cumul. Fit]]/Kf</f>
        <v>0.93170318799339791</v>
      </c>
      <c r="I138" s="96">
        <f>Tabella3[[#This Row],[Lombardy fit]]+Tabella3[[#This Row],[rest of Italy fit]]</f>
        <v>991.55590099106257</v>
      </c>
      <c r="J138" s="96">
        <f>Tabella3[[#This Row],[Italy (fitted Lombardy + fitted sum of the other regions)]]/(y_l_peak+y_a_peak)</f>
        <v>0.19301847541177791</v>
      </c>
      <c r="K138" s="91">
        <f>IFERROR(Kf*_xlfn.LOGNORM.DIST((Tabella3[[#This Row],[Day]]-D_bk),mu_f,sigma_f,FALSE),0)</f>
        <v>1004.9081582577937</v>
      </c>
      <c r="L138" s="91">
        <f>Tabella3[[#This Row],[Italy fit]]/y_f_peak</f>
        <v>0.19853523030367262</v>
      </c>
      <c r="M138" s="10">
        <f>Tabella3[[#This Row],[Italy (fitted Lombardy + fitted sum of the other regions)]]*NOT(ISBLANK(Tabella3[[#This Row],[Italy data]]))</f>
        <v>0</v>
      </c>
      <c r="N138" s="10">
        <f>Tabella3[[#This Row],[Italy fit]]*NOT(ISBLANK(Tabella3[[#This Row],[Italy data]]))</f>
        <v>0</v>
      </c>
      <c r="R138" s="10"/>
      <c r="S138" s="10">
        <f>Tabella3[[#This Row],[Lombardy data]]*NOT(ISBLANK(Tabella3[[#This Row],[Lombardy data]]))</f>
        <v>0</v>
      </c>
      <c r="T138" s="96">
        <f>Tabella8[[#This Row],[Lombardy fit]]</f>
        <v>80276.373838365733</v>
      </c>
      <c r="U138" s="91">
        <f>Tabella3[[#This Row],[Lombardy cumul. Fit]]/Kl</f>
        <v>0.92271694067087051</v>
      </c>
      <c r="V138" s="91">
        <f>IFERROR(Kl*_xlfn.LOGNORM.DIST((Tabella3[[#This Row],[Day]]-pl),mu_l,sigma_l,FALSE),0)</f>
        <v>370.93739703769523</v>
      </c>
      <c r="W138" s="91">
        <f>Tabella3[[#This Row],[Lombardy fit]]/y_l_peak</f>
        <v>0.21100512153342132</v>
      </c>
      <c r="X138" s="10">
        <f>Tabella3[[#This Row],[Lombardy fit]]*NOT(ISBLANK(Tabella3[[#This Row],[Lombardy data]]))</f>
        <v>0</v>
      </c>
      <c r="AB138" s="10"/>
      <c r="AC138" s="10">
        <f>Tabella3[[#This Row],[rest of Italy data]]*NOT(ISBLANK(Tabella3[[#This Row],[rest of Italy data]]))</f>
        <v>0</v>
      </c>
      <c r="AD138" s="96">
        <f>Tabella8[[#This Row],[rest of Italy fit]]</f>
        <v>138481.34618863615</v>
      </c>
      <c r="AE138" s="91">
        <f>Tabella3[[#This Row],[rest of Italy cumul. Fit]]/Ka</f>
        <v>0.9356848804693243</v>
      </c>
      <c r="AF138" s="91">
        <f>IFERROR(Ka*_xlfn.LOGNORM.DIST((Tabella3[[#This Row],[Day]]-pa),mu_a,sigma_a,FALSE),0)</f>
        <v>620.61850395336728</v>
      </c>
      <c r="AG138" s="91">
        <f>Tabella3[[#This Row],[rest of Italy fit]]/y_a_peak</f>
        <v>0.18366117747055147</v>
      </c>
      <c r="AH138" s="10">
        <f>Tabella3[[#This Row],[rest of Italy fit]]*NOT(ISBLANK(Tabella3[[#This Row],[rest of Italy data]]))</f>
        <v>0</v>
      </c>
    </row>
    <row r="139" spans="2:34" x14ac:dyDescent="0.3">
      <c r="B139" s="9">
        <v>43962</v>
      </c>
      <c r="C139" s="4">
        <v>132</v>
      </c>
      <c r="E139" s="10"/>
      <c r="F139" s="10">
        <f>Tabella3[[#This Row],[Italy data]]*NOT(ISBLANK(Tabella3[[#This Row],[Italy data]]))</f>
        <v>0</v>
      </c>
      <c r="G139" s="96">
        <f>Tabella8[[#This Row],[Italy fit]]</f>
        <v>219926.25888901411</v>
      </c>
      <c r="H139" s="96">
        <f>Tabella3[[#This Row],[Italy cumul. Fit]]/Kf</f>
        <v>0.93585667615656976</v>
      </c>
      <c r="I139" s="96">
        <f>Tabella3[[#This Row],[Lombardy fit]]+Tabella3[[#This Row],[rest of Italy fit]]</f>
        <v>935.63973821430579</v>
      </c>
      <c r="J139" s="96">
        <f>Tabella3[[#This Row],[Italy (fitted Lombardy + fitted sum of the other regions)]]/(y_l_peak+y_a_peak)</f>
        <v>0.18213371089244126</v>
      </c>
      <c r="K139" s="91">
        <f>IFERROR(Kf*_xlfn.LOGNORM.DIST((Tabella3[[#This Row],[Day]]-D_bk),mu_f,sigma_f,FALSE),0)</f>
        <v>947.71491909443876</v>
      </c>
      <c r="L139" s="91">
        <f>Tabella3[[#This Row],[Italy fit]]/y_f_peak</f>
        <v>0.1872358167047268</v>
      </c>
      <c r="M139" s="10">
        <f>Tabella3[[#This Row],[Italy (fitted Lombardy + fitted sum of the other regions)]]*NOT(ISBLANK(Tabella3[[#This Row],[Italy data]]))</f>
        <v>0</v>
      </c>
      <c r="N139" s="10">
        <f>Tabella3[[#This Row],[Italy fit]]*NOT(ISBLANK(Tabella3[[#This Row],[Italy data]]))</f>
        <v>0</v>
      </c>
      <c r="R139" s="10"/>
      <c r="S139" s="10">
        <f>Tabella3[[#This Row],[Lombardy data]]*NOT(ISBLANK(Tabella3[[#This Row],[Lombardy data]]))</f>
        <v>0</v>
      </c>
      <c r="T139" s="96">
        <f>Tabella8[[#This Row],[Lombardy fit]]</f>
        <v>80637.823518680394</v>
      </c>
      <c r="U139" s="91">
        <f>Tabella3[[#This Row],[Lombardy cumul. Fit]]/Kl</f>
        <v>0.92687153469747574</v>
      </c>
      <c r="V139" s="91">
        <f>IFERROR(Kl*_xlfn.LOGNORM.DIST((Tabella3[[#This Row],[Day]]-pl),mu_l,sigma_l,FALSE),0)</f>
        <v>352.10510165754272</v>
      </c>
      <c r="W139" s="91">
        <f>Tabella3[[#This Row],[Lombardy fit]]/y_l_peak</f>
        <v>0.20029250315852462</v>
      </c>
      <c r="X139" s="10">
        <f>Tabella3[[#This Row],[Lombardy fit]]*NOT(ISBLANK(Tabella3[[#This Row],[Lombardy data]]))</f>
        <v>0</v>
      </c>
      <c r="AB139" s="10"/>
      <c r="AC139" s="10">
        <f>Tabella3[[#This Row],[rest of Italy data]]*NOT(ISBLANK(Tabella3[[#This Row],[rest of Italy data]]))</f>
        <v>0</v>
      </c>
      <c r="AD139" s="96">
        <f>Tabella8[[#This Row],[rest of Italy fit]]</f>
        <v>139083.25459424485</v>
      </c>
      <c r="AE139" s="91">
        <f>Tabella3[[#This Row],[rest of Italy cumul. Fit]]/Ka</f>
        <v>0.93975182962930925</v>
      </c>
      <c r="AF139" s="91">
        <f>IFERROR(Ka*_xlfn.LOGNORM.DIST((Tabella3[[#This Row],[Day]]-pa),mu_a,sigma_a,FALSE),0)</f>
        <v>583.53463655676308</v>
      </c>
      <c r="AG139" s="91">
        <f>Tabella3[[#This Row],[rest of Italy fit]]/y_a_peak</f>
        <v>0.17268685635728045</v>
      </c>
      <c r="AH139" s="10">
        <f>Tabella3[[#This Row],[rest of Italy fit]]*NOT(ISBLANK(Tabella3[[#This Row],[rest of Italy data]]))</f>
        <v>0</v>
      </c>
    </row>
    <row r="140" spans="2:34" x14ac:dyDescent="0.3">
      <c r="B140" s="9">
        <v>43963</v>
      </c>
      <c r="C140" s="4">
        <v>133</v>
      </c>
      <c r="E140" s="10"/>
      <c r="F140" s="10">
        <f>Tabella3[[#This Row],[Italy data]]*NOT(ISBLANK(Tabella3[[#This Row],[Italy data]]))</f>
        <v>0</v>
      </c>
      <c r="G140" s="96">
        <f>Tabella8[[#This Row],[Italy fit]]</f>
        <v>220846.57104323604</v>
      </c>
      <c r="H140" s="96">
        <f>Tabella3[[#This Row],[Italy cumul. Fit]]/Kf</f>
        <v>0.93977289915798623</v>
      </c>
      <c r="I140" s="96">
        <f>Tabella3[[#This Row],[Lombardy fit]]+Tabella3[[#This Row],[rest of Italy fit]]</f>
        <v>882.54758705454833</v>
      </c>
      <c r="J140" s="96">
        <f>Tabella3[[#This Row],[Italy (fitted Lombardy + fitted sum of the other regions)]]/(y_l_peak+y_a_peak)</f>
        <v>0.17179867475081237</v>
      </c>
      <c r="K140" s="91">
        <f>IFERROR(Kf*_xlfn.LOGNORM.DIST((Tabella3[[#This Row],[Day]]-D_bk),mu_f,sigma_f,FALSE),0)</f>
        <v>893.37692062482665</v>
      </c>
      <c r="L140" s="91">
        <f>Tabella3[[#This Row],[Italy fit]]/y_f_peak</f>
        <v>0.17650050029620229</v>
      </c>
      <c r="M140" s="10">
        <f>Tabella3[[#This Row],[Italy (fitted Lombardy + fitted sum of the other regions)]]*NOT(ISBLANK(Tabella3[[#This Row],[Italy data]]))</f>
        <v>0</v>
      </c>
      <c r="N140" s="10">
        <f>Tabella3[[#This Row],[Italy fit]]*NOT(ISBLANK(Tabella3[[#This Row],[Italy data]]))</f>
        <v>0</v>
      </c>
      <c r="R140" s="10"/>
      <c r="S140" s="10">
        <f>Tabella3[[#This Row],[Lombardy data]]*NOT(ISBLANK(Tabella3[[#This Row],[Lombardy data]]))</f>
        <v>0</v>
      </c>
      <c r="T140" s="96">
        <f>Tabella8[[#This Row],[Lombardy fit]]</f>
        <v>80980.86588033702</v>
      </c>
      <c r="U140" s="91">
        <f>Tabella3[[#This Row],[Lombardy cumul. Fit]]/Kl</f>
        <v>0.93081455034870142</v>
      </c>
      <c r="V140" s="91">
        <f>IFERROR(Kl*_xlfn.LOGNORM.DIST((Tabella3[[#This Row],[Day]]-pl),mu_l,sigma_l,FALSE),0)</f>
        <v>334.1183060046618</v>
      </c>
      <c r="W140" s="91">
        <f>Tabella3[[#This Row],[Lombardy fit]]/y_l_peak</f>
        <v>0.19006084133892312</v>
      </c>
      <c r="X140" s="10">
        <f>Tabella3[[#This Row],[Lombardy fit]]*NOT(ISBLANK(Tabella3[[#This Row],[Lombardy data]]))</f>
        <v>0</v>
      </c>
      <c r="AB140" s="10"/>
      <c r="AC140" s="10">
        <f>Tabella3[[#This Row],[rest of Italy data]]*NOT(ISBLANK(Tabella3[[#This Row],[rest of Italy data]]))</f>
        <v>0</v>
      </c>
      <c r="AD140" s="96">
        <f>Tabella8[[#This Row],[rest of Italy fit]]</f>
        <v>139649.07497077979</v>
      </c>
      <c r="AE140" s="91">
        <f>Tabella3[[#This Row],[rest of Italy cumul. Fit]]/Ka</f>
        <v>0.94357494072662651</v>
      </c>
      <c r="AF140" s="91">
        <f>IFERROR(Ka*_xlfn.LOGNORM.DIST((Tabella3[[#This Row],[Day]]-pa),mu_a,sigma_a,FALSE),0)</f>
        <v>548.42928104988653</v>
      </c>
      <c r="AG140" s="91">
        <f>Tabella3[[#This Row],[rest of Italy fit]]/y_a_peak</f>
        <v>0.16229804118846988</v>
      </c>
      <c r="AH140" s="10">
        <f>Tabella3[[#This Row],[rest of Italy fit]]*NOT(ISBLANK(Tabella3[[#This Row],[rest of Italy data]]))</f>
        <v>0</v>
      </c>
    </row>
    <row r="141" spans="2:34" x14ac:dyDescent="0.3">
      <c r="B141" s="9">
        <v>43964</v>
      </c>
      <c r="C141" s="4">
        <v>134</v>
      </c>
      <c r="E141" s="10"/>
      <c r="F141" s="10">
        <f>Tabella3[[#This Row],[Italy data]]*NOT(ISBLANK(Tabella3[[#This Row],[Italy data]]))</f>
        <v>0</v>
      </c>
      <c r="G141" s="96">
        <f>Tabella8[[#This Row],[Italy fit]]</f>
        <v>221713.93093691496</v>
      </c>
      <c r="H141" s="96">
        <f>Tabella3[[#This Row],[Italy cumul. Fit]]/Kf</f>
        <v>0.94346379332965269</v>
      </c>
      <c r="I141" s="96">
        <f>Tabella3[[#This Row],[Lombardy fit]]+Tabella3[[#This Row],[rest of Italy fit]]</f>
        <v>832.17339871597699</v>
      </c>
      <c r="J141" s="96">
        <f>Tabella3[[#This Row],[Italy (fitted Lombardy + fitted sum of the other regions)]]/(y_l_peak+y_a_peak)</f>
        <v>0.16199272329260564</v>
      </c>
      <c r="K141" s="91">
        <f>IFERROR(Kf*_xlfn.LOGNORM.DIST((Tabella3[[#This Row],[Day]]-D_bk),mu_f,sigma_f,FALSE),0)</f>
        <v>841.79350463715036</v>
      </c>
      <c r="L141" s="91">
        <f>Tabella3[[#This Row],[Italy fit]]/y_f_peak</f>
        <v>0.16630939448339002</v>
      </c>
      <c r="M141" s="10">
        <f>Tabella3[[#This Row],[Italy (fitted Lombardy + fitted sum of the other regions)]]*NOT(ISBLANK(Tabella3[[#This Row],[Italy data]]))</f>
        <v>0</v>
      </c>
      <c r="N141" s="10">
        <f>Tabella3[[#This Row],[Italy fit]]*NOT(ISBLANK(Tabella3[[#This Row],[Italy data]]))</f>
        <v>0</v>
      </c>
      <c r="R141" s="10"/>
      <c r="S141" s="10">
        <f>Tabella3[[#This Row],[Lombardy data]]*NOT(ISBLANK(Tabella3[[#This Row],[Lombardy data]]))</f>
        <v>0</v>
      </c>
      <c r="T141" s="96">
        <f>Tabella8[[#This Row],[Lombardy fit]]</f>
        <v>81306.332990023977</v>
      </c>
      <c r="U141" s="91">
        <f>Tabella3[[#This Row],[Lombardy cumul. Fit]]/Kl</f>
        <v>0.93455555160947101</v>
      </c>
      <c r="V141" s="91">
        <f>IFERROR(Kl*_xlfn.LOGNORM.DIST((Tabella3[[#This Row],[Day]]-pl),mu_l,sigma_l,FALSE),0)</f>
        <v>316.95007817583087</v>
      </c>
      <c r="W141" s="91">
        <f>Tabella3[[#This Row],[Lombardy fit]]/y_l_peak</f>
        <v>0.18029481605145983</v>
      </c>
      <c r="X141" s="10">
        <f>Tabella3[[#This Row],[Lombardy fit]]*NOT(ISBLANK(Tabella3[[#This Row],[Lombardy data]]))</f>
        <v>0</v>
      </c>
      <c r="AB141" s="10"/>
      <c r="AC141" s="10">
        <f>Tabella3[[#This Row],[rest of Italy data]]*NOT(ISBLANK(Tabella3[[#This Row],[rest of Italy data]]))</f>
        <v>0</v>
      </c>
      <c r="AD141" s="96">
        <f>Tabella8[[#This Row],[rest of Italy fit]]</f>
        <v>140180.74628718375</v>
      </c>
      <c r="AE141" s="91">
        <f>Tabella3[[#This Row],[rest of Italy cumul. Fit]]/Ka</f>
        <v>0.94716731490430628</v>
      </c>
      <c r="AF141" s="91">
        <f>IFERROR(Ka*_xlfn.LOGNORM.DIST((Tabella3[[#This Row],[Day]]-pa),mu_a,sigma_a,FALSE),0)</f>
        <v>515.22332054014612</v>
      </c>
      <c r="AG141" s="91">
        <f>Tabella3[[#This Row],[rest of Italy fit]]/y_a_peak</f>
        <v>0.15247131870531652</v>
      </c>
      <c r="AH141" s="10">
        <f>Tabella3[[#This Row],[rest of Italy fit]]*NOT(ISBLANK(Tabella3[[#This Row],[rest of Italy data]]))</f>
        <v>0</v>
      </c>
    </row>
    <row r="142" spans="2:34" x14ac:dyDescent="0.3">
      <c r="B142" s="9">
        <v>43965</v>
      </c>
      <c r="C142" s="4">
        <v>135</v>
      </c>
      <c r="E142" s="10"/>
      <c r="F142" s="10">
        <f>Tabella3[[#This Row],[Italy data]]*NOT(ISBLANK(Tabella3[[#This Row],[Italy data]]))</f>
        <v>0</v>
      </c>
      <c r="G142" s="96">
        <f>Tabella8[[#This Row],[Italy fit]]</f>
        <v>222531.04232043843</v>
      </c>
      <c r="H142" s="96">
        <f>Tabella3[[#This Row],[Italy cumul. Fit]]/Kf</f>
        <v>0.94694086399550648</v>
      </c>
      <c r="I142" s="96">
        <f>Tabella3[[#This Row],[Lombardy fit]]+Tabella3[[#This Row],[rest of Italy fit]]</f>
        <v>784.41088248418544</v>
      </c>
      <c r="J142" s="96">
        <f>Tabella3[[#This Row],[Italy (fitted Lombardy + fitted sum of the other regions)]]/(y_l_peak+y_a_peak)</f>
        <v>0.15269516573112449</v>
      </c>
      <c r="K142" s="91">
        <f>IFERROR(Kf*_xlfn.LOGNORM.DIST((Tabella3[[#This Row],[Day]]-D_bk),mu_f,sigma_f,FALSE),0)</f>
        <v>792.86287792015048</v>
      </c>
      <c r="L142" s="91">
        <f>Tabella3[[#This Row],[Italy fit]]/y_f_peak</f>
        <v>0.15664238843479297</v>
      </c>
      <c r="M142" s="10">
        <f>Tabella3[[#This Row],[Italy (fitted Lombardy + fitted sum of the other regions)]]*NOT(ISBLANK(Tabella3[[#This Row],[Italy data]]))</f>
        <v>0</v>
      </c>
      <c r="N142" s="10">
        <f>Tabella3[[#This Row],[Italy fit]]*NOT(ISBLANK(Tabella3[[#This Row],[Italy data]]))</f>
        <v>0</v>
      </c>
      <c r="R142" s="10"/>
      <c r="S142" s="10">
        <f>Tabella3[[#This Row],[Lombardy data]]*NOT(ISBLANK(Tabella3[[#This Row],[Lombardy data]]))</f>
        <v>0</v>
      </c>
      <c r="T142" s="96">
        <f>Tabella8[[#This Row],[Lombardy fit]]</f>
        <v>81615.02981433706</v>
      </c>
      <c r="U142" s="91">
        <f>Tabella3[[#This Row],[Lombardy cumul. Fit]]/Kl</f>
        <v>0.93810379096939145</v>
      </c>
      <c r="V142" s="91">
        <f>IFERROR(Kl*_xlfn.LOGNORM.DIST((Tabella3[[#This Row],[Day]]-pl),mu_l,sigma_l,FALSE),0)</f>
        <v>300.57317850286819</v>
      </c>
      <c r="W142" s="91">
        <f>Tabella3[[#This Row],[Lombardy fit]]/y_l_peak</f>
        <v>0.17097893220305138</v>
      </c>
      <c r="X142" s="10">
        <f>Tabella3[[#This Row],[Lombardy fit]]*NOT(ISBLANK(Tabella3[[#This Row],[Lombardy data]]))</f>
        <v>0</v>
      </c>
      <c r="AB142" s="10"/>
      <c r="AC142" s="10">
        <f>Tabella3[[#This Row],[rest of Italy data]]*NOT(ISBLANK(Tabella3[[#This Row],[rest of Italy data]]))</f>
        <v>0</v>
      </c>
      <c r="AD142" s="96">
        <f>Tabella8[[#This Row],[rest of Italy fit]]</f>
        <v>140680.12838725458</v>
      </c>
      <c r="AE142" s="91">
        <f>Tabella3[[#This Row],[rest of Italy cumul. Fit]]/Ka</f>
        <v>0.95054151867595937</v>
      </c>
      <c r="AF142" s="91">
        <f>IFERROR(Ka*_xlfn.LOGNORM.DIST((Tabella3[[#This Row],[Day]]-pa),mu_a,sigma_a,FALSE),0)</f>
        <v>483.83770398131725</v>
      </c>
      <c r="AG142" s="91">
        <f>Tabella3[[#This Row],[rest of Italy fit]]/y_a_peak</f>
        <v>0.1431832951350962</v>
      </c>
      <c r="AH142" s="10">
        <f>Tabella3[[#This Row],[rest of Italy fit]]*NOT(ISBLANK(Tabella3[[#This Row],[rest of Italy data]]))</f>
        <v>0</v>
      </c>
    </row>
    <row r="143" spans="2:34" x14ac:dyDescent="0.3">
      <c r="B143" s="9">
        <v>43966</v>
      </c>
      <c r="C143" s="4">
        <v>136</v>
      </c>
      <c r="E143" s="10"/>
      <c r="F143" s="10">
        <f>Tabella3[[#This Row],[Italy data]]*NOT(ISBLANK(Tabella3[[#This Row],[Italy data]]))</f>
        <v>0</v>
      </c>
      <c r="G143" s="96">
        <f>Tabella8[[#This Row],[Italy fit]]</f>
        <v>223300.50687441678</v>
      </c>
      <c r="H143" s="96">
        <f>Tabella3[[#This Row],[Italy cumul. Fit]]/Kf</f>
        <v>0.95021518213988909</v>
      </c>
      <c r="I143" s="96">
        <f>Tabella3[[#This Row],[Lombardy fit]]+Tabella3[[#This Row],[rest of Italy fit]]</f>
        <v>739.15412697762486</v>
      </c>
      <c r="J143" s="96">
        <f>Tabella3[[#This Row],[Italy (fitted Lombardy + fitted sum of the other regions)]]/(y_l_peak+y_a_peak)</f>
        <v>0.14388538512144947</v>
      </c>
      <c r="K143" s="91">
        <f>IFERROR(Kf*_xlfn.LOGNORM.DIST((Tabella3[[#This Row],[Day]]-D_bk),mu_f,sigma_f,FALSE),0)</f>
        <v>746.48280182148176</v>
      </c>
      <c r="L143" s="91">
        <f>Tabella3[[#This Row],[Italy fit]]/y_f_peak</f>
        <v>0.14747928331510216</v>
      </c>
      <c r="M143" s="10">
        <f>Tabella3[[#This Row],[Italy (fitted Lombardy + fitted sum of the other regions)]]*NOT(ISBLANK(Tabella3[[#This Row],[Italy data]]))</f>
        <v>0</v>
      </c>
      <c r="N143" s="10">
        <f>Tabella3[[#This Row],[Italy fit]]*NOT(ISBLANK(Tabella3[[#This Row],[Italy data]]))</f>
        <v>0</v>
      </c>
      <c r="R143" s="10"/>
      <c r="S143" s="10">
        <f>Tabella3[[#This Row],[Lombardy data]]*NOT(ISBLANK(Tabella3[[#This Row],[Lombardy data]]))</f>
        <v>0</v>
      </c>
      <c r="T143" s="96">
        <f>Tabella8[[#This Row],[Lombardy fit]]</f>
        <v>81907.733994565613</v>
      </c>
      <c r="U143" s="91">
        <f>Tabella3[[#This Row],[Lombardy cumul. Fit]]/Kl</f>
        <v>0.9414682068340875</v>
      </c>
      <c r="V143" s="91">
        <f>IFERROR(Kl*_xlfn.LOGNORM.DIST((Tabella3[[#This Row],[Day]]-pl),mu_l,sigma_l,FALSE),0)</f>
        <v>284.96022141471974</v>
      </c>
      <c r="W143" s="91">
        <f>Tabella3[[#This Row],[Lombardy fit]]/y_l_peak</f>
        <v>0.1620976117047947</v>
      </c>
      <c r="X143" s="10">
        <f>Tabella3[[#This Row],[Lombardy fit]]*NOT(ISBLANK(Tabella3[[#This Row],[Lombardy data]]))</f>
        <v>0</v>
      </c>
      <c r="AB143" s="10"/>
      <c r="AC143" s="10">
        <f>Tabella3[[#This Row],[rest of Italy data]]*NOT(ISBLANK(Tabella3[[#This Row],[rest of Italy data]]))</f>
        <v>0</v>
      </c>
      <c r="AD143" s="96">
        <f>Tabella8[[#This Row],[rest of Italy fit]]</f>
        <v>141149.00229090173</v>
      </c>
      <c r="AE143" s="91">
        <f>Tabella3[[#This Row],[rest of Italy cumul. Fit]]/Ka</f>
        <v>0.95370958596129374</v>
      </c>
      <c r="AF143" s="91">
        <f>IFERROR(Ka*_xlfn.LOGNORM.DIST((Tabella3[[#This Row],[Day]]-pa),mu_a,sigma_a,FALSE),0)</f>
        <v>454.19390556290517</v>
      </c>
      <c r="AG143" s="91">
        <f>Tabella3[[#This Row],[rest of Italy fit]]/y_a_peak</f>
        <v>0.13441073213940066</v>
      </c>
      <c r="AH143" s="10">
        <f>Tabella3[[#This Row],[rest of Italy fit]]*NOT(ISBLANK(Tabella3[[#This Row],[rest of Italy data]]))</f>
        <v>0</v>
      </c>
    </row>
    <row r="144" spans="2:34" x14ac:dyDescent="0.3">
      <c r="B144" s="9">
        <v>43967</v>
      </c>
      <c r="C144" s="4">
        <v>137</v>
      </c>
      <c r="E144" s="10"/>
      <c r="F144" s="10">
        <f>Tabella3[[#This Row],[Italy data]]*NOT(ISBLANK(Tabella3[[#This Row],[Italy data]]))</f>
        <v>0</v>
      </c>
      <c r="G144" s="96">
        <f>Tabella8[[#This Row],[Italy fit]]</f>
        <v>224024.82407359386</v>
      </c>
      <c r="H144" s="96">
        <f>Tabella3[[#This Row],[Italy cumul. Fit]]/Kf</f>
        <v>0.9532973838284422</v>
      </c>
      <c r="I144" s="96">
        <f>Tabella3[[#This Row],[Lombardy fit]]+Tabella3[[#This Row],[rest of Italy fit]]</f>
        <v>696.29813723834764</v>
      </c>
      <c r="J144" s="96">
        <f>Tabella3[[#This Row],[Italy (fitted Lombardy + fitted sum of the other regions)]]/(y_l_peak+y_a_peak)</f>
        <v>0.13554294291171606</v>
      </c>
      <c r="K144" s="91">
        <f>IFERROR(Kf*_xlfn.LOGNORM.DIST((Tabella3[[#This Row],[Day]]-D_bk),mu_f,sigma_f,FALSE),0)</f>
        <v>702.55119745119828</v>
      </c>
      <c r="L144" s="91">
        <f>Tabella3[[#This Row],[Italy fit]]/y_f_peak</f>
        <v>0.13879991185255447</v>
      </c>
      <c r="M144" s="10">
        <f>Tabella3[[#This Row],[Italy (fitted Lombardy + fitted sum of the other regions)]]*NOT(ISBLANK(Tabella3[[#This Row],[Italy data]]))</f>
        <v>0</v>
      </c>
      <c r="N144" s="10">
        <f>Tabella3[[#This Row],[Italy fit]]*NOT(ISBLANK(Tabella3[[#This Row],[Italy data]]))</f>
        <v>0</v>
      </c>
      <c r="R144" s="10"/>
      <c r="S144" s="10">
        <f>Tabella3[[#This Row],[Lombardy data]]*NOT(ISBLANK(Tabella3[[#This Row],[Lombardy data]]))</f>
        <v>0</v>
      </c>
      <c r="T144" s="96">
        <f>Tabella8[[#This Row],[Lombardy fit]]</f>
        <v>82185.195773867905</v>
      </c>
      <c r="U144" s="91">
        <f>Tabella3[[#This Row],[Lombardy cumul. Fit]]/Kl</f>
        <v>0.94465742268813679</v>
      </c>
      <c r="V144" s="91">
        <f>IFERROR(Kl*_xlfn.LOGNORM.DIST((Tabella3[[#This Row],[Day]]-pl),mu_l,sigma_l,FALSE),0)</f>
        <v>270.08381859928841</v>
      </c>
      <c r="W144" s="91">
        <f>Tabella3[[#This Row],[Lombardy fit]]/y_l_peak</f>
        <v>0.15363527490856374</v>
      </c>
      <c r="X144" s="10">
        <f>Tabella3[[#This Row],[Lombardy fit]]*NOT(ISBLANK(Tabella3[[#This Row],[Lombardy data]]))</f>
        <v>0</v>
      </c>
      <c r="AB144" s="10"/>
      <c r="AC144" s="10">
        <f>Tabella3[[#This Row],[rest of Italy data]]*NOT(ISBLANK(Tabella3[[#This Row],[rest of Italy data]]))</f>
        <v>0</v>
      </c>
      <c r="AD144" s="96">
        <f>Tabella8[[#This Row],[rest of Italy fit]]</f>
        <v>141589.07092154451</v>
      </c>
      <c r="AE144" s="91">
        <f>Tabella3[[#This Row],[rest of Italy cumul. Fit]]/Ka</f>
        <v>0.9566830230009683</v>
      </c>
      <c r="AF144" s="91">
        <f>IFERROR(Ka*_xlfn.LOGNORM.DIST((Tabella3[[#This Row],[Day]]-pa),mu_a,sigma_a,FALSE),0)</f>
        <v>426.21431863905917</v>
      </c>
      <c r="AG144" s="91">
        <f>Tabella3[[#This Row],[rest of Italy fit]]/y_a_peak</f>
        <v>0.12613066339050091</v>
      </c>
      <c r="AH144" s="10">
        <f>Tabella3[[#This Row],[rest of Italy fit]]*NOT(ISBLANK(Tabella3[[#This Row],[rest of Italy data]]))</f>
        <v>0</v>
      </c>
    </row>
    <row r="145" spans="2:34" x14ac:dyDescent="0.3">
      <c r="B145" s="9">
        <v>43968</v>
      </c>
      <c r="C145" s="4">
        <v>138</v>
      </c>
      <c r="E145" s="10"/>
      <c r="F145" s="10">
        <f>Tabella3[[#This Row],[Italy data]]*NOT(ISBLANK(Tabella3[[#This Row],[Italy data]]))</f>
        <v>0</v>
      </c>
      <c r="G145" s="96">
        <f>Tabella8[[#This Row],[Italy fit]]</f>
        <v>224706.39161655519</v>
      </c>
      <c r="H145" s="96">
        <f>Tabella3[[#This Row],[Italy cumul. Fit]]/Kf</f>
        <v>0.95619767203665429</v>
      </c>
      <c r="I145" s="96">
        <f>Tabella3[[#This Row],[Lombardy fit]]+Tabella3[[#This Row],[rest of Italy fit]]</f>
        <v>655.73929515580005</v>
      </c>
      <c r="J145" s="96">
        <f>Tabella3[[#This Row],[Italy (fitted Lombardy + fitted sum of the other regions)]]/(y_l_peak+y_a_peak)</f>
        <v>0.12764766857023346</v>
      </c>
      <c r="K145" s="91">
        <f>IFERROR(Kf*_xlfn.LOGNORM.DIST((Tabella3[[#This Row],[Day]]-D_bk),mu_f,sigma_f,FALSE),0)</f>
        <v>660.96667316094317</v>
      </c>
      <c r="L145" s="91">
        <f>Tabella3[[#This Row],[Italy fit]]/y_f_peak</f>
        <v>0.13058424255064746</v>
      </c>
      <c r="M145" s="10">
        <f>Tabella3[[#This Row],[Italy (fitted Lombardy + fitted sum of the other regions)]]*NOT(ISBLANK(Tabella3[[#This Row],[Italy data]]))</f>
        <v>0</v>
      </c>
      <c r="N145" s="10">
        <f>Tabella3[[#This Row],[Italy fit]]*NOT(ISBLANK(Tabella3[[#This Row],[Italy data]]))</f>
        <v>0</v>
      </c>
      <c r="R145" s="10"/>
      <c r="S145" s="10">
        <f>Tabella3[[#This Row],[Lombardy data]]*NOT(ISBLANK(Tabella3[[#This Row],[Lombardy data]]))</f>
        <v>0</v>
      </c>
      <c r="T145" s="96">
        <f>Tabella8[[#This Row],[Lombardy fit]]</f>
        <v>82448.138058862911</v>
      </c>
      <c r="U145" s="91">
        <f>Tabella3[[#This Row],[Lombardy cumul. Fit]]/Kl</f>
        <v>0.947679747803022</v>
      </c>
      <c r="V145" s="91">
        <f>IFERROR(Kl*_xlfn.LOGNORM.DIST((Tabella3[[#This Row],[Day]]-pl),mu_l,sigma_l,FALSE),0)</f>
        <v>255.91670491119669</v>
      </c>
      <c r="W145" s="91">
        <f>Tabella3[[#This Row],[Lombardy fit]]/y_l_peak</f>
        <v>0.14557641222875201</v>
      </c>
      <c r="X145" s="10">
        <f>Tabella3[[#This Row],[Lombardy fit]]*NOT(ISBLANK(Tabella3[[#This Row],[Lombardy data]]))</f>
        <v>0</v>
      </c>
      <c r="AB145" s="10"/>
      <c r="AC145" s="10">
        <f>Tabella3[[#This Row],[rest of Italy data]]*NOT(ISBLANK(Tabella3[[#This Row],[rest of Italy data]]))</f>
        <v>0</v>
      </c>
      <c r="AD145" s="96">
        <f>Tabella8[[#This Row],[rest of Italy fit]]</f>
        <v>142001.96019724241</v>
      </c>
      <c r="AE145" s="91">
        <f>Tabella3[[#This Row],[rest of Italy cumul. Fit]]/Ka</f>
        <v>0.95947281572909648</v>
      </c>
      <c r="AF145" s="91">
        <f>IFERROR(Ka*_xlfn.LOGNORM.DIST((Tabella3[[#This Row],[Day]]-pa),mu_a,sigma_a,FALSE),0)</f>
        <v>399.82259024460336</v>
      </c>
      <c r="AG145" s="91">
        <f>Tabella3[[#This Row],[rest of Italy fit]]/y_a_peak</f>
        <v>0.11832049356550814</v>
      </c>
      <c r="AH145" s="10">
        <f>Tabella3[[#This Row],[rest of Italy fit]]*NOT(ISBLANK(Tabella3[[#This Row],[rest of Italy data]]))</f>
        <v>0</v>
      </c>
    </row>
    <row r="146" spans="2:34" x14ac:dyDescent="0.3">
      <c r="B146" s="9">
        <v>43969</v>
      </c>
      <c r="C146" s="4">
        <v>139</v>
      </c>
      <c r="E146" s="10"/>
      <c r="F146" s="10">
        <f>Tabella3[[#This Row],[Italy data]]*NOT(ISBLANK(Tabella3[[#This Row],[Italy data]]))</f>
        <v>0</v>
      </c>
      <c r="G146" s="96">
        <f>Tabella8[[#This Row],[Italy fit]]</f>
        <v>225347.50634673334</v>
      </c>
      <c r="H146" s="96">
        <f>Tabella3[[#This Row],[Italy cumul. Fit]]/Kf</f>
        <v>0.95892582056903264</v>
      </c>
      <c r="I146" s="96">
        <f>Tabella3[[#This Row],[Lombardy fit]]+Tabella3[[#This Row],[rest of Italy fit]]</f>
        <v>617.37575033090582</v>
      </c>
      <c r="J146" s="96">
        <f>Tabella3[[#This Row],[Italy (fitted Lombardy + fitted sum of the other regions)]]/(y_l_peak+y_a_peak)</f>
        <v>0.12017973567195581</v>
      </c>
      <c r="K146" s="91">
        <f>IFERROR(Kf*_xlfn.LOGNORM.DIST((Tabella3[[#This Row],[Day]]-D_bk),mu_f,sigma_f,FALSE),0)</f>
        <v>621.62898070506117</v>
      </c>
      <c r="L146" s="91">
        <f>Tabella3[[#This Row],[Italy fit]]/y_f_peak</f>
        <v>0.12281246980985927</v>
      </c>
      <c r="M146" s="10">
        <f>Tabella3[[#This Row],[Italy (fitted Lombardy + fitted sum of the other regions)]]*NOT(ISBLANK(Tabella3[[#This Row],[Italy data]]))</f>
        <v>0</v>
      </c>
      <c r="N146" s="10">
        <f>Tabella3[[#This Row],[Italy fit]]*NOT(ISBLANK(Tabella3[[#This Row],[Italy data]]))</f>
        <v>0</v>
      </c>
      <c r="R146" s="10"/>
      <c r="S146" s="10">
        <f>Tabella3[[#This Row],[Lombardy data]]*NOT(ISBLANK(Tabella3[[#This Row],[Lombardy data]]))</f>
        <v>0</v>
      </c>
      <c r="T146" s="96">
        <f>Tabella8[[#This Row],[Lombardy fit]]</f>
        <v>82697.256599083383</v>
      </c>
      <c r="U146" s="91">
        <f>Tabella3[[#This Row],[Lombardy cumul. Fit]]/Kl</f>
        <v>0.95054317929980903</v>
      </c>
      <c r="V146" s="91">
        <f>IFERROR(Kl*_xlfn.LOGNORM.DIST((Tabella3[[#This Row],[Day]]-pl),mu_l,sigma_l,FALSE),0)</f>
        <v>242.43184841168704</v>
      </c>
      <c r="W146" s="91">
        <f>Tabella3[[#This Row],[Lombardy fit]]/y_l_peak</f>
        <v>0.13790564673769362</v>
      </c>
      <c r="X146" s="10">
        <f>Tabella3[[#This Row],[Lombardy fit]]*NOT(ISBLANK(Tabella3[[#This Row],[Lombardy data]]))</f>
        <v>0</v>
      </c>
      <c r="AB146" s="10"/>
      <c r="AC146" s="10">
        <f>Tabella3[[#This Row],[rest of Italy data]]*NOT(ISBLANK(Tabella3[[#This Row],[rest of Italy data]]))</f>
        <v>0</v>
      </c>
      <c r="AD146" s="96">
        <f>Tabella8[[#This Row],[rest of Italy fit]]</f>
        <v>142389.22042903272</v>
      </c>
      <c r="AE146" s="91">
        <f>Tabella3[[#This Row],[rest of Italy cumul. Fit]]/Ka</f>
        <v>0.96208943922147394</v>
      </c>
      <c r="AF146" s="91">
        <f>IFERROR(Ka*_xlfn.LOGNORM.DIST((Tabella3[[#This Row],[Day]]-pa),mu_a,sigma_a,FALSE),0)</f>
        <v>374.94390191921877</v>
      </c>
      <c r="AG146" s="91">
        <f>Tabella3[[#This Row],[rest of Italy fit]]/y_a_peak</f>
        <v>0.11095808145137252</v>
      </c>
      <c r="AH146" s="10">
        <f>Tabella3[[#This Row],[rest of Italy fit]]*NOT(ISBLANK(Tabella3[[#This Row],[rest of Italy data]]))</f>
        <v>0</v>
      </c>
    </row>
    <row r="147" spans="2:34" x14ac:dyDescent="0.3">
      <c r="B147" s="9">
        <v>43970</v>
      </c>
      <c r="C147" s="4">
        <v>140</v>
      </c>
      <c r="E147" s="10"/>
      <c r="F147" s="10">
        <f>Tabella3[[#This Row],[Italy data]]*NOT(ISBLANK(Tabella3[[#This Row],[Italy data]]))</f>
        <v>0</v>
      </c>
      <c r="G147" s="96">
        <f>Tabella8[[#This Row],[Italy fit]]</f>
        <v>225950.36559648617</v>
      </c>
      <c r="H147" s="96">
        <f>Tabella3[[#This Row],[Italy cumul. Fit]]/Kf</f>
        <v>0.96149117977858778</v>
      </c>
      <c r="I147" s="96">
        <f>Tabella3[[#This Row],[Lombardy fit]]+Tabella3[[#This Row],[rest of Italy fit]]</f>
        <v>581.10774808093993</v>
      </c>
      <c r="J147" s="96">
        <f>Tabella3[[#This Row],[Italy (fitted Lombardy + fitted sum of the other regions)]]/(y_l_peak+y_a_peak)</f>
        <v>0.1131197257486399</v>
      </c>
      <c r="K147" s="91">
        <f>IFERROR(Kf*_xlfn.LOGNORM.DIST((Tabella3[[#This Row],[Day]]-D_bk),mu_f,sigma_f,FALSE),0)</f>
        <v>584.43940622669379</v>
      </c>
      <c r="L147" s="91">
        <f>Tabella3[[#This Row],[Italy fit]]/y_f_peak</f>
        <v>0.11546509117303051</v>
      </c>
      <c r="M147" s="10">
        <f>Tabella3[[#This Row],[Italy (fitted Lombardy + fitted sum of the other regions)]]*NOT(ISBLANK(Tabella3[[#This Row],[Italy data]]))</f>
        <v>0</v>
      </c>
      <c r="N147" s="10">
        <f>Tabella3[[#This Row],[Italy fit]]*NOT(ISBLANK(Tabella3[[#This Row],[Italy data]]))</f>
        <v>0</v>
      </c>
      <c r="R147" s="10"/>
      <c r="S147" s="10">
        <f>Tabella3[[#This Row],[Lombardy data]]*NOT(ISBLANK(Tabella3[[#This Row],[Lombardy data]]))</f>
        <v>0</v>
      </c>
      <c r="T147" s="96">
        <f>Tabella8[[#This Row],[Lombardy fit]]</f>
        <v>82933.220269088051</v>
      </c>
      <c r="U147" s="91">
        <f>Tabella3[[#This Row],[Lombardy cumul. Fit]]/Kl</f>
        <v>0.95325540539181663</v>
      </c>
      <c r="V147" s="91">
        <f>IFERROR(Kl*_xlfn.LOGNORM.DIST((Tabella3[[#This Row],[Day]]-pl),mu_l,sigma_l,FALSE),0)</f>
        <v>229.60254586220248</v>
      </c>
      <c r="W147" s="91">
        <f>Tabella3[[#This Row],[Lombardy fit]]/y_l_peak</f>
        <v>0.13060778848651294</v>
      </c>
      <c r="X147" s="10">
        <f>Tabella3[[#This Row],[Lombardy fit]]*NOT(ISBLANK(Tabella3[[#This Row],[Lombardy data]]))</f>
        <v>0</v>
      </c>
      <c r="AB147" s="10"/>
      <c r="AC147" s="10">
        <f>Tabella3[[#This Row],[rest of Italy data]]*NOT(ISBLANK(Tabella3[[#This Row],[rest of Italy data]]))</f>
        <v>0</v>
      </c>
      <c r="AD147" s="96">
        <f>Tabella8[[#This Row],[rest of Italy fit]]</f>
        <v>142752.32797550212</v>
      </c>
      <c r="AE147" s="91">
        <f>Tabella3[[#This Row],[rest of Italy cumul. Fit]]/Ka</f>
        <v>0.96454286887511786</v>
      </c>
      <c r="AF147" s="91">
        <f>IFERROR(Ka*_xlfn.LOGNORM.DIST((Tabella3[[#This Row],[Day]]-pa),mu_a,sigma_a,FALSE),0)</f>
        <v>351.50520221873751</v>
      </c>
      <c r="AG147" s="91">
        <f>Tabella3[[#This Row],[rest of Italy fit]]/y_a_peak</f>
        <v>0.10402180875252867</v>
      </c>
      <c r="AH147" s="10">
        <f>Tabella3[[#This Row],[rest of Italy fit]]*NOT(ISBLANK(Tabella3[[#This Row],[rest of Italy data]]))</f>
        <v>0</v>
      </c>
    </row>
    <row r="148" spans="2:34" x14ac:dyDescent="0.3">
      <c r="B148" s="9">
        <v>43971</v>
      </c>
      <c r="C148" s="4">
        <v>141</v>
      </c>
      <c r="E148" s="10"/>
      <c r="F148" s="10">
        <f>Tabella3[[#This Row],[Italy data]]*NOT(ISBLANK(Tabella3[[#This Row],[Italy data]]))</f>
        <v>0</v>
      </c>
      <c r="G148" s="96">
        <f>Tabella8[[#This Row],[Italy fit]]</f>
        <v>226517.06889202536</v>
      </c>
      <c r="H148" s="96">
        <f>Tabella3[[#This Row],[Italy cumul. Fit]]/Kf</f>
        <v>0.96390268382184952</v>
      </c>
      <c r="I148" s="96">
        <f>Tabella3[[#This Row],[Lombardy fit]]+Tabella3[[#This Row],[rest of Italy fit]]</f>
        <v>546.83790086791305</v>
      </c>
      <c r="J148" s="96">
        <f>Tabella3[[#This Row],[Italy (fitted Lombardy + fitted sum of the other regions)]]/(y_l_peak+y_a_peak)</f>
        <v>0.10644868112569772</v>
      </c>
      <c r="K148" s="91">
        <f>IFERROR(Kf*_xlfn.LOGNORM.DIST((Tabella3[[#This Row],[Day]]-D_bk),mu_f,sigma_f,FALSE),0)</f>
        <v>549.30110192110874</v>
      </c>
      <c r="L148" s="91">
        <f>Tabella3[[#This Row],[Italy fit]]/y_f_peak</f>
        <v>0.10852297285061141</v>
      </c>
      <c r="M148" s="10">
        <f>Tabella3[[#This Row],[Italy (fitted Lombardy + fitted sum of the other regions)]]*NOT(ISBLANK(Tabella3[[#This Row],[Italy data]]))</f>
        <v>0</v>
      </c>
      <c r="N148" s="10">
        <f>Tabella3[[#This Row],[Italy fit]]*NOT(ISBLANK(Tabella3[[#This Row],[Italy data]]))</f>
        <v>0</v>
      </c>
      <c r="R148" s="10"/>
      <c r="S148" s="10">
        <f>Tabella3[[#This Row],[Lombardy data]]*NOT(ISBLANK(Tabella3[[#This Row],[Lombardy data]]))</f>
        <v>0</v>
      </c>
      <c r="T148" s="96">
        <f>Tabella8[[#This Row],[Lombardy fit]]</f>
        <v>83156.671439319733</v>
      </c>
      <c r="U148" s="91">
        <f>Tabella3[[#This Row],[Lombardy cumul. Fit]]/Kl</f>
        <v>0.95582380964735325</v>
      </c>
      <c r="V148" s="91">
        <f>IFERROR(Kl*_xlfn.LOGNORM.DIST((Tabella3[[#This Row],[Day]]-pl),mu_l,sigma_l,FALSE),0)</f>
        <v>217.40250492532616</v>
      </c>
      <c r="W148" s="91">
        <f>Tabella3[[#This Row],[Lombardy fit]]/y_l_peak</f>
        <v>0.12366788126454929</v>
      </c>
      <c r="X148" s="10">
        <f>Tabella3[[#This Row],[Lombardy fit]]*NOT(ISBLANK(Tabella3[[#This Row],[Lombardy data]]))</f>
        <v>0</v>
      </c>
      <c r="AB148" s="10"/>
      <c r="AC148" s="10">
        <f>Tabella3[[#This Row],[rest of Italy data]]*NOT(ISBLANK(Tabella3[[#This Row],[rest of Italy data]]))</f>
        <v>0</v>
      </c>
      <c r="AD148" s="96">
        <f>Tabella8[[#This Row],[rest of Italy fit]]</f>
        <v>143092.68710782341</v>
      </c>
      <c r="AE148" s="91">
        <f>Tabella3[[#This Row],[rest of Italy cumul. Fit]]/Ka</f>
        <v>0.96684259300986797</v>
      </c>
      <c r="AF148" s="91">
        <f>IFERROR(Ka*_xlfn.LOGNORM.DIST((Tabella3[[#This Row],[Day]]-pa),mu_a,sigma_a,FALSE),0)</f>
        <v>329.43539594258692</v>
      </c>
      <c r="AG148" s="91">
        <f>Tabella3[[#This Row],[rest of Italy fit]]/y_a_peak</f>
        <v>9.749063608944393E-2</v>
      </c>
      <c r="AH148" s="10">
        <f>Tabella3[[#This Row],[rest of Italy fit]]*NOT(ISBLANK(Tabella3[[#This Row],[rest of Italy data]]))</f>
        <v>0</v>
      </c>
    </row>
    <row r="149" spans="2:34" x14ac:dyDescent="0.3">
      <c r="B149" s="9">
        <v>43972</v>
      </c>
      <c r="C149" s="4">
        <v>142</v>
      </c>
      <c r="E149" s="10"/>
      <c r="F149" s="10">
        <f>Tabella3[[#This Row],[Italy data]]*NOT(ISBLANK(Tabella3[[#This Row],[Italy data]]))</f>
        <v>0</v>
      </c>
      <c r="G149" s="96">
        <f>Tabella8[[#This Row],[Italy fit]]</f>
        <v>227049.61996266877</v>
      </c>
      <c r="H149" s="96">
        <f>Tabella3[[#This Row],[Italy cumul. Fit]]/Kf</f>
        <v>0.96616885920887996</v>
      </c>
      <c r="I149" s="96">
        <f>Tabella3[[#This Row],[Lombardy fit]]+Tabella3[[#This Row],[rest of Italy fit]]</f>
        <v>514.47140901224839</v>
      </c>
      <c r="J149" s="96">
        <f>Tabella3[[#This Row],[Italy (fitted Lombardy + fitted sum of the other regions)]]/(y_l_peak+y_a_peak)</f>
        <v>0.10014814788681134</v>
      </c>
      <c r="K149" s="91">
        <f>IFERROR(Kf*_xlfn.LOGNORM.DIST((Tabella3[[#This Row],[Day]]-D_bk),mu_f,sigma_f,FALSE),0)</f>
        <v>516.11936391818824</v>
      </c>
      <c r="L149" s="91">
        <f>Tabella3[[#This Row],[Italy fit]]/y_f_peak</f>
        <v>0.10196740462066779</v>
      </c>
      <c r="M149" s="10">
        <f>Tabella3[[#This Row],[Italy (fitted Lombardy + fitted sum of the other regions)]]*NOT(ISBLANK(Tabella3[[#This Row],[Italy data]]))</f>
        <v>0</v>
      </c>
      <c r="N149" s="10">
        <f>Tabella3[[#This Row],[Italy fit]]*NOT(ISBLANK(Tabella3[[#This Row],[Italy data]]))</f>
        <v>0</v>
      </c>
      <c r="R149" s="10"/>
      <c r="S149" s="10">
        <f>Tabella3[[#This Row],[Lombardy data]]*NOT(ISBLANK(Tabella3[[#This Row],[Lombardy data]]))</f>
        <v>0</v>
      </c>
      <c r="T149" s="96">
        <f>Tabella8[[#This Row],[Lombardy fit]]</f>
        <v>83368.226423014072</v>
      </c>
      <c r="U149" s="91">
        <f>Tabella3[[#This Row],[Lombardy cumul. Fit]]/Kl</f>
        <v>0.95825547612659856</v>
      </c>
      <c r="V149" s="91">
        <f>IFERROR(Kl*_xlfn.LOGNORM.DIST((Tabella3[[#This Row],[Day]]-pl),mu_l,sigma_l,FALSE),0)</f>
        <v>205.8059142570437</v>
      </c>
      <c r="W149" s="91">
        <f>Tabella3[[#This Row],[Lombardy fit]]/y_l_peak</f>
        <v>0.11707124247084573</v>
      </c>
      <c r="X149" s="10">
        <f>Tabella3[[#This Row],[Lombardy fit]]*NOT(ISBLANK(Tabella3[[#This Row],[Lombardy data]]))</f>
        <v>0</v>
      </c>
      <c r="AB149" s="10"/>
      <c r="AC149" s="10">
        <f>Tabella3[[#This Row],[rest of Italy data]]*NOT(ISBLANK(Tabella3[[#This Row],[rest of Italy data]]))</f>
        <v>0</v>
      </c>
      <c r="AD149" s="96">
        <f>Tabella8[[#This Row],[rest of Italy fit]]</f>
        <v>143411.63204434121</v>
      </c>
      <c r="AE149" s="91">
        <f>Tabella3[[#This Row],[rest of Italy cumul. Fit]]/Ka</f>
        <v>0.96899762661558864</v>
      </c>
      <c r="AF149" s="91">
        <f>IFERROR(Ka*_xlfn.LOGNORM.DIST((Tabella3[[#This Row],[Day]]-pa),mu_a,sigma_a,FALSE),0)</f>
        <v>308.66549475520475</v>
      </c>
      <c r="AG149" s="91">
        <f>Tabella3[[#This Row],[rest of Italy fit]]/y_a_peak</f>
        <v>9.1344147572388304E-2</v>
      </c>
      <c r="AH149" s="10">
        <f>Tabella3[[#This Row],[rest of Italy fit]]*NOT(ISBLANK(Tabella3[[#This Row],[rest of Italy data]]))</f>
        <v>0</v>
      </c>
    </row>
    <row r="150" spans="2:34" x14ac:dyDescent="0.3">
      <c r="B150" s="9">
        <v>43973</v>
      </c>
      <c r="C150" s="4">
        <v>143</v>
      </c>
      <c r="E150" s="10"/>
      <c r="F150" s="10">
        <f>Tabella3[[#This Row],[Italy data]]*NOT(ISBLANK(Tabella3[[#This Row],[Italy data]]))</f>
        <v>0</v>
      </c>
      <c r="G150" s="96">
        <f>Tabella8[[#This Row],[Italy fit]]</f>
        <v>227549.92900327404</v>
      </c>
      <c r="H150" s="96">
        <f>Tabella3[[#This Row],[Italy cumul. Fit]]/Kf</f>
        <v>0.96829783443065287</v>
      </c>
      <c r="I150" s="96">
        <f>Tabella3[[#This Row],[Lombardy fit]]+Tabella3[[#This Row],[rest of Italy fit]]</f>
        <v>483.91623613577093</v>
      </c>
      <c r="J150" s="96">
        <f>Tabella3[[#This Row],[Italy (fitted Lombardy + fitted sum of the other regions)]]/(y_l_peak+y_a_peak)</f>
        <v>9.4200210026055123E-2</v>
      </c>
      <c r="K150" s="91">
        <f>IFERROR(Kf*_xlfn.LOGNORM.DIST((Tabella3[[#This Row],[Day]]-D_bk),mu_f,sigma_f,FALSE),0)</f>
        <v>484.80186160418259</v>
      </c>
      <c r="L150" s="91">
        <f>Tabella3[[#This Row],[Italy fit]]/y_f_peak</f>
        <v>9.5780145134958777E-2</v>
      </c>
      <c r="M150" s="10">
        <f>Tabella3[[#This Row],[Italy (fitted Lombardy + fitted sum of the other regions)]]*NOT(ISBLANK(Tabella3[[#This Row],[Italy data]]))</f>
        <v>0</v>
      </c>
      <c r="N150" s="10">
        <f>Tabella3[[#This Row],[Italy fit]]*NOT(ISBLANK(Tabella3[[#This Row],[Italy data]]))</f>
        <v>0</v>
      </c>
      <c r="R150" s="10"/>
      <c r="S150" s="10">
        <f>Tabella3[[#This Row],[Lombardy data]]*NOT(ISBLANK(Tabella3[[#This Row],[Lombardy data]]))</f>
        <v>0</v>
      </c>
      <c r="T150" s="96">
        <f>Tabella8[[#This Row],[Lombardy fit]]</f>
        <v>83568.475987613274</v>
      </c>
      <c r="U150" s="91">
        <f>Tabella3[[#This Row],[Lombardy cumul. Fit]]/Kl</f>
        <v>0.96055719525992267</v>
      </c>
      <c r="V150" s="91">
        <f>IFERROR(Kl*_xlfn.LOGNORM.DIST((Tabella3[[#This Row],[Day]]-pl),mu_l,sigma_l,FALSE),0)</f>
        <v>194.78750260386664</v>
      </c>
      <c r="W150" s="91">
        <f>Tabella3[[#This Row],[Lombardy fit]]/y_l_peak</f>
        <v>0.11080349673113099</v>
      </c>
      <c r="X150" s="10">
        <f>Tabella3[[#This Row],[Lombardy fit]]*NOT(ISBLANK(Tabella3[[#This Row],[Lombardy data]]))</f>
        <v>0</v>
      </c>
      <c r="AB150" s="10"/>
      <c r="AC150" s="10">
        <f>Tabella3[[#This Row],[rest of Italy data]]*NOT(ISBLANK(Tabella3[[#This Row],[rest of Italy data]]))</f>
        <v>0</v>
      </c>
      <c r="AD150" s="96">
        <f>Tabella8[[#This Row],[rest of Italy fit]]</f>
        <v>143710.42911829479</v>
      </c>
      <c r="AE150" s="91">
        <f>Tabella3[[#This Row],[rest of Italy cumul. Fit]]/Ka</f>
        <v>0.97101652599894672</v>
      </c>
      <c r="AF150" s="91">
        <f>IFERROR(Ka*_xlfn.LOGNORM.DIST((Tabella3[[#This Row],[Day]]-pa),mu_a,sigma_a,FALSE),0)</f>
        <v>289.12873353190429</v>
      </c>
      <c r="AG150" s="91">
        <f>Tabella3[[#This Row],[rest of Italy fit]]/y_a_peak</f>
        <v>8.5562585231955757E-2</v>
      </c>
      <c r="AH150" s="10">
        <f>Tabella3[[#This Row],[rest of Italy fit]]*NOT(ISBLANK(Tabella3[[#This Row],[rest of Italy data]]))</f>
        <v>0</v>
      </c>
    </row>
    <row r="151" spans="2:34" x14ac:dyDescent="0.3">
      <c r="B151" s="9">
        <v>43974</v>
      </c>
      <c r="C151" s="4">
        <v>144</v>
      </c>
      <c r="E151" s="10"/>
      <c r="F151" s="10">
        <f>Tabella3[[#This Row],[Italy data]]*NOT(ISBLANK(Tabella3[[#This Row],[Italy data]]))</f>
        <v>0</v>
      </c>
      <c r="G151" s="96">
        <f>Tabella8[[#This Row],[Italy fit]]</f>
        <v>228019.81514376547</v>
      </c>
      <c r="H151" s="96">
        <f>Tabella3[[#This Row],[Italy cumul. Fit]]/Kf</f>
        <v>0.97029735046768173</v>
      </c>
      <c r="I151" s="96">
        <f>Tabella3[[#This Row],[Lombardy fit]]+Tabella3[[#This Row],[rest of Italy fit]]</f>
        <v>455.08324436854002</v>
      </c>
      <c r="J151" s="96">
        <f>Tabella3[[#This Row],[Italy (fitted Lombardy + fitted sum of the other regions)]]/(y_l_peak+y_a_peak)</f>
        <v>8.8587515767558231E-2</v>
      </c>
      <c r="K151" s="91">
        <f>IFERROR(Kf*_xlfn.LOGNORM.DIST((Tabella3[[#This Row],[Day]]-D_bk),mu_f,sigma_f,FALSE),0)</f>
        <v>455.25882327540688</v>
      </c>
      <c r="L151" s="91">
        <f>Tabella3[[#This Row],[Italy fit]]/y_f_peak</f>
        <v>8.994345859771101E-2</v>
      </c>
      <c r="M151" s="10">
        <f>Tabella3[[#This Row],[Italy (fitted Lombardy + fitted sum of the other regions)]]*NOT(ISBLANK(Tabella3[[#This Row],[Italy data]]))</f>
        <v>0</v>
      </c>
      <c r="N151" s="10">
        <f>Tabella3[[#This Row],[Italy fit]]*NOT(ISBLANK(Tabella3[[#This Row],[Italy data]]))</f>
        <v>0</v>
      </c>
      <c r="R151" s="10"/>
      <c r="S151" s="10">
        <f>Tabella3[[#This Row],[Lombardy data]]*NOT(ISBLANK(Tabella3[[#This Row],[Lombardy data]]))</f>
        <v>0</v>
      </c>
      <c r="T151" s="96">
        <f>Tabella8[[#This Row],[Lombardy fit]]</f>
        <v>83757.985920216946</v>
      </c>
      <c r="U151" s="91">
        <f>Tabella3[[#This Row],[Lombardy cumul. Fit]]/Kl</f>
        <v>0.96273547034732121</v>
      </c>
      <c r="V151" s="91">
        <f>IFERROR(Kl*_xlfn.LOGNORM.DIST((Tabella3[[#This Row],[Day]]-pl),mu_l,sigma_l,FALSE),0)</f>
        <v>184.32258794816315</v>
      </c>
      <c r="W151" s="91">
        <f>Tabella3[[#This Row],[Lombardy fit]]/y_l_peak</f>
        <v>0.10485060385379406</v>
      </c>
      <c r="X151" s="10">
        <f>Tabella3[[#This Row],[Lombardy fit]]*NOT(ISBLANK(Tabella3[[#This Row],[Lombardy data]]))</f>
        <v>0</v>
      </c>
      <c r="AB151" s="10"/>
      <c r="AC151" s="10">
        <f>Tabella3[[#This Row],[rest of Italy data]]*NOT(ISBLANK(Tabella3[[#This Row],[rest of Italy data]]))</f>
        <v>0</v>
      </c>
      <c r="AD151" s="96">
        <f>Tabella8[[#This Row],[rest of Italy fit]]</f>
        <v>143990.27904642586</v>
      </c>
      <c r="AE151" s="91">
        <f>Tabella3[[#This Row],[rest of Italy cumul. Fit]]/Ka</f>
        <v>0.97290740411184418</v>
      </c>
      <c r="AF151" s="91">
        <f>IFERROR(Ka*_xlfn.LOGNORM.DIST((Tabella3[[#This Row],[Day]]-pa),mu_a,sigma_a,FALSE),0)</f>
        <v>270.76065642037685</v>
      </c>
      <c r="AG151" s="91">
        <f>Tabella3[[#This Row],[rest of Italy fit]]/y_a_peak</f>
        <v>8.0126874487458685E-2</v>
      </c>
      <c r="AH151" s="10">
        <f>Tabella3[[#This Row],[rest of Italy fit]]*NOT(ISBLANK(Tabella3[[#This Row],[rest of Italy data]]))</f>
        <v>0</v>
      </c>
    </row>
    <row r="152" spans="2:34" x14ac:dyDescent="0.3">
      <c r="B152" s="9">
        <v>43975</v>
      </c>
      <c r="C152" s="4">
        <v>145</v>
      </c>
      <c r="E152" s="10"/>
      <c r="F152" s="10">
        <f>Tabella3[[#This Row],[Italy data]]*NOT(ISBLANK(Tabella3[[#This Row],[Italy data]]))</f>
        <v>0</v>
      </c>
      <c r="G152" s="96">
        <f>Tabella8[[#This Row],[Italy fit]]</f>
        <v>228461.00908439638</v>
      </c>
      <c r="H152" s="96">
        <f>Tabella3[[#This Row],[Italy cumul. Fit]]/Kf</f>
        <v>0.97217477200390501</v>
      </c>
      <c r="I152" s="96">
        <f>Tabella3[[#This Row],[Lombardy fit]]+Tabella3[[#This Row],[rest of Italy fit]]</f>
        <v>427.88629395649457</v>
      </c>
      <c r="J152" s="96">
        <f>Tabella3[[#This Row],[Italy (fitted Lombardy + fitted sum of the other regions)]]/(y_l_peak+y_a_peak)</f>
        <v>8.3293296955350232E-2</v>
      </c>
      <c r="K152" s="91">
        <f>IFERROR(Kf*_xlfn.LOGNORM.DIST((Tabella3[[#This Row],[Day]]-D_bk),mu_f,sigma_f,FALSE),0)</f>
        <v>427.40318268864502</v>
      </c>
      <c r="L152" s="91">
        <f>Tabella3[[#This Row],[Italy fit]]/y_f_peak</f>
        <v>8.4440143718929453E-2</v>
      </c>
      <c r="M152" s="10">
        <f>Tabella3[[#This Row],[Italy (fitted Lombardy + fitted sum of the other regions)]]*NOT(ISBLANK(Tabella3[[#This Row],[Italy data]]))</f>
        <v>0</v>
      </c>
      <c r="N152" s="10">
        <f>Tabella3[[#This Row],[Italy fit]]*NOT(ISBLANK(Tabella3[[#This Row],[Italy data]]))</f>
        <v>0</v>
      </c>
      <c r="R152" s="10"/>
      <c r="S152" s="10">
        <f>Tabella3[[#This Row],[Lombardy data]]*NOT(ISBLANK(Tabella3[[#This Row],[Lombardy data]]))</f>
        <v>0</v>
      </c>
      <c r="T152" s="96">
        <f>Tabella8[[#This Row],[Lombardy fit]]</f>
        <v>83937.297637611147</v>
      </c>
      <c r="U152" s="91">
        <f>Tabella3[[#This Row],[Lombardy cumul. Fit]]/Kl</f>
        <v>0.96479652457024312</v>
      </c>
      <c r="V152" s="91">
        <f>IFERROR(Kl*_xlfn.LOGNORM.DIST((Tabella3[[#This Row],[Day]]-pl),mu_l,sigma_l,FALSE),0)</f>
        <v>174.38711767577294</v>
      </c>
      <c r="W152" s="91">
        <f>Tabella3[[#This Row],[Lombardy fit]]/y_l_peak</f>
        <v>9.9198881678948622E-2</v>
      </c>
      <c r="X152" s="10">
        <f>Tabella3[[#This Row],[Lombardy fit]]*NOT(ISBLANK(Tabella3[[#This Row],[Lombardy data]]))</f>
        <v>0</v>
      </c>
      <c r="AB152" s="10"/>
      <c r="AC152" s="10">
        <f>Tabella3[[#This Row],[rest of Italy data]]*NOT(ISBLANK(Tabella3[[#This Row],[rest of Italy data]]))</f>
        <v>0</v>
      </c>
      <c r="AD152" s="96">
        <f>Tabella8[[#This Row],[rest of Italy fit]]</f>
        <v>144252.31927004526</v>
      </c>
      <c r="AE152" s="91">
        <f>Tabella3[[#This Row],[rest of Italy cumul. Fit]]/Ka</f>
        <v>0.97467794636943816</v>
      </c>
      <c r="AF152" s="91">
        <f>IFERROR(Ka*_xlfn.LOGNORM.DIST((Tabella3[[#This Row],[Day]]-pa),mu_a,sigma_a,FALSE),0)</f>
        <v>253.49917628072163</v>
      </c>
      <c r="AG152" s="91">
        <f>Tabella3[[#This Row],[rest of Italy fit]]/y_a_peak</f>
        <v>7.5018641737163785E-2</v>
      </c>
      <c r="AH152" s="10">
        <f>Tabella3[[#This Row],[rest of Italy fit]]*NOT(ISBLANK(Tabella3[[#This Row],[rest of Italy data]]))</f>
        <v>0</v>
      </c>
    </row>
    <row r="153" spans="2:34" x14ac:dyDescent="0.3">
      <c r="B153" s="9">
        <v>43976</v>
      </c>
      <c r="C153" s="4">
        <v>146</v>
      </c>
      <c r="E153" s="10"/>
      <c r="F153" s="10">
        <f>Tabella3[[#This Row],[Italy data]]*NOT(ISBLANK(Tabella3[[#This Row],[Italy data]]))</f>
        <v>0</v>
      </c>
      <c r="G153" s="96">
        <f>Tabella8[[#This Row],[Italy fit]]</f>
        <v>228875.15585979028</v>
      </c>
      <c r="H153" s="96">
        <f>Tabella3[[#This Row],[Italy cumul. Fit]]/Kf</f>
        <v>0.97393709918856686</v>
      </c>
      <c r="I153" s="96">
        <f>Tabella3[[#This Row],[Lombardy fit]]+Tabella3[[#This Row],[rest of Italy fit]]</f>
        <v>402.24231152458702</v>
      </c>
      <c r="J153" s="96">
        <f>Tabella3[[#This Row],[Italy (fitted Lombardy + fitted sum of the other regions)]]/(y_l_peak+y_a_peak)</f>
        <v>7.8301382341614476E-2</v>
      </c>
      <c r="K153" s="91">
        <f>IFERROR(Kf*_xlfn.LOGNORM.DIST((Tabella3[[#This Row],[Day]]-D_bk),mu_f,sigma_f,FALSE),0)</f>
        <v>401.15069074913811</v>
      </c>
      <c r="L153" s="91">
        <f>Tabella3[[#This Row],[Italy fit]]/y_f_peak</f>
        <v>7.9253555780095894E-2</v>
      </c>
      <c r="M153" s="10">
        <f>Tabella3[[#This Row],[Italy (fitted Lombardy + fitted sum of the other regions)]]*NOT(ISBLANK(Tabella3[[#This Row],[Italy data]]))</f>
        <v>0</v>
      </c>
      <c r="N153" s="10">
        <f>Tabella3[[#This Row],[Italy fit]]*NOT(ISBLANK(Tabella3[[#This Row],[Italy data]]))</f>
        <v>0</v>
      </c>
      <c r="R153" s="10"/>
      <c r="S153" s="10">
        <f>Tabella3[[#This Row],[Lombardy data]]*NOT(ISBLANK(Tabella3[[#This Row],[Lombardy data]]))</f>
        <v>0</v>
      </c>
      <c r="T153" s="96">
        <f>Tabella8[[#This Row],[Lombardy fit]]</f>
        <v>84106.928832356643</v>
      </c>
      <c r="U153" s="91">
        <f>Tabella3[[#This Row],[Lombardy cumul. Fit]]/Kl</f>
        <v>0.96674630841789244</v>
      </c>
      <c r="V153" s="91">
        <f>IFERROR(Kl*_xlfn.LOGNORM.DIST((Tabella3[[#This Row],[Day]]-pl),mu_l,sigma_l,FALSE),0)</f>
        <v>164.95770067229864</v>
      </c>
      <c r="W153" s="91">
        <f>Tabella3[[#This Row],[Lombardy fit]]/y_l_peak</f>
        <v>9.3835024336181933E-2</v>
      </c>
      <c r="X153" s="10">
        <f>Tabella3[[#This Row],[Lombardy fit]]*NOT(ISBLANK(Tabella3[[#This Row],[Lombardy data]]))</f>
        <v>0</v>
      </c>
      <c r="AB153" s="10"/>
      <c r="AC153" s="10">
        <f>Tabella3[[#This Row],[rest of Italy data]]*NOT(ISBLANK(Tabella3[[#This Row],[rest of Italy data]]))</f>
        <v>0</v>
      </c>
      <c r="AD153" s="96">
        <f>Tabella8[[#This Row],[rest of Italy fit]]</f>
        <v>144497.62634363666</v>
      </c>
      <c r="AE153" s="91">
        <f>Tabella3[[#This Row],[rest of Italy cumul. Fit]]/Ka</f>
        <v>0.97633542678935681</v>
      </c>
      <c r="AF153" s="91">
        <f>IFERROR(Ka*_xlfn.LOGNORM.DIST((Tabella3[[#This Row],[Day]]-pa),mu_a,sigma_a,FALSE),0)</f>
        <v>237.28461085228838</v>
      </c>
      <c r="AG153" s="91">
        <f>Tabella3[[#This Row],[rest of Italy fit]]/y_a_peak</f>
        <v>7.022022506123575E-2</v>
      </c>
      <c r="AH153" s="10">
        <f>Tabella3[[#This Row],[rest of Italy fit]]*NOT(ISBLANK(Tabella3[[#This Row],[rest of Italy data]]))</f>
        <v>0</v>
      </c>
    </row>
    <row r="154" spans="2:34" x14ac:dyDescent="0.3">
      <c r="B154" s="9">
        <v>43977</v>
      </c>
      <c r="C154" s="4">
        <v>147</v>
      </c>
      <c r="E154" s="10"/>
      <c r="F154" s="10">
        <f>Tabella3[[#This Row],[Italy data]]*NOT(ISBLANK(Tabella3[[#This Row],[Italy data]]))</f>
        <v>0</v>
      </c>
      <c r="G154" s="96">
        <f>Tabella8[[#This Row],[Italy fit]]</f>
        <v>229263.8176988872</v>
      </c>
      <c r="H154" s="96">
        <f>Tabella3[[#This Row],[Italy cumul. Fit]]/Kf</f>
        <v>0.97559097980620479</v>
      </c>
      <c r="I154" s="96">
        <f>Tabella3[[#This Row],[Lombardy fit]]+Tabella3[[#This Row],[rest of Italy fit]]</f>
        <v>378.07133088487342</v>
      </c>
      <c r="J154" s="96">
        <f>Tabella3[[#This Row],[Italy (fitted Lombardy + fitted sum of the other regions)]]/(y_l_peak+y_a_peak)</f>
        <v>7.3596205530481587E-2</v>
      </c>
      <c r="K154" s="91">
        <f>IFERROR(Kf*_xlfn.LOGNORM.DIST((Tabella3[[#This Row],[Day]]-D_bk),mu_f,sigma_f,FALSE),0)</f>
        <v>376.41999625995055</v>
      </c>
      <c r="L154" s="91">
        <f>Tabella3[[#This Row],[Italy fit]]/y_f_peak</f>
        <v>7.4367622587461726E-2</v>
      </c>
      <c r="M154" s="10">
        <f>Tabella3[[#This Row],[Italy (fitted Lombardy + fitted sum of the other regions)]]*NOT(ISBLANK(Tabella3[[#This Row],[Italy data]]))</f>
        <v>0</v>
      </c>
      <c r="N154" s="10">
        <f>Tabella3[[#This Row],[Italy fit]]*NOT(ISBLANK(Tabella3[[#This Row],[Italy data]]))</f>
        <v>0</v>
      </c>
      <c r="R154" s="10"/>
      <c r="S154" s="10">
        <f>Tabella3[[#This Row],[Lombardy data]]*NOT(ISBLANK(Tabella3[[#This Row],[Lombardy data]]))</f>
        <v>0</v>
      </c>
      <c r="T154" s="96">
        <f>Tabella8[[#This Row],[Lombardy fit]]</f>
        <v>84267.37414729064</v>
      </c>
      <c r="U154" s="91">
        <f>Tabella3[[#This Row],[Lombardy cumul. Fit]]/Kl</f>
        <v>0.96859050744012232</v>
      </c>
      <c r="V154" s="91">
        <f>IFERROR(Kl*_xlfn.LOGNORM.DIST((Tabella3[[#This Row],[Day]]-pl),mu_l,sigma_l,FALSE),0)</f>
        <v>156.01163218881777</v>
      </c>
      <c r="W154" s="91">
        <f>Tabella3[[#This Row],[Lombardy fit]]/y_l_peak</f>
        <v>8.874611638923971E-2</v>
      </c>
      <c r="X154" s="10">
        <f>Tabella3[[#This Row],[Lombardy fit]]*NOT(ISBLANK(Tabella3[[#This Row],[Lombardy data]]))</f>
        <v>0</v>
      </c>
      <c r="AB154" s="10"/>
      <c r="AC154" s="10">
        <f>Tabella3[[#This Row],[rest of Italy data]]*NOT(ISBLANK(Tabella3[[#This Row],[rest of Italy data]]))</f>
        <v>0</v>
      </c>
      <c r="AD154" s="96">
        <f>Tabella8[[#This Row],[rest of Italy fit]]</f>
        <v>144727.218349273</v>
      </c>
      <c r="AE154" s="91">
        <f>Tabella3[[#This Row],[rest of Italy cumul. Fit]]/Ka</f>
        <v>0.97788672430532642</v>
      </c>
      <c r="AF154" s="91">
        <f>IFERROR(Ka*_xlfn.LOGNORM.DIST((Tabella3[[#This Row],[Day]]-pa),mu_a,sigma_a,FALSE),0)</f>
        <v>222.05969869605568</v>
      </c>
      <c r="AG154" s="91">
        <f>Tabella3[[#This Row],[rest of Italy fit]]/y_a_peak</f>
        <v>6.5714678939604934E-2</v>
      </c>
      <c r="AH154" s="10">
        <f>Tabella3[[#This Row],[rest of Italy fit]]*NOT(ISBLANK(Tabella3[[#This Row],[rest of Italy data]]))</f>
        <v>0</v>
      </c>
    </row>
    <row r="155" spans="2:34" x14ac:dyDescent="0.3">
      <c r="B155" s="9">
        <v>43978</v>
      </c>
      <c r="C155" s="4">
        <v>148</v>
      </c>
      <c r="E155" s="10"/>
      <c r="F155" s="10">
        <f>Tabella3[[#This Row],[Italy data]]*NOT(ISBLANK(Tabella3[[#This Row],[Italy data]]))</f>
        <v>0</v>
      </c>
      <c r="G155" s="96">
        <f>Tabella8[[#This Row],[Italy fit]]</f>
        <v>229628.47695168926</v>
      </c>
      <c r="H155" s="96">
        <f>Tabella3[[#This Row],[Italy cumul. Fit]]/Kf</f>
        <v>0.97714272173088912</v>
      </c>
      <c r="I155" s="96">
        <f>Tabella3[[#This Row],[Lombardy fit]]+Tabella3[[#This Row],[rest of Italy fit]]</f>
        <v>355.29650993271548</v>
      </c>
      <c r="J155" s="96">
        <f>Tabella3[[#This Row],[Italy (fitted Lombardy + fitted sum of the other regions)]]/(y_l_peak+y_a_peak)</f>
        <v>6.9162808267081738E-2</v>
      </c>
      <c r="K155" s="91">
        <f>IFERROR(Kf*_xlfn.LOGNORM.DIST((Tabella3[[#This Row],[Day]]-D_bk),mu_f,sigma_f,FALSE),0)</f>
        <v>353.13269934951444</v>
      </c>
      <c r="L155" s="91">
        <f>Tabella3[[#This Row],[Italy fit]]/y_f_peak</f>
        <v>6.9766855027489957E-2</v>
      </c>
      <c r="M155" s="10">
        <f>Tabella3[[#This Row],[Italy (fitted Lombardy + fitted sum of the other regions)]]*NOT(ISBLANK(Tabella3[[#This Row],[Italy data]]))</f>
        <v>0</v>
      </c>
      <c r="N155" s="10">
        <f>Tabella3[[#This Row],[Italy fit]]*NOT(ISBLANK(Tabella3[[#This Row],[Italy data]]))</f>
        <v>0</v>
      </c>
      <c r="R155" s="10"/>
      <c r="S155" s="10">
        <f>Tabella3[[#This Row],[Lombardy data]]*NOT(ISBLANK(Tabella3[[#This Row],[Lombardy data]]))</f>
        <v>0</v>
      </c>
      <c r="T155" s="96">
        <f>Tabella8[[#This Row],[Lombardy fit]]</f>
        <v>84419.10587160557</v>
      </c>
      <c r="U155" s="91">
        <f>Tabella3[[#This Row],[Lombardy cumul. Fit]]/Kl</f>
        <v>0.97033455024833992</v>
      </c>
      <c r="V155" s="91">
        <f>IFERROR(Kl*_xlfn.LOGNORM.DIST((Tabella3[[#This Row],[Day]]-pl),mu_l,sigma_l,FALSE),0)</f>
        <v>147.52691225449914</v>
      </c>
      <c r="W155" s="91">
        <f>Tabella3[[#This Row],[Lombardy fit]]/y_l_peak</f>
        <v>8.3919643309913028E-2</v>
      </c>
      <c r="X155" s="10">
        <f>Tabella3[[#This Row],[Lombardy fit]]*NOT(ISBLANK(Tabella3[[#This Row],[Lombardy data]]))</f>
        <v>0</v>
      </c>
      <c r="AB155" s="10"/>
      <c r="AC155" s="10">
        <f>Tabella3[[#This Row],[rest of Italy data]]*NOT(ISBLANK(Tabella3[[#This Row],[rest of Italy data]]))</f>
        <v>0</v>
      </c>
      <c r="AD155" s="96">
        <f>Tabella8[[#This Row],[rest of Italy fit]]</f>
        <v>144942.05731802669</v>
      </c>
      <c r="AE155" s="91">
        <f>Tabella3[[#This Row],[rest of Italy cumul. Fit]]/Ka</f>
        <v>0.97933833912805224</v>
      </c>
      <c r="AF155" s="91">
        <f>IFERROR(Ka*_xlfn.LOGNORM.DIST((Tabella3[[#This Row],[Day]]-pa),mu_a,sigma_a,FALSE),0)</f>
        <v>207.76959767821637</v>
      </c>
      <c r="AG155" s="91">
        <f>Tabella3[[#This Row],[rest of Italy fit]]/y_a_peak</f>
        <v>6.148577380321104E-2</v>
      </c>
      <c r="AH155" s="10">
        <f>Tabella3[[#This Row],[rest of Italy fit]]*NOT(ISBLANK(Tabella3[[#This Row],[rest of Italy data]]))</f>
        <v>0</v>
      </c>
    </row>
    <row r="156" spans="2:34" x14ac:dyDescent="0.3">
      <c r="B156" s="9">
        <v>43979</v>
      </c>
      <c r="C156" s="4">
        <v>149</v>
      </c>
      <c r="E156" s="10"/>
      <c r="F156" s="10">
        <f>Tabella3[[#This Row],[Italy data]]*NOT(ISBLANK(Tabella3[[#This Row],[Italy data]]))</f>
        <v>0</v>
      </c>
      <c r="G156" s="96">
        <f>Tabella8[[#This Row],[Italy fit]]</f>
        <v>229970.53905716853</v>
      </c>
      <c r="H156" s="96">
        <f>Tabella3[[#This Row],[Italy cumul. Fit]]/Kf</f>
        <v>0.97859830555562244</v>
      </c>
      <c r="I156" s="96">
        <f>Tabella3[[#This Row],[Lombardy fit]]+Tabella3[[#This Row],[rest of Italy fit]]</f>
        <v>333.84412684748793</v>
      </c>
      <c r="J156" s="96">
        <f>Tabella3[[#This Row],[Italy (fitted Lombardy + fitted sum of the other regions)]]/(y_l_peak+y_a_peak)</f>
        <v>6.4986839697965884E-2</v>
      </c>
      <c r="K156" s="91">
        <f>IFERROR(Kf*_xlfn.LOGNORM.DIST((Tabella3[[#This Row],[Day]]-D_bk),mu_f,sigma_f,FALSE),0)</f>
        <v>331.21338089866896</v>
      </c>
      <c r="L156" s="91">
        <f>Tabella3[[#This Row],[Italy fit]]/y_f_peak</f>
        <v>6.5436352880624341E-2</v>
      </c>
      <c r="M156" s="10">
        <f>Tabella3[[#This Row],[Italy (fitted Lombardy + fitted sum of the other regions)]]*NOT(ISBLANK(Tabella3[[#This Row],[Italy data]]))</f>
        <v>0</v>
      </c>
      <c r="N156" s="10">
        <f>Tabella3[[#This Row],[Italy fit]]*NOT(ISBLANK(Tabella3[[#This Row],[Italy data]]))</f>
        <v>0</v>
      </c>
      <c r="R156" s="10"/>
      <c r="S156" s="10">
        <f>Tabella3[[#This Row],[Lombardy data]]*NOT(ISBLANK(Tabella3[[#This Row],[Lombardy data]]))</f>
        <v>0</v>
      </c>
      <c r="T156" s="96">
        <f>Tabella8[[#This Row],[Lombardy fit]]</f>
        <v>84562.574652415191</v>
      </c>
      <c r="U156" s="91">
        <f>Tabella3[[#This Row],[Lombardy cumul. Fit]]/Kl</f>
        <v>0.97198361669442745</v>
      </c>
      <c r="V156" s="91">
        <f>IFERROR(Kl*_xlfn.LOGNORM.DIST((Tabella3[[#This Row],[Day]]-pl),mu_l,sigma_l,FALSE),0)</f>
        <v>139.48225835302821</v>
      </c>
      <c r="W156" s="91">
        <f>Tabella3[[#This Row],[Lombardy fit]]/y_l_peak</f>
        <v>7.9343498688933534E-2</v>
      </c>
      <c r="X156" s="10">
        <f>Tabella3[[#This Row],[Lombardy fit]]*NOT(ISBLANK(Tabella3[[#This Row],[Lombardy data]]))</f>
        <v>0</v>
      </c>
      <c r="AB156" s="10"/>
      <c r="AC156" s="10">
        <f>Tabella3[[#This Row],[rest of Italy data]]*NOT(ISBLANK(Tabella3[[#This Row],[rest of Italy data]]))</f>
        <v>0</v>
      </c>
      <c r="AD156" s="96">
        <f>Tabella8[[#This Row],[rest of Italy fit]]</f>
        <v>145143.05164218618</v>
      </c>
      <c r="AE156" s="91">
        <f>Tabella3[[#This Row],[rest of Italy cumul. Fit]]/Ka</f>
        <v>0.98069640904398159</v>
      </c>
      <c r="AF156" s="91">
        <f>IFERROR(Ka*_xlfn.LOGNORM.DIST((Tabella3[[#This Row],[Day]]-pa),mu_a,sigma_a,FALSE),0)</f>
        <v>194.36186849445971</v>
      </c>
      <c r="AG156" s="91">
        <f>Tabella3[[#This Row],[rest of Italy fit]]/y_a_peak</f>
        <v>5.7517991158302903E-2</v>
      </c>
      <c r="AH156" s="10">
        <f>Tabella3[[#This Row],[rest of Italy fit]]*NOT(ISBLANK(Tabella3[[#This Row],[rest of Italy data]]))</f>
        <v>0</v>
      </c>
    </row>
    <row r="157" spans="2:34" x14ac:dyDescent="0.3">
      <c r="B157" s="9">
        <v>43980</v>
      </c>
      <c r="C157" s="4">
        <v>150</v>
      </c>
      <c r="E157" s="10"/>
      <c r="F157" s="10">
        <f>Tabella3[[#This Row],[Italy data]]*NOT(ISBLANK(Tabella3[[#This Row],[Italy data]]))</f>
        <v>0</v>
      </c>
      <c r="G157" s="96">
        <f>Tabella8[[#This Row],[Italy fit]]</f>
        <v>230291.33552987993</v>
      </c>
      <c r="H157" s="96">
        <f>Tabella3[[#This Row],[Italy cumul. Fit]]/Kf</f>
        <v>0.97996339730133319</v>
      </c>
      <c r="I157" s="96">
        <f>Tabella3[[#This Row],[Lombardy fit]]+Tabella3[[#This Row],[rest of Italy fit]]</f>
        <v>313.64355850781317</v>
      </c>
      <c r="J157" s="96">
        <f>Tabella3[[#This Row],[Italy (fitted Lombardy + fitted sum of the other regions)]]/(y_l_peak+y_a_peak)</f>
        <v>6.1054552169367338E-2</v>
      </c>
      <c r="K157" s="91">
        <f>IFERROR(Kf*_xlfn.LOGNORM.DIST((Tabella3[[#This Row],[Day]]-D_bk),mu_f,sigma_f,FALSE),0)</f>
        <v>310.58961100637686</v>
      </c>
      <c r="L157" s="91">
        <f>Tabella3[[#This Row],[Italy fit]]/y_f_peak</f>
        <v>6.136180649382332E-2</v>
      </c>
      <c r="M157" s="10">
        <f>Tabella3[[#This Row],[Italy (fitted Lombardy + fitted sum of the other regions)]]*NOT(ISBLANK(Tabella3[[#This Row],[Italy data]]))</f>
        <v>0</v>
      </c>
      <c r="N157" s="10">
        <f>Tabella3[[#This Row],[Italy fit]]*NOT(ISBLANK(Tabella3[[#This Row],[Italy data]]))</f>
        <v>0</v>
      </c>
      <c r="R157" s="10"/>
      <c r="S157" s="10">
        <f>Tabella3[[#This Row],[Lombardy data]]*NOT(ISBLANK(Tabella3[[#This Row],[Lombardy data]]))</f>
        <v>0</v>
      </c>
      <c r="T157" s="96">
        <f>Tabella8[[#This Row],[Lombardy fit]]</f>
        <v>84698.210216405729</v>
      </c>
      <c r="U157" s="91">
        <f>Tabella3[[#This Row],[Lombardy cumul. Fit]]/Kl</f>
        <v>0.97354264616558306</v>
      </c>
      <c r="V157" s="91">
        <f>IFERROR(Kl*_xlfn.LOGNORM.DIST((Tabella3[[#This Row],[Day]]-pl),mu_l,sigma_l,FALSE),0)</f>
        <v>131.85711302205891</v>
      </c>
      <c r="W157" s="91">
        <f>Tabella3[[#This Row],[Lombardy fit]]/y_l_peak</f>
        <v>7.5005988558867906E-2</v>
      </c>
      <c r="X157" s="10">
        <f>Tabella3[[#This Row],[Lombardy fit]]*NOT(ISBLANK(Tabella3[[#This Row],[Lombardy data]]))</f>
        <v>0</v>
      </c>
      <c r="AB157" s="10"/>
      <c r="AC157" s="10">
        <f>Tabella3[[#This Row],[rest of Italy data]]*NOT(ISBLANK(Tabella3[[#This Row],[rest of Italy data]]))</f>
        <v>0</v>
      </c>
      <c r="AD157" s="96">
        <f>Tabella8[[#This Row],[rest of Italy fit]]</f>
        <v>145331.05846446479</v>
      </c>
      <c r="AE157" s="91">
        <f>Tabella3[[#This Row],[rest of Italy cumul. Fit]]/Ka</f>
        <v>0.98196672555860842</v>
      </c>
      <c r="AF157" s="91">
        <f>IFERROR(Ka*_xlfn.LOGNORM.DIST((Tabella3[[#This Row],[Day]]-pa),mu_a,sigma_a,FALSE),0)</f>
        <v>181.78644548575426</v>
      </c>
      <c r="AG157" s="91">
        <f>Tabella3[[#This Row],[rest of Italy fit]]/y_a_peak</f>
        <v>5.3796514949880581E-2</v>
      </c>
      <c r="AH157" s="10">
        <f>Tabella3[[#This Row],[rest of Italy fit]]*NOT(ISBLANK(Tabella3[[#This Row],[rest of Italy data]]))</f>
        <v>0</v>
      </c>
    </row>
    <row r="158" spans="2:34" x14ac:dyDescent="0.3">
      <c r="B158" s="9">
        <v>43981</v>
      </c>
      <c r="C158" s="4">
        <v>151</v>
      </c>
      <c r="E158" s="10"/>
      <c r="F158" s="10">
        <f>Tabella3[[#This Row],[Italy data]]*NOT(ISBLANK(Tabella3[[#This Row],[Italy data]]))</f>
        <v>0</v>
      </c>
      <c r="G158" s="96">
        <f>Tabella8[[#This Row],[Italy fit]]</f>
        <v>230592.1269457241</v>
      </c>
      <c r="H158" s="96">
        <f>Tabella3[[#This Row],[Italy cumul. Fit]]/Kf</f>
        <v>0.98124336112225374</v>
      </c>
      <c r="I158" s="96">
        <f>Tabella3[[#This Row],[Lombardy fit]]+Tabella3[[#This Row],[rest of Italy fit]]</f>
        <v>294.62724374508252</v>
      </c>
      <c r="J158" s="96">
        <f>Tabella3[[#This Row],[Italy (fitted Lombardy + fitted sum of the other regions)]]/(y_l_peak+y_a_peak)</f>
        <v>5.7352794074050591E-2</v>
      </c>
      <c r="K158" s="91">
        <f>IFERROR(Kf*_xlfn.LOGNORM.DIST((Tabella3[[#This Row],[Day]]-D_bk),mu_f,sigma_f,FALSE),0)</f>
        <v>291.19193926547757</v>
      </c>
      <c r="L158" s="91">
        <f>Tabella3[[#This Row],[Italy fit]]/y_f_peak</f>
        <v>5.7529494859383849E-2</v>
      </c>
      <c r="M158" s="10">
        <f>Tabella3[[#This Row],[Italy (fitted Lombardy + fitted sum of the other regions)]]*NOT(ISBLANK(Tabella3[[#This Row],[Italy data]]))</f>
        <v>0</v>
      </c>
      <c r="N158" s="10">
        <f>Tabella3[[#This Row],[Italy fit]]*NOT(ISBLANK(Tabella3[[#This Row],[Italy data]]))</f>
        <v>0</v>
      </c>
      <c r="R158" s="10"/>
      <c r="S158" s="10">
        <f>Tabella3[[#This Row],[Lombardy data]]*NOT(ISBLANK(Tabella3[[#This Row],[Lombardy data]]))</f>
        <v>0</v>
      </c>
      <c r="T158" s="96">
        <f>Tabella8[[#This Row],[Lombardy fit]]</f>
        <v>84826.422096802387</v>
      </c>
      <c r="U158" s="91">
        <f>Tabella3[[#This Row],[Lombardy cumul. Fit]]/Kl</f>
        <v>0.97501634594025732</v>
      </c>
      <c r="V158" s="91">
        <f>IFERROR(Kl*_xlfn.LOGNORM.DIST((Tabella3[[#This Row],[Day]]-pl),mu_l,sigma_l,FALSE),0)</f>
        <v>124.63164698013571</v>
      </c>
      <c r="W158" s="91">
        <f>Tabella3[[#This Row],[Lombardy fit]]/y_l_peak</f>
        <v>7.0895833172845507E-2</v>
      </c>
      <c r="X158" s="10">
        <f>Tabella3[[#This Row],[Lombardy fit]]*NOT(ISBLANK(Tabella3[[#This Row],[Lombardy data]]))</f>
        <v>0</v>
      </c>
      <c r="AB158" s="10"/>
      <c r="AC158" s="10">
        <f>Tabella3[[#This Row],[rest of Italy data]]*NOT(ISBLANK(Tabella3[[#This Row],[rest of Italy data]]))</f>
        <v>0</v>
      </c>
      <c r="AD158" s="96">
        <f>Tabella8[[#This Row],[rest of Italy fit]]</f>
        <v>145506.8860325217</v>
      </c>
      <c r="AE158" s="91">
        <f>Tabella3[[#This Row],[rest of Italy cumul. Fit]]/Ka</f>
        <v>0.98315474980540063</v>
      </c>
      <c r="AF158" s="91">
        <f>IFERROR(Ka*_xlfn.LOGNORM.DIST((Tabella3[[#This Row],[Day]]-pa),mu_a,sigma_a,FALSE),0)</f>
        <v>169.99559676494684</v>
      </c>
      <c r="AG158" s="91">
        <f>Tabella3[[#This Row],[rest of Italy fit]]/y_a_peak</f>
        <v>5.0307219761860617E-2</v>
      </c>
      <c r="AH158" s="10">
        <f>Tabella3[[#This Row],[rest of Italy fit]]*NOT(ISBLANK(Tabella3[[#This Row],[rest of Italy data]]))</f>
        <v>0</v>
      </c>
    </row>
    <row r="159" spans="2:34" x14ac:dyDescent="0.3">
      <c r="B159" s="9">
        <v>43982</v>
      </c>
      <c r="C159" s="4">
        <v>152</v>
      </c>
      <c r="E159" s="10"/>
      <c r="F159" s="10">
        <f>Tabella3[[#This Row],[Italy data]]*NOT(ISBLANK(Tabella3[[#This Row],[Italy data]]))</f>
        <v>0</v>
      </c>
      <c r="G159" s="96">
        <f>Tabella8[[#This Row],[Italy fit]]</f>
        <v>230874.10590995103</v>
      </c>
      <c r="H159" s="96">
        <f>Tabella3[[#This Row],[Italy cumul. Fit]]/Kf</f>
        <v>0.98244327193572634</v>
      </c>
      <c r="I159" s="96">
        <f>Tabella3[[#This Row],[Lombardy fit]]+Tabella3[[#This Row],[rest of Italy fit]]</f>
        <v>276.7306337930122</v>
      </c>
      <c r="J159" s="96">
        <f>Tabella3[[#This Row],[Italy (fitted Lombardy + fitted sum of the other regions)]]/(y_l_peak+y_a_peak)</f>
        <v>5.3869000205711746E-2</v>
      </c>
      <c r="K159" s="91">
        <f>IFERROR(Kf*_xlfn.LOGNORM.DIST((Tabella3[[#This Row],[Day]]-D_bk),mu_f,sigma_f,FALSE),0)</f>
        <v>272.95386936681211</v>
      </c>
      <c r="L159" s="91">
        <f>Tabella3[[#This Row],[Italy fit]]/y_f_peak</f>
        <v>5.3926280597591442E-2</v>
      </c>
      <c r="M159" s="10">
        <f>Tabella3[[#This Row],[Italy (fitted Lombardy + fitted sum of the other regions)]]*NOT(ISBLANK(Tabella3[[#This Row],[Italy data]]))</f>
        <v>0</v>
      </c>
      <c r="N159" s="10">
        <f>Tabella3[[#This Row],[Italy fit]]*NOT(ISBLANK(Tabella3[[#This Row],[Italy data]]))</f>
        <v>0</v>
      </c>
      <c r="R159" s="10"/>
      <c r="S159" s="10">
        <f>Tabella3[[#This Row],[Lombardy data]]*NOT(ISBLANK(Tabella3[[#This Row],[Lombardy data]]))</f>
        <v>0</v>
      </c>
      <c r="T159" s="96">
        <f>Tabella8[[#This Row],[Lombardy fit]]</f>
        <v>84947.600361458666</v>
      </c>
      <c r="U159" s="91">
        <f>Tabella3[[#This Row],[Lombardy cumul. Fit]]/Kl</f>
        <v>0.97640919955699612</v>
      </c>
      <c r="V159" s="91">
        <f>IFERROR(Kl*_xlfn.LOGNORM.DIST((Tabella3[[#This Row],[Day]]-pl),mu_l,sigma_l,FALSE),0)</f>
        <v>117.78675833389015</v>
      </c>
      <c r="W159" s="91">
        <f>Tabella3[[#This Row],[Lombardy fit]]/y_l_peak</f>
        <v>6.7002166553577658E-2</v>
      </c>
      <c r="X159" s="10">
        <f>Tabella3[[#This Row],[Lombardy fit]]*NOT(ISBLANK(Tabella3[[#This Row],[Lombardy data]]))</f>
        <v>0</v>
      </c>
      <c r="AB159" s="10"/>
      <c r="AC159" s="10">
        <f>Tabella3[[#This Row],[rest of Italy data]]*NOT(ISBLANK(Tabella3[[#This Row],[rest of Italy data]]))</f>
        <v>0</v>
      </c>
      <c r="AD159" s="96">
        <f>Tabella8[[#This Row],[rest of Italy fit]]</f>
        <v>145671.29600902554</v>
      </c>
      <c r="AE159" s="91">
        <f>Tabella3[[#This Row],[rest of Italy cumul. Fit]]/Ka</f>
        <v>0.98426562815434027</v>
      </c>
      <c r="AF159" s="91">
        <f>IFERROR(Ka*_xlfn.LOGNORM.DIST((Tabella3[[#This Row],[Day]]-pa),mu_a,sigma_a,FALSE),0)</f>
        <v>158.94387545912204</v>
      </c>
      <c r="AG159" s="91">
        <f>Tabella3[[#This Row],[rest of Italy fit]]/y_a_peak</f>
        <v>4.7036656388106168E-2</v>
      </c>
      <c r="AH159" s="10">
        <f>Tabella3[[#This Row],[rest of Italy fit]]*NOT(ISBLANK(Tabella3[[#This Row],[rest of Italy data]]))</f>
        <v>0</v>
      </c>
    </row>
    <row r="160" spans="2:34" x14ac:dyDescent="0.3">
      <c r="B160" s="9">
        <v>43983</v>
      </c>
      <c r="C160" s="4">
        <v>153</v>
      </c>
      <c r="E160" s="10"/>
      <c r="F160" s="10">
        <f>Tabella3[[#This Row],[Italy data]]*NOT(ISBLANK(Tabella3[[#This Row],[Italy data]]))</f>
        <v>0</v>
      </c>
      <c r="G160" s="96">
        <f>Tabella8[[#This Row],[Italy fit]]</f>
        <v>231138.39999289124</v>
      </c>
      <c r="H160" s="96">
        <f>Tabella3[[#This Row],[Italy cumul. Fit]]/Kf</f>
        <v>0.98356792791467917</v>
      </c>
      <c r="I160" s="96">
        <f>Tabella3[[#This Row],[Lombardy fit]]+Tabella3[[#This Row],[rest of Italy fit]]</f>
        <v>259.89213204468706</v>
      </c>
      <c r="J160" s="96">
        <f>Tabella3[[#This Row],[Italy (fitted Lombardy + fitted sum of the other regions)]]/(y_l_peak+y_a_peak)</f>
        <v>5.059118003195074E-2</v>
      </c>
      <c r="K160" s="91">
        <f>IFERROR(Kf*_xlfn.LOGNORM.DIST((Tabella3[[#This Row],[Day]]-D_bk),mu_f,sigma_f,FALSE),0)</f>
        <v>255.81182031246118</v>
      </c>
      <c r="L160" s="91">
        <f>Tabella3[[#This Row],[Italy fit]]/y_f_peak</f>
        <v>5.0539602293792313E-2</v>
      </c>
      <c r="M160" s="10">
        <f>Tabella3[[#This Row],[Italy (fitted Lombardy + fitted sum of the other regions)]]*NOT(ISBLANK(Tabella3[[#This Row],[Italy data]]))</f>
        <v>0</v>
      </c>
      <c r="N160" s="10">
        <f>Tabella3[[#This Row],[Italy fit]]*NOT(ISBLANK(Tabella3[[#This Row],[Italy data]]))</f>
        <v>0</v>
      </c>
      <c r="R160" s="10"/>
      <c r="S160" s="10">
        <f>Tabella3[[#This Row],[Lombardy data]]*NOT(ISBLANK(Tabella3[[#This Row],[Lombardy data]]))</f>
        <v>0</v>
      </c>
      <c r="T160" s="96">
        <f>Tabella8[[#This Row],[Lombardy fit]]</f>
        <v>85062.116338405118</v>
      </c>
      <c r="U160" s="91">
        <f>Tabella3[[#This Row],[Lombardy cumul. Fit]]/Kl</f>
        <v>0.97772547515408181</v>
      </c>
      <c r="V160" s="91">
        <f>IFERROR(Kl*_xlfn.LOGNORM.DIST((Tabella3[[#This Row],[Day]]-pl),mu_l,sigma_l,FALSE),0)</f>
        <v>111.30406836968926</v>
      </c>
      <c r="W160" s="91">
        <f>Tabella3[[#This Row],[Lombardy fit]]/y_l_peak</f>
        <v>6.3314534099466552E-2</v>
      </c>
      <c r="X160" s="10">
        <f>Tabella3[[#This Row],[Lombardy fit]]*NOT(ISBLANK(Tabella3[[#This Row],[Lombardy data]]))</f>
        <v>0</v>
      </c>
      <c r="AB160" s="10"/>
      <c r="AC160" s="10">
        <f>Tabella3[[#This Row],[rest of Italy data]]*NOT(ISBLANK(Tabella3[[#This Row],[rest of Italy data]]))</f>
        <v>0</v>
      </c>
      <c r="AD160" s="96">
        <f>Tabella8[[#This Row],[rest of Italy fit]]</f>
        <v>145825.00572919563</v>
      </c>
      <c r="AE160" s="91">
        <f>Tabella3[[#This Row],[rest of Italy cumul. Fit]]/Ka</f>
        <v>0.98530420746558134</v>
      </c>
      <c r="AF160" s="91">
        <f>IFERROR(Ka*_xlfn.LOGNORM.DIST((Tabella3[[#This Row],[Day]]-pa),mu_a,sigma_a,FALSE),0)</f>
        <v>148.58806367499781</v>
      </c>
      <c r="AG160" s="91">
        <f>Tabella3[[#This Row],[rest of Italy fit]]/y_a_peak</f>
        <v>4.3972035249967206E-2</v>
      </c>
      <c r="AH160" s="10">
        <f>Tabella3[[#This Row],[rest of Italy fit]]*NOT(ISBLANK(Tabella3[[#This Row],[rest of Italy data]]))</f>
        <v>0</v>
      </c>
    </row>
    <row r="161" spans="2:34" x14ac:dyDescent="0.3">
      <c r="B161" s="9">
        <v>43984</v>
      </c>
      <c r="C161" s="4">
        <v>154</v>
      </c>
      <c r="E161" s="10"/>
      <c r="F161" s="10">
        <f>Tabella3[[#This Row],[Italy data]]*NOT(ISBLANK(Tabella3[[#This Row],[Italy data]]))</f>
        <v>0</v>
      </c>
      <c r="G161" s="96">
        <f>Tabella8[[#This Row],[Italy fit]]</f>
        <v>231386.07462107181</v>
      </c>
      <c r="H161" s="96">
        <f>Tabella3[[#This Row],[Italy cumul. Fit]]/Kf</f>
        <v>0.98462186279025199</v>
      </c>
      <c r="I161" s="96">
        <f>Tabella3[[#This Row],[Lombardy fit]]+Tabella3[[#This Row],[rest of Italy fit]]</f>
        <v>244.05302500126243</v>
      </c>
      <c r="J161" s="96">
        <f>Tabella3[[#This Row],[Italy (fitted Lombardy + fitted sum of the other regions)]]/(y_l_peak+y_a_peak)</f>
        <v>4.7507904252592201E-2</v>
      </c>
      <c r="K161" s="91">
        <f>IFERROR(Kf*_xlfn.LOGNORM.DIST((Tabella3[[#This Row],[Day]]-D_bk),mu_f,sigma_f,FALSE),0)</f>
        <v>239.70507629642211</v>
      </c>
      <c r="L161" s="91">
        <f>Tabella3[[#This Row],[Italy fit]]/y_f_peak</f>
        <v>4.7357464596541887E-2</v>
      </c>
      <c r="M161" s="10">
        <f>Tabella3[[#This Row],[Italy (fitted Lombardy + fitted sum of the other regions)]]*NOT(ISBLANK(Tabella3[[#This Row],[Italy data]]))</f>
        <v>0</v>
      </c>
      <c r="N161" s="10">
        <f>Tabella3[[#This Row],[Italy fit]]*NOT(ISBLANK(Tabella3[[#This Row],[Italy data]]))</f>
        <v>0</v>
      </c>
      <c r="R161" s="10"/>
      <c r="S161" s="10">
        <f>Tabella3[[#This Row],[Lombardy data]]*NOT(ISBLANK(Tabella3[[#This Row],[Lombardy data]]))</f>
        <v>0</v>
      </c>
      <c r="T161" s="96">
        <f>Tabella8[[#This Row],[Lombardy fit]]</f>
        <v>85170.323335674941</v>
      </c>
      <c r="U161" s="91">
        <f>Tabella3[[#This Row],[Lombardy cumul. Fit]]/Kl</f>
        <v>0.97896923374339018</v>
      </c>
      <c r="V161" s="91">
        <f>IFERROR(Kl*_xlfn.LOGNORM.DIST((Tabella3[[#This Row],[Day]]-pl),mu_l,sigma_l,FALSE),0)</f>
        <v>105.16591438836666</v>
      </c>
      <c r="W161" s="91">
        <f>Tabella3[[#This Row],[Lombardy fit]]/y_l_peak</f>
        <v>5.982288850869262E-2</v>
      </c>
      <c r="X161" s="10">
        <f>Tabella3[[#This Row],[Lombardy fit]]*NOT(ISBLANK(Tabella3[[#This Row],[Lombardy data]]))</f>
        <v>0</v>
      </c>
      <c r="AB161" s="10"/>
      <c r="AC161" s="10">
        <f>Tabella3[[#This Row],[rest of Italy data]]*NOT(ISBLANK(Tabella3[[#This Row],[rest of Italy data]]))</f>
        <v>0</v>
      </c>
      <c r="AD161" s="96">
        <f>Tabella8[[#This Row],[rest of Italy fit]]</f>
        <v>145968.69039927144</v>
      </c>
      <c r="AE161" s="91">
        <f>Tabella3[[#This Row],[rest of Italy cumul. Fit]]/Ka</f>
        <v>0.98627504994397563</v>
      </c>
      <c r="AF161" s="91">
        <f>IFERROR(Ka*_xlfn.LOGNORM.DIST((Tabella3[[#This Row],[Day]]-pa),mu_a,sigma_a,FALSE),0)</f>
        <v>138.88711061289575</v>
      </c>
      <c r="AG161" s="91">
        <f>Tabella3[[#This Row],[rest of Italy fit]]/y_a_peak</f>
        <v>4.1101208082193794E-2</v>
      </c>
      <c r="AH161" s="10">
        <f>Tabella3[[#This Row],[rest of Italy fit]]*NOT(ISBLANK(Tabella3[[#This Row],[rest of Italy data]]))</f>
        <v>0</v>
      </c>
    </row>
    <row r="162" spans="2:34" x14ac:dyDescent="0.3">
      <c r="B162" s="9">
        <v>43985</v>
      </c>
      <c r="C162" s="4">
        <v>155</v>
      </c>
      <c r="E162" s="10"/>
      <c r="F162" s="10">
        <f>Tabella3[[#This Row],[Italy data]]*NOT(ISBLANK(Tabella3[[#This Row],[Italy data]]))</f>
        <v>0</v>
      </c>
      <c r="G162" s="96">
        <f>Tabella8[[#This Row],[Italy fit]]</f>
        <v>231618.13591332614</v>
      </c>
      <c r="H162" s="96">
        <f>Tabella3[[#This Row],[Italy cumul. Fit]]/Kf</f>
        <v>0.98560935792035076</v>
      </c>
      <c r="I162" s="96">
        <f>Tabella3[[#This Row],[Lombardy fit]]+Tabella3[[#This Row],[rest of Italy fit]]</f>
        <v>229.15740608766572</v>
      </c>
      <c r="J162" s="96">
        <f>Tabella3[[#This Row],[Italy (fitted Lombardy + fitted sum of the other regions)]]/(y_l_peak+y_a_peak)</f>
        <v>4.4608289969480595E-2</v>
      </c>
      <c r="K162" s="91">
        <f>IFERROR(Kf*_xlfn.LOGNORM.DIST((Tabella3[[#This Row],[Day]]-D_bk),mu_f,sigma_f,FALSE),0)</f>
        <v>224.57572710402809</v>
      </c>
      <c r="L162" s="91">
        <f>Tabella3[[#This Row],[Italy fit]]/y_f_peak</f>
        <v>4.4368426442583472E-2</v>
      </c>
      <c r="M162" s="10">
        <f>Tabella3[[#This Row],[Italy (fitted Lombardy + fitted sum of the other regions)]]*NOT(ISBLANK(Tabella3[[#This Row],[Italy data]]))</f>
        <v>0</v>
      </c>
      <c r="N162" s="10">
        <f>Tabella3[[#This Row],[Italy fit]]*NOT(ISBLANK(Tabella3[[#This Row],[Italy data]]))</f>
        <v>0</v>
      </c>
      <c r="R162" s="10"/>
      <c r="S162" s="10">
        <f>Tabella3[[#This Row],[Lombardy data]]*NOT(ISBLANK(Tabella3[[#This Row],[Lombardy data]]))</f>
        <v>0</v>
      </c>
      <c r="T162" s="96">
        <f>Tabella8[[#This Row],[Lombardy fit]]</f>
        <v>85272.55735266082</v>
      </c>
      <c r="U162" s="91">
        <f>Tabella3[[#This Row],[Lombardy cumul. Fit]]/Kl</f>
        <v>0.98014433738690598</v>
      </c>
      <c r="V162" s="91">
        <f>IFERROR(Kl*_xlfn.LOGNORM.DIST((Tabella3[[#This Row],[Day]]-pl),mu_l,sigma_l,FALSE),0)</f>
        <v>99.355339999105652</v>
      </c>
      <c r="W162" s="91">
        <f>Tabella3[[#This Row],[Lombardy fit]]/y_l_peak</f>
        <v>5.6517584257958338E-2</v>
      </c>
      <c r="X162" s="10">
        <f>Tabella3[[#This Row],[Lombardy fit]]*NOT(ISBLANK(Tabella3[[#This Row],[Lombardy data]]))</f>
        <v>0</v>
      </c>
      <c r="AB162" s="10"/>
      <c r="AC162" s="10">
        <f>Tabella3[[#This Row],[rest of Italy data]]*NOT(ISBLANK(Tabella3[[#This Row],[rest of Italy data]]))</f>
        <v>0</v>
      </c>
      <c r="AD162" s="96">
        <f>Tabella8[[#This Row],[rest of Italy fit]]</f>
        <v>146102.98523070125</v>
      </c>
      <c r="AE162" s="91">
        <f>Tabella3[[#This Row],[rest of Italy cumul. Fit]]/Ka</f>
        <v>0.98718244755926798</v>
      </c>
      <c r="AF162" s="91">
        <f>IFERROR(Ka*_xlfn.LOGNORM.DIST((Tabella3[[#This Row],[Day]]-pa),mu_a,sigma_a,FALSE),0)</f>
        <v>129.80206608856005</v>
      </c>
      <c r="AG162" s="91">
        <f>Tabella3[[#This Row],[rest of Italy fit]]/y_a_peak</f>
        <v>3.8412648259882637E-2</v>
      </c>
      <c r="AH162" s="10">
        <f>Tabella3[[#This Row],[rest of Italy fit]]*NOT(ISBLANK(Tabella3[[#This Row],[rest of Italy data]]))</f>
        <v>0</v>
      </c>
    </row>
    <row r="163" spans="2:34" x14ac:dyDescent="0.3">
      <c r="B163" s="9">
        <v>43986</v>
      </c>
      <c r="C163" s="4">
        <v>156</v>
      </c>
      <c r="E163" s="10"/>
      <c r="F163" s="10">
        <f>Tabella3[[#This Row],[Italy data]]*NOT(ISBLANK(Tabella3[[#This Row],[Italy data]]))</f>
        <v>0</v>
      </c>
      <c r="G163" s="96">
        <f>Tabella8[[#This Row],[Italy fit]]</f>
        <v>231835.53345326131</v>
      </c>
      <c r="H163" s="96">
        <f>Tabella3[[#This Row],[Italy cumul. Fit]]/Kf</f>
        <v>0.9865344540873846</v>
      </c>
      <c r="I163" s="96">
        <f>Tabella3[[#This Row],[Lombardy fit]]+Tabella3[[#This Row],[rest of Italy fit]]</f>
        <v>215.15209381928534</v>
      </c>
      <c r="J163" s="96">
        <f>Tabella3[[#This Row],[Italy (fitted Lombardy + fitted sum of the other regions)]]/(y_l_peak+y_a_peak)</f>
        <v>4.1881984756626023E-2</v>
      </c>
      <c r="K163" s="91">
        <f>IFERROR(Kf*_xlfn.LOGNORM.DIST((Tabella3[[#This Row],[Day]]-D_bk),mu_f,sigma_f,FALSE),0)</f>
        <v>210.36860068919191</v>
      </c>
      <c r="L163" s="91">
        <f>Tabella3[[#This Row],[Italy fit]]/y_f_peak</f>
        <v>4.1561587736434459E-2</v>
      </c>
      <c r="M163" s="10">
        <f>Tabella3[[#This Row],[Italy (fitted Lombardy + fitted sum of the other regions)]]*NOT(ISBLANK(Tabella3[[#This Row],[Italy data]]))</f>
        <v>0</v>
      </c>
      <c r="N163" s="10">
        <f>Tabella3[[#This Row],[Italy fit]]*NOT(ISBLANK(Tabella3[[#This Row],[Italy data]]))</f>
        <v>0</v>
      </c>
      <c r="R163" s="10"/>
      <c r="S163" s="10">
        <f>Tabella3[[#This Row],[Lombardy data]]*NOT(ISBLANK(Tabella3[[#This Row],[Lombardy data]]))</f>
        <v>0</v>
      </c>
      <c r="T163" s="96">
        <f>Tabella8[[#This Row],[Lombardy fit]]</f>
        <v>85369.137780653706</v>
      </c>
      <c r="U163" s="91">
        <f>Tabella3[[#This Row],[Lombardy cumul. Fit]]/Kl</f>
        <v>0.98125445724889315</v>
      </c>
      <c r="V163" s="91">
        <f>IFERROR(Kl*_xlfn.LOGNORM.DIST((Tabella3[[#This Row],[Day]]-pl),mu_l,sigma_l,FALSE),0)</f>
        <v>93.856083248924762</v>
      </c>
      <c r="W163" s="91">
        <f>Tabella3[[#This Row],[Lombardy fit]]/y_l_peak</f>
        <v>5.3389370850029857E-2</v>
      </c>
      <c r="X163" s="10">
        <f>Tabella3[[#This Row],[Lombardy fit]]*NOT(ISBLANK(Tabella3[[#This Row],[Lombardy data]]))</f>
        <v>0</v>
      </c>
      <c r="AB163" s="10"/>
      <c r="AC163" s="10">
        <f>Tabella3[[#This Row],[rest of Italy data]]*NOT(ISBLANK(Tabella3[[#This Row],[rest of Italy data]]))</f>
        <v>0</v>
      </c>
      <c r="AD163" s="96">
        <f>Tabella8[[#This Row],[rest of Italy fit]]</f>
        <v>146228.48750602425</v>
      </c>
      <c r="AE163" s="91">
        <f>Tabella3[[#This Row],[rest of Italy cumul. Fit]]/Ka</f>
        <v>0.9880304360047607</v>
      </c>
      <c r="AF163" s="91">
        <f>IFERROR(Ka*_xlfn.LOGNORM.DIST((Tabella3[[#This Row],[Day]]-pa),mu_a,sigma_a,FALSE),0)</f>
        <v>121.29601057036058</v>
      </c>
      <c r="AG163" s="91">
        <f>Tabella3[[#This Row],[rest of Italy fit]]/y_a_peak</f>
        <v>3.5895430094212567E-2</v>
      </c>
      <c r="AH163" s="10">
        <f>Tabella3[[#This Row],[rest of Italy fit]]*NOT(ISBLANK(Tabella3[[#This Row],[rest of Italy data]]))</f>
        <v>0</v>
      </c>
    </row>
    <row r="164" spans="2:34" x14ac:dyDescent="0.3">
      <c r="B164" s="9">
        <v>43987</v>
      </c>
      <c r="C164" s="4">
        <v>157</v>
      </c>
      <c r="E164" s="10"/>
      <c r="F164" s="10">
        <f>Tabella3[[#This Row],[Italy data]]*NOT(ISBLANK(Tabella3[[#This Row],[Italy data]]))</f>
        <v>0</v>
      </c>
      <c r="G164" s="96">
        <f>Tabella8[[#This Row],[Italy fit]]</f>
        <v>232039.16299101591</v>
      </c>
      <c r="H164" s="96">
        <f>Tabella3[[#This Row],[Italy cumul. Fit]]/Kf</f>
        <v>0.98740096299511126</v>
      </c>
      <c r="I164" s="96">
        <f>Tabella3[[#This Row],[Lombardy fit]]+Tabella3[[#This Row],[rest of Italy fit]]</f>
        <v>201.98654562891704</v>
      </c>
      <c r="J164" s="96">
        <f>Tabella3[[#This Row],[Italy (fitted Lombardy + fitted sum of the other regions)]]/(y_l_peak+y_a_peak)</f>
        <v>3.9319149885566056E-2</v>
      </c>
      <c r="K164" s="91">
        <f>IFERROR(Kf*_xlfn.LOGNORM.DIST((Tabella3[[#This Row],[Day]]-D_bk),mu_f,sigma_f,FALSE),0)</f>
        <v>197.03118941093325</v>
      </c>
      <c r="L164" s="91">
        <f>Tabella3[[#This Row],[Italy fit]]/y_f_peak</f>
        <v>3.8926574777265514E-2</v>
      </c>
      <c r="M164" s="10">
        <f>Tabella3[[#This Row],[Italy (fitted Lombardy + fitted sum of the other regions)]]*NOT(ISBLANK(Tabella3[[#This Row],[Italy data]]))</f>
        <v>0</v>
      </c>
      <c r="N164" s="10">
        <f>Tabella3[[#This Row],[Italy fit]]*NOT(ISBLANK(Tabella3[[#This Row],[Italy data]]))</f>
        <v>0</v>
      </c>
      <c r="R164" s="10"/>
      <c r="S164" s="10">
        <f>Tabella3[[#This Row],[Lombardy data]]*NOT(ISBLANK(Tabella3[[#This Row],[Lombardy data]]))</f>
        <v>0</v>
      </c>
      <c r="T164" s="96">
        <f>Tabella8[[#This Row],[Lombardy fit]]</f>
        <v>85460.368090571821</v>
      </c>
      <c r="U164" s="91">
        <f>Tabella3[[#This Row],[Lombardy cumul. Fit]]/Kl</f>
        <v>0.98230308150082557</v>
      </c>
      <c r="V164" s="91">
        <f>IFERROR(Kl*_xlfn.LOGNORM.DIST((Tabella3[[#This Row],[Day]]-pl),mu_l,sigma_l,FALSE),0)</f>
        <v>88.652562927420973</v>
      </c>
      <c r="W164" s="91">
        <f>Tabella3[[#This Row],[Lombardy fit]]/y_l_peak</f>
        <v>5.0429385023286817E-2</v>
      </c>
      <c r="X164" s="10">
        <f>Tabella3[[#This Row],[Lombardy fit]]*NOT(ISBLANK(Tabella3[[#This Row],[Lombardy data]]))</f>
        <v>0</v>
      </c>
      <c r="AB164" s="10"/>
      <c r="AC164" s="10">
        <f>Tabella3[[#This Row],[rest of Italy data]]*NOT(ISBLANK(Tabella3[[#This Row],[rest of Italy data]]))</f>
        <v>0</v>
      </c>
      <c r="AD164" s="96">
        <f>Tabella8[[#This Row],[rest of Italy fit]]</f>
        <v>146345.7585734569</v>
      </c>
      <c r="AE164" s="91">
        <f>Tabella3[[#This Row],[rest of Italy cumul. Fit]]/Ka</f>
        <v>0.9888228081742495</v>
      </c>
      <c r="AF164" s="91">
        <f>IFERROR(Ka*_xlfn.LOGNORM.DIST((Tabella3[[#This Row],[Day]]-pa),mu_a,sigma_a,FALSE),0)</f>
        <v>113.33398270149605</v>
      </c>
      <c r="AG164" s="91">
        <f>Tabella3[[#This Row],[rest of Italy fit]]/y_a_peak</f>
        <v>3.3539207383909878E-2</v>
      </c>
      <c r="AH164" s="10">
        <f>Tabella3[[#This Row],[rest of Italy fit]]*NOT(ISBLANK(Tabella3[[#This Row],[rest of Italy data]]))</f>
        <v>0</v>
      </c>
    </row>
    <row r="165" spans="2:34" x14ac:dyDescent="0.3">
      <c r="B165" s="9">
        <v>43988</v>
      </c>
      <c r="C165" s="4">
        <v>158</v>
      </c>
      <c r="E165" s="10"/>
      <c r="F165" s="10">
        <f>Tabella3[[#This Row],[Italy data]]*NOT(ISBLANK(Tabella3[[#This Row],[Italy data]]))</f>
        <v>0</v>
      </c>
      <c r="G165" s="96">
        <f>Tabella8[[#This Row],[Italy fit]]</f>
        <v>232229.86906863999</v>
      </c>
      <c r="H165" s="96">
        <f>Tabella3[[#This Row],[Italy cumul. Fit]]/Kf</f>
        <v>0.98821247844046878</v>
      </c>
      <c r="I165" s="96">
        <f>Tabella3[[#This Row],[Lombardy fit]]+Tabella3[[#This Row],[rest of Italy fit]]</f>
        <v>189.61276850418463</v>
      </c>
      <c r="J165" s="96">
        <f>Tabella3[[#This Row],[Italy (fitted Lombardy + fitted sum of the other regions)]]/(y_l_peak+y_a_peak)</f>
        <v>3.6910442929847465E-2</v>
      </c>
      <c r="K165" s="91">
        <f>IFERROR(Kf*_xlfn.LOGNORM.DIST((Tabella3[[#This Row],[Day]]-D_bk),mu_f,sigma_f,FALSE),0)</f>
        <v>184.51357124690128</v>
      </c>
      <c r="L165" s="91">
        <f>Tabella3[[#This Row],[Italy fit]]/y_f_peak</f>
        <v>3.645352469340702E-2</v>
      </c>
      <c r="M165" s="10">
        <f>Tabella3[[#This Row],[Italy (fitted Lombardy + fitted sum of the other regions)]]*NOT(ISBLANK(Tabella3[[#This Row],[Italy data]]))</f>
        <v>0</v>
      </c>
      <c r="N165" s="10">
        <f>Tabella3[[#This Row],[Italy fit]]*NOT(ISBLANK(Tabella3[[#This Row],[Italy data]]))</f>
        <v>0</v>
      </c>
      <c r="R165" s="10"/>
      <c r="S165" s="10">
        <f>Tabella3[[#This Row],[Lombardy data]]*NOT(ISBLANK(Tabella3[[#This Row],[Lombardy data]]))</f>
        <v>0</v>
      </c>
      <c r="T165" s="96">
        <f>Tabella8[[#This Row],[Lombardy fit]]</f>
        <v>85546.536506210832</v>
      </c>
      <c r="U165" s="91">
        <f>Tabella3[[#This Row],[Lombardy cumul. Fit]]/Kl</f>
        <v>0.98329352305989459</v>
      </c>
      <c r="V165" s="91">
        <f>IFERROR(Kl*_xlfn.LOGNORM.DIST((Tabella3[[#This Row],[Day]]-pl),mu_l,sigma_l,FALSE),0)</f>
        <v>83.729863352353661</v>
      </c>
      <c r="W165" s="91">
        <f>Tabella3[[#This Row],[Lombardy fit]]/y_l_peak</f>
        <v>4.7629142097109049E-2</v>
      </c>
      <c r="X165" s="10">
        <f>Tabella3[[#This Row],[Lombardy fit]]*NOT(ISBLANK(Tabella3[[#This Row],[Lombardy data]]))</f>
        <v>0</v>
      </c>
      <c r="AB165" s="10"/>
      <c r="AC165" s="10">
        <f>Tabella3[[#This Row],[rest of Italy data]]*NOT(ISBLANK(Tabella3[[#This Row],[rest of Italy data]]))</f>
        <v>0</v>
      </c>
      <c r="AD165" s="96">
        <f>Tabella8[[#This Row],[rest of Italy fit]]</f>
        <v>146455.32576810059</v>
      </c>
      <c r="AE165" s="91">
        <f>Tabella3[[#This Row],[rest of Italy cumul. Fit]]/Ka</f>
        <v>0.98956312714315886</v>
      </c>
      <c r="AF165" s="91">
        <f>IFERROR(Ka*_xlfn.LOGNORM.DIST((Tabella3[[#This Row],[Day]]-pa),mu_a,sigma_a,FALSE),0)</f>
        <v>105.88290515183097</v>
      </c>
      <c r="AG165" s="91">
        <f>Tabella3[[#This Row],[rest of Italy fit]]/y_a_peak</f>
        <v>3.1334191472397986E-2</v>
      </c>
      <c r="AH165" s="10">
        <f>Tabella3[[#This Row],[rest of Italy fit]]*NOT(ISBLANK(Tabella3[[#This Row],[rest of Italy data]]))</f>
        <v>0</v>
      </c>
    </row>
    <row r="166" spans="2:34" x14ac:dyDescent="0.3">
      <c r="B166" s="9">
        <v>43989</v>
      </c>
      <c r="C166" s="4">
        <v>159</v>
      </c>
      <c r="E166" s="10"/>
      <c r="F166" s="10">
        <f>Tabella3[[#This Row],[Italy data]]*NOT(ISBLANK(Tabella3[[#This Row],[Italy data]]))</f>
        <v>0</v>
      </c>
      <c r="G166" s="96">
        <f>Tabella8[[#This Row],[Italy fit]]</f>
        <v>232408.44756466881</v>
      </c>
      <c r="H166" s="96">
        <f>Tabella3[[#This Row],[Italy cumul. Fit]]/Kf</f>
        <v>0.98897238714155256</v>
      </c>
      <c r="I166" s="96">
        <f>Tabella3[[#This Row],[Lombardy fit]]+Tabella3[[#This Row],[rest of Italy fit]]</f>
        <v>177.9852274412703</v>
      </c>
      <c r="J166" s="96">
        <f>Tabella3[[#This Row],[Italy (fitted Lombardy + fitted sum of the other regions)]]/(y_l_peak+y_a_peak)</f>
        <v>3.464699994442591E-2</v>
      </c>
      <c r="K166" s="91">
        <f>IFERROR(Kf*_xlfn.LOGNORM.DIST((Tabella3[[#This Row],[Day]]-D_bk),mu_f,sigma_f,FALSE),0)</f>
        <v>172.76832715139551</v>
      </c>
      <c r="L166" s="91">
        <f>Tabella3[[#This Row],[Italy fit]]/y_f_peak</f>
        <v>3.4133069115141239E-2</v>
      </c>
      <c r="M166" s="10">
        <f>Tabella3[[#This Row],[Italy (fitted Lombardy + fitted sum of the other regions)]]*NOT(ISBLANK(Tabella3[[#This Row],[Italy data]]))</f>
        <v>0</v>
      </c>
      <c r="N166" s="10">
        <f>Tabella3[[#This Row],[Italy fit]]*NOT(ISBLANK(Tabella3[[#This Row],[Italy data]]))</f>
        <v>0</v>
      </c>
      <c r="R166" s="10"/>
      <c r="S166" s="10">
        <f>Tabella3[[#This Row],[Lombardy data]]*NOT(ISBLANK(Tabella3[[#This Row],[Lombardy data]]))</f>
        <v>0</v>
      </c>
      <c r="T166" s="96">
        <f>Tabella8[[#This Row],[Lombardy fit]]</f>
        <v>85627.916661635274</v>
      </c>
      <c r="U166" s="91">
        <f>Tabella3[[#This Row],[Lombardy cumul. Fit]]/Kl</f>
        <v>0.98422892714523302</v>
      </c>
      <c r="V166" s="91">
        <f>IFERROR(Kl*_xlfn.LOGNORM.DIST((Tabella3[[#This Row],[Day]]-pl),mu_l,sigma_l,FALSE),0)</f>
        <v>79.07371791020195</v>
      </c>
      <c r="W166" s="91">
        <f>Tabella3[[#This Row],[Lombardy fit]]/y_l_peak</f>
        <v>4.4980526609038791E-2</v>
      </c>
      <c r="X166" s="10">
        <f>Tabella3[[#This Row],[Lombardy fit]]*NOT(ISBLANK(Tabella3[[#This Row],[Lombardy data]]))</f>
        <v>0</v>
      </c>
      <c r="AB166" s="10"/>
      <c r="AC166" s="10">
        <f>Tabella3[[#This Row],[rest of Italy data]]*NOT(ISBLANK(Tabella3[[#This Row],[rest of Italy data]]))</f>
        <v>0</v>
      </c>
      <c r="AD166" s="96">
        <f>Tabella8[[#This Row],[rest of Italy fit]]</f>
        <v>146557.68425847558</v>
      </c>
      <c r="AE166" s="91">
        <f>Tabella3[[#This Row],[rest of Italy cumul. Fit]]/Ka</f>
        <v>0.99025473864512303</v>
      </c>
      <c r="AF166" s="91">
        <f>IFERROR(Ka*_xlfn.LOGNORM.DIST((Tabella3[[#This Row],[Day]]-pa),mu_a,sigma_a,FALSE),0)</f>
        <v>98.911509531068333</v>
      </c>
      <c r="AG166" s="91">
        <f>Tabella3[[#This Row],[rest of Italy fit]]/y_a_peak</f>
        <v>2.9271129027165901E-2</v>
      </c>
      <c r="AH166" s="10">
        <f>Tabella3[[#This Row],[rest of Italy fit]]*NOT(ISBLANK(Tabella3[[#This Row],[rest of Italy data]]))</f>
        <v>0</v>
      </c>
    </row>
    <row r="167" spans="2:34" x14ac:dyDescent="0.3">
      <c r="B167" s="9">
        <v>43990</v>
      </c>
      <c r="C167" s="4">
        <v>160</v>
      </c>
      <c r="E167" s="10"/>
      <c r="F167" s="10">
        <f>Tabella3[[#This Row],[Italy data]]*NOT(ISBLANK(Tabella3[[#This Row],[Italy data]]))</f>
        <v>0</v>
      </c>
      <c r="G167" s="96">
        <f>Tabella8[[#This Row],[Italy fit]]</f>
        <v>232575.6481545617</v>
      </c>
      <c r="H167" s="96">
        <f>Tabella3[[#This Row],[Italy cumul. Fit]]/Kf</f>
        <v>0.98968387920757073</v>
      </c>
      <c r="I167" s="96">
        <f>Tabella3[[#This Row],[Lombardy fit]]+Tabella3[[#This Row],[rest of Italy fit]]</f>
        <v>167.06075259017913</v>
      </c>
      <c r="J167" s="96">
        <f>Tabella3[[#This Row],[Italy (fitted Lombardy + fitted sum of the other regions)]]/(y_l_peak+y_a_peak)</f>
        <v>3.252041739035675E-2</v>
      </c>
      <c r="K167" s="91">
        <f>IFERROR(Kf*_xlfn.LOGNORM.DIST((Tabella3[[#This Row],[Day]]-D_bk),mu_f,sigma_f,FALSE),0)</f>
        <v>161.75045558771774</v>
      </c>
      <c r="L167" s="91">
        <f>Tabella3[[#This Row],[Italy fit]]/y_f_peak</f>
        <v>3.1956317289239651E-2</v>
      </c>
      <c r="M167" s="10">
        <f>Tabella3[[#This Row],[Italy (fitted Lombardy + fitted sum of the other regions)]]*NOT(ISBLANK(Tabella3[[#This Row],[Italy data]]))</f>
        <v>0</v>
      </c>
      <c r="N167" s="10">
        <f>Tabella3[[#This Row],[Italy fit]]*NOT(ISBLANK(Tabella3[[#This Row],[Italy data]]))</f>
        <v>0</v>
      </c>
      <c r="R167" s="10"/>
      <c r="S167" s="10">
        <f>Tabella3[[#This Row],[Lombardy data]]*NOT(ISBLANK(Tabella3[[#This Row],[Lombardy data]]))</f>
        <v>0</v>
      </c>
      <c r="T167" s="96">
        <f>Tabella8[[#This Row],[Lombardy fit]]</f>
        <v>85704.768241591519</v>
      </c>
      <c r="U167" s="91">
        <f>Tabella3[[#This Row],[Lombardy cumul. Fit]]/Kl</f>
        <v>0.98511227863898299</v>
      </c>
      <c r="V167" s="91">
        <f>IFERROR(Kl*_xlfn.LOGNORM.DIST((Tabella3[[#This Row],[Day]]-pl),mu_l,sigma_l,FALSE),0)</f>
        <v>74.670491596837081</v>
      </c>
      <c r="W167" s="91">
        <f>Tabella3[[#This Row],[Lombardy fit]]/y_l_peak</f>
        <v>4.2475782383165288E-2</v>
      </c>
      <c r="X167" s="10">
        <f>Tabella3[[#This Row],[Lombardy fit]]*NOT(ISBLANK(Tabella3[[#This Row],[Lombardy data]]))</f>
        <v>0</v>
      </c>
      <c r="AB167" s="10"/>
      <c r="AC167" s="10">
        <f>Tabella3[[#This Row],[rest of Italy data]]*NOT(ISBLANK(Tabella3[[#This Row],[rest of Italy data]]))</f>
        <v>0</v>
      </c>
      <c r="AD167" s="96">
        <f>Tabella8[[#This Row],[rest of Italy fit]]</f>
        <v>146653.29881776491</v>
      </c>
      <c r="AE167" s="91">
        <f>Tabella3[[#This Row],[rest of Italy cumul. Fit]]/Ka</f>
        <v>0.99090078303985252</v>
      </c>
      <c r="AF167" s="91">
        <f>IFERROR(Ka*_xlfn.LOGNORM.DIST((Tabella3[[#This Row],[Day]]-pa),mu_a,sigma_a,FALSE),0)</f>
        <v>92.390260993342054</v>
      </c>
      <c r="AG167" s="91">
        <f>Tabella3[[#This Row],[rest of Italy fit]]/y_a_peak</f>
        <v>2.7341279727817722E-2</v>
      </c>
      <c r="AH167" s="10">
        <f>Tabella3[[#This Row],[rest of Italy fit]]*NOT(ISBLANK(Tabella3[[#This Row],[rest of Italy data]]))</f>
        <v>0</v>
      </c>
    </row>
    <row r="168" spans="2:34" x14ac:dyDescent="0.3">
      <c r="B168" s="9">
        <v>43991</v>
      </c>
      <c r="C168" s="4">
        <v>161</v>
      </c>
      <c r="E168" s="10"/>
      <c r="F168" s="10">
        <f>Tabella3[[#This Row],[Italy data]]*NOT(ISBLANK(Tabella3[[#This Row],[Italy data]]))</f>
        <v>0</v>
      </c>
      <c r="G168" s="96">
        <f>Tabella8[[#This Row],[Italy fit]]</f>
        <v>232732.17668464207</v>
      </c>
      <c r="H168" s="96">
        <f>Tabella3[[#This Row],[Italy cumul. Fit]]/Kf</f>
        <v>0.99034995824071881</v>
      </c>
      <c r="I168" s="96">
        <f>Tabella3[[#This Row],[Lombardy fit]]+Tabella3[[#This Row],[rest of Italy fit]]</f>
        <v>156.79844584885302</v>
      </c>
      <c r="J168" s="96">
        <f>Tabella3[[#This Row],[Italy (fitted Lombardy + fitted sum of the other regions)]]/(y_l_peak+y_a_peak)</f>
        <v>3.052273395219764E-2</v>
      </c>
      <c r="K168" s="91">
        <f>IFERROR(Kf*_xlfn.LOGNORM.DIST((Tabella3[[#This Row],[Day]]-D_bk),mu_f,sigma_f,FALSE),0)</f>
        <v>151.41728513919617</v>
      </c>
      <c r="L168" s="91">
        <f>Tabella3[[#This Row],[Italy fit]]/y_f_peak</f>
        <v>2.9914838813912107E-2</v>
      </c>
      <c r="M168" s="10">
        <f>Tabella3[[#This Row],[Italy (fitted Lombardy + fitted sum of the other regions)]]*NOT(ISBLANK(Tabella3[[#This Row],[Italy data]]))</f>
        <v>0</v>
      </c>
      <c r="N168" s="10">
        <f>Tabella3[[#This Row],[Italy fit]]*NOT(ISBLANK(Tabella3[[#This Row],[Italy data]]))</f>
        <v>0</v>
      </c>
      <c r="R168" s="10"/>
      <c r="S168" s="10">
        <f>Tabella3[[#This Row],[Lombardy data]]*NOT(ISBLANK(Tabella3[[#This Row],[Lombardy data]]))</f>
        <v>0</v>
      </c>
      <c r="T168" s="96">
        <f>Tabella8[[#This Row],[Lombardy fit]]</f>
        <v>85777.337604053508</v>
      </c>
      <c r="U168" s="91">
        <f>Tabella3[[#This Row],[Lombardy cumul. Fit]]/Kl</f>
        <v>0.98594640924199439</v>
      </c>
      <c r="V168" s="91">
        <f>IFERROR(Kl*_xlfn.LOGNORM.DIST((Tabella3[[#This Row],[Day]]-pl),mu_l,sigma_l,FALSE),0)</f>
        <v>70.507162776822412</v>
      </c>
      <c r="W168" s="91">
        <f>Tabella3[[#This Row],[Lombardy fit]]/y_l_peak</f>
        <v>4.0107502154031319E-2</v>
      </c>
      <c r="X168" s="10">
        <f>Tabella3[[#This Row],[Lombardy fit]]*NOT(ISBLANK(Tabella3[[#This Row],[Lombardy data]]))</f>
        <v>0</v>
      </c>
      <c r="AB168" s="10"/>
      <c r="AC168" s="10">
        <f>Tabella3[[#This Row],[rest of Italy data]]*NOT(ISBLANK(Tabella3[[#This Row],[rest of Italy data]]))</f>
        <v>0</v>
      </c>
      <c r="AD168" s="96">
        <f>Tabella8[[#This Row],[rest of Italy fit]]</f>
        <v>146742.60551973694</v>
      </c>
      <c r="AE168" s="91">
        <f>Tabella3[[#This Row],[rest of Italy cumul. Fit]]/Ka</f>
        <v>0.99150420677207118</v>
      </c>
      <c r="AF168" s="91">
        <f>IFERROR(Ka*_xlfn.LOGNORM.DIST((Tabella3[[#This Row],[Day]]-pa),mu_a,sigma_a,FALSE),0)</f>
        <v>86.291283072030623</v>
      </c>
      <c r="AG168" s="91">
        <f>Tabella3[[#This Row],[rest of Italy fit]]/y_a_peak</f>
        <v>2.5536394022252103E-2</v>
      </c>
      <c r="AH168" s="10">
        <f>Tabella3[[#This Row],[rest of Italy fit]]*NOT(ISBLANK(Tabella3[[#This Row],[rest of Italy data]]))</f>
        <v>0</v>
      </c>
    </row>
    <row r="169" spans="2:34" x14ac:dyDescent="0.3">
      <c r="B169" s="9">
        <v>43992</v>
      </c>
      <c r="C169" s="4">
        <v>162</v>
      </c>
      <c r="E169" s="10"/>
      <c r="F169" s="10">
        <f>Tabella3[[#This Row],[Italy data]]*NOT(ISBLANK(Tabella3[[#This Row],[Italy data]]))</f>
        <v>0</v>
      </c>
      <c r="G169" s="96">
        <f>Tabella8[[#This Row],[Italy fit]]</f>
        <v>232878.6974580216</v>
      </c>
      <c r="H169" s="96">
        <f>Tabella3[[#This Row],[Italy cumul. Fit]]/Kf</f>
        <v>0.99097345106352019</v>
      </c>
      <c r="I169" s="96">
        <f>Tabella3[[#This Row],[Lombardy fit]]+Tabella3[[#This Row],[rest of Italy fit]]</f>
        <v>147.15958755742753</v>
      </c>
      <c r="J169" s="96">
        <f>Tabella3[[#This Row],[Italy (fitted Lombardy + fitted sum of the other regions)]]/(y_l_peak+y_a_peak)</f>
        <v>2.8646412374905256E-2</v>
      </c>
      <c r="K169" s="91">
        <f>IFERROR(Kf*_xlfn.LOGNORM.DIST((Tabella3[[#This Row],[Day]]-D_bk),mu_f,sigma_f,FALSE),0)</f>
        <v>141.72838598900191</v>
      </c>
      <c r="L169" s="91">
        <f>Tabella3[[#This Row],[Italy fit]]/y_f_peak</f>
        <v>2.8000646150268302E-2</v>
      </c>
      <c r="M169" s="10">
        <f>Tabella3[[#This Row],[Italy (fitted Lombardy + fitted sum of the other regions)]]*NOT(ISBLANK(Tabella3[[#This Row],[Italy data]]))</f>
        <v>0</v>
      </c>
      <c r="N169" s="10">
        <f>Tabella3[[#This Row],[Italy fit]]*NOT(ISBLANK(Tabella3[[#This Row],[Italy data]]))</f>
        <v>0</v>
      </c>
      <c r="R169" s="10"/>
      <c r="S169" s="10">
        <f>Tabella3[[#This Row],[Lombardy data]]*NOT(ISBLANK(Tabella3[[#This Row],[Lombardy data]]))</f>
        <v>0</v>
      </c>
      <c r="T169" s="96">
        <f>Tabella8[[#This Row],[Lombardy fit]]</f>
        <v>85845.858384218838</v>
      </c>
      <c r="U169" s="91">
        <f>Tabella3[[#This Row],[Lombardy cumul. Fit]]/Kl</f>
        <v>0.98673400441630843</v>
      </c>
      <c r="V169" s="91">
        <f>IFERROR(Kl*_xlfn.LOGNORM.DIST((Tabella3[[#This Row],[Day]]-pl),mu_l,sigma_l,FALSE),0)</f>
        <v>66.571304355456547</v>
      </c>
      <c r="W169" s="91">
        <f>Tabella3[[#This Row],[Lombardy fit]]/y_l_peak</f>
        <v>3.7868616856482719E-2</v>
      </c>
      <c r="X169" s="10">
        <f>Tabella3[[#This Row],[Lombardy fit]]*NOT(ISBLANK(Tabella3[[#This Row],[Lombardy data]]))</f>
        <v>0</v>
      </c>
      <c r="AB169" s="10"/>
      <c r="AC169" s="10">
        <f>Tabella3[[#This Row],[rest of Italy data]]*NOT(ISBLANK(Tabella3[[#This Row],[rest of Italy data]]))</f>
        <v>0</v>
      </c>
      <c r="AD169" s="96">
        <f>Tabella8[[#This Row],[rest of Italy fit]]</f>
        <v>146826.01335981127</v>
      </c>
      <c r="AE169" s="91">
        <f>Tabella3[[#This Row],[rest of Italy cumul. Fit]]/Ka</f>
        <v>0.99206777332466545</v>
      </c>
      <c r="AF169" s="91">
        <f>IFERROR(Ka*_xlfn.LOGNORM.DIST((Tabella3[[#This Row],[Day]]-pa),mu_a,sigma_a,FALSE),0)</f>
        <v>80.588283201970967</v>
      </c>
      <c r="AG169" s="91">
        <f>Tabella3[[#This Row],[rest of Italy fit]]/y_a_peak</f>
        <v>2.3848691086265746E-2</v>
      </c>
      <c r="AH169" s="10">
        <f>Tabella3[[#This Row],[rest of Italy fit]]*NOT(ISBLANK(Tabella3[[#This Row],[rest of Italy data]]))</f>
        <v>0</v>
      </c>
    </row>
    <row r="170" spans="2:34" x14ac:dyDescent="0.3">
      <c r="B170" s="9">
        <v>43993</v>
      </c>
      <c r="C170" s="4">
        <v>163</v>
      </c>
      <c r="E170" s="10"/>
      <c r="F170" s="10">
        <f>Tabella3[[#This Row],[Italy data]]*NOT(ISBLANK(Tabella3[[#This Row],[Italy data]]))</f>
        <v>0</v>
      </c>
      <c r="G170" s="96">
        <f>Tabella8[[#This Row],[Italy fit]]</f>
        <v>233015.83543172845</v>
      </c>
      <c r="H170" s="96">
        <f>Tabella3[[#This Row],[Italy cumul. Fit]]/Kf</f>
        <v>0.99155701706830968</v>
      </c>
      <c r="I170" s="96">
        <f>Tabella3[[#This Row],[Lombardy fit]]+Tabella3[[#This Row],[rest of Italy fit]]</f>
        <v>138.10754384876518</v>
      </c>
      <c r="J170" s="96">
        <f>Tabella3[[#This Row],[Italy (fitted Lombardy + fitted sum of the other regions)]]/(y_l_peak+y_a_peak)</f>
        <v>2.688432142848414E-2</v>
      </c>
      <c r="K170" s="91">
        <f>IFERROR(Kf*_xlfn.LOGNORM.DIST((Tabella3[[#This Row],[Day]]-D_bk),mu_f,sigma_f,FALSE),0)</f>
        <v>132.64548095527522</v>
      </c>
      <c r="L170" s="91">
        <f>Tabella3[[#This Row],[Italy fit]]/y_f_peak</f>
        <v>2.6206177045923831E-2</v>
      </c>
      <c r="M170" s="10">
        <f>Tabella3[[#This Row],[Italy (fitted Lombardy + fitted sum of the other regions)]]*NOT(ISBLANK(Tabella3[[#This Row],[Italy data]]))</f>
        <v>0</v>
      </c>
      <c r="N170" s="10">
        <f>Tabella3[[#This Row],[Italy fit]]*NOT(ISBLANK(Tabella3[[#This Row],[Italy data]]))</f>
        <v>0</v>
      </c>
      <c r="R170" s="10"/>
      <c r="S170" s="10">
        <f>Tabella3[[#This Row],[Lombardy data]]*NOT(ISBLANK(Tabella3[[#This Row],[Lombardy data]]))</f>
        <v>0</v>
      </c>
      <c r="T170" s="96">
        <f>Tabella8[[#This Row],[Lombardy fit]]</f>
        <v>85910.552079455883</v>
      </c>
      <c r="U170" s="91">
        <f>Tabella3[[#This Row],[Lombardy cumul. Fit]]/Kl</f>
        <v>0.98747761010868829</v>
      </c>
      <c r="V170" s="91">
        <f>IFERROR(Kl*_xlfn.LOGNORM.DIST((Tabella3[[#This Row],[Day]]-pl),mu_l,sigma_l,FALSE),0)</f>
        <v>62.851064535325399</v>
      </c>
      <c r="W170" s="91">
        <f>Tabella3[[#This Row],[Lombardy fit]]/y_l_peak</f>
        <v>3.5752384679168782E-2</v>
      </c>
      <c r="X170" s="10">
        <f>Tabella3[[#This Row],[Lombardy fit]]*NOT(ISBLANK(Tabella3[[#This Row],[Lombardy data]]))</f>
        <v>0</v>
      </c>
      <c r="AB170" s="10"/>
      <c r="AC170" s="10">
        <f>Tabella3[[#This Row],[rest of Italy data]]*NOT(ISBLANK(Tabella3[[#This Row],[rest of Italy data]]))</f>
        <v>0</v>
      </c>
      <c r="AD170" s="96">
        <f>Tabella8[[#This Row],[rest of Italy fit]]</f>
        <v>146903.90580215378</v>
      </c>
      <c r="AE170" s="91">
        <f>Tabella3[[#This Row],[rest of Italy cumul. Fit]]/Ka</f>
        <v>0.9925940736720309</v>
      </c>
      <c r="AF170" s="91">
        <f>IFERROR(Ka*_xlfn.LOGNORM.DIST((Tabella3[[#This Row],[Day]]-pa),mu_a,sigma_a,FALSE),0)</f>
        <v>75.256479313439783</v>
      </c>
      <c r="AG170" s="91">
        <f>Tabella3[[#This Row],[rest of Italy fit]]/y_a_peak</f>
        <v>2.2270837100327741E-2</v>
      </c>
      <c r="AH170" s="10">
        <f>Tabella3[[#This Row],[rest of Italy fit]]*NOT(ISBLANK(Tabella3[[#This Row],[rest of Italy data]]))</f>
        <v>0</v>
      </c>
    </row>
    <row r="171" spans="2:34" x14ac:dyDescent="0.3">
      <c r="B171" s="9">
        <v>43994</v>
      </c>
      <c r="C171" s="4">
        <v>164</v>
      </c>
      <c r="E171" s="10"/>
      <c r="F171" s="10">
        <f>Tabella3[[#This Row],[Italy data]]*NOT(ISBLANK(Tabella3[[#This Row],[Italy data]]))</f>
        <v>0</v>
      </c>
      <c r="G171" s="96">
        <f>Tabella8[[#This Row],[Italy fit]]</f>
        <v>233144.17832489943</v>
      </c>
      <c r="H171" s="96">
        <f>Tabella3[[#This Row],[Italy cumul. Fit]]/Kf</f>
        <v>0.99210315718826647</v>
      </c>
      <c r="I171" s="96">
        <f>Tabella3[[#This Row],[Lombardy fit]]+Tabella3[[#This Row],[rest of Italy fit]]</f>
        <v>129.60767512631071</v>
      </c>
      <c r="J171" s="96">
        <f>Tabella3[[#This Row],[Italy (fitted Lombardy + fitted sum of the other regions)]]/(y_l_peak+y_a_peak)</f>
        <v>2.5229718092082628E-2</v>
      </c>
      <c r="K171" s="91">
        <f>IFERROR(Kf*_xlfn.LOGNORM.DIST((Tabella3[[#This Row],[Day]]-D_bk),mu_f,sigma_f,FALSE),0)</f>
        <v>124.13235667439514</v>
      </c>
      <c r="L171" s="91">
        <f>Tabella3[[#This Row],[Italy fit]]/y_f_peak</f>
        <v>2.4524276987874218E-2</v>
      </c>
      <c r="M171" s="10">
        <f>Tabella3[[#This Row],[Italy (fitted Lombardy + fitted sum of the other regions)]]*NOT(ISBLANK(Tabella3[[#This Row],[Italy data]]))</f>
        <v>0</v>
      </c>
      <c r="N171" s="10">
        <f>Tabella3[[#This Row],[Italy fit]]*NOT(ISBLANK(Tabella3[[#This Row],[Italy data]]))</f>
        <v>0</v>
      </c>
      <c r="R171" s="10"/>
      <c r="S171" s="10">
        <f>Tabella3[[#This Row],[Lombardy data]]*NOT(ISBLANK(Tabella3[[#This Row],[Lombardy data]]))</f>
        <v>0</v>
      </c>
      <c r="T171" s="96">
        <f>Tabella8[[#This Row],[Lombardy fit]]</f>
        <v>85971.628614863439</v>
      </c>
      <c r="U171" s="91">
        <f>Tabella3[[#This Row],[Lombardy cumul. Fit]]/Kl</f>
        <v>0.98817963925130392</v>
      </c>
      <c r="V171" s="91">
        <f>IFERROR(Kl*_xlfn.LOGNORM.DIST((Tabella3[[#This Row],[Day]]-pl),mu_l,sigma_l,FALSE),0)</f>
        <v>59.335147308776108</v>
      </c>
      <c r="W171" s="91">
        <f>Tabella3[[#This Row],[Lombardy fit]]/y_l_peak</f>
        <v>3.3752379967823667E-2</v>
      </c>
      <c r="X171" s="10">
        <f>Tabella3[[#This Row],[Lombardy fit]]*NOT(ISBLANK(Tabella3[[#This Row],[Lombardy data]]))</f>
        <v>0</v>
      </c>
      <c r="AB171" s="10"/>
      <c r="AC171" s="10">
        <f>Tabella3[[#This Row],[rest of Italy data]]*NOT(ISBLANK(Tabella3[[#This Row],[rest of Italy data]]))</f>
        <v>0</v>
      </c>
      <c r="AD171" s="96">
        <f>Tabella8[[#This Row],[rest of Italy fit]]</f>
        <v>146976.64225403685</v>
      </c>
      <c r="AE171" s="91">
        <f>Tabella3[[#This Row],[rest of Italy cumul. Fit]]/Ka</f>
        <v>0.99308553624196627</v>
      </c>
      <c r="AF171" s="91">
        <f>IFERROR(Ka*_xlfn.LOGNORM.DIST((Tabella3[[#This Row],[Day]]-pa),mu_a,sigma_a,FALSE),0)</f>
        <v>70.272527817534595</v>
      </c>
      <c r="AG171" s="91">
        <f>Tabella3[[#This Row],[rest of Italy fit]]/y_a_peak</f>
        <v>2.0795923938114254E-2</v>
      </c>
      <c r="AH171" s="10">
        <f>Tabella3[[#This Row],[rest of Italy fit]]*NOT(ISBLANK(Tabella3[[#This Row],[rest of Italy data]]))</f>
        <v>0</v>
      </c>
    </row>
    <row r="172" spans="2:34" x14ac:dyDescent="0.3">
      <c r="B172" s="9">
        <v>43995</v>
      </c>
      <c r="C172" s="4">
        <v>165</v>
      </c>
      <c r="E172" s="10"/>
      <c r="F172" s="10">
        <f>Tabella3[[#This Row],[Italy data]]*NOT(ISBLANK(Tabella3[[#This Row],[Italy data]]))</f>
        <v>0</v>
      </c>
      <c r="G172" s="96">
        <f>Tabella8[[#This Row],[Italy fit]]</f>
        <v>233264.27863844397</v>
      </c>
      <c r="H172" s="96">
        <f>Tabella3[[#This Row],[Italy cumul. Fit]]/Kf</f>
        <v>0.99261422249173203</v>
      </c>
      <c r="I172" s="96">
        <f>Tabella3[[#This Row],[Lombardy fit]]+Tabella3[[#This Row],[rest of Italy fit]]</f>
        <v>121.62724606442249</v>
      </c>
      <c r="J172" s="96">
        <f>Tabella3[[#This Row],[Italy (fitted Lombardy + fitted sum of the other regions)]]/(y_l_peak+y_a_peak)</f>
        <v>2.3676230034457332E-2</v>
      </c>
      <c r="K172" s="91">
        <f>IFERROR(Kf*_xlfn.LOGNORM.DIST((Tabella3[[#This Row],[Day]]-D_bk),mu_f,sigma_f,FALSE),0)</f>
        <v>116.15477544076585</v>
      </c>
      <c r="L172" s="91">
        <f>Tabella3[[#This Row],[Italy fit]]/y_f_peak</f>
        <v>2.2948181785074059E-2</v>
      </c>
      <c r="M172" s="10">
        <f>Tabella3[[#This Row],[Italy (fitted Lombardy + fitted sum of the other regions)]]*NOT(ISBLANK(Tabella3[[#This Row],[Italy data]]))</f>
        <v>0</v>
      </c>
      <c r="N172" s="10">
        <f>Tabella3[[#This Row],[Italy fit]]*NOT(ISBLANK(Tabella3[[#This Row],[Italy data]]))</f>
        <v>0</v>
      </c>
      <c r="R172" s="10"/>
      <c r="S172" s="10">
        <f>Tabella3[[#This Row],[Lombardy data]]*NOT(ISBLANK(Tabella3[[#This Row],[Lombardy data]]))</f>
        <v>0</v>
      </c>
      <c r="T172" s="96">
        <f>Tabella8[[#This Row],[Lombardy fit]]</f>
        <v>86029.286889247014</v>
      </c>
      <c r="U172" s="91">
        <f>Tabella3[[#This Row],[Lombardy cumul. Fit]]/Kl</f>
        <v>0.988842378037322</v>
      </c>
      <c r="V172" s="91">
        <f>IFERROR(Kl*_xlfn.LOGNORM.DIST((Tabella3[[#This Row],[Day]]-pl),mu_l,sigma_l,FALSE),0)</f>
        <v>56.012792819164844</v>
      </c>
      <c r="W172" s="91">
        <f>Tabella3[[#This Row],[Lombardy fit]]/y_l_peak</f>
        <v>3.1862482053900763E-2</v>
      </c>
      <c r="X172" s="10">
        <f>Tabella3[[#This Row],[Lombardy fit]]*NOT(ISBLANK(Tabella3[[#This Row],[Lombardy data]]))</f>
        <v>0</v>
      </c>
      <c r="AB172" s="10"/>
      <c r="AC172" s="10">
        <f>Tabella3[[#This Row],[rest of Italy data]]*NOT(ISBLANK(Tabella3[[#This Row],[rest of Italy data]]))</f>
        <v>0</v>
      </c>
      <c r="AD172" s="96">
        <f>Tabella8[[#This Row],[rest of Italy fit]]</f>
        <v>147044.55946899249</v>
      </c>
      <c r="AE172" s="91">
        <f>Tabella3[[#This Row],[rest of Italy cumul. Fit]]/Ka</f>
        <v>0.99354443639643919</v>
      </c>
      <c r="AF172" s="91">
        <f>IFERROR(Ka*_xlfn.LOGNORM.DIST((Tabella3[[#This Row],[Day]]-pa),mu_a,sigma_a,FALSE),0)</f>
        <v>65.61445324525765</v>
      </c>
      <c r="AG172" s="91">
        <f>Tabella3[[#This Row],[rest of Italy fit]]/y_a_peak</f>
        <v>1.9417448344427636E-2</v>
      </c>
      <c r="AH172" s="10">
        <f>Tabella3[[#This Row],[rest of Italy fit]]*NOT(ISBLANK(Tabella3[[#This Row],[rest of Italy data]]))</f>
        <v>0</v>
      </c>
    </row>
    <row r="173" spans="2:34" x14ac:dyDescent="0.3">
      <c r="B173" s="9">
        <v>43996</v>
      </c>
      <c r="C173" s="4">
        <v>166</v>
      </c>
      <c r="E173" s="10"/>
      <c r="F173" s="10">
        <f>Tabella3[[#This Row],[Italy data]]*NOT(ISBLANK(Tabella3[[#This Row],[Italy data]]))</f>
        <v>0</v>
      </c>
      <c r="G173" s="96">
        <f>Tabella8[[#This Row],[Italy fit]]</f>
        <v>233376.65558705977</v>
      </c>
      <c r="H173" s="96">
        <f>Tabella3[[#This Row],[Italy cumul. Fit]]/Kf</f>
        <v>0.99309242240355455</v>
      </c>
      <c r="I173" s="96">
        <f>Tabella3[[#This Row],[Lombardy fit]]+Tabella3[[#This Row],[rest of Italy fit]]</f>
        <v>114.13533745887582</v>
      </c>
      <c r="J173" s="96">
        <f>Tabella3[[#This Row],[Italy (fitted Lombardy + fitted sum of the other regions)]]/(y_l_peak+y_a_peak)</f>
        <v>2.2217838454596187E-2</v>
      </c>
      <c r="K173" s="91">
        <f>IFERROR(Kf*_xlfn.LOGNORM.DIST((Tabella3[[#This Row],[Day]]-D_bk),mu_f,sigma_f,FALSE),0)</f>
        <v>108.68038813554175</v>
      </c>
      <c r="L173" s="91">
        <f>Tabella3[[#This Row],[Italy fit]]/y_f_peak</f>
        <v>2.1471500366152956E-2</v>
      </c>
      <c r="M173" s="10">
        <f>Tabella3[[#This Row],[Italy (fitted Lombardy + fitted sum of the other regions)]]*NOT(ISBLANK(Tabella3[[#This Row],[Italy data]]))</f>
        <v>0</v>
      </c>
      <c r="N173" s="10">
        <f>Tabella3[[#This Row],[Italy fit]]*NOT(ISBLANK(Tabella3[[#This Row],[Italy data]]))</f>
        <v>0</v>
      </c>
      <c r="R173" s="10"/>
      <c r="S173" s="10">
        <f>Tabella3[[#This Row],[Lombardy data]]*NOT(ISBLANK(Tabella3[[#This Row],[Lombardy data]]))</f>
        <v>0</v>
      </c>
      <c r="T173" s="96">
        <f>Tabella8[[#This Row],[Lombardy fit]]</f>
        <v>86083.71530143969</v>
      </c>
      <c r="U173" s="91">
        <f>Tabella3[[#This Row],[Lombardy cumul. Fit]]/Kl</f>
        <v>0.98946799197057111</v>
      </c>
      <c r="V173" s="91">
        <f>IFERROR(Kl*_xlfn.LOGNORM.DIST((Tabella3[[#This Row],[Day]]-pl),mu_l,sigma_l,FALSE),0)</f>
        <v>52.87375770689097</v>
      </c>
      <c r="W173" s="91">
        <f>Tabella3[[#This Row],[Lombardy fit]]/y_l_peak</f>
        <v>3.0076864074552848E-2</v>
      </c>
      <c r="X173" s="10">
        <f>Tabella3[[#This Row],[Lombardy fit]]*NOT(ISBLANK(Tabella3[[#This Row],[Lombardy data]]))</f>
        <v>0</v>
      </c>
      <c r="AB173" s="10"/>
      <c r="AC173" s="10">
        <f>Tabella3[[#This Row],[rest of Italy data]]*NOT(ISBLANK(Tabella3[[#This Row],[rest of Italy data]]))</f>
        <v>0</v>
      </c>
      <c r="AD173" s="96">
        <f>Tabella8[[#This Row],[rest of Italy fit]]</f>
        <v>147107.97288052144</v>
      </c>
      <c r="AE173" s="91">
        <f>Tabella3[[#This Row],[rest of Italy cumul. Fit]]/Ka</f>
        <v>0.9939729054431351</v>
      </c>
      <c r="AF173" s="91">
        <f>IFERROR(Ka*_xlfn.LOGNORM.DIST((Tabella3[[#This Row],[Day]]-pa),mu_a,sigma_a,FALSE),0)</f>
        <v>61.261579751984854</v>
      </c>
      <c r="AG173" s="91">
        <f>Tabella3[[#This Row],[rest of Italy fit]]/y_a_peak</f>
        <v>1.8129291665143536E-2</v>
      </c>
      <c r="AH173" s="10">
        <f>Tabella3[[#This Row],[rest of Italy fit]]*NOT(ISBLANK(Tabella3[[#This Row],[rest of Italy data]]))</f>
        <v>0</v>
      </c>
    </row>
    <row r="174" spans="2:34" x14ac:dyDescent="0.3">
      <c r="B174" s="9">
        <v>43997</v>
      </c>
      <c r="C174" s="4">
        <v>167</v>
      </c>
      <c r="E174" s="10"/>
      <c r="F174" s="10">
        <f>Tabella3[[#This Row],[Italy data]]*NOT(ISBLANK(Tabella3[[#This Row],[Italy data]]))</f>
        <v>0</v>
      </c>
      <c r="G174" s="96">
        <f>Tabella8[[#This Row],[Italy fit]]</f>
        <v>233481.796944876</v>
      </c>
      <c r="H174" s="96">
        <f>Tabella3[[#This Row],[Italy cumul. Fit]]/Kf</f>
        <v>0.99353983255889278</v>
      </c>
      <c r="I174" s="96">
        <f>Tabella3[[#This Row],[Lombardy fit]]+Tabella3[[#This Row],[rest of Italy fit]]</f>
        <v>107.10276019545503</v>
      </c>
      <c r="J174" s="96">
        <f>Tabella3[[#This Row],[Italy (fitted Lombardy + fitted sum of the other regions)]]/(y_l_peak+y_a_peak)</f>
        <v>2.0848861334653405E-2</v>
      </c>
      <c r="K174" s="91">
        <f>IFERROR(Kf*_xlfn.LOGNORM.DIST((Tabella3[[#This Row],[Day]]-D_bk),mu_f,sigma_f,FALSE),0)</f>
        <v>101.67864860865541</v>
      </c>
      <c r="L174" s="91">
        <f>Tabella3[[#This Row],[Italy fit]]/y_f_peak</f>
        <v>2.0088197864253969E-2</v>
      </c>
      <c r="M174" s="10">
        <f>Tabella3[[#This Row],[Italy (fitted Lombardy + fitted sum of the other regions)]]*NOT(ISBLANK(Tabella3[[#This Row],[Italy data]]))</f>
        <v>0</v>
      </c>
      <c r="N174" s="10">
        <f>Tabella3[[#This Row],[Italy fit]]*NOT(ISBLANK(Tabella3[[#This Row],[Italy data]]))</f>
        <v>0</v>
      </c>
      <c r="R174" s="10"/>
      <c r="S174" s="10">
        <f>Tabella3[[#This Row],[Lombardy data]]*NOT(ISBLANK(Tabella3[[#This Row],[Lombardy data]]))</f>
        <v>0</v>
      </c>
      <c r="T174" s="96">
        <f>Tabella8[[#This Row],[Lombardy fit]]</f>
        <v>86135.092257003984</v>
      </c>
      <c r="U174" s="91">
        <f>Tabella3[[#This Row],[Lombardy cumul. Fit]]/Kl</f>
        <v>0.99005853168970093</v>
      </c>
      <c r="V174" s="91">
        <f>IFERROR(Kl*_xlfn.LOGNORM.DIST((Tabella3[[#This Row],[Day]]-pl),mu_l,sigma_l,FALSE),0)</f>
        <v>49.908295540959109</v>
      </c>
      <c r="W174" s="91">
        <f>Tabella3[[#This Row],[Lombardy fit]]/y_l_peak</f>
        <v>2.8389981841264227E-2</v>
      </c>
      <c r="X174" s="10">
        <f>Tabella3[[#This Row],[Lombardy fit]]*NOT(ISBLANK(Tabella3[[#This Row],[Lombardy data]]))</f>
        <v>0</v>
      </c>
      <c r="AB174" s="10"/>
      <c r="AC174" s="10">
        <f>Tabella3[[#This Row],[rest of Italy data]]*NOT(ISBLANK(Tabella3[[#This Row],[rest of Italy data]]))</f>
        <v>0</v>
      </c>
      <c r="AD174" s="96">
        <f>Tabella8[[#This Row],[rest of Italy fit]]</f>
        <v>147167.17786831071</v>
      </c>
      <c r="AE174" s="91">
        <f>Tabella3[[#This Row],[rest of Italy cumul. Fit]]/Ka</f>
        <v>0.99437293919098246</v>
      </c>
      <c r="AF174" s="91">
        <f>IFERROR(Ka*_xlfn.LOGNORM.DIST((Tabella3[[#This Row],[Day]]-pa),mu_a,sigma_a,FALSE),0)</f>
        <v>57.194464654495931</v>
      </c>
      <c r="AG174" s="91">
        <f>Tabella3[[#This Row],[rest of Italy fit]]/y_a_peak</f>
        <v>1.6925700178658954E-2</v>
      </c>
      <c r="AH174" s="10">
        <f>Tabella3[[#This Row],[rest of Italy fit]]*NOT(ISBLANK(Tabella3[[#This Row],[rest of Italy data]]))</f>
        <v>0</v>
      </c>
    </row>
    <row r="175" spans="2:34" x14ac:dyDescent="0.3">
      <c r="B175" s="9">
        <v>43998</v>
      </c>
      <c r="C175" s="4">
        <v>168</v>
      </c>
      <c r="E175" s="10"/>
      <c r="F175" s="10">
        <f>Tabella3[[#This Row],[Italy data]]*NOT(ISBLANK(Tabella3[[#This Row],[Italy data]]))</f>
        <v>0</v>
      </c>
      <c r="G175" s="96">
        <f>Tabella8[[#This Row],[Italy fit]]</f>
        <v>233580.16080633365</v>
      </c>
      <c r="H175" s="96">
        <f>Tabella3[[#This Row],[Italy cumul. Fit]]/Kf</f>
        <v>0.99395840229632526</v>
      </c>
      <c r="I175" s="96">
        <f>Tabella3[[#This Row],[Lombardy fit]]+Tabella3[[#This Row],[rest of Italy fit]]</f>
        <v>100.50197155174914</v>
      </c>
      <c r="J175" s="96">
        <f>Tabella3[[#This Row],[Italy (fitted Lombardy + fitted sum of the other regions)]]/(y_l_peak+y_a_peak)</f>
        <v>1.9563937147070991E-2</v>
      </c>
      <c r="K175" s="91">
        <f>IFERROR(Kf*_xlfn.LOGNORM.DIST((Tabella3[[#This Row],[Day]]-D_bk),mu_f,sigma_f,FALSE),0)</f>
        <v>95.120729817732496</v>
      </c>
      <c r="L175" s="91">
        <f>Tabella3[[#This Row],[Italy fit]]/y_f_peak</f>
        <v>1.8792579048972486E-2</v>
      </c>
      <c r="M175" s="10">
        <f>Tabella3[[#This Row],[Italy (fitted Lombardy + fitted sum of the other regions)]]*NOT(ISBLANK(Tabella3[[#This Row],[Italy data]]))</f>
        <v>0</v>
      </c>
      <c r="N175" s="10">
        <f>Tabella3[[#This Row],[Italy fit]]*NOT(ISBLANK(Tabella3[[#This Row],[Italy data]]))</f>
        <v>0</v>
      </c>
      <c r="R175" s="10"/>
      <c r="S175" s="10">
        <f>Tabella3[[#This Row],[Lombardy data]]*NOT(ISBLANK(Tabella3[[#This Row],[Lombardy data]]))</f>
        <v>0</v>
      </c>
      <c r="T175" s="96">
        <f>Tabella8[[#This Row],[Lombardy fit]]</f>
        <v>86183.586655444858</v>
      </c>
      <c r="U175" s="91">
        <f>Tabella3[[#This Row],[Lombardy cumul. Fit]]/Kl</f>
        <v>0.99061593856833174</v>
      </c>
      <c r="V175" s="91">
        <f>IFERROR(Kl*_xlfn.LOGNORM.DIST((Tabella3[[#This Row],[Day]]-pl),mu_l,sigma_l,FALSE),0)</f>
        <v>47.107137423001539</v>
      </c>
      <c r="W175" s="91">
        <f>Tabella3[[#This Row],[Lombardy fit]]/y_l_peak</f>
        <v>2.6796562806585707E-2</v>
      </c>
      <c r="X175" s="10">
        <f>Tabella3[[#This Row],[Lombardy fit]]*NOT(ISBLANK(Tabella3[[#This Row],[Lombardy data]]))</f>
        <v>0</v>
      </c>
      <c r="AB175" s="10"/>
      <c r="AC175" s="10">
        <f>Tabella3[[#This Row],[rest of Italy data]]*NOT(ISBLANK(Tabella3[[#This Row],[rest of Italy data]]))</f>
        <v>0</v>
      </c>
      <c r="AD175" s="96">
        <f>Tabella8[[#This Row],[rest of Italy fit]]</f>
        <v>147222.4509590595</v>
      </c>
      <c r="AE175" s="91">
        <f>Tabella3[[#This Row],[rest of Italy cumul. Fit]]/Ka</f>
        <v>0.99474640606384201</v>
      </c>
      <c r="AF175" s="91">
        <f>IFERROR(Ka*_xlfn.LOGNORM.DIST((Tabella3[[#This Row],[Day]]-pa),mu_a,sigma_a,FALSE),0)</f>
        <v>53.39483412874759</v>
      </c>
      <c r="AG175" s="91">
        <f>Tabella3[[#This Row],[rest of Italy fit]]/y_a_peak</f>
        <v>1.5801266066774292E-2</v>
      </c>
      <c r="AH175" s="10">
        <f>Tabella3[[#This Row],[rest of Italy fit]]*NOT(ISBLANK(Tabella3[[#This Row],[rest of Italy data]]))</f>
        <v>0</v>
      </c>
    </row>
    <row r="176" spans="2:34" x14ac:dyDescent="0.3">
      <c r="B176" s="9">
        <v>43999</v>
      </c>
      <c r="C176" s="4">
        <v>169</v>
      </c>
      <c r="E176" s="10"/>
      <c r="F176" s="10">
        <f>Tabella3[[#This Row],[Italy data]]*NOT(ISBLANK(Tabella3[[#This Row],[Italy data]]))</f>
        <v>0</v>
      </c>
      <c r="G176" s="96">
        <f>Tabella8[[#This Row],[Italy fit]]</f>
        <v>233672.17726419002</v>
      </c>
      <c r="H176" s="96">
        <f>Tabella3[[#This Row],[Italy cumul. Fit]]/Kf</f>
        <v>0.99434996179829738</v>
      </c>
      <c r="I176" s="96">
        <f>Tabella3[[#This Row],[Lombardy fit]]+Tabella3[[#This Row],[rest of Italy fit]]</f>
        <v>94.306994000816985</v>
      </c>
      <c r="J176" s="96">
        <f>Tabella3[[#This Row],[Italy (fitted Lombardy + fitted sum of the other regions)]]/(y_l_peak+y_a_peak)</f>
        <v>1.8358009048719738E-2</v>
      </c>
      <c r="K176" s="91">
        <f>IFERROR(Kf*_xlfn.LOGNORM.DIST((Tabella3[[#This Row],[Day]]-D_bk),mu_f,sigma_f,FALSE),0)</f>
        <v>88.979441973301391</v>
      </c>
      <c r="L176" s="91">
        <f>Tabella3[[#This Row],[Italy fit]]/y_f_peak</f>
        <v>1.7579272154669721E-2</v>
      </c>
      <c r="M176" s="10">
        <f>Tabella3[[#This Row],[Italy (fitted Lombardy + fitted sum of the other regions)]]*NOT(ISBLANK(Tabella3[[#This Row],[Italy data]]))</f>
        <v>0</v>
      </c>
      <c r="N176" s="10">
        <f>Tabella3[[#This Row],[Italy fit]]*NOT(ISBLANK(Tabella3[[#This Row],[Italy data]]))</f>
        <v>0</v>
      </c>
      <c r="R176" s="10"/>
      <c r="S176" s="10">
        <f>Tabella3[[#This Row],[Lombardy data]]*NOT(ISBLANK(Tabella3[[#This Row],[Lombardy data]]))</f>
        <v>0</v>
      </c>
      <c r="T176" s="96">
        <f>Tabella8[[#This Row],[Lombardy fit]]</f>
        <v>86229.358358144367</v>
      </c>
      <c r="U176" s="91">
        <f>Tabella3[[#This Row],[Lombardy cumul. Fit]]/Kl</f>
        <v>0.99114205009361345</v>
      </c>
      <c r="V176" s="91">
        <f>IFERROR(Kl*_xlfn.LOGNORM.DIST((Tabella3[[#This Row],[Day]]-pl),mu_l,sigma_l,FALSE),0)</f>
        <v>44.461472838251026</v>
      </c>
      <c r="W176" s="91">
        <f>Tabella3[[#This Row],[Lombardy fit]]/y_l_peak</f>
        <v>2.5291595171345573E-2</v>
      </c>
      <c r="X176" s="10">
        <f>Tabella3[[#This Row],[Lombardy fit]]*NOT(ISBLANK(Tabella3[[#This Row],[Lombardy data]]))</f>
        <v>0</v>
      </c>
      <c r="AB176" s="10"/>
      <c r="AC176" s="10">
        <f>Tabella3[[#This Row],[rest of Italy data]]*NOT(ISBLANK(Tabella3[[#This Row],[rest of Italy data]]))</f>
        <v>0</v>
      </c>
      <c r="AD176" s="96">
        <f>Tabella8[[#This Row],[rest of Italy fit]]</f>
        <v>147274.0509641236</v>
      </c>
      <c r="AE176" s="91">
        <f>Tabella3[[#This Row],[rest of Italy cumul. Fit]]/Ka</f>
        <v>0.99509505478729432</v>
      </c>
      <c r="AF176" s="91">
        <f>IFERROR(Ka*_xlfn.LOGNORM.DIST((Tabella3[[#This Row],[Day]]-pa),mu_a,sigma_a,FALSE),0)</f>
        <v>49.845521162565966</v>
      </c>
      <c r="AG176" s="91">
        <f>Tabella3[[#This Row],[rest of Italy fit]]/y_a_peak</f>
        <v>1.4750909052879339E-2</v>
      </c>
      <c r="AH176" s="10">
        <f>Tabella3[[#This Row],[rest of Italy fit]]*NOT(ISBLANK(Tabella3[[#This Row],[rest of Italy data]]))</f>
        <v>0</v>
      </c>
    </row>
    <row r="177" spans="2:36" x14ac:dyDescent="0.3">
      <c r="B177" s="9">
        <v>44000</v>
      </c>
      <c r="C177" s="4">
        <v>170</v>
      </c>
      <c r="E177" s="10"/>
      <c r="F177" s="10">
        <f>Tabella3[[#This Row],[Italy data]]*NOT(ISBLANK(Tabella3[[#This Row],[Italy data]]))</f>
        <v>0</v>
      </c>
      <c r="G177" s="96">
        <f>Tabella8[[#This Row],[Italy fit]]</f>
        <v>233758.25000675643</v>
      </c>
      <c r="H177" s="96">
        <f>Tabella3[[#This Row],[Italy cumul. Fit]]/Kf</f>
        <v>0.99471622888787914</v>
      </c>
      <c r="I177" s="96">
        <f>Tabella3[[#This Row],[Lombardy fit]]+Tabella3[[#This Row],[rest of Italy fit]]</f>
        <v>88.493336644651279</v>
      </c>
      <c r="J177" s="96">
        <f>Tabella3[[#This Row],[Italy (fitted Lombardy + fitted sum of the other regions)]]/(y_l_peak+y_a_peak)</f>
        <v>1.7226309586962731E-2</v>
      </c>
      <c r="K177" s="91">
        <f>IFERROR(Kf*_xlfn.LOGNORM.DIST((Tabella3[[#This Row],[Day]]-D_bk),mu_f,sigma_f,FALSE),0)</f>
        <v>83.229152891688713</v>
      </c>
      <c r="L177" s="91">
        <f>Tabella3[[#This Row],[Italy fit]]/y_f_peak</f>
        <v>1.6443213144948954E-2</v>
      </c>
      <c r="M177" s="10">
        <f>Tabella3[[#This Row],[Italy (fitted Lombardy + fitted sum of the other regions)]]*NOT(ISBLANK(Tabella3[[#This Row],[Italy data]]))</f>
        <v>0</v>
      </c>
      <c r="N177" s="10">
        <f>Tabella3[[#This Row],[Italy fit]]*NOT(ISBLANK(Tabella3[[#This Row],[Italy data]]))</f>
        <v>0</v>
      </c>
      <c r="R177" s="10"/>
      <c r="S177" s="10">
        <f>Tabella3[[#This Row],[Lombardy data]]*NOT(ISBLANK(Tabella3[[#This Row],[Lombardy data]]))</f>
        <v>0</v>
      </c>
      <c r="T177" s="96">
        <f>Tabella8[[#This Row],[Lombardy fit]]</f>
        <v>86272.558637297756</v>
      </c>
      <c r="U177" s="91">
        <f>Tabella3[[#This Row],[Lombardy cumul. Fit]]/Kl</f>
        <v>0.99163860502641099</v>
      </c>
      <c r="V177" s="91">
        <f>IFERROR(Kl*_xlfn.LOGNORM.DIST((Tabella3[[#This Row],[Day]]-pl),mu_l,sigma_l,FALSE),0)</f>
        <v>41.96293081672858</v>
      </c>
      <c r="W177" s="91">
        <f>Tabella3[[#This Row],[Lombardy fit]]/y_l_peak</f>
        <v>2.3870317168324141E-2</v>
      </c>
      <c r="X177" s="10">
        <f>Tabella3[[#This Row],[Lombardy fit]]*NOT(ISBLANK(Tabella3[[#This Row],[Lombardy data]]))</f>
        <v>0</v>
      </c>
      <c r="AB177" s="10"/>
      <c r="AC177" s="10">
        <f>Tabella3[[#This Row],[rest of Italy data]]*NOT(ISBLANK(Tabella3[[#This Row],[rest of Italy data]]))</f>
        <v>0</v>
      </c>
      <c r="AD177" s="96">
        <f>Tabella8[[#This Row],[rest of Italy fit]]</f>
        <v>147322.22005626812</v>
      </c>
      <c r="AE177" s="91">
        <f>Tabella3[[#This Row],[rest of Italy cumul. Fit]]/Ka</f>
        <v>0.99542052166399675</v>
      </c>
      <c r="AF177" s="91">
        <f>IFERROR(Ka*_xlfn.LOGNORM.DIST((Tabella3[[#This Row],[Day]]-pa),mu_a,sigma_a,FALSE),0)</f>
        <v>46.530405827922699</v>
      </c>
      <c r="AG177" s="91">
        <f>Tabella3[[#This Row],[rest of Italy fit]]/y_a_peak</f>
        <v>1.3769858726579348E-2</v>
      </c>
      <c r="AH177" s="10">
        <f>Tabella3[[#This Row],[rest of Italy fit]]*NOT(ISBLANK(Tabella3[[#This Row],[rest of Italy data]]))</f>
        <v>0</v>
      </c>
    </row>
    <row r="178" spans="2:36" x14ac:dyDescent="0.3">
      <c r="B178" s="9">
        <v>44001</v>
      </c>
      <c r="C178" s="4">
        <v>171</v>
      </c>
      <c r="E178" s="10"/>
      <c r="F178" s="10">
        <f>Tabella3[[#This Row],[Italy data]]*NOT(ISBLANK(Tabella3[[#This Row],[Italy data]]))</f>
        <v>0</v>
      </c>
      <c r="G178" s="96">
        <f>Tabella8[[#This Row],[Italy fit]]</f>
        <v>233838.75783666124</v>
      </c>
      <c r="H178" s="96">
        <f>Tabella3[[#This Row],[Italy cumul. Fit]]/Kf</f>
        <v>0.99505881549158848</v>
      </c>
      <c r="I178" s="96">
        <f>Tabella3[[#This Row],[Lombardy fit]]+Tabella3[[#This Row],[rest of Italy fit]]</f>
        <v>83.0379193698314</v>
      </c>
      <c r="J178" s="96">
        <f>Tabella3[[#This Row],[Italy (fitted Lombardy + fitted sum of the other regions)]]/(y_l_peak+y_a_peak)</f>
        <v>1.6164345935626143E-2</v>
      </c>
      <c r="K178" s="91">
        <f>IFERROR(Kf*_xlfn.LOGNORM.DIST((Tabella3[[#This Row],[Day]]-D_bk),mu_f,sigma_f,FALSE),0)</f>
        <v>77.845710714466179</v>
      </c>
      <c r="L178" s="91">
        <f>Tabella3[[#This Row],[Italy fit]]/y_f_peak</f>
        <v>1.5379630444680742E-2</v>
      </c>
      <c r="M178" s="10">
        <f>Tabella3[[#This Row],[Italy (fitted Lombardy + fitted sum of the other regions)]]*NOT(ISBLANK(Tabella3[[#This Row],[Italy data]]))</f>
        <v>0</v>
      </c>
      <c r="N178" s="10">
        <f>Tabella3[[#This Row],[Italy fit]]*NOT(ISBLANK(Tabella3[[#This Row],[Italy data]]))</f>
        <v>0</v>
      </c>
      <c r="R178" s="10"/>
      <c r="S178" s="10">
        <f>Tabella3[[#This Row],[Lombardy data]]*NOT(ISBLANK(Tabella3[[#This Row],[Lombardy data]]))</f>
        <v>0</v>
      </c>
      <c r="T178" s="96">
        <f>Tabella8[[#This Row],[Lombardy fit]]</f>
        <v>86313.330606188189</v>
      </c>
      <c r="U178" s="91">
        <f>Tabella3[[#This Row],[Lombardy cumul. Fit]]/Kl</f>
        <v>0.99210724834699071</v>
      </c>
      <c r="V178" s="91">
        <f>IFERROR(Kl*_xlfn.LOGNORM.DIST((Tabella3[[#This Row],[Day]]-pl),mu_l,sigma_l,FALSE),0)</f>
        <v>39.603561457876339</v>
      </c>
      <c r="W178" s="91">
        <f>Tabella3[[#This Row],[Lombardy fit]]/y_l_peak</f>
        <v>2.2528206552671504E-2</v>
      </c>
      <c r="X178" s="10">
        <f>Tabella3[[#This Row],[Lombardy fit]]*NOT(ISBLANK(Tabella3[[#This Row],[Lombardy data]]))</f>
        <v>0</v>
      </c>
      <c r="AB178" s="10"/>
      <c r="AC178" s="10">
        <f>Tabella3[[#This Row],[rest of Italy data]]*NOT(ISBLANK(Tabella3[[#This Row],[rest of Italy data]]))</f>
        <v>0</v>
      </c>
      <c r="AD178" s="96">
        <f>Tabella8[[#This Row],[rest of Italy fit]]</f>
        <v>147367.18478786966</v>
      </c>
      <c r="AE178" s="91">
        <f>Tabella3[[#This Row],[rest of Italy cumul. Fit]]/Ka</f>
        <v>0.99572433745342881</v>
      </c>
      <c r="AF178" s="91">
        <f>IFERROR(Ka*_xlfn.LOGNORM.DIST((Tabella3[[#This Row],[Day]]-pa),mu_a,sigma_a,FALSE),0)</f>
        <v>43.434357911955068</v>
      </c>
      <c r="AG178" s="91">
        <f>Tabella3[[#This Row],[rest of Italy fit]]/y_a_peak</f>
        <v>1.2853637566350152E-2</v>
      </c>
      <c r="AH178" s="10">
        <f>Tabella3[[#This Row],[rest of Italy fit]]*NOT(ISBLANK(Tabella3[[#This Row],[rest of Italy data]]))</f>
        <v>0</v>
      </c>
    </row>
    <row r="179" spans="2:36" x14ac:dyDescent="0.3">
      <c r="B179" s="9">
        <v>44002</v>
      </c>
      <c r="C179" s="4">
        <v>172</v>
      </c>
      <c r="E179" s="10"/>
      <c r="F179" s="10">
        <f>Tabella3[[#This Row],[Italy data]]*NOT(ISBLANK(Tabella3[[#This Row],[Italy data]]))</f>
        <v>0</v>
      </c>
      <c r="G179" s="96">
        <f>Tabella8[[#This Row],[Italy fit]]</f>
        <v>233914.05611356712</v>
      </c>
      <c r="H179" s="96">
        <f>Tabella3[[#This Row],[Italy cumul. Fit]]/Kf</f>
        <v>0.99537923377861537</v>
      </c>
      <c r="I179" s="96">
        <f>Tabella3[[#This Row],[Lombardy fit]]+Tabella3[[#This Row],[rest of Italy fit]]</f>
        <v>77.918999786853334</v>
      </c>
      <c r="J179" s="96">
        <f>Tabella3[[#This Row],[Italy (fitted Lombardy + fitted sum of the other regions)]]/(y_l_peak+y_a_peak)</f>
        <v>1.5167885672846841E-2</v>
      </c>
      <c r="K179" s="91">
        <f>IFERROR(Kf*_xlfn.LOGNORM.DIST((Tabella3[[#This Row],[Day]]-D_bk),mu_f,sigma_f,FALSE),0)</f>
        <v>72.806369115912943</v>
      </c>
      <c r="L179" s="91">
        <f>Tabella3[[#This Row],[Italy fit]]/y_f_peak</f>
        <v>1.4384030163574273E-2</v>
      </c>
      <c r="M179" s="10">
        <f>Tabella3[[#This Row],[Italy (fitted Lombardy + fitted sum of the other regions)]]*NOT(ISBLANK(Tabella3[[#This Row],[Italy data]]))</f>
        <v>0</v>
      </c>
      <c r="N179" s="10">
        <f>Tabella3[[#This Row],[Italy fit]]*NOT(ISBLANK(Tabella3[[#This Row],[Italy data]]))</f>
        <v>0</v>
      </c>
      <c r="R179" s="10"/>
      <c r="S179" s="10">
        <f>Tabella3[[#This Row],[Lombardy data]]*NOT(ISBLANK(Tabella3[[#This Row],[Lombardy data]]))</f>
        <v>0</v>
      </c>
      <c r="T179" s="96">
        <f>Tabella8[[#This Row],[Lombardy fit]]</f>
        <v>86351.809631186756</v>
      </c>
      <c r="U179" s="91">
        <f>Tabella3[[#This Row],[Lombardy cumul. Fit]]/Kl</f>
        <v>0.99254953599065232</v>
      </c>
      <c r="V179" s="91">
        <f>IFERROR(Kl*_xlfn.LOGNORM.DIST((Tabella3[[#This Row],[Day]]-pl),mu_l,sigma_l,FALSE),0)</f>
        <v>37.375817862836612</v>
      </c>
      <c r="W179" s="91">
        <f>Tabella3[[#This Row],[Lombardy fit]]/y_l_peak</f>
        <v>2.1260970324211936E-2</v>
      </c>
      <c r="X179" s="10">
        <f>Tabella3[[#This Row],[Lombardy fit]]*NOT(ISBLANK(Tabella3[[#This Row],[Lombardy data]]))</f>
        <v>0</v>
      </c>
      <c r="AB179" s="10"/>
      <c r="AC179" s="10">
        <f>Tabella3[[#This Row],[rest of Italy data]]*NOT(ISBLANK(Tabella3[[#This Row],[rest of Italy data]]))</f>
        <v>0</v>
      </c>
      <c r="AD179" s="96">
        <f>Tabella8[[#This Row],[rest of Italy fit]]</f>
        <v>147409.1570529367</v>
      </c>
      <c r="AE179" s="91">
        <f>Tabella3[[#This Row],[rest of Italy cumul. Fit]]/Ka</f>
        <v>0.9960079338720309</v>
      </c>
      <c r="AF179" s="91">
        <f>IFERROR(Ka*_xlfn.LOGNORM.DIST((Tabella3[[#This Row],[Day]]-pa),mu_a,sigma_a,FALSE),0)</f>
        <v>40.543181924016729</v>
      </c>
      <c r="AG179" s="91">
        <f>Tabella3[[#This Row],[rest of Italy fit]]/y_a_peak</f>
        <v>1.1998044665337907E-2</v>
      </c>
      <c r="AH179" s="10">
        <f>Tabella3[[#This Row],[rest of Italy fit]]*NOT(ISBLANK(Tabella3[[#This Row],[rest of Italy data]]))</f>
        <v>0</v>
      </c>
    </row>
    <row r="180" spans="2:36" x14ac:dyDescent="0.3">
      <c r="B180" s="9">
        <v>44003</v>
      </c>
      <c r="C180" s="4">
        <v>173</v>
      </c>
      <c r="E180" s="10"/>
      <c r="F180" s="10">
        <f>Tabella3[[#This Row],[Italy data]]*NOT(ISBLANK(Tabella3[[#This Row],[Italy data]]))</f>
        <v>0</v>
      </c>
      <c r="G180" s="96">
        <f>Tabella8[[#This Row],[Italy fit]]</f>
        <v>233984.47812337833</v>
      </c>
      <c r="H180" s="96">
        <f>Tabella3[[#This Row],[Italy cumul. Fit]]/Kf</f>
        <v>0.9956789019872373</v>
      </c>
      <c r="I180" s="96">
        <f>Tabella3[[#This Row],[Lombardy fit]]+Tabella3[[#This Row],[rest of Italy fit]]</f>
        <v>73.11610298791544</v>
      </c>
      <c r="J180" s="96">
        <f>Tabella3[[#This Row],[Italy (fitted Lombardy + fitted sum of the other regions)]]/(y_l_peak+y_a_peak)</f>
        <v>1.4232943107566846E-2</v>
      </c>
      <c r="K180" s="91">
        <f>IFERROR(Kf*_xlfn.LOGNORM.DIST((Tabella3[[#This Row],[Day]]-D_bk),mu_f,sigma_f,FALSE),0)</f>
        <v>68.089715087105617</v>
      </c>
      <c r="L180" s="91">
        <f>Tabella3[[#This Row],[Italy fit]]/y_f_peak</f>
        <v>1.345218182880159E-2</v>
      </c>
      <c r="M180" s="10">
        <f>Tabella3[[#This Row],[Italy (fitted Lombardy + fitted sum of the other regions)]]*NOT(ISBLANK(Tabella3[[#This Row],[Italy data]]))</f>
        <v>0</v>
      </c>
      <c r="N180" s="10">
        <f>Tabella3[[#This Row],[Italy fit]]*NOT(ISBLANK(Tabella3[[#This Row],[Italy data]]))</f>
        <v>0</v>
      </c>
      <c r="R180" s="10"/>
      <c r="S180" s="10">
        <f>Tabella3[[#This Row],[Lombardy data]]*NOT(ISBLANK(Tabella3[[#This Row],[Lombardy data]]))</f>
        <v>0</v>
      </c>
      <c r="T180" s="96">
        <f>Tabella8[[#This Row],[Lombardy fit]]</f>
        <v>86388.123725904021</v>
      </c>
      <c r="U180" s="91">
        <f>Tabella3[[#This Row],[Lombardy cumul. Fit]]/Kl</f>
        <v>0.99296693937820713</v>
      </c>
      <c r="V180" s="91">
        <f>IFERROR(Kl*_xlfn.LOGNORM.DIST((Tabella3[[#This Row],[Day]]-pl),mu_l,sigma_l,FALSE),0)</f>
        <v>35.272538510554277</v>
      </c>
      <c r="W180" s="91">
        <f>Tabella3[[#This Row],[Lombardy fit]]/y_l_peak</f>
        <v>2.0064534702214056E-2</v>
      </c>
      <c r="X180" s="10">
        <f>Tabella3[[#This Row],[Lombardy fit]]*NOT(ISBLANK(Tabella3[[#This Row],[Lombardy data]]))</f>
        <v>0</v>
      </c>
      <c r="AB180" s="10"/>
      <c r="AC180" s="10">
        <f>Tabella3[[#This Row],[rest of Italy data]]*NOT(ISBLANK(Tabella3[[#This Row],[rest of Italy data]]))</f>
        <v>0</v>
      </c>
      <c r="AD180" s="96">
        <f>Tabella8[[#This Row],[rest of Italy fit]]</f>
        <v>147448.33499532519</v>
      </c>
      <c r="AE180" s="91">
        <f>Tabella3[[#This Row],[rest of Italy cumul. Fit]]/Ka</f>
        <v>0.99627264972979601</v>
      </c>
      <c r="AF180" s="91">
        <f>IFERROR(Ka*_xlfn.LOGNORM.DIST((Tabella3[[#This Row],[Day]]-pa),mu_a,sigma_a,FALSE),0)</f>
        <v>37.843564477361163</v>
      </c>
      <c r="AG180" s="91">
        <f>Tabella3[[#This Row],[rest of Italy fit]]/y_a_peak</f>
        <v>1.1199140159889806E-2</v>
      </c>
      <c r="AH180" s="10">
        <f>Tabella3[[#This Row],[rest of Italy fit]]*NOT(ISBLANK(Tabella3[[#This Row],[rest of Italy data]]))</f>
        <v>0</v>
      </c>
    </row>
    <row r="181" spans="2:36" x14ac:dyDescent="0.3">
      <c r="B181" s="9">
        <v>44004</v>
      </c>
      <c r="C181" s="4">
        <v>174</v>
      </c>
      <c r="E181" s="10"/>
      <c r="F181" s="10">
        <f>Tabella3[[#This Row],[Italy data]]*NOT(ISBLANK(Tabella3[[#This Row],[Italy data]]))</f>
        <v>0</v>
      </c>
      <c r="G181" s="96">
        <f>Tabella8[[#This Row],[Italy fit]]</f>
        <v>234050.33637654621</v>
      </c>
      <c r="H181" s="96">
        <f>Tabella3[[#This Row],[Italy cumul. Fit]]/Kf</f>
        <v>0.99595914994952484</v>
      </c>
      <c r="I181" s="96">
        <f>Tabella3[[#This Row],[Lombardy fit]]+Tabella3[[#This Row],[rest of Italy fit]]</f>
        <v>68.609954134971787</v>
      </c>
      <c r="J181" s="96">
        <f>Tabella3[[#This Row],[Italy (fitted Lombardy + fitted sum of the other regions)]]/(y_l_peak+y_a_peak)</f>
        <v>1.3355766156973967E-2</v>
      </c>
      <c r="K181" s="91">
        <f>IFERROR(Kf*_xlfn.LOGNORM.DIST((Tabella3[[#This Row],[Day]]-D_bk),mu_f,sigma_f,FALSE),0)</f>
        <v>63.675599356563751</v>
      </c>
      <c r="L181" s="91">
        <f>Tabella3[[#This Row],[Italy fit]]/y_f_peak</f>
        <v>1.2580104638514339E-2</v>
      </c>
      <c r="M181" s="10">
        <f>Tabella3[[#This Row],[Italy (fitted Lombardy + fitted sum of the other regions)]]*NOT(ISBLANK(Tabella3[[#This Row],[Italy data]]))</f>
        <v>0</v>
      </c>
      <c r="N181" s="10">
        <f>Tabella3[[#This Row],[Italy fit]]*NOT(ISBLANK(Tabella3[[#This Row],[Italy data]]))</f>
        <v>0</v>
      </c>
      <c r="R181" s="10"/>
      <c r="S181" s="10">
        <f>Tabella3[[#This Row],[Lombardy data]]*NOT(ISBLANK(Tabella3[[#This Row],[Lombardy data]]))</f>
        <v>0</v>
      </c>
      <c r="T181" s="96">
        <f>Tabella8[[#This Row],[Lombardy fit]]</f>
        <v>86422.393927951678</v>
      </c>
      <c r="U181" s="91">
        <f>Tabella3[[#This Row],[Lombardy cumul. Fit]]/Kl</f>
        <v>0.99336084974657102</v>
      </c>
      <c r="V181" s="91">
        <f>IFERROR(Kl*_xlfn.LOGNORM.DIST((Tabella3[[#This Row],[Day]]-pl),mu_l,sigma_l,FALSE),0)</f>
        <v>33.286930106712617</v>
      </c>
      <c r="W181" s="91">
        <f>Tabella3[[#This Row],[Lombardy fit]]/y_l_peak</f>
        <v>1.8935035369128977E-2</v>
      </c>
      <c r="X181" s="10">
        <f>Tabella3[[#This Row],[Lombardy fit]]*NOT(ISBLANK(Tabella3[[#This Row],[Lombardy data]]))</f>
        <v>0</v>
      </c>
      <c r="AB181" s="10"/>
      <c r="AC181" s="10">
        <f>Tabella3[[#This Row],[rest of Italy data]]*NOT(ISBLANK(Tabella3[[#This Row],[rest of Italy data]]))</f>
        <v>0</v>
      </c>
      <c r="AD181" s="96">
        <f>Tabella8[[#This Row],[rest of Italy fit]]</f>
        <v>147484.90386551686</v>
      </c>
      <c r="AE181" s="91">
        <f>Tabella3[[#This Row],[rest of Italy cumul. Fit]]/Ka</f>
        <v>0.99651973671931438</v>
      </c>
      <c r="AF181" s="91">
        <f>IFERROR(Ka*_xlfn.LOGNORM.DIST((Tabella3[[#This Row],[Day]]-pa),mu_a,sigma_a,FALSE),0)</f>
        <v>35.323024028259177</v>
      </c>
      <c r="AG181" s="91">
        <f>Tabella3[[#This Row],[rest of Italy fit]]/y_a_peak</f>
        <v>1.0453230355726109E-2</v>
      </c>
      <c r="AH181" s="10">
        <f>Tabella3[[#This Row],[rest of Italy fit]]*NOT(ISBLANK(Tabella3[[#This Row],[rest of Italy data]]))</f>
        <v>0</v>
      </c>
    </row>
    <row r="182" spans="2:36" x14ac:dyDescent="0.3">
      <c r="B182" s="9">
        <v>44005</v>
      </c>
      <c r="C182" s="4">
        <v>175</v>
      </c>
      <c r="E182" s="10"/>
      <c r="F182" s="10">
        <f>Tabella3[[#This Row],[Italy data]]*NOT(ISBLANK(Tabella3[[#This Row],[Italy data]]))</f>
        <v>0</v>
      </c>
      <c r="G182" s="96">
        <f>Tabella8[[#This Row],[Italy fit]]</f>
        <v>234111.9238381293</v>
      </c>
      <c r="H182" s="96">
        <f>Tabella3[[#This Row],[Italy cumul. Fit]]/Kf</f>
        <v>0.99622122432564175</v>
      </c>
      <c r="I182" s="96">
        <f>Tabella3[[#This Row],[Lombardy fit]]+Tabella3[[#This Row],[rest of Italy fit]]</f>
        <v>64.382413870240697</v>
      </c>
      <c r="J182" s="96">
        <f>Tabella3[[#This Row],[Italy (fitted Lombardy + fitted sum of the other regions)]]/(y_l_peak+y_a_peak)</f>
        <v>1.2532823773367846E-2</v>
      </c>
      <c r="K182" s="91">
        <f>IFERROR(Kf*_xlfn.LOGNORM.DIST((Tabella3[[#This Row],[Day]]-D_bk),mu_f,sigma_f,FALSE),0)</f>
        <v>59.545069482470083</v>
      </c>
      <c r="L182" s="91">
        <f>Tabella3[[#This Row],[Italy fit]]/y_f_peak</f>
        <v>1.176405424317163E-2</v>
      </c>
      <c r="M182" s="10">
        <f>Tabella3[[#This Row],[Italy (fitted Lombardy + fitted sum of the other regions)]]*NOT(ISBLANK(Tabella3[[#This Row],[Italy data]]))</f>
        <v>0</v>
      </c>
      <c r="N182" s="10">
        <f>Tabella3[[#This Row],[Italy fit]]*NOT(ISBLANK(Tabella3[[#This Row],[Italy data]]))</f>
        <v>0</v>
      </c>
      <c r="R182" s="10"/>
      <c r="S182" s="10">
        <f>Tabella3[[#This Row],[Lombardy data]]*NOT(ISBLANK(Tabella3[[#This Row],[Lombardy data]]))</f>
        <v>0</v>
      </c>
      <c r="T182" s="96">
        <f>Tabella8[[#This Row],[Lombardy fit]]</f>
        <v>86454.7346587996</v>
      </c>
      <c r="U182" s="91">
        <f>Tabella3[[#This Row],[Lombardy cumul. Fit]]/Kl</f>
        <v>0.9937325822850529</v>
      </c>
      <c r="V182" s="91">
        <f>IFERROR(Kl*_xlfn.LOGNORM.DIST((Tabella3[[#This Row],[Day]]-pl),mu_l,sigma_l,FALSE),0)</f>
        <v>31.412550928160474</v>
      </c>
      <c r="W182" s="91">
        <f>Tabella3[[#This Row],[Lombardy fit]]/y_l_peak</f>
        <v>1.7868807996185187E-2</v>
      </c>
      <c r="X182" s="10">
        <f>Tabella3[[#This Row],[Lombardy fit]]*NOT(ISBLANK(Tabella3[[#This Row],[Lombardy data]]))</f>
        <v>0</v>
      </c>
      <c r="AB182" s="10"/>
      <c r="AC182" s="10">
        <f>Tabella3[[#This Row],[rest of Italy data]]*NOT(ISBLANK(Tabella3[[#This Row],[rest of Italy data]]))</f>
        <v>0</v>
      </c>
      <c r="AD182" s="96">
        <f>Tabella8[[#This Row],[rest of Italy fit]]</f>
        <v>147519.03682830275</v>
      </c>
      <c r="AE182" s="91">
        <f>Tabella3[[#This Row],[rest of Italy cumul. Fit]]/Ka</f>
        <v>0.99675036487309376</v>
      </c>
      <c r="AF182" s="91">
        <f>IFERROR(Ka*_xlfn.LOGNORM.DIST((Tabella3[[#This Row],[Day]]-pa),mu_a,sigma_a,FALSE),0)</f>
        <v>32.969862942080226</v>
      </c>
      <c r="AG182" s="91">
        <f>Tabella3[[#This Row],[rest of Italy fit]]/y_a_peak</f>
        <v>9.7568535427363656E-3</v>
      </c>
      <c r="AH182" s="10">
        <f>Tabella3[[#This Row],[rest of Italy fit]]*NOT(ISBLANK(Tabella3[[#This Row],[rest of Italy data]]))</f>
        <v>0</v>
      </c>
    </row>
    <row r="183" spans="2:36" x14ac:dyDescent="0.3">
      <c r="B183" s="9">
        <v>44006</v>
      </c>
      <c r="C183" s="4">
        <v>176</v>
      </c>
      <c r="E183" s="10"/>
      <c r="F183" s="10">
        <f>Tabella3[[#This Row],[Italy data]]*NOT(ISBLANK(Tabella3[[#This Row],[Italy data]]))</f>
        <v>0</v>
      </c>
      <c r="G183" s="96">
        <f>Tabella8[[#This Row],[Italy fit]]</f>
        <v>234169.51509228779</v>
      </c>
      <c r="H183" s="96">
        <f>Tabella3[[#This Row],[Italy cumul. Fit]]/Kf</f>
        <v>0.99646629355914185</v>
      </c>
      <c r="I183" s="96">
        <f>Tabella3[[#This Row],[Lombardy fit]]+Tabella3[[#This Row],[rest of Italy fit]]</f>
        <v>60.416416524722223</v>
      </c>
      <c r="J183" s="96">
        <f>Tabella3[[#This Row],[Italy (fitted Lombardy + fitted sum of the other regions)]]/(y_l_peak+y_a_peak)</f>
        <v>1.1760793915692647E-2</v>
      </c>
      <c r="K183" s="91">
        <f>IFERROR(Kf*_xlfn.LOGNORM.DIST((Tabella3[[#This Row],[Day]]-D_bk),mu_f,sigma_f,FALSE),0)</f>
        <v>55.680305629926259</v>
      </c>
      <c r="L183" s="91">
        <f>Tabella3[[#This Row],[Italy fit]]/y_f_peak</f>
        <v>1.100051005733842E-2</v>
      </c>
      <c r="M183" s="10">
        <f>Tabella3[[#This Row],[Italy (fitted Lombardy + fitted sum of the other regions)]]*NOT(ISBLANK(Tabella3[[#This Row],[Italy data]]))</f>
        <v>0</v>
      </c>
      <c r="N183" s="10">
        <f>Tabella3[[#This Row],[Italy fit]]*NOT(ISBLANK(Tabella3[[#This Row],[Italy data]]))</f>
        <v>0</v>
      </c>
      <c r="R183" s="10"/>
      <c r="S183" s="10">
        <f>Tabella3[[#This Row],[Lombardy data]]*NOT(ISBLANK(Tabella3[[#This Row],[Lombardy data]]))</f>
        <v>0</v>
      </c>
      <c r="T183" s="96">
        <f>Tabella8[[#This Row],[Lombardy fit]]</f>
        <v>86485.254067232017</v>
      </c>
      <c r="U183" s="91">
        <f>Tabella3[[#This Row],[Lombardy cumul. Fit]]/Kl</f>
        <v>0.99408338008312669</v>
      </c>
      <c r="V183" s="91">
        <f>IFERROR(Kl*_xlfn.LOGNORM.DIST((Tabella3[[#This Row],[Day]]-pl),mu_l,sigma_l,FALSE),0)</f>
        <v>29.643294679872614</v>
      </c>
      <c r="W183" s="91">
        <f>Tabella3[[#This Row],[Lombardy fit]]/y_l_peak</f>
        <v>1.6862379060534335E-2</v>
      </c>
      <c r="X183" s="10">
        <f>Tabella3[[#This Row],[Lombardy fit]]*NOT(ISBLANK(Tabella3[[#This Row],[Lombardy data]]))</f>
        <v>0</v>
      </c>
      <c r="AB183" s="10"/>
      <c r="AC183" s="10">
        <f>Tabella3[[#This Row],[rest of Italy data]]*NOT(ISBLANK(Tabella3[[#This Row],[rest of Italy data]]))</f>
        <v>0</v>
      </c>
      <c r="AD183" s="96">
        <f>Tabella8[[#This Row],[rest of Italy fit]]</f>
        <v>147550.89572367969</v>
      </c>
      <c r="AE183" s="91">
        <f>Tabella3[[#This Row],[rest of Italy cumul. Fit]]/Ka</f>
        <v>0.99696562770475383</v>
      </c>
      <c r="AF183" s="91">
        <f>IFERROR(Ka*_xlfn.LOGNORM.DIST((Tabella3[[#This Row],[Day]]-pa),mu_a,sigma_a,FALSE),0)</f>
        <v>30.773121844849612</v>
      </c>
      <c r="AG183" s="91">
        <f>Tabella3[[#This Row],[rest of Italy fit]]/y_a_peak</f>
        <v>9.106766486122209E-3</v>
      </c>
      <c r="AH183" s="10">
        <f>Tabella3[[#This Row],[rest of Italy fit]]*NOT(ISBLANK(Tabella3[[#This Row],[rest of Italy data]]))</f>
        <v>0</v>
      </c>
    </row>
    <row r="184" spans="2:36" x14ac:dyDescent="0.3">
      <c r="B184" s="9">
        <v>44007</v>
      </c>
      <c r="C184" s="4">
        <v>177</v>
      </c>
      <c r="E184" s="10"/>
      <c r="F184" s="10">
        <f>Tabella3[[#This Row],[Italy data]]*NOT(ISBLANK(Tabella3[[#This Row],[Italy data]]))</f>
        <v>0</v>
      </c>
      <c r="G184" s="96">
        <f>Tabella8[[#This Row],[Italy fit]]</f>
        <v>234223.36744389645</v>
      </c>
      <c r="H184" s="96">
        <f>Tabella3[[#This Row],[Italy cumul. Fit]]/Kf</f>
        <v>0.99669545256468428</v>
      </c>
      <c r="I184" s="96">
        <f>Tabella3[[#This Row],[Lombardy fit]]+Tabella3[[#This Row],[rest of Italy fit]]</f>
        <v>56.69591108628353</v>
      </c>
      <c r="J184" s="96">
        <f>Tabella3[[#This Row],[Italy (fitted Lombardy + fitted sum of the other regions)]]/(y_l_peak+y_a_peak)</f>
        <v>1.1036552058253348E-2</v>
      </c>
      <c r="K184" s="91">
        <f>IFERROR(Kf*_xlfn.LOGNORM.DIST((Tabella3[[#This Row],[Day]]-D_bk),mu_f,sigma_f,FALSE),0)</f>
        <v>52.064559028217332</v>
      </c>
      <c r="L184" s="91">
        <f>Tabella3[[#This Row],[Italy fit]]/y_f_peak</f>
        <v>1.0286163100961289E-2</v>
      </c>
      <c r="M184" s="10">
        <f>Tabella3[[#This Row],[Italy (fitted Lombardy + fitted sum of the other regions)]]*NOT(ISBLANK(Tabella3[[#This Row],[Italy data]]))</f>
        <v>0</v>
      </c>
      <c r="N184" s="10">
        <f>Tabella3[[#This Row],[Italy fit]]*NOT(ISBLANK(Tabella3[[#This Row],[Italy data]]))</f>
        <v>0</v>
      </c>
      <c r="R184" s="10"/>
      <c r="S184" s="10">
        <f>Tabella3[[#This Row],[Lombardy data]]*NOT(ISBLANK(Tabella3[[#This Row],[Lombardy data]]))</f>
        <v>0</v>
      </c>
      <c r="T184" s="96">
        <f>Tabella8[[#This Row],[Lombardy fit]]</f>
        <v>86514.054356922541</v>
      </c>
      <c r="U184" s="91">
        <f>Tabella3[[#This Row],[Lombardy cumul. Fit]]/Kl</f>
        <v>0.99441441789566143</v>
      </c>
      <c r="V184" s="91">
        <f>IFERROR(Kl*_xlfn.LOGNORM.DIST((Tabella3[[#This Row],[Day]]-pl),mu_l,sigma_l,FALSE),0)</f>
        <v>27.973374876525536</v>
      </c>
      <c r="W184" s="91">
        <f>Tabella3[[#This Row],[Lombardy fit]]/y_l_peak</f>
        <v>1.591245696082081E-2</v>
      </c>
      <c r="X184" s="10">
        <f>Tabella3[[#This Row],[Lombardy fit]]*NOT(ISBLANK(Tabella3[[#This Row],[Lombardy data]]))</f>
        <v>0</v>
      </c>
      <c r="AB184" s="10"/>
      <c r="AC184" s="10">
        <f>Tabella3[[#This Row],[rest of Italy data]]*NOT(ISBLANK(Tabella3[[#This Row],[rest of Italy data]]))</f>
        <v>0</v>
      </c>
      <c r="AD184" s="96">
        <f>Tabella8[[#This Row],[rest of Italy fit]]</f>
        <v>147580.63178322028</v>
      </c>
      <c r="AE184" s="91">
        <f>Tabella3[[#This Row],[rest of Italy cumul. Fit]]/Ka</f>
        <v>0.99716654704936336</v>
      </c>
      <c r="AF184" s="91">
        <f>IFERROR(Ka*_xlfn.LOGNORM.DIST((Tabella3[[#This Row],[Day]]-pa),mu_a,sigma_a,FALSE),0)</f>
        <v>28.72253620975799</v>
      </c>
      <c r="AG184" s="91">
        <f>Tabella3[[#This Row],[rest of Italy fit]]/y_a_peak</f>
        <v>8.4999315789351295E-3</v>
      </c>
      <c r="AH184" s="10">
        <f>Tabella3[[#This Row],[rest of Italy fit]]*NOT(ISBLANK(Tabella3[[#This Row],[rest of Italy data]]))</f>
        <v>0</v>
      </c>
    </row>
    <row r="185" spans="2:36" x14ac:dyDescent="0.3">
      <c r="B185" s="9">
        <v>44008</v>
      </c>
      <c r="C185" s="4">
        <v>178</v>
      </c>
      <c r="D185" s="151"/>
      <c r="E185" s="10"/>
      <c r="F185" s="10">
        <f>Tabella3[[#This Row],[Italy data]]*NOT(ISBLANK(Tabella3[[#This Row],[Italy data]]))</f>
        <v>0</v>
      </c>
      <c r="G185" s="96" t="e">
        <f>Tabella8[[#This Row],[Italy fit]]</f>
        <v>#VALUE!</v>
      </c>
      <c r="H185" s="96" t="e">
        <f>Tabella3[[#This Row],[Italy cumul. Fit]]/Kf</f>
        <v>#VALUE!</v>
      </c>
      <c r="I185" s="96">
        <f>Tabella3[[#This Row],[Lombardy fit]]+Tabella3[[#This Row],[rest of Italy fit]]</f>
        <v>53.205804877229347</v>
      </c>
      <c r="J185" s="96">
        <f>Tabella3[[#This Row],[Italy (fitted Lombardy + fitted sum of the other regions)]]/(y_l_peak+y_a_peak)</f>
        <v>1.0357160226866436E-2</v>
      </c>
      <c r="K185" s="91">
        <f>IFERROR(Kf*_xlfn.LOGNORM.DIST((Tabella3[[#This Row],[Day]]-D_bk),mu_f,sigma_f,FALSE),0)</f>
        <v>48.682093087257719</v>
      </c>
      <c r="L185" s="91">
        <f>Tabella3[[#This Row],[Italy fit]]/y_f_peak</f>
        <v>9.6179043660068533E-3</v>
      </c>
      <c r="M185" s="10">
        <f>Tabella3[[#This Row],[Italy (fitted Lombardy + fitted sum of the other regions)]]*NOT(ISBLANK(Tabella3[[#This Row],[Italy data]]))</f>
        <v>0</v>
      </c>
      <c r="N185" s="10">
        <f>Tabella3[[#This Row],[Italy fit]]*NOT(ISBLANK(Tabella3[[#This Row],[Italy data]]))</f>
        <v>0</v>
      </c>
      <c r="O185" s="151"/>
      <c r="P185" s="151"/>
      <c r="Q185" s="151"/>
      <c r="R185" s="10"/>
      <c r="S185" s="10">
        <f>Tabella3[[#This Row],[Lombardy data]]*NOT(ISBLANK(Tabella3[[#This Row],[Lombardy data]]))</f>
        <v>0</v>
      </c>
      <c r="T185" s="96" t="e">
        <f>Tabella8[[#This Row],[Lombardy fit]]</f>
        <v>#VALUE!</v>
      </c>
      <c r="U185" s="91" t="e">
        <f>Tabella3[[#This Row],[Lombardy cumul. Fit]]/Kl</f>
        <v>#VALUE!</v>
      </c>
      <c r="V185" s="91">
        <f>IFERROR(Kl*_xlfn.LOGNORM.DIST((Tabella3[[#This Row],[Day]]-pl),mu_l,sigma_l,FALSE),0)</f>
        <v>26.397309756428676</v>
      </c>
      <c r="W185" s="91">
        <f>Tabella3[[#This Row],[Lombardy fit]]/y_l_peak</f>
        <v>1.5015923435577925E-2</v>
      </c>
      <c r="X185" s="10">
        <f>Tabella3[[#This Row],[Lombardy fit]]*NOT(ISBLANK(Tabella3[[#This Row],[Lombardy data]]))</f>
        <v>0</v>
      </c>
      <c r="Y185" s="151"/>
      <c r="Z185" s="151"/>
      <c r="AA185" s="151"/>
      <c r="AB185" s="10"/>
      <c r="AC185" s="10">
        <f>Tabella3[[#This Row],[rest of Italy data]]*NOT(ISBLANK(Tabella3[[#This Row],[rest of Italy data]]))</f>
        <v>0</v>
      </c>
      <c r="AD185" s="96" t="e">
        <f>Tabella8[[#This Row],[rest of Italy fit]]</f>
        <v>#VALUE!</v>
      </c>
      <c r="AE185" s="91" t="e">
        <f>Tabella3[[#This Row],[rest of Italy cumul. Fit]]/Ka</f>
        <v>#VALUE!</v>
      </c>
      <c r="AF185" s="91">
        <f>IFERROR(Ka*_xlfn.LOGNORM.DIST((Tabella3[[#This Row],[Day]]-pa),mu_a,sigma_a,FALSE),0)</f>
        <v>26.808495120800671</v>
      </c>
      <c r="AG185" s="91">
        <f>Tabella3[[#This Row],[rest of Italy fit]]/y_a_peak</f>
        <v>7.9335046388976926E-3</v>
      </c>
      <c r="AH185" s="10">
        <f>Tabella3[[#This Row],[rest of Italy fit]]*NOT(ISBLANK(Tabella3[[#This Row],[rest of Italy data]]))</f>
        <v>0</v>
      </c>
      <c r="AI185" s="151"/>
      <c r="AJ185" s="151"/>
    </row>
    <row r="186" spans="2:36" x14ac:dyDescent="0.3">
      <c r="B186" s="9">
        <v>44009</v>
      </c>
      <c r="C186" s="4">
        <v>179</v>
      </c>
      <c r="D186" s="151"/>
      <c r="E186" s="10"/>
      <c r="F186" s="10">
        <f>Tabella3[[#This Row],[Italy data]]*NOT(ISBLANK(Tabella3[[#This Row],[Italy data]]))</f>
        <v>0</v>
      </c>
      <c r="G186" s="96" t="e">
        <f>Tabella8[[#This Row],[Italy fit]]</f>
        <v>#VALUE!</v>
      </c>
      <c r="H186" s="96" t="e">
        <f>Tabella3[[#This Row],[Italy cumul. Fit]]/Kf</f>
        <v>#VALUE!</v>
      </c>
      <c r="I186" s="96">
        <f>Tabella3[[#This Row],[Lombardy fit]]+Tabella3[[#This Row],[rest of Italy fit]]</f>
        <v>49.931909881712599</v>
      </c>
      <c r="J186" s="96">
        <f>Tabella3[[#This Row],[Italy (fitted Lombardy + fitted sum of the other regions)]]/(y_l_peak+y_a_peak)</f>
        <v>9.7198565508343684E-3</v>
      </c>
      <c r="K186" s="91">
        <f>IFERROR(Kf*_xlfn.LOGNORM.DIST((Tabella3[[#This Row],[Day]]-D_bk),mu_f,sigma_f,FALSE),0)</f>
        <v>45.518127139059011</v>
      </c>
      <c r="L186" s="91">
        <f>Tabella3[[#This Row],[Italy fit]]/y_f_peak</f>
        <v>8.9928137017140624E-3</v>
      </c>
      <c r="M186" s="10">
        <f>Tabella3[[#This Row],[Italy (fitted Lombardy + fitted sum of the other regions)]]*NOT(ISBLANK(Tabella3[[#This Row],[Italy data]]))</f>
        <v>0</v>
      </c>
      <c r="N186" s="10">
        <f>Tabella3[[#This Row],[Italy fit]]*NOT(ISBLANK(Tabella3[[#This Row],[Italy data]]))</f>
        <v>0</v>
      </c>
      <c r="O186" s="151"/>
      <c r="P186" s="151"/>
      <c r="Q186" s="151"/>
      <c r="R186" s="10"/>
      <c r="S186" s="10">
        <f>Tabella3[[#This Row],[Lombardy data]]*NOT(ISBLANK(Tabella3[[#This Row],[Lombardy data]]))</f>
        <v>0</v>
      </c>
      <c r="T186" s="96" t="e">
        <f>Tabella8[[#This Row],[Lombardy fit]]</f>
        <v>#VALUE!</v>
      </c>
      <c r="U186" s="91" t="e">
        <f>Tabella3[[#This Row],[Lombardy cumul. Fit]]/Kl</f>
        <v>#VALUE!</v>
      </c>
      <c r="V186" s="91">
        <f>IFERROR(Kl*_xlfn.LOGNORM.DIST((Tabella3[[#This Row],[Day]]-pl),mu_l,sigma_l,FALSE),0)</f>
        <v>24.909907731743306</v>
      </c>
      <c r="W186" s="91">
        <f>Tabella3[[#This Row],[Lombardy fit]]/y_l_peak</f>
        <v>1.4169825286687589E-2</v>
      </c>
      <c r="X186" s="10">
        <f>Tabella3[[#This Row],[Lombardy fit]]*NOT(ISBLANK(Tabella3[[#This Row],[Lombardy data]]))</f>
        <v>0</v>
      </c>
      <c r="Y186" s="151"/>
      <c r="Z186" s="151"/>
      <c r="AA186" s="151"/>
      <c r="AB186" s="10"/>
      <c r="AC186" s="10">
        <f>Tabella3[[#This Row],[rest of Italy data]]*NOT(ISBLANK(Tabella3[[#This Row],[rest of Italy data]]))</f>
        <v>0</v>
      </c>
      <c r="AD186" s="96" t="e">
        <f>Tabella8[[#This Row],[rest of Italy fit]]</f>
        <v>#VALUE!</v>
      </c>
      <c r="AE186" s="91" t="e">
        <f>Tabella3[[#This Row],[rest of Italy cumul. Fit]]/Ka</f>
        <v>#VALUE!</v>
      </c>
      <c r="AF186" s="91">
        <f>IFERROR(Ka*_xlfn.LOGNORM.DIST((Tabella3[[#This Row],[Day]]-pa),mu_a,sigma_a,FALSE),0)</f>
        <v>25.022002149969296</v>
      </c>
      <c r="AG186" s="91">
        <f>Tabella3[[#This Row],[rest of Italy fit]]/y_a_peak</f>
        <v>7.4048233306935668E-3</v>
      </c>
      <c r="AH186" s="10">
        <f>Tabella3[[#This Row],[rest of Italy fit]]*NOT(ISBLANK(Tabella3[[#This Row],[rest of Italy data]]))</f>
        <v>0</v>
      </c>
      <c r="AI186" s="151"/>
      <c r="AJ186" s="151"/>
    </row>
    <row r="187" spans="2:36" x14ac:dyDescent="0.3">
      <c r="B187" s="9">
        <v>44010</v>
      </c>
      <c r="C187" s="4">
        <v>180</v>
      </c>
      <c r="D187" s="151"/>
      <c r="E187" s="10"/>
      <c r="F187" s="10">
        <f>Tabella3[[#This Row],[Italy data]]*NOT(ISBLANK(Tabella3[[#This Row],[Italy data]]))</f>
        <v>0</v>
      </c>
      <c r="G187" s="96" t="e">
        <f>Tabella8[[#This Row],[Italy fit]]</f>
        <v>#VALUE!</v>
      </c>
      <c r="H187" s="96" t="e">
        <f>Tabella3[[#This Row],[Italy cumul. Fit]]/Kf</f>
        <v>#VALUE!</v>
      </c>
      <c r="I187" s="96">
        <f>Tabella3[[#This Row],[Lombardy fit]]+Tabella3[[#This Row],[rest of Italy fit]]</f>
        <v>46.860891655587153</v>
      </c>
      <c r="J187" s="96">
        <f>Tabella3[[#This Row],[Italy (fitted Lombardy + fitted sum of the other regions)]]/(y_l_peak+y_a_peak)</f>
        <v>9.1220453176239693E-3</v>
      </c>
      <c r="K187" s="91">
        <f>IFERROR(Kf*_xlfn.LOGNORM.DIST((Tabella3[[#This Row],[Day]]-D_bk),mu_f,sigma_f,FALSE),0)</f>
        <v>42.558782758854761</v>
      </c>
      <c r="L187" s="91">
        <f>Tabella3[[#This Row],[Italy fit]]/y_f_peak</f>
        <v>8.4081492094978429E-3</v>
      </c>
      <c r="M187" s="10">
        <f>Tabella3[[#This Row],[Italy (fitted Lombardy + fitted sum of the other regions)]]*NOT(ISBLANK(Tabella3[[#This Row],[Italy data]]))</f>
        <v>0</v>
      </c>
      <c r="N187" s="10">
        <f>Tabella3[[#This Row],[Italy fit]]*NOT(ISBLANK(Tabella3[[#This Row],[Italy data]]))</f>
        <v>0</v>
      </c>
      <c r="O187" s="151"/>
      <c r="P187" s="151"/>
      <c r="Q187" s="151"/>
      <c r="R187" s="10"/>
      <c r="S187" s="10">
        <f>Tabella3[[#This Row],[Lombardy data]]*NOT(ISBLANK(Tabella3[[#This Row],[Lombardy data]]))</f>
        <v>0</v>
      </c>
      <c r="T187" s="96" t="e">
        <f>Tabella8[[#This Row],[Lombardy fit]]</f>
        <v>#VALUE!</v>
      </c>
      <c r="U187" s="91" t="e">
        <f>Tabella3[[#This Row],[Lombardy cumul. Fit]]/Kl</f>
        <v>#VALUE!</v>
      </c>
      <c r="V187" s="91">
        <f>IFERROR(Kl*_xlfn.LOGNORM.DIST((Tabella3[[#This Row],[Day]]-pl),mu_l,sigma_l,FALSE),0)</f>
        <v>23.506253375618666</v>
      </c>
      <c r="W187" s="91">
        <f>Tabella3[[#This Row],[Lombardy fit]]/y_l_peak</f>
        <v>1.337136640826154E-2</v>
      </c>
      <c r="X187" s="10">
        <f>Tabella3[[#This Row],[Lombardy fit]]*NOT(ISBLANK(Tabella3[[#This Row],[Lombardy data]]))</f>
        <v>0</v>
      </c>
      <c r="Y187" s="151"/>
      <c r="Z187" s="151"/>
      <c r="AA187" s="151"/>
      <c r="AB187" s="10"/>
      <c r="AC187" s="10">
        <f>Tabella3[[#This Row],[rest of Italy data]]*NOT(ISBLANK(Tabella3[[#This Row],[rest of Italy data]]))</f>
        <v>0</v>
      </c>
      <c r="AD187" s="96" t="e">
        <f>Tabella8[[#This Row],[rest of Italy fit]]</f>
        <v>#VALUE!</v>
      </c>
      <c r="AE187" s="91" t="e">
        <f>Tabella3[[#This Row],[rest of Italy cumul. Fit]]/Ka</f>
        <v>#VALUE!</v>
      </c>
      <c r="AF187" s="91">
        <f>IFERROR(Ka*_xlfn.LOGNORM.DIST((Tabella3[[#This Row],[Day]]-pa),mu_a,sigma_a,FALSE),0)</f>
        <v>23.354638279968487</v>
      </c>
      <c r="AG187" s="91">
        <f>Tabella3[[#This Row],[rest of Italy fit]]/y_a_peak</f>
        <v>6.9113961935948409E-3</v>
      </c>
      <c r="AH187" s="10">
        <f>Tabella3[[#This Row],[rest of Italy fit]]*NOT(ISBLANK(Tabella3[[#This Row],[rest of Italy data]]))</f>
        <v>0</v>
      </c>
      <c r="AI187" s="151"/>
      <c r="AJ187" s="151"/>
    </row>
    <row r="188" spans="2:36" x14ac:dyDescent="0.3">
      <c r="B188" s="9">
        <v>44011</v>
      </c>
      <c r="C188" s="4">
        <v>181</v>
      </c>
      <c r="D188" s="151"/>
      <c r="E188" s="10"/>
      <c r="F188" s="10">
        <f>Tabella3[[#This Row],[Italy data]]*NOT(ISBLANK(Tabella3[[#This Row],[Italy data]]))</f>
        <v>0</v>
      </c>
      <c r="G188" s="96" t="e">
        <f>Tabella8[[#This Row],[Italy fit]]</f>
        <v>#VALUE!</v>
      </c>
      <c r="H188" s="96" t="e">
        <f>Tabella3[[#This Row],[Italy cumul. Fit]]/Kf</f>
        <v>#VALUE!</v>
      </c>
      <c r="I188" s="96">
        <f>Tabella3[[#This Row],[Lombardy fit]]+Tabella3[[#This Row],[rest of Italy fit]]</f>
        <v>43.980220745180759</v>
      </c>
      <c r="J188" s="96">
        <f>Tabella3[[#This Row],[Italy (fitted Lombardy + fitted sum of the other regions)]]/(y_l_peak+y_a_peak)</f>
        <v>8.5612875159367871E-3</v>
      </c>
      <c r="K188" s="91">
        <f>IFERROR(Kf*_xlfn.LOGNORM.DIST((Tabella3[[#This Row],[Day]]-D_bk),mu_f,sigma_f,FALSE),0)</f>
        <v>39.791032611285154</v>
      </c>
      <c r="L188" s="91">
        <f>Tabella3[[#This Row],[Italy fit]]/y_f_peak</f>
        <v>7.8613371367175656E-3</v>
      </c>
      <c r="M188" s="10">
        <f>Tabella3[[#This Row],[Italy (fitted Lombardy + fitted sum of the other regions)]]*NOT(ISBLANK(Tabella3[[#This Row],[Italy data]]))</f>
        <v>0</v>
      </c>
      <c r="N188" s="10">
        <f>Tabella3[[#This Row],[Italy fit]]*NOT(ISBLANK(Tabella3[[#This Row],[Italy data]]))</f>
        <v>0</v>
      </c>
      <c r="O188" s="151"/>
      <c r="P188" s="151"/>
      <c r="Q188" s="151"/>
      <c r="R188" s="10"/>
      <c r="S188" s="10">
        <f>Tabella3[[#This Row],[Lombardy data]]*NOT(ISBLANK(Tabella3[[#This Row],[Lombardy data]]))</f>
        <v>0</v>
      </c>
      <c r="T188" s="96" t="e">
        <f>Tabella8[[#This Row],[Lombardy fit]]</f>
        <v>#VALUE!</v>
      </c>
      <c r="U188" s="91" t="e">
        <f>Tabella3[[#This Row],[Lombardy cumul. Fit]]/Kl</f>
        <v>#VALUE!</v>
      </c>
      <c r="V188" s="91">
        <f>IFERROR(Kl*_xlfn.LOGNORM.DIST((Tabella3[[#This Row],[Day]]-pl),mu_l,sigma_l,FALSE),0)</f>
        <v>22.181693944010323</v>
      </c>
      <c r="W188" s="91">
        <f>Tabella3[[#This Row],[Lombardy fit]]/y_l_peak</f>
        <v>1.2617900119672806E-2</v>
      </c>
      <c r="X188" s="10">
        <f>Tabella3[[#This Row],[Lombardy fit]]*NOT(ISBLANK(Tabella3[[#This Row],[Lombardy data]]))</f>
        <v>0</v>
      </c>
      <c r="Y188" s="151"/>
      <c r="Z188" s="151"/>
      <c r="AA188" s="151"/>
      <c r="AB188" s="10"/>
      <c r="AC188" s="10">
        <f>Tabella3[[#This Row],[rest of Italy data]]*NOT(ISBLANK(Tabella3[[#This Row],[rest of Italy data]]))</f>
        <v>0</v>
      </c>
      <c r="AD188" s="96" t="e">
        <f>Tabella8[[#This Row],[rest of Italy fit]]</f>
        <v>#VALUE!</v>
      </c>
      <c r="AE188" s="91" t="e">
        <f>Tabella3[[#This Row],[rest of Italy cumul. Fit]]/Ka</f>
        <v>#VALUE!</v>
      </c>
      <c r="AF188" s="91">
        <f>IFERROR(Ka*_xlfn.LOGNORM.DIST((Tabella3[[#This Row],[Day]]-pa),mu_a,sigma_a,FALSE),0)</f>
        <v>21.798526801170439</v>
      </c>
      <c r="AG188" s="91">
        <f>Tabella3[[#This Row],[rest of Italy fit]]/y_a_peak</f>
        <v>6.4508922533304926E-3</v>
      </c>
      <c r="AH188" s="10">
        <f>Tabella3[[#This Row],[rest of Italy fit]]*NOT(ISBLANK(Tabella3[[#This Row],[rest of Italy data]]))</f>
        <v>0</v>
      </c>
      <c r="AI188" s="151"/>
      <c r="AJ188" s="151"/>
    </row>
    <row r="189" spans="2:36" x14ac:dyDescent="0.3">
      <c r="B189" s="9">
        <v>44012</v>
      </c>
      <c r="C189" s="4">
        <v>182</v>
      </c>
      <c r="D189" s="151"/>
      <c r="E189" s="10"/>
      <c r="F189" s="10">
        <f>Tabella3[[#This Row],[Italy data]]*NOT(ISBLANK(Tabella3[[#This Row],[Italy data]]))</f>
        <v>0</v>
      </c>
      <c r="G189" s="96" t="e">
        <f>Tabella8[[#This Row],[Italy fit]]</f>
        <v>#VALUE!</v>
      </c>
      <c r="H189" s="96" t="e">
        <f>Tabella3[[#This Row],[Italy cumul. Fit]]/Kf</f>
        <v>#VALUE!</v>
      </c>
      <c r="I189" s="96">
        <f>Tabella3[[#This Row],[Lombardy fit]]+Tabella3[[#This Row],[rest of Italy fit]]</f>
        <v>41.2781265367271</v>
      </c>
      <c r="J189" s="96">
        <f>Tabella3[[#This Row],[Italy (fitted Lombardy + fitted sum of the other regions)]]/(y_l_peak+y_a_peak)</f>
        <v>8.035291851936981E-3</v>
      </c>
      <c r="K189" s="91">
        <f>IFERROR(Kf*_xlfn.LOGNORM.DIST((Tabella3[[#This Row],[Day]]-D_bk),mu_f,sigma_f,FALSE),0)</f>
        <v>37.202651759459627</v>
      </c>
      <c r="L189" s="91">
        <f>Tabella3[[#This Row],[Italy fit]]/y_f_peak</f>
        <v>7.3499622570253574E-3</v>
      </c>
      <c r="M189" s="10">
        <f>Tabella3[[#This Row],[Italy (fitted Lombardy + fitted sum of the other regions)]]*NOT(ISBLANK(Tabella3[[#This Row],[Italy data]]))</f>
        <v>0</v>
      </c>
      <c r="N189" s="10">
        <f>Tabella3[[#This Row],[Italy fit]]*NOT(ISBLANK(Tabella3[[#This Row],[Italy data]]))</f>
        <v>0</v>
      </c>
      <c r="O189" s="151"/>
      <c r="P189" s="151"/>
      <c r="Q189" s="151"/>
      <c r="R189" s="10"/>
      <c r="S189" s="10">
        <f>Tabella3[[#This Row],[Lombardy data]]*NOT(ISBLANK(Tabella3[[#This Row],[Lombardy data]]))</f>
        <v>0</v>
      </c>
      <c r="T189" s="96" t="e">
        <f>Tabella8[[#This Row],[Lombardy fit]]</f>
        <v>#VALUE!</v>
      </c>
      <c r="U189" s="91" t="e">
        <f>Tabella3[[#This Row],[Lombardy cumul. Fit]]/Kl</f>
        <v>#VALUE!</v>
      </c>
      <c r="V189" s="91">
        <f>IFERROR(Kl*_xlfn.LOGNORM.DIST((Tabella3[[#This Row],[Day]]-pl),mu_l,sigma_l,FALSE),0)</f>
        <v>20.931826427491409</v>
      </c>
      <c r="W189" s="91">
        <f>Tabella3[[#This Row],[Lombardy fit]]/y_l_peak</f>
        <v>1.1906921800069867E-2</v>
      </c>
      <c r="X189" s="10">
        <f>Tabella3[[#This Row],[Lombardy fit]]*NOT(ISBLANK(Tabella3[[#This Row],[Lombardy data]]))</f>
        <v>0</v>
      </c>
      <c r="Y189" s="151"/>
      <c r="Z189" s="151"/>
      <c r="AA189" s="151"/>
      <c r="AB189" s="10"/>
      <c r="AC189" s="10">
        <f>Tabella3[[#This Row],[rest of Italy data]]*NOT(ISBLANK(Tabella3[[#This Row],[rest of Italy data]]))</f>
        <v>0</v>
      </c>
      <c r="AD189" s="96" t="e">
        <f>Tabella8[[#This Row],[rest of Italy fit]]</f>
        <v>#VALUE!</v>
      </c>
      <c r="AE189" s="91" t="e">
        <f>Tabella3[[#This Row],[rest of Italy cumul. Fit]]/Ka</f>
        <v>#VALUE!</v>
      </c>
      <c r="AF189" s="91">
        <f>IFERROR(Ka*_xlfn.LOGNORM.DIST((Tabella3[[#This Row],[Day]]-pa),mu_a,sigma_a,FALSE),0)</f>
        <v>20.346300109235695</v>
      </c>
      <c r="AG189" s="91">
        <f>Tabella3[[#This Row],[rest of Italy fit]]/y_a_peak</f>
        <v>6.0211311964237209E-3</v>
      </c>
      <c r="AH189" s="10">
        <f>Tabella3[[#This Row],[rest of Italy fit]]*NOT(ISBLANK(Tabella3[[#This Row],[rest of Italy data]]))</f>
        <v>0</v>
      </c>
      <c r="AI189" s="151"/>
      <c r="AJ189" s="151"/>
    </row>
    <row r="190" spans="2:36" x14ac:dyDescent="0.3">
      <c r="B190" s="9">
        <v>44013</v>
      </c>
      <c r="C190" s="4">
        <v>183</v>
      </c>
      <c r="D190" s="151"/>
      <c r="E190" s="10"/>
      <c r="F190" s="10">
        <f>Tabella3[[#This Row],[Italy data]]*NOT(ISBLANK(Tabella3[[#This Row],[Italy data]]))</f>
        <v>0</v>
      </c>
      <c r="G190" s="96" t="e">
        <f>Tabella8[[#This Row],[Italy fit]]</f>
        <v>#VALUE!</v>
      </c>
      <c r="H190" s="96" t="e">
        <f>Tabella3[[#This Row],[Italy cumul. Fit]]/Kf</f>
        <v>#VALUE!</v>
      </c>
      <c r="I190" s="96">
        <f>Tabella3[[#This Row],[Lombardy fit]]+Tabella3[[#This Row],[rest of Italy fit]]</f>
        <v>38.743553454683884</v>
      </c>
      <c r="J190" s="96">
        <f>Tabella3[[#This Row],[Italy (fitted Lombardy + fitted sum of the other regions)]]/(y_l_peak+y_a_peak)</f>
        <v>7.5419062227185616E-3</v>
      </c>
      <c r="K190" s="91">
        <f>IFERROR(Kf*_xlfn.LOGNORM.DIST((Tabella3[[#This Row],[Day]]-D_bk),mu_f,sigma_f,FALSE),0)</f>
        <v>34.782171368683258</v>
      </c>
      <c r="L190" s="91">
        <f>Tabella3[[#This Row],[Italy fit]]/y_f_peak</f>
        <v>6.8717587238174673E-3</v>
      </c>
      <c r="M190" s="10">
        <f>Tabella3[[#This Row],[Italy (fitted Lombardy + fitted sum of the other regions)]]*NOT(ISBLANK(Tabella3[[#This Row],[Italy data]]))</f>
        <v>0</v>
      </c>
      <c r="N190" s="10">
        <f>Tabella3[[#This Row],[Italy fit]]*NOT(ISBLANK(Tabella3[[#This Row],[Italy data]]))</f>
        <v>0</v>
      </c>
      <c r="O190" s="151"/>
      <c r="P190" s="151"/>
      <c r="Q190" s="151"/>
      <c r="R190" s="10"/>
      <c r="S190" s="10">
        <f>Tabella3[[#This Row],[Lombardy data]]*NOT(ISBLANK(Tabella3[[#This Row],[Lombardy data]]))</f>
        <v>0</v>
      </c>
      <c r="T190" s="96" t="e">
        <f>Tabella8[[#This Row],[Lombardy fit]]</f>
        <v>#VALUE!</v>
      </c>
      <c r="U190" s="91" t="e">
        <f>Tabella3[[#This Row],[Lombardy cumul. Fit]]/Kl</f>
        <v>#VALUE!</v>
      </c>
      <c r="V190" s="91">
        <f>IFERROR(Kl*_xlfn.LOGNORM.DIST((Tabella3[[#This Row],[Day]]-pl),mu_l,sigma_l,FALSE),0)</f>
        <v>19.752485126258758</v>
      </c>
      <c r="W190" s="91">
        <f>Tabella3[[#This Row],[Lombardy fit]]/y_l_peak</f>
        <v>1.1236061820506548E-2</v>
      </c>
      <c r="X190" s="10">
        <f>Tabella3[[#This Row],[Lombardy fit]]*NOT(ISBLANK(Tabella3[[#This Row],[Lombardy data]]))</f>
        <v>0</v>
      </c>
      <c r="Y190" s="151"/>
      <c r="Z190" s="151"/>
      <c r="AA190" s="151"/>
      <c r="AB190" s="10"/>
      <c r="AC190" s="10">
        <f>Tabella3[[#This Row],[rest of Italy data]]*NOT(ISBLANK(Tabella3[[#This Row],[rest of Italy data]]))</f>
        <v>0</v>
      </c>
      <c r="AD190" s="96" t="e">
        <f>Tabella8[[#This Row],[rest of Italy fit]]</f>
        <v>#VALUE!</v>
      </c>
      <c r="AE190" s="91" t="e">
        <f>Tabella3[[#This Row],[rest of Italy cumul. Fit]]/Ka</f>
        <v>#VALUE!</v>
      </c>
      <c r="AF190" s="91">
        <f>IFERROR(Ka*_xlfn.LOGNORM.DIST((Tabella3[[#This Row],[Day]]-pa),mu_a,sigma_a,FALSE),0)</f>
        <v>18.991068328425126</v>
      </c>
      <c r="AG190" s="91">
        <f>Tabella3[[#This Row],[rest of Italy fit]]/y_a_peak</f>
        <v>5.6200740848106195E-3</v>
      </c>
      <c r="AH190" s="10">
        <f>Tabella3[[#This Row],[rest of Italy fit]]*NOT(ISBLANK(Tabella3[[#This Row],[rest of Italy data]]))</f>
        <v>0</v>
      </c>
      <c r="AI190" s="151"/>
      <c r="AJ190" s="151"/>
    </row>
    <row r="191" spans="2:36" x14ac:dyDescent="0.3">
      <c r="B191" s="9">
        <v>44014</v>
      </c>
      <c r="C191" s="4">
        <v>184</v>
      </c>
      <c r="D191" s="151"/>
      <c r="E191" s="10"/>
      <c r="F191" s="10">
        <f>Tabella3[[#This Row],[Italy data]]*NOT(ISBLANK(Tabella3[[#This Row],[Italy data]]))</f>
        <v>0</v>
      </c>
      <c r="G191" s="96" t="e">
        <f>Tabella8[[#This Row],[Italy fit]]</f>
        <v>#VALUE!</v>
      </c>
      <c r="H191" s="96" t="e">
        <f>Tabella3[[#This Row],[Italy cumul. Fit]]/Kf</f>
        <v>#VALUE!</v>
      </c>
      <c r="I191" s="96">
        <f>Tabella3[[#This Row],[Lombardy fit]]+Tabella3[[#This Row],[rest of Italy fit]]</f>
        <v>36.366119424718804</v>
      </c>
      <c r="J191" s="96">
        <f>Tabella3[[#This Row],[Italy (fitted Lombardy + fitted sum of the other regions)]]/(y_l_peak+y_a_peak)</f>
        <v>7.079109630617926E-3</v>
      </c>
      <c r="K191" s="91">
        <f>IFERROR(Kf*_xlfn.LOGNORM.DIST((Tabella3[[#This Row],[Day]]-D_bk),mu_f,sigma_f,FALSE),0)</f>
        <v>32.518834731900611</v>
      </c>
      <c r="L191" s="91">
        <f>Tabella3[[#This Row],[Italy fit]]/y_f_peak</f>
        <v>6.4246013823770088E-3</v>
      </c>
      <c r="M191" s="10">
        <f>Tabella3[[#This Row],[Italy (fitted Lombardy + fitted sum of the other regions)]]*NOT(ISBLANK(Tabella3[[#This Row],[Italy data]]))</f>
        <v>0</v>
      </c>
      <c r="N191" s="10">
        <f>Tabella3[[#This Row],[Italy fit]]*NOT(ISBLANK(Tabella3[[#This Row],[Italy data]]))</f>
        <v>0</v>
      </c>
      <c r="O191" s="151"/>
      <c r="P191" s="151"/>
      <c r="Q191" s="151"/>
      <c r="R191" s="10"/>
      <c r="S191" s="10">
        <f>Tabella3[[#This Row],[Lombardy data]]*NOT(ISBLANK(Tabella3[[#This Row],[Lombardy data]]))</f>
        <v>0</v>
      </c>
      <c r="T191" s="96" t="e">
        <f>Tabella8[[#This Row],[Lombardy fit]]</f>
        <v>#VALUE!</v>
      </c>
      <c r="U191" s="91" t="e">
        <f>Tabella3[[#This Row],[Lombardy cumul. Fit]]/Kl</f>
        <v>#VALUE!</v>
      </c>
      <c r="V191" s="91">
        <f>IFERROR(Kl*_xlfn.LOGNORM.DIST((Tabella3[[#This Row],[Day]]-pl),mu_l,sigma_l,FALSE),0)</f>
        <v>18.639729739770814</v>
      </c>
      <c r="W191" s="91">
        <f>Tabella3[[#This Row],[Lombardy fit]]/y_l_peak</f>
        <v>1.060307876881657E-2</v>
      </c>
      <c r="X191" s="10">
        <f>Tabella3[[#This Row],[Lombardy fit]]*NOT(ISBLANK(Tabella3[[#This Row],[Lombardy data]]))</f>
        <v>0</v>
      </c>
      <c r="Y191" s="151"/>
      <c r="Z191" s="151"/>
      <c r="AA191" s="151"/>
      <c r="AB191" s="10"/>
      <c r="AC191" s="10">
        <f>Tabella3[[#This Row],[rest of Italy data]]*NOT(ISBLANK(Tabella3[[#This Row],[rest of Italy data]]))</f>
        <v>0</v>
      </c>
      <c r="AD191" s="96" t="e">
        <f>Tabella8[[#This Row],[rest of Italy fit]]</f>
        <v>#VALUE!</v>
      </c>
      <c r="AE191" s="91" t="e">
        <f>Tabella3[[#This Row],[rest of Italy cumul. Fit]]/Ka</f>
        <v>#VALUE!</v>
      </c>
      <c r="AF191" s="91">
        <f>IFERROR(Ka*_xlfn.LOGNORM.DIST((Tabella3[[#This Row],[Day]]-pa),mu_a,sigma_a,FALSE),0)</f>
        <v>17.726389684947989</v>
      </c>
      <c r="AG191" s="91">
        <f>Tabella3[[#This Row],[rest of Italy fit]]/y_a_peak</f>
        <v>5.2458145883513847E-3</v>
      </c>
      <c r="AH191" s="10">
        <f>Tabella3[[#This Row],[rest of Italy fit]]*NOT(ISBLANK(Tabella3[[#This Row],[rest of Italy data]]))</f>
        <v>0</v>
      </c>
      <c r="AI191" s="151"/>
      <c r="AJ191" s="151"/>
    </row>
    <row r="192" spans="2:36" x14ac:dyDescent="0.3">
      <c r="B192" s="9">
        <v>44015</v>
      </c>
      <c r="C192" s="4">
        <v>185</v>
      </c>
      <c r="D192" s="151"/>
      <c r="E192" s="10"/>
      <c r="F192" s="10">
        <f>Tabella3[[#This Row],[Italy data]]*NOT(ISBLANK(Tabella3[[#This Row],[Italy data]]))</f>
        <v>0</v>
      </c>
      <c r="G192" s="96" t="e">
        <f>Tabella8[[#This Row],[Italy fit]]</f>
        <v>#VALUE!</v>
      </c>
      <c r="H192" s="96" t="e">
        <f>Tabella3[[#This Row],[Italy cumul. Fit]]/Kf</f>
        <v>#VALUE!</v>
      </c>
      <c r="I192" s="96">
        <f>Tabella3[[#This Row],[Lombardy fit]]+Tabella3[[#This Row],[rest of Italy fit]]</f>
        <v>34.136076515608167</v>
      </c>
      <c r="J192" s="96">
        <f>Tabella3[[#This Row],[Italy (fitted Lombardy + fitted sum of the other regions)]]/(y_l_peak+y_a_peak)</f>
        <v>6.6450045216783736E-3</v>
      </c>
      <c r="K192" s="91">
        <f>IFERROR(Kf*_xlfn.LOGNORM.DIST((Tabella3[[#This Row],[Day]]-D_bk),mu_f,sigma_f,FALSE),0)</f>
        <v>30.402555540335204</v>
      </c>
      <c r="L192" s="91">
        <f>Tabella3[[#This Row],[Italy fit]]/y_f_peak</f>
        <v>6.0064975255900051E-3</v>
      </c>
      <c r="M192" s="10">
        <f>Tabella3[[#This Row],[Italy (fitted Lombardy + fitted sum of the other regions)]]*NOT(ISBLANK(Tabella3[[#This Row],[Italy data]]))</f>
        <v>0</v>
      </c>
      <c r="N192" s="10">
        <f>Tabella3[[#This Row],[Italy fit]]*NOT(ISBLANK(Tabella3[[#This Row],[Italy data]]))</f>
        <v>0</v>
      </c>
      <c r="O192" s="151"/>
      <c r="P192" s="151"/>
      <c r="Q192" s="151"/>
      <c r="R192" s="10"/>
      <c r="S192" s="10">
        <f>Tabella3[[#This Row],[Lombardy data]]*NOT(ISBLANK(Tabella3[[#This Row],[Lombardy data]]))</f>
        <v>0</v>
      </c>
      <c r="T192" s="96" t="e">
        <f>Tabella8[[#This Row],[Lombardy fit]]</f>
        <v>#VALUE!</v>
      </c>
      <c r="U192" s="91" t="e">
        <f>Tabella3[[#This Row],[Lombardy cumul. Fit]]/Kl</f>
        <v>#VALUE!</v>
      </c>
      <c r="V192" s="91">
        <f>IFERROR(Kl*_xlfn.LOGNORM.DIST((Tabella3[[#This Row],[Day]]-pl),mu_l,sigma_l,FALSE),0)</f>
        <v>17.589833960954472</v>
      </c>
      <c r="W192" s="91">
        <f>Tabella3[[#This Row],[Lombardy fit]]/y_l_peak</f>
        <v>1.0005852961508563E-2</v>
      </c>
      <c r="X192" s="10">
        <f>Tabella3[[#This Row],[Lombardy fit]]*NOT(ISBLANK(Tabella3[[#This Row],[Lombardy data]]))</f>
        <v>0</v>
      </c>
      <c r="Y192" s="151"/>
      <c r="Z192" s="151"/>
      <c r="AA192" s="151"/>
      <c r="AB192" s="10"/>
      <c r="AC192" s="10">
        <f>Tabella3[[#This Row],[rest of Italy data]]*NOT(ISBLANK(Tabella3[[#This Row],[rest of Italy data]]))</f>
        <v>0</v>
      </c>
      <c r="AD192" s="96" t="e">
        <f>Tabella8[[#This Row],[rest of Italy fit]]</f>
        <v>#VALUE!</v>
      </c>
      <c r="AE192" s="91" t="e">
        <f>Tabella3[[#This Row],[rest of Italy cumul. Fit]]/Ka</f>
        <v>#VALUE!</v>
      </c>
      <c r="AF192" s="91">
        <f>IFERROR(Ka*_xlfn.LOGNORM.DIST((Tabella3[[#This Row],[Day]]-pa),mu_a,sigma_a,FALSE),0)</f>
        <v>16.546242554653691</v>
      </c>
      <c r="AG192" s="91">
        <f>Tabella3[[#This Row],[rest of Italy fit]]/y_a_peak</f>
        <v>4.8965707128342129E-3</v>
      </c>
      <c r="AH192" s="10">
        <f>Tabella3[[#This Row],[rest of Italy fit]]*NOT(ISBLANK(Tabella3[[#This Row],[rest of Italy data]]))</f>
        <v>0</v>
      </c>
      <c r="AI192" s="151"/>
      <c r="AJ192" s="151"/>
    </row>
    <row r="193" spans="2:36" x14ac:dyDescent="0.3">
      <c r="B193" s="9">
        <v>44016</v>
      </c>
      <c r="C193" s="4">
        <v>186</v>
      </c>
      <c r="D193" s="151"/>
      <c r="E193" s="10"/>
      <c r="F193" s="10">
        <f>Tabella3[[#This Row],[Italy data]]*NOT(ISBLANK(Tabella3[[#This Row],[Italy data]]))</f>
        <v>0</v>
      </c>
      <c r="G193" s="96" t="e">
        <f>Tabella8[[#This Row],[Italy fit]]</f>
        <v>#VALUE!</v>
      </c>
      <c r="H193" s="96" t="e">
        <f>Tabella3[[#This Row],[Italy cumul. Fit]]/Kf</f>
        <v>#VALUE!</v>
      </c>
      <c r="I193" s="96">
        <f>Tabella3[[#This Row],[Lombardy fit]]+Tabella3[[#This Row],[rest of Italy fit]]</f>
        <v>32.044273673553704</v>
      </c>
      <c r="J193" s="96">
        <f>Tabella3[[#This Row],[Italy (fitted Lombardy + fitted sum of the other regions)]]/(y_l_peak+y_a_peak)</f>
        <v>6.2378095314293914E-3</v>
      </c>
      <c r="K193" s="91">
        <f>IFERROR(Kf*_xlfn.LOGNORM.DIST((Tabella3[[#This Row],[Day]]-D_bk),mu_f,sigma_f,FALSE),0)</f>
        <v>28.423878320256421</v>
      </c>
      <c r="L193" s="91">
        <f>Tabella3[[#This Row],[Italy fit]]/y_f_peak</f>
        <v>5.6155790776135925E-3</v>
      </c>
      <c r="M193" s="10">
        <f>Tabella3[[#This Row],[Italy (fitted Lombardy + fitted sum of the other regions)]]*NOT(ISBLANK(Tabella3[[#This Row],[Italy data]]))</f>
        <v>0</v>
      </c>
      <c r="N193" s="10">
        <f>Tabella3[[#This Row],[Italy fit]]*NOT(ISBLANK(Tabella3[[#This Row],[Italy data]]))</f>
        <v>0</v>
      </c>
      <c r="O193" s="151"/>
      <c r="P193" s="151"/>
      <c r="Q193" s="151"/>
      <c r="R193" s="10"/>
      <c r="S193" s="10">
        <f>Tabella3[[#This Row],[Lombardy data]]*NOT(ISBLANK(Tabella3[[#This Row],[Lombardy data]]))</f>
        <v>0</v>
      </c>
      <c r="T193" s="96" t="e">
        <f>Tabella8[[#This Row],[Lombardy fit]]</f>
        <v>#VALUE!</v>
      </c>
      <c r="U193" s="91" t="e">
        <f>Tabella3[[#This Row],[Lombardy cumul. Fit]]/Kl</f>
        <v>#VALUE!</v>
      </c>
      <c r="V193" s="91">
        <f>IFERROR(Kl*_xlfn.LOGNORM.DIST((Tabella3[[#This Row],[Day]]-pl),mu_l,sigma_l,FALSE),0)</f>
        <v>16.599274563695914</v>
      </c>
      <c r="W193" s="91">
        <f>Tabella3[[#This Row],[Lombardy fit]]/y_l_peak</f>
        <v>9.4423802362622201E-3</v>
      </c>
      <c r="X193" s="10">
        <f>Tabella3[[#This Row],[Lombardy fit]]*NOT(ISBLANK(Tabella3[[#This Row],[Lombardy data]]))</f>
        <v>0</v>
      </c>
      <c r="Y193" s="151"/>
      <c r="Z193" s="151"/>
      <c r="AA193" s="151"/>
      <c r="AB193" s="10"/>
      <c r="AC193" s="10">
        <f>Tabella3[[#This Row],[rest of Italy data]]*NOT(ISBLANK(Tabella3[[#This Row],[rest of Italy data]]))</f>
        <v>0</v>
      </c>
      <c r="AD193" s="96" t="e">
        <f>Tabella8[[#This Row],[rest of Italy fit]]</f>
        <v>#VALUE!</v>
      </c>
      <c r="AE193" s="91" t="e">
        <f>Tabella3[[#This Row],[rest of Italy cumul. Fit]]/Ka</f>
        <v>#VALUE!</v>
      </c>
      <c r="AF193" s="91">
        <f>IFERROR(Ka*_xlfn.LOGNORM.DIST((Tabella3[[#This Row],[Day]]-pa),mu_a,sigma_a,FALSE),0)</f>
        <v>15.444999109857786</v>
      </c>
      <c r="AG193" s="91">
        <f>Tabella3[[#This Row],[rest of Italy fit]]/y_a_peak</f>
        <v>4.5706770012149747E-3</v>
      </c>
      <c r="AH193" s="10">
        <f>Tabella3[[#This Row],[rest of Italy fit]]*NOT(ISBLANK(Tabella3[[#This Row],[rest of Italy data]]))</f>
        <v>0</v>
      </c>
      <c r="AI193" s="151"/>
      <c r="AJ193" s="151"/>
    </row>
    <row r="194" spans="2:36" x14ac:dyDescent="0.3">
      <c r="B194" s="9">
        <v>44017</v>
      </c>
      <c r="C194" s="4">
        <v>187</v>
      </c>
      <c r="D194" s="151"/>
      <c r="E194" s="10"/>
      <c r="F194" s="10">
        <f>Tabella3[[#This Row],[Italy data]]*NOT(ISBLANK(Tabella3[[#This Row],[Italy data]]))</f>
        <v>0</v>
      </c>
      <c r="G194" s="96" t="e">
        <f>Tabella8[[#This Row],[Italy fit]]</f>
        <v>#VALUE!</v>
      </c>
      <c r="H194" s="96" t="e">
        <f>Tabella3[[#This Row],[Italy cumul. Fit]]/Kf</f>
        <v>#VALUE!</v>
      </c>
      <c r="I194" s="96">
        <f>Tabella3[[#This Row],[Lombardy fit]]+Tabella3[[#This Row],[rest of Italy fit]]</f>
        <v>30.082121462345757</v>
      </c>
      <c r="J194" s="96">
        <f>Tabella3[[#This Row],[Italy (fitted Lombardy + fitted sum of the other regions)]]/(y_l_peak+y_a_peak)</f>
        <v>5.8558526211284559E-3</v>
      </c>
      <c r="K194" s="91">
        <f>IFERROR(Kf*_xlfn.LOGNORM.DIST((Tabella3[[#This Row],[Day]]-D_bk),mu_f,sigma_f,FALSE),0)</f>
        <v>26.573940955118839</v>
      </c>
      <c r="L194" s="91">
        <f>Tabella3[[#This Row],[Italy fit]]/y_f_peak</f>
        <v>5.2500951895419635E-3</v>
      </c>
      <c r="M194" s="10">
        <f>Tabella3[[#This Row],[Italy (fitted Lombardy + fitted sum of the other regions)]]*NOT(ISBLANK(Tabella3[[#This Row],[Italy data]]))</f>
        <v>0</v>
      </c>
      <c r="N194" s="10">
        <f>Tabella3[[#This Row],[Italy fit]]*NOT(ISBLANK(Tabella3[[#This Row],[Italy data]]))</f>
        <v>0</v>
      </c>
      <c r="O194" s="151"/>
      <c r="P194" s="151"/>
      <c r="Q194" s="151"/>
      <c r="R194" s="10"/>
      <c r="S194" s="10">
        <f>Tabella3[[#This Row],[Lombardy data]]*NOT(ISBLANK(Tabella3[[#This Row],[Lombardy data]]))</f>
        <v>0</v>
      </c>
      <c r="T194" s="96" t="e">
        <f>Tabella8[[#This Row],[Lombardy fit]]</f>
        <v>#VALUE!</v>
      </c>
      <c r="U194" s="91" t="e">
        <f>Tabella3[[#This Row],[Lombardy cumul. Fit]]/Kl</f>
        <v>#VALUE!</v>
      </c>
      <c r="V194" s="91">
        <f>IFERROR(Kl*_xlfn.LOGNORM.DIST((Tabella3[[#This Row],[Day]]-pl),mu_l,sigma_l,FALSE),0)</f>
        <v>15.66472097132373</v>
      </c>
      <c r="W194" s="91">
        <f>Tabella3[[#This Row],[Lombardy fit]]/y_l_peak</f>
        <v>8.9107660180335058E-3</v>
      </c>
      <c r="X194" s="10">
        <f>Tabella3[[#This Row],[Lombardy fit]]*NOT(ISBLANK(Tabella3[[#This Row],[Lombardy data]]))</f>
        <v>0</v>
      </c>
      <c r="Y194" s="151"/>
      <c r="Z194" s="151"/>
      <c r="AA194" s="151"/>
      <c r="AB194" s="10"/>
      <c r="AC194" s="10">
        <f>Tabella3[[#This Row],[rest of Italy data]]*NOT(ISBLANK(Tabella3[[#This Row],[rest of Italy data]]))</f>
        <v>0</v>
      </c>
      <c r="AD194" s="96" t="e">
        <f>Tabella8[[#This Row],[rest of Italy fit]]</f>
        <v>#VALUE!</v>
      </c>
      <c r="AE194" s="91" t="e">
        <f>Tabella3[[#This Row],[rest of Italy cumul. Fit]]/Ka</f>
        <v>#VALUE!</v>
      </c>
      <c r="AF194" s="91">
        <f>IFERROR(Ka*_xlfn.LOGNORM.DIST((Tabella3[[#This Row],[Day]]-pa),mu_a,sigma_a,FALSE),0)</f>
        <v>14.417400491022027</v>
      </c>
      <c r="AG194" s="91">
        <f>Tabella3[[#This Row],[rest of Italy fit]]/y_a_peak</f>
        <v>4.2665771861107359E-3</v>
      </c>
      <c r="AH194" s="10">
        <f>Tabella3[[#This Row],[rest of Italy fit]]*NOT(ISBLANK(Tabella3[[#This Row],[rest of Italy data]]))</f>
        <v>0</v>
      </c>
      <c r="AI194" s="151"/>
      <c r="AJ194" s="151"/>
    </row>
    <row r="195" spans="2:36" x14ac:dyDescent="0.3">
      <c r="B195" s="9">
        <v>44018</v>
      </c>
      <c r="C195" s="4">
        <v>188</v>
      </c>
      <c r="D195" s="151"/>
      <c r="E195" s="10"/>
      <c r="F195" s="10">
        <f>Tabella3[[#This Row],[Italy data]]*NOT(ISBLANK(Tabella3[[#This Row],[Italy data]]))</f>
        <v>0</v>
      </c>
      <c r="G195" s="96" t="e">
        <f>Tabella8[[#This Row],[Italy fit]]</f>
        <v>#VALUE!</v>
      </c>
      <c r="H195" s="96" t="e">
        <f>Tabella3[[#This Row],[Italy cumul. Fit]]/Kf</f>
        <v>#VALUE!</v>
      </c>
      <c r="I195" s="96">
        <f>Tabella3[[#This Row],[Lombardy fit]]+Tabella3[[#This Row],[rest of Italy fit]]</f>
        <v>28.241558723300749</v>
      </c>
      <c r="J195" s="96">
        <f>Tabella3[[#This Row],[Italy (fitted Lombardy + fitted sum of the other regions)]]/(y_l_peak+y_a_peak)</f>
        <v>5.4975645877103621E-3</v>
      </c>
      <c r="K195" s="91">
        <f>IFERROR(Kf*_xlfn.LOGNORM.DIST((Tabella3[[#This Row],[Day]]-D_bk),mu_f,sigma_f,FALSE),0)</f>
        <v>24.844439211402531</v>
      </c>
      <c r="L195" s="91">
        <f>Tabella3[[#This Row],[Italy fit]]/y_f_peak</f>
        <v>4.9084052309345868E-3</v>
      </c>
      <c r="M195" s="10">
        <f>Tabella3[[#This Row],[Italy (fitted Lombardy + fitted sum of the other regions)]]*NOT(ISBLANK(Tabella3[[#This Row],[Italy data]]))</f>
        <v>0</v>
      </c>
      <c r="N195" s="10">
        <f>Tabella3[[#This Row],[Italy fit]]*NOT(ISBLANK(Tabella3[[#This Row],[Italy data]]))</f>
        <v>0</v>
      </c>
      <c r="O195" s="151"/>
      <c r="P195" s="151"/>
      <c r="Q195" s="151"/>
      <c r="R195" s="10"/>
      <c r="S195" s="10">
        <f>Tabella3[[#This Row],[Lombardy data]]*NOT(ISBLANK(Tabella3[[#This Row],[Lombardy data]]))</f>
        <v>0</v>
      </c>
      <c r="T195" s="96" t="e">
        <f>Tabella8[[#This Row],[Lombardy fit]]</f>
        <v>#VALUE!</v>
      </c>
      <c r="U195" s="91" t="e">
        <f>Tabella3[[#This Row],[Lombardy cumul. Fit]]/Kl</f>
        <v>#VALUE!</v>
      </c>
      <c r="V195" s="91">
        <f>IFERROR(Kl*_xlfn.LOGNORM.DIST((Tabella3[[#This Row],[Day]]-pl),mu_l,sigma_l,FALSE),0)</f>
        <v>14.783025292992344</v>
      </c>
      <c r="W195" s="91">
        <f>Tabella3[[#This Row],[Lombardy fit]]/y_l_peak</f>
        <v>8.4092196513216571E-3</v>
      </c>
      <c r="X195" s="10">
        <f>Tabella3[[#This Row],[Lombardy fit]]*NOT(ISBLANK(Tabella3[[#This Row],[Lombardy data]]))</f>
        <v>0</v>
      </c>
      <c r="Y195" s="151"/>
      <c r="Z195" s="151"/>
      <c r="AA195" s="151"/>
      <c r="AB195" s="10"/>
      <c r="AC195" s="10">
        <f>Tabella3[[#This Row],[rest of Italy data]]*NOT(ISBLANK(Tabella3[[#This Row],[rest of Italy data]]))</f>
        <v>0</v>
      </c>
      <c r="AD195" s="96" t="e">
        <f>Tabella8[[#This Row],[rest of Italy fit]]</f>
        <v>#VALUE!</v>
      </c>
      <c r="AE195" s="91" t="e">
        <f>Tabella3[[#This Row],[rest of Italy cumul. Fit]]/Ka</f>
        <v>#VALUE!</v>
      </c>
      <c r="AF195" s="91">
        <f>IFERROR(Ka*_xlfn.LOGNORM.DIST((Tabella3[[#This Row],[Day]]-pa),mu_a,sigma_a,FALSE),0)</f>
        <v>13.458533430308405</v>
      </c>
      <c r="AG195" s="91">
        <f>Tabella3[[#This Row],[rest of Italy fit]]/y_a_peak</f>
        <v>3.98281727194997E-3</v>
      </c>
      <c r="AH195" s="10">
        <f>Tabella3[[#This Row],[rest of Italy fit]]*NOT(ISBLANK(Tabella3[[#This Row],[rest of Italy data]]))</f>
        <v>0</v>
      </c>
      <c r="AI195" s="151"/>
      <c r="AJ195" s="151"/>
    </row>
    <row r="196" spans="2:36" x14ac:dyDescent="0.3">
      <c r="B196" s="9">
        <v>44019</v>
      </c>
      <c r="C196" s="4">
        <v>189</v>
      </c>
      <c r="D196" s="151"/>
      <c r="E196" s="10"/>
      <c r="F196" s="10">
        <f>Tabella3[[#This Row],[Italy data]]*NOT(ISBLANK(Tabella3[[#This Row],[Italy data]]))</f>
        <v>0</v>
      </c>
      <c r="G196" s="96" t="e">
        <f>Tabella8[[#This Row],[Italy fit]]</f>
        <v>#VALUE!</v>
      </c>
      <c r="H196" s="96" t="e">
        <f>Tabella3[[#This Row],[Italy cumul. Fit]]/Kf</f>
        <v>#VALUE!</v>
      </c>
      <c r="I196" s="96">
        <f>Tabella3[[#This Row],[Lombardy fit]]+Tabella3[[#This Row],[rest of Italy fit]]</f>
        <v>26.515021069880781</v>
      </c>
      <c r="J196" s="96">
        <f>Tabella3[[#This Row],[Italy (fitted Lombardy + fitted sum of the other regions)]]/(y_l_peak+y_a_peak)</f>
        <v>5.161472930879857E-3</v>
      </c>
      <c r="K196" s="91">
        <f>IFERROR(Kf*_xlfn.LOGNORM.DIST((Tabella3[[#This Row],[Day]]-D_bk),mu_f,sigma_f,FALSE),0)</f>
        <v>23.22759318622542</v>
      </c>
      <c r="L196" s="91">
        <f>Tabella3[[#This Row],[Italy fit]]/y_f_peak</f>
        <v>4.588972161020383E-3</v>
      </c>
      <c r="M196" s="10">
        <f>Tabella3[[#This Row],[Italy (fitted Lombardy + fitted sum of the other regions)]]*NOT(ISBLANK(Tabella3[[#This Row],[Italy data]]))</f>
        <v>0</v>
      </c>
      <c r="N196" s="10">
        <f>Tabella3[[#This Row],[Italy fit]]*NOT(ISBLANK(Tabella3[[#This Row],[Italy data]]))</f>
        <v>0</v>
      </c>
      <c r="O196" s="151"/>
      <c r="P196" s="151"/>
      <c r="Q196" s="151"/>
      <c r="R196" s="10"/>
      <c r="S196" s="10">
        <f>Tabella3[[#This Row],[Lombardy data]]*NOT(ISBLANK(Tabella3[[#This Row],[Lombardy data]]))</f>
        <v>0</v>
      </c>
      <c r="T196" s="96" t="e">
        <f>Tabella8[[#This Row],[Lombardy fit]]</f>
        <v>#VALUE!</v>
      </c>
      <c r="U196" s="91" t="e">
        <f>Tabella3[[#This Row],[Lombardy cumul. Fit]]/Kl</f>
        <v>#VALUE!</v>
      </c>
      <c r="V196" s="91">
        <f>IFERROR(Kl*_xlfn.LOGNORM.DIST((Tabella3[[#This Row],[Day]]-pl),mu_l,sigma_l,FALSE),0)</f>
        <v>13.951212814257888</v>
      </c>
      <c r="W196" s="91">
        <f>Tabella3[[#This Row],[Lombardy fit]]/y_l_peak</f>
        <v>7.9360489908003509E-3</v>
      </c>
      <c r="X196" s="10">
        <f>Tabella3[[#This Row],[Lombardy fit]]*NOT(ISBLANK(Tabella3[[#This Row],[Lombardy data]]))</f>
        <v>0</v>
      </c>
      <c r="Y196" s="151"/>
      <c r="Z196" s="151"/>
      <c r="AA196" s="151"/>
      <c r="AB196" s="10"/>
      <c r="AC196" s="10">
        <f>Tabella3[[#This Row],[rest of Italy data]]*NOT(ISBLANK(Tabella3[[#This Row],[rest of Italy data]]))</f>
        <v>0</v>
      </c>
      <c r="AD196" s="96" t="e">
        <f>Tabella8[[#This Row],[rest of Italy fit]]</f>
        <v>#VALUE!</v>
      </c>
      <c r="AE196" s="91" t="e">
        <f>Tabella3[[#This Row],[rest of Italy cumul. Fit]]/Ka</f>
        <v>#VALUE!</v>
      </c>
      <c r="AF196" s="91">
        <f>IFERROR(Ka*_xlfn.LOGNORM.DIST((Tabella3[[#This Row],[Day]]-pa),mu_a,sigma_a,FALSE),0)</f>
        <v>12.563808255622892</v>
      </c>
      <c r="AG196" s="91">
        <f>Tabella3[[#This Row],[rest of Italy fit]]/y_a_peak</f>
        <v>3.7180390256545074E-3</v>
      </c>
      <c r="AH196" s="10">
        <f>Tabella3[[#This Row],[rest of Italy fit]]*NOT(ISBLANK(Tabella3[[#This Row],[rest of Italy data]]))</f>
        <v>0</v>
      </c>
      <c r="AI196" s="151"/>
      <c r="AJ196" s="151"/>
    </row>
    <row r="197" spans="2:36" x14ac:dyDescent="0.3">
      <c r="B197" s="9">
        <v>44020</v>
      </c>
      <c r="C197" s="4">
        <v>190</v>
      </c>
      <c r="D197" s="151"/>
      <c r="E197" s="10"/>
      <c r="F197" s="10">
        <f>Tabella3[[#This Row],[Italy data]]*NOT(ISBLANK(Tabella3[[#This Row],[Italy data]]))</f>
        <v>0</v>
      </c>
      <c r="G197" s="96" t="e">
        <f>Tabella8[[#This Row],[Italy fit]]</f>
        <v>#VALUE!</v>
      </c>
      <c r="H197" s="96" t="e">
        <f>Tabella3[[#This Row],[Italy cumul. Fit]]/Kf</f>
        <v>#VALUE!</v>
      </c>
      <c r="I197" s="96">
        <f>Tabella3[[#This Row],[Lombardy fit]]+Tabella3[[#This Row],[rest of Italy fit]]</f>
        <v>24.895411133282451</v>
      </c>
      <c r="J197" s="96">
        <f>Tabella3[[#This Row],[Italy (fitted Lombardy + fitted sum of the other regions)]]/(y_l_peak+y_a_peak)</f>
        <v>4.8461960610518247E-3</v>
      </c>
      <c r="K197" s="91">
        <f>IFERROR(Kf*_xlfn.LOGNORM.DIST((Tabella3[[#This Row],[Day]]-D_bk),mu_f,sigma_f,FALSE),0)</f>
        <v>21.716115595079749</v>
      </c>
      <c r="L197" s="91">
        <f>Tabella3[[#This Row],[Italy fit]]/y_f_peak</f>
        <v>4.2903562634470198E-3</v>
      </c>
      <c r="M197" s="10">
        <f>Tabella3[[#This Row],[Italy (fitted Lombardy + fitted sum of the other regions)]]*NOT(ISBLANK(Tabella3[[#This Row],[Italy data]]))</f>
        <v>0</v>
      </c>
      <c r="N197" s="10">
        <f>Tabella3[[#This Row],[Italy fit]]*NOT(ISBLANK(Tabella3[[#This Row],[Italy data]]))</f>
        <v>0</v>
      </c>
      <c r="O197" s="151"/>
      <c r="P197" s="151"/>
      <c r="Q197" s="151"/>
      <c r="R197" s="10"/>
      <c r="S197" s="10">
        <f>Tabella3[[#This Row],[Lombardy data]]*NOT(ISBLANK(Tabella3[[#This Row],[Lombardy data]]))</f>
        <v>0</v>
      </c>
      <c r="T197" s="96" t="e">
        <f>Tabella8[[#This Row],[Lombardy fit]]</f>
        <v>#VALUE!</v>
      </c>
      <c r="U197" s="91" t="e">
        <f>Tabella3[[#This Row],[Lombardy cumul. Fit]]/Kl</f>
        <v>#VALUE!</v>
      </c>
      <c r="V197" s="91">
        <f>IFERROR(Kl*_xlfn.LOGNORM.DIST((Tabella3[[#This Row],[Day]]-pl),mu_l,sigma_l,FALSE),0)</f>
        <v>13.16647292767267</v>
      </c>
      <c r="W197" s="91">
        <f>Tabella3[[#This Row],[Lombardy fit]]/y_l_peak</f>
        <v>7.4896552422503496E-3</v>
      </c>
      <c r="X197" s="10">
        <f>Tabella3[[#This Row],[Lombardy fit]]*NOT(ISBLANK(Tabella3[[#This Row],[Lombardy data]]))</f>
        <v>0</v>
      </c>
      <c r="Y197" s="151"/>
      <c r="Z197" s="151"/>
      <c r="AA197" s="151"/>
      <c r="AB197" s="10"/>
      <c r="AC197" s="10">
        <f>Tabella3[[#This Row],[rest of Italy data]]*NOT(ISBLANK(Tabella3[[#This Row],[rest of Italy data]]))</f>
        <v>0</v>
      </c>
      <c r="AD197" s="96" t="e">
        <f>Tabella8[[#This Row],[rest of Italy fit]]</f>
        <v>#VALUE!</v>
      </c>
      <c r="AE197" s="91" t="e">
        <f>Tabella3[[#This Row],[rest of Italy cumul. Fit]]/Ka</f>
        <v>#VALUE!</v>
      </c>
      <c r="AF197" s="91">
        <f>IFERROR(Ka*_xlfn.LOGNORM.DIST((Tabella3[[#This Row],[Day]]-pa),mu_a,sigma_a,FALSE),0)</f>
        <v>11.728938205609783</v>
      </c>
      <c r="AG197" s="91">
        <f>Tabella3[[#This Row],[rest of Italy fit]]/y_a_peak</f>
        <v>3.4709738552743683E-3</v>
      </c>
      <c r="AH197" s="10">
        <f>Tabella3[[#This Row],[rest of Italy fit]]*NOT(ISBLANK(Tabella3[[#This Row],[rest of Italy data]]))</f>
        <v>0</v>
      </c>
      <c r="AI197" s="151"/>
      <c r="AJ197" s="151"/>
    </row>
    <row r="198" spans="2:36" x14ac:dyDescent="0.3">
      <c r="B198" s="9">
        <v>44021</v>
      </c>
      <c r="C198" s="4">
        <v>191</v>
      </c>
      <c r="D198" s="151"/>
      <c r="E198" s="10"/>
      <c r="F198" s="10">
        <f>Tabella3[[#This Row],[Italy data]]*NOT(ISBLANK(Tabella3[[#This Row],[Italy data]]))</f>
        <v>0</v>
      </c>
      <c r="G198" s="96" t="e">
        <f>Tabella8[[#This Row],[Italy fit]]</f>
        <v>#VALUE!</v>
      </c>
      <c r="H198" s="96" t="e">
        <f>Tabella3[[#This Row],[Italy cumul. Fit]]/Kf</f>
        <v>#VALUE!</v>
      </c>
      <c r="I198" s="96">
        <f>Tabella3[[#This Row],[Lombardy fit]]+Tabella3[[#This Row],[rest of Italy fit]]</f>
        <v>23.376070476988559</v>
      </c>
      <c r="J198" s="96">
        <f>Tabella3[[#This Row],[Italy (fitted Lombardy + fitted sum of the other regions)]]/(y_l_peak+y_a_peak)</f>
        <v>4.5504378321755082E-3</v>
      </c>
      <c r="K198" s="91">
        <f>IFERROR(Kf*_xlfn.LOGNORM.DIST((Tabella3[[#This Row],[Day]]-D_bk),mu_f,sigma_f,FALSE),0)</f>
        <v>20.303181818820516</v>
      </c>
      <c r="L198" s="91">
        <f>Tabella3[[#This Row],[Italy fit]]/y_f_peak</f>
        <v>4.0112092285977891E-3</v>
      </c>
      <c r="M198" s="10">
        <f>Tabella3[[#This Row],[Italy (fitted Lombardy + fitted sum of the other regions)]]*NOT(ISBLANK(Tabella3[[#This Row],[Italy data]]))</f>
        <v>0</v>
      </c>
      <c r="N198" s="10">
        <f>Tabella3[[#This Row],[Italy fit]]*NOT(ISBLANK(Tabella3[[#This Row],[Italy data]]))</f>
        <v>0</v>
      </c>
      <c r="O198" s="151"/>
      <c r="P198" s="151"/>
      <c r="Q198" s="151"/>
      <c r="R198" s="10"/>
      <c r="S198" s="10">
        <f>Tabella3[[#This Row],[Lombardy data]]*NOT(ISBLANK(Tabella3[[#This Row],[Lombardy data]]))</f>
        <v>0</v>
      </c>
      <c r="T198" s="96" t="e">
        <f>Tabella8[[#This Row],[Lombardy fit]]</f>
        <v>#VALUE!</v>
      </c>
      <c r="U198" s="91" t="e">
        <f>Tabella3[[#This Row],[Lombardy cumul. Fit]]/Kl</f>
        <v>#VALUE!</v>
      </c>
      <c r="V198" s="91">
        <f>IFERROR(Kl*_xlfn.LOGNORM.DIST((Tabella3[[#This Row],[Day]]-pl),mu_l,sigma_l,FALSE),0)</f>
        <v>12.426150488902081</v>
      </c>
      <c r="W198" s="91">
        <f>Tabella3[[#This Row],[Lombardy fit]]/y_l_peak</f>
        <v>7.0685280455475797E-3</v>
      </c>
      <c r="X198" s="10">
        <f>Tabella3[[#This Row],[Lombardy fit]]*NOT(ISBLANK(Tabella3[[#This Row],[Lombardy data]]))</f>
        <v>0</v>
      </c>
      <c r="Y198" s="151"/>
      <c r="Z198" s="151"/>
      <c r="AA198" s="151"/>
      <c r="AB198" s="10"/>
      <c r="AC198" s="10">
        <f>Tabella3[[#This Row],[rest of Italy data]]*NOT(ISBLANK(Tabella3[[#This Row],[rest of Italy data]]))</f>
        <v>0</v>
      </c>
      <c r="AD198" s="96" t="e">
        <f>Tabella8[[#This Row],[rest of Italy fit]]</f>
        <v>#VALUE!</v>
      </c>
      <c r="AE198" s="91" t="e">
        <f>Tabella3[[#This Row],[rest of Italy cumul. Fit]]/Ka</f>
        <v>#VALUE!</v>
      </c>
      <c r="AF198" s="91">
        <f>IFERROR(Ka*_xlfn.LOGNORM.DIST((Tabella3[[#This Row],[Day]]-pa),mu_a,sigma_a,FALSE),0)</f>
        <v>10.949919988086478</v>
      </c>
      <c r="AG198" s="91">
        <f>Tabella3[[#This Row],[rest of Italy fit]]/y_a_peak</f>
        <v>3.2404370565970106E-3</v>
      </c>
      <c r="AH198" s="10">
        <f>Tabella3[[#This Row],[rest of Italy fit]]*NOT(ISBLANK(Tabella3[[#This Row],[rest of Italy data]]))</f>
        <v>0</v>
      </c>
      <c r="AI198" s="151"/>
      <c r="AJ198" s="151"/>
    </row>
    <row r="199" spans="2:36" x14ac:dyDescent="0.3">
      <c r="B199" s="9">
        <v>44022</v>
      </c>
      <c r="C199" s="4">
        <v>192</v>
      </c>
      <c r="D199" s="151"/>
      <c r="E199" s="10"/>
      <c r="F199" s="10">
        <f>Tabella3[[#This Row],[Italy data]]*NOT(ISBLANK(Tabella3[[#This Row],[Italy data]]))</f>
        <v>0</v>
      </c>
      <c r="G199" s="96" t="e">
        <f>Tabella8[[#This Row],[Italy fit]]</f>
        <v>#VALUE!</v>
      </c>
      <c r="H199" s="96" t="e">
        <f>Tabella3[[#This Row],[Italy cumul. Fit]]/Kf</f>
        <v>#VALUE!</v>
      </c>
      <c r="I199" s="96">
        <f>Tabella3[[#This Row],[Lombardy fit]]+Tabella3[[#This Row],[rest of Italy fit]]</f>
        <v>21.950753100253554</v>
      </c>
      <c r="J199" s="96">
        <f>Tabella3[[#This Row],[Italy (fitted Lombardy + fitted sum of the other regions)]]/(y_l_peak+y_a_peak)</f>
        <v>4.2729823838640922E-3</v>
      </c>
      <c r="K199" s="91">
        <f>IFERROR(Kf*_xlfn.LOGNORM.DIST((Tabella3[[#This Row],[Day]]-D_bk),mu_f,sigma_f,FALSE),0)</f>
        <v>18.982401630191838</v>
      </c>
      <c r="L199" s="91">
        <f>Tabella3[[#This Row],[Italy fit]]/y_f_peak</f>
        <v>3.750268567727312E-3</v>
      </c>
      <c r="M199" s="10">
        <f>Tabella3[[#This Row],[Italy (fitted Lombardy + fitted sum of the other regions)]]*NOT(ISBLANK(Tabella3[[#This Row],[Italy data]]))</f>
        <v>0</v>
      </c>
      <c r="N199" s="10">
        <f>Tabella3[[#This Row],[Italy fit]]*NOT(ISBLANK(Tabella3[[#This Row],[Italy data]]))</f>
        <v>0</v>
      </c>
      <c r="O199" s="151"/>
      <c r="P199" s="151"/>
      <c r="Q199" s="151"/>
      <c r="R199" s="10"/>
      <c r="S199" s="10">
        <f>Tabella3[[#This Row],[Lombardy data]]*NOT(ISBLANK(Tabella3[[#This Row],[Lombardy data]]))</f>
        <v>0</v>
      </c>
      <c r="T199" s="96" t="e">
        <f>Tabella8[[#This Row],[Lombardy fit]]</f>
        <v>#VALUE!</v>
      </c>
      <c r="U199" s="91" t="e">
        <f>Tabella3[[#This Row],[Lombardy cumul. Fit]]/Kl</f>
        <v>#VALUE!</v>
      </c>
      <c r="V199" s="91">
        <f>IFERROR(Kl*_xlfn.LOGNORM.DIST((Tabella3[[#This Row],[Day]]-pl),mu_l,sigma_l,FALSE),0)</f>
        <v>11.727737583666684</v>
      </c>
      <c r="W199" s="91">
        <f>Tabella3[[#This Row],[Lombardy fit]]/y_l_peak</f>
        <v>6.6712407913462222E-3</v>
      </c>
      <c r="X199" s="10">
        <f>Tabella3[[#This Row],[Lombardy fit]]*NOT(ISBLANK(Tabella3[[#This Row],[Lombardy data]]))</f>
        <v>0</v>
      </c>
      <c r="Y199" s="151"/>
      <c r="Z199" s="151"/>
      <c r="AA199" s="151"/>
      <c r="AB199" s="10"/>
      <c r="AC199" s="10">
        <f>Tabella3[[#This Row],[rest of Italy data]]*NOT(ISBLANK(Tabella3[[#This Row],[rest of Italy data]]))</f>
        <v>0</v>
      </c>
      <c r="AD199" s="96" t="e">
        <f>Tabella8[[#This Row],[rest of Italy fit]]</f>
        <v>#VALUE!</v>
      </c>
      <c r="AE199" s="91" t="e">
        <f>Tabella3[[#This Row],[rest of Italy cumul. Fit]]/Ka</f>
        <v>#VALUE!</v>
      </c>
      <c r="AF199" s="91">
        <f>IFERROR(Ka*_xlfn.LOGNORM.DIST((Tabella3[[#This Row],[Day]]-pa),mu_a,sigma_a,FALSE),0)</f>
        <v>10.223015516586869</v>
      </c>
      <c r="AG199" s="91">
        <f>Tabella3[[#This Row],[rest of Italy fit]]/y_a_peak</f>
        <v>3.0253224083971906E-3</v>
      </c>
      <c r="AH199" s="10">
        <f>Tabella3[[#This Row],[rest of Italy fit]]*NOT(ISBLANK(Tabella3[[#This Row],[rest of Italy data]]))</f>
        <v>0</v>
      </c>
      <c r="AI199" s="151"/>
      <c r="AJ199" s="151"/>
    </row>
    <row r="200" spans="2:36" x14ac:dyDescent="0.3">
      <c r="B200" s="9">
        <v>44023</v>
      </c>
      <c r="C200" s="4">
        <v>193</v>
      </c>
      <c r="D200" s="151"/>
      <c r="E200" s="10"/>
      <c r="F200" s="10">
        <f>Tabella3[[#This Row],[Italy data]]*NOT(ISBLANK(Tabella3[[#This Row],[Italy data]]))</f>
        <v>0</v>
      </c>
      <c r="G200" s="96" t="e">
        <f>Tabella8[[#This Row],[Italy fit]]</f>
        <v>#VALUE!</v>
      </c>
      <c r="H200" s="96" t="e">
        <f>Tabella3[[#This Row],[Italy cumul. Fit]]/Kf</f>
        <v>#VALUE!</v>
      </c>
      <c r="I200" s="96">
        <f>Tabella3[[#This Row],[Lombardy fit]]+Tabella3[[#This Row],[rest of Italy fit]]</f>
        <v>20.613600452687471</v>
      </c>
      <c r="J200" s="96">
        <f>Tabella3[[#This Row],[Italy (fitted Lombardy + fitted sum of the other regions)]]/(y_l_peak+y_a_peak)</f>
        <v>4.0126892776780861E-3</v>
      </c>
      <c r="K200" s="91">
        <f>IFERROR(Kf*_xlfn.LOGNORM.DIST((Tabella3[[#This Row],[Day]]-D_bk),mu_f,sigma_f,FALSE),0)</f>
        <v>17.747792521671528</v>
      </c>
      <c r="L200" s="91">
        <f>Tabella3[[#This Row],[Italy fit]]/y_f_peak</f>
        <v>3.5063523434625552E-3</v>
      </c>
      <c r="M200" s="10">
        <f>Tabella3[[#This Row],[Italy (fitted Lombardy + fitted sum of the other regions)]]*NOT(ISBLANK(Tabella3[[#This Row],[Italy data]]))</f>
        <v>0</v>
      </c>
      <c r="N200" s="10">
        <f>Tabella3[[#This Row],[Italy fit]]*NOT(ISBLANK(Tabella3[[#This Row],[Italy data]]))</f>
        <v>0</v>
      </c>
      <c r="O200" s="151"/>
      <c r="P200" s="151"/>
      <c r="Q200" s="151"/>
      <c r="R200" s="10"/>
      <c r="S200" s="10">
        <f>Tabella3[[#This Row],[Lombardy data]]*NOT(ISBLANK(Tabella3[[#This Row],[Lombardy data]]))</f>
        <v>0</v>
      </c>
      <c r="T200" s="96" t="e">
        <f>Tabella8[[#This Row],[Lombardy fit]]</f>
        <v>#VALUE!</v>
      </c>
      <c r="U200" s="91" t="e">
        <f>Tabella3[[#This Row],[Lombardy cumul. Fit]]/Kl</f>
        <v>#VALUE!</v>
      </c>
      <c r="V200" s="91">
        <f>IFERROR(Kl*_xlfn.LOGNORM.DIST((Tabella3[[#This Row],[Day]]-pl),mu_l,sigma_l,FALSE),0)</f>
        <v>11.068865690713725</v>
      </c>
      <c r="W200" s="91">
        <f>Tabella3[[#This Row],[Lombardy fit]]/y_l_peak</f>
        <v>6.2964461630403397E-3</v>
      </c>
      <c r="X200" s="10">
        <f>Tabella3[[#This Row],[Lombardy fit]]*NOT(ISBLANK(Tabella3[[#This Row],[Lombardy data]]))</f>
        <v>0</v>
      </c>
      <c r="Y200" s="151"/>
      <c r="Z200" s="151"/>
      <c r="AA200" s="151"/>
      <c r="AB200" s="10"/>
      <c r="AC200" s="10">
        <f>Tabella3[[#This Row],[rest of Italy data]]*NOT(ISBLANK(Tabella3[[#This Row],[rest of Italy data]]))</f>
        <v>0</v>
      </c>
      <c r="AD200" s="96" t="e">
        <f>Tabella8[[#This Row],[rest of Italy fit]]</f>
        <v>#VALUE!</v>
      </c>
      <c r="AE200" s="91" t="e">
        <f>Tabella3[[#This Row],[rest of Italy cumul. Fit]]/Ka</f>
        <v>#VALUE!</v>
      </c>
      <c r="AF200" s="91">
        <f>IFERROR(Ka*_xlfn.LOGNORM.DIST((Tabella3[[#This Row],[Day]]-pa),mu_a,sigma_a,FALSE),0)</f>
        <v>9.5447347619737481</v>
      </c>
      <c r="AG200" s="91">
        <f>Tabella3[[#This Row],[rest of Italy fit]]/y_a_peak</f>
        <v>2.8245970976719719E-3</v>
      </c>
      <c r="AH200" s="10">
        <f>Tabella3[[#This Row],[rest of Italy fit]]*NOT(ISBLANK(Tabella3[[#This Row],[rest of Italy data]]))</f>
        <v>0</v>
      </c>
      <c r="AI200" s="151"/>
      <c r="AJ200" s="151"/>
    </row>
    <row r="201" spans="2:36" x14ac:dyDescent="0.3">
      <c r="B201" s="9">
        <v>44024</v>
      </c>
      <c r="C201" s="4">
        <v>194</v>
      </c>
      <c r="D201" s="151"/>
      <c r="E201" s="10"/>
      <c r="F201" s="10">
        <f>Tabella3[[#This Row],[Italy data]]*NOT(ISBLANK(Tabella3[[#This Row],[Italy data]]))</f>
        <v>0</v>
      </c>
      <c r="G201" s="96" t="e">
        <f>Tabella8[[#This Row],[Italy fit]]</f>
        <v>#VALUE!</v>
      </c>
      <c r="H201" s="96" t="e">
        <f>Tabella3[[#This Row],[Italy cumul. Fit]]/Kf</f>
        <v>#VALUE!</v>
      </c>
      <c r="I201" s="96">
        <f>Tabella3[[#This Row],[Lombardy fit]]+Tabella3[[#This Row],[rest of Italy fit]]</f>
        <v>19.359117884457476</v>
      </c>
      <c r="J201" s="96">
        <f>Tabella3[[#This Row],[Italy (fitted Lombardy + fitted sum of the other regions)]]/(y_l_peak+y_a_peak)</f>
        <v>3.7684889128692159E-3</v>
      </c>
      <c r="K201" s="91">
        <f>IFERROR(Kf*_xlfn.LOGNORM.DIST((Tabella3[[#This Row],[Day]]-D_bk),mu_f,sigma_f,FALSE),0)</f>
        <v>16.593754558181988</v>
      </c>
      <c r="L201" s="91">
        <f>Tabella3[[#This Row],[Italy fit]]/y_f_peak</f>
        <v>3.2783542015648948E-3</v>
      </c>
      <c r="M201" s="10">
        <f>Tabella3[[#This Row],[Italy (fitted Lombardy + fitted sum of the other regions)]]*NOT(ISBLANK(Tabella3[[#This Row],[Italy data]]))</f>
        <v>0</v>
      </c>
      <c r="N201" s="10">
        <f>Tabella3[[#This Row],[Italy fit]]*NOT(ISBLANK(Tabella3[[#This Row],[Italy data]]))</f>
        <v>0</v>
      </c>
      <c r="O201" s="151"/>
      <c r="P201" s="151"/>
      <c r="Q201" s="151"/>
      <c r="R201" s="10"/>
      <c r="S201" s="10">
        <f>Tabella3[[#This Row],[Lombardy data]]*NOT(ISBLANK(Tabella3[[#This Row],[Lombardy data]]))</f>
        <v>0</v>
      </c>
      <c r="T201" s="96" t="e">
        <f>Tabella8[[#This Row],[Lombardy fit]]</f>
        <v>#VALUE!</v>
      </c>
      <c r="U201" s="91" t="e">
        <f>Tabella3[[#This Row],[Lombardy cumul. Fit]]/Kl</f>
        <v>#VALUE!</v>
      </c>
      <c r="V201" s="91">
        <f>IFERROR(Kl*_xlfn.LOGNORM.DIST((Tabella3[[#This Row],[Day]]-pl),mu_l,sigma_l,FALSE),0)</f>
        <v>10.447298226022081</v>
      </c>
      <c r="W201" s="91">
        <f>Tabella3[[#This Row],[Lombardy fit]]/y_l_peak</f>
        <v>5.9428718955874598E-3</v>
      </c>
      <c r="X201" s="10">
        <f>Tabella3[[#This Row],[Lombardy fit]]*NOT(ISBLANK(Tabella3[[#This Row],[Lombardy data]]))</f>
        <v>0</v>
      </c>
      <c r="Y201" s="151"/>
      <c r="Z201" s="151"/>
      <c r="AA201" s="151"/>
      <c r="AB201" s="10"/>
      <c r="AC201" s="10">
        <f>Tabella3[[#This Row],[rest of Italy data]]*NOT(ISBLANK(Tabella3[[#This Row],[rest of Italy data]]))</f>
        <v>0</v>
      </c>
      <c r="AD201" s="96" t="e">
        <f>Tabella8[[#This Row],[rest of Italy fit]]</f>
        <v>#VALUE!</v>
      </c>
      <c r="AE201" s="91" t="e">
        <f>Tabella3[[#This Row],[rest of Italy cumul. Fit]]/Ka</f>
        <v>#VALUE!</v>
      </c>
      <c r="AF201" s="91">
        <f>IFERROR(Ka*_xlfn.LOGNORM.DIST((Tabella3[[#This Row],[Day]]-pa),mu_a,sigma_a,FALSE),0)</f>
        <v>8.9118196584353946</v>
      </c>
      <c r="AG201" s="91">
        <f>Tabella3[[#This Row],[rest of Italy fit]]/y_a_peak</f>
        <v>2.6372969569022661E-3</v>
      </c>
      <c r="AH201" s="10">
        <f>Tabella3[[#This Row],[rest of Italy fit]]*NOT(ISBLANK(Tabella3[[#This Row],[rest of Italy data]]))</f>
        <v>0</v>
      </c>
      <c r="AI201" s="151"/>
      <c r="AJ201" s="151"/>
    </row>
    <row r="202" spans="2:36" x14ac:dyDescent="0.3">
      <c r="B202" s="9">
        <v>44025</v>
      </c>
      <c r="C202" s="4">
        <v>195</v>
      </c>
      <c r="D202" s="151"/>
      <c r="E202" s="10"/>
      <c r="F202" s="10">
        <f>Tabella3[[#This Row],[Italy data]]*NOT(ISBLANK(Tabella3[[#This Row],[Italy data]]))</f>
        <v>0</v>
      </c>
      <c r="G202" s="96" t="e">
        <f>Tabella8[[#This Row],[Italy fit]]</f>
        <v>#VALUE!</v>
      </c>
      <c r="H202" s="96" t="e">
        <f>Tabella3[[#This Row],[Italy cumul. Fit]]/Kf</f>
        <v>#VALUE!</v>
      </c>
      <c r="I202" s="96">
        <f>Tabella3[[#This Row],[Lombardy fit]]+Tabella3[[#This Row],[rest of Italy fit]]</f>
        <v>18.182152459107058</v>
      </c>
      <c r="J202" s="96">
        <f>Tabella3[[#This Row],[Italy (fitted Lombardy + fitted sum of the other regions)]]/(y_l_peak+y_a_peak)</f>
        <v>3.5393782073744988E-3</v>
      </c>
      <c r="K202" s="91">
        <f>IFERROR(Kf*_xlfn.LOGNORM.DIST((Tabella3[[#This Row],[Day]]-D_bk),mu_f,sigma_f,FALSE),0)</f>
        <v>15.515046680195594</v>
      </c>
      <c r="L202" s="91">
        <f>Tabella3[[#This Row],[Italy fit]]/y_f_peak</f>
        <v>3.0652386892401607E-3</v>
      </c>
      <c r="M202" s="10">
        <f>Tabella3[[#This Row],[Italy (fitted Lombardy + fitted sum of the other regions)]]*NOT(ISBLANK(Tabella3[[#This Row],[Italy data]]))</f>
        <v>0</v>
      </c>
      <c r="N202" s="10">
        <f>Tabella3[[#This Row],[Italy fit]]*NOT(ISBLANK(Tabella3[[#This Row],[Italy data]]))</f>
        <v>0</v>
      </c>
      <c r="O202" s="151"/>
      <c r="P202" s="151"/>
      <c r="Q202" s="151"/>
      <c r="R202" s="10"/>
      <c r="S202" s="10">
        <f>Tabella3[[#This Row],[Lombardy data]]*NOT(ISBLANK(Tabella3[[#This Row],[Lombardy data]]))</f>
        <v>0</v>
      </c>
      <c r="T202" s="96" t="e">
        <f>Tabella8[[#This Row],[Lombardy fit]]</f>
        <v>#VALUE!</v>
      </c>
      <c r="U202" s="91" t="e">
        <f>Tabella3[[#This Row],[Lombardy cumul. Fit]]/Kl</f>
        <v>#VALUE!</v>
      </c>
      <c r="V202" s="91">
        <f>IFERROR(Kl*_xlfn.LOGNORM.DIST((Tabella3[[#This Row],[Day]]-pl),mu_l,sigma_l,FALSE),0)</f>
        <v>9.8609234535114449</v>
      </c>
      <c r="W202" s="91">
        <f>Tabella3[[#This Row],[Lombardy fit]]/y_l_peak</f>
        <v>5.6093167428155075E-3</v>
      </c>
      <c r="X202" s="10">
        <f>Tabella3[[#This Row],[Lombardy fit]]*NOT(ISBLANK(Tabella3[[#This Row],[Lombardy data]]))</f>
        <v>0</v>
      </c>
      <c r="Y202" s="151"/>
      <c r="Z202" s="151"/>
      <c r="AA202" s="151"/>
      <c r="AB202" s="10"/>
      <c r="AC202" s="10">
        <f>Tabella3[[#This Row],[rest of Italy data]]*NOT(ISBLANK(Tabella3[[#This Row],[rest of Italy data]]))</f>
        <v>0</v>
      </c>
      <c r="AD202" s="96" t="e">
        <f>Tabella8[[#This Row],[rest of Italy fit]]</f>
        <v>#VALUE!</v>
      </c>
      <c r="AE202" s="91" t="e">
        <f>Tabella3[[#This Row],[rest of Italy cumul. Fit]]/Ka</f>
        <v>#VALUE!</v>
      </c>
      <c r="AF202" s="91">
        <f>IFERROR(Ka*_xlfn.LOGNORM.DIST((Tabella3[[#This Row],[Day]]-pa),mu_a,sigma_a,FALSE),0)</f>
        <v>8.3212290055956153</v>
      </c>
      <c r="AG202" s="91">
        <f>Tabella3[[#This Row],[rest of Italy fit]]/y_a_peak</f>
        <v>2.4625219960967052E-3</v>
      </c>
      <c r="AH202" s="10">
        <f>Tabella3[[#This Row],[rest of Italy fit]]*NOT(ISBLANK(Tabella3[[#This Row],[rest of Italy data]]))</f>
        <v>0</v>
      </c>
      <c r="AI202" s="151"/>
      <c r="AJ202" s="151"/>
    </row>
    <row r="203" spans="2:36" x14ac:dyDescent="0.3">
      <c r="B203" s="9">
        <v>44026</v>
      </c>
      <c r="C203" s="4">
        <v>196</v>
      </c>
      <c r="D203" s="151"/>
      <c r="E203" s="10"/>
      <c r="F203" s="10">
        <f>Tabella3[[#This Row],[Italy data]]*NOT(ISBLANK(Tabella3[[#This Row],[Italy data]]))</f>
        <v>0</v>
      </c>
      <c r="G203" s="96" t="e">
        <f>Tabella8[[#This Row],[Italy fit]]</f>
        <v>#VALUE!</v>
      </c>
      <c r="H203" s="96" t="e">
        <f>Tabella3[[#This Row],[Italy cumul. Fit]]/Kf</f>
        <v>#VALUE!</v>
      </c>
      <c r="I203" s="96">
        <f>Tabella3[[#This Row],[Lombardy fit]]+Tabella3[[#This Row],[rest of Italy fit]]</f>
        <v>17.077872058570012</v>
      </c>
      <c r="J203" s="96">
        <f>Tabella3[[#This Row],[Italy (fitted Lombardy + fitted sum of the other regions)]]/(y_l_peak+y_a_peak)</f>
        <v>3.3244165303518238E-3</v>
      </c>
      <c r="K203" s="91">
        <f>IFERROR(Kf*_xlfn.LOGNORM.DIST((Tabella3[[#This Row],[Day]]-D_bk),mu_f,sigma_f,FALSE),0)</f>
        <v>14.506764384925853</v>
      </c>
      <c r="L203" s="91">
        <f>Tabella3[[#This Row],[Italy fit]]/y_f_peak</f>
        <v>2.8660368457109528E-3</v>
      </c>
      <c r="M203" s="10">
        <f>Tabella3[[#This Row],[Italy (fitted Lombardy + fitted sum of the other regions)]]*NOT(ISBLANK(Tabella3[[#This Row],[Italy data]]))</f>
        <v>0</v>
      </c>
      <c r="N203" s="10">
        <f>Tabella3[[#This Row],[Italy fit]]*NOT(ISBLANK(Tabella3[[#This Row],[Italy data]]))</f>
        <v>0</v>
      </c>
      <c r="O203" s="151"/>
      <c r="P203" s="151"/>
      <c r="Q203" s="151"/>
      <c r="R203" s="10"/>
      <c r="S203" s="10">
        <f>Tabella3[[#This Row],[Lombardy data]]*NOT(ISBLANK(Tabella3[[#This Row],[Lombardy data]]))</f>
        <v>0</v>
      </c>
      <c r="T203" s="96" t="e">
        <f>Tabella8[[#This Row],[Lombardy fit]]</f>
        <v>#VALUE!</v>
      </c>
      <c r="U203" s="91" t="e">
        <f>Tabella3[[#This Row],[Lombardy cumul. Fit]]/Kl</f>
        <v>#VALUE!</v>
      </c>
      <c r="V203" s="91">
        <f>IFERROR(Kl*_xlfn.LOGNORM.DIST((Tabella3[[#This Row],[Day]]-pl),mu_l,sigma_l,FALSE),0)</f>
        <v>9.3077477476759363</v>
      </c>
      <c r="W203" s="91">
        <f>Tabella3[[#This Row],[Lombardy fit]]/y_l_peak</f>
        <v>5.2946466449194565E-3</v>
      </c>
      <c r="X203" s="10">
        <f>Tabella3[[#This Row],[Lombardy fit]]*NOT(ISBLANK(Tabella3[[#This Row],[Lombardy data]]))</f>
        <v>0</v>
      </c>
      <c r="Y203" s="151"/>
      <c r="Z203" s="151"/>
      <c r="AA203" s="151"/>
      <c r="AB203" s="10"/>
      <c r="AC203" s="10">
        <f>Tabella3[[#This Row],[rest of Italy data]]*NOT(ISBLANK(Tabella3[[#This Row],[rest of Italy data]]))</f>
        <v>0</v>
      </c>
      <c r="AD203" s="96" t="e">
        <f>Tabella8[[#This Row],[rest of Italy fit]]</f>
        <v>#VALUE!</v>
      </c>
      <c r="AE203" s="91" t="e">
        <f>Tabella3[[#This Row],[rest of Italy cumul. Fit]]/Ka</f>
        <v>#VALUE!</v>
      </c>
      <c r="AF203" s="91">
        <f>IFERROR(Ka*_xlfn.LOGNORM.DIST((Tabella3[[#This Row],[Day]]-pa),mu_a,sigma_a,FALSE),0)</f>
        <v>7.7701243108940767</v>
      </c>
      <c r="AG203" s="91">
        <f>Tabella3[[#This Row],[rest of Italy fit]]/y_a_peak</f>
        <v>2.299432213092042E-3</v>
      </c>
      <c r="AH203" s="10">
        <f>Tabella3[[#This Row],[rest of Italy fit]]*NOT(ISBLANK(Tabella3[[#This Row],[rest of Italy data]]))</f>
        <v>0</v>
      </c>
      <c r="AI203" s="151"/>
      <c r="AJ203" s="151"/>
    </row>
    <row r="204" spans="2:36" x14ac:dyDescent="0.3">
      <c r="B204" s="9">
        <v>44027</v>
      </c>
      <c r="C204" s="4">
        <v>197</v>
      </c>
      <c r="D204" s="151"/>
      <c r="E204" s="10"/>
      <c r="F204" s="10">
        <f>Tabella3[[#This Row],[Italy data]]*NOT(ISBLANK(Tabella3[[#This Row],[Italy data]]))</f>
        <v>0</v>
      </c>
      <c r="G204" s="96" t="e">
        <f>Tabella8[[#This Row],[Italy fit]]</f>
        <v>#VALUE!</v>
      </c>
      <c r="H204" s="96" t="e">
        <f>Tabella3[[#This Row],[Italy cumul. Fit]]/Kf</f>
        <v>#VALUE!</v>
      </c>
      <c r="I204" s="96">
        <f>Tabella3[[#This Row],[Lombardy fit]]+Tabella3[[#This Row],[rest of Italy fit]]</f>
        <v>16.041745712581783</v>
      </c>
      <c r="J204" s="96">
        <f>Tabella3[[#This Row],[Italy (fitted Lombardy + fitted sum of the other regions)]]/(y_l_peak+y_a_peak)</f>
        <v>3.1227218730594491E-3</v>
      </c>
      <c r="K204" s="91">
        <f>IFERROR(Kf*_xlfn.LOGNORM.DIST((Tabella3[[#This Row],[Day]]-D_bk),mu_f,sigma_f,FALSE),0)</f>
        <v>13.564318715581889</v>
      </c>
      <c r="L204" s="91">
        <f>Tabella3[[#This Row],[Italy fit]]/y_f_peak</f>
        <v>2.6798420512172023E-3</v>
      </c>
      <c r="M204" s="10">
        <f>Tabella3[[#This Row],[Italy (fitted Lombardy + fitted sum of the other regions)]]*NOT(ISBLANK(Tabella3[[#This Row],[Italy data]]))</f>
        <v>0</v>
      </c>
      <c r="N204" s="10">
        <f>Tabella3[[#This Row],[Italy fit]]*NOT(ISBLANK(Tabella3[[#This Row],[Italy data]]))</f>
        <v>0</v>
      </c>
      <c r="O204" s="151"/>
      <c r="P204" s="151"/>
      <c r="Q204" s="151"/>
      <c r="R204" s="10"/>
      <c r="S204" s="10">
        <f>Tabella3[[#This Row],[Lombardy data]]*NOT(ISBLANK(Tabella3[[#This Row],[Lombardy data]]))</f>
        <v>0</v>
      </c>
      <c r="T204" s="96" t="e">
        <f>Tabella8[[#This Row],[Lombardy fit]]</f>
        <v>#VALUE!</v>
      </c>
      <c r="U204" s="91" t="e">
        <f>Tabella3[[#This Row],[Lombardy cumul. Fit]]/Kl</f>
        <v>#VALUE!</v>
      </c>
      <c r="V204" s="91">
        <f>IFERROR(Kl*_xlfn.LOGNORM.DIST((Tabella3[[#This Row],[Day]]-pl),mu_l,sigma_l,FALSE),0)</f>
        <v>8.7858891937561783</v>
      </c>
      <c r="W204" s="91">
        <f>Tabella3[[#This Row],[Lombardy fit]]/y_l_peak</f>
        <v>4.9977910879643733E-3</v>
      </c>
      <c r="X204" s="10">
        <f>Tabella3[[#This Row],[Lombardy fit]]*NOT(ISBLANK(Tabella3[[#This Row],[Lombardy data]]))</f>
        <v>0</v>
      </c>
      <c r="Y204" s="151"/>
      <c r="Z204" s="151"/>
      <c r="AA204" s="151"/>
      <c r="AB204" s="10"/>
      <c r="AC204" s="10">
        <f>Tabella3[[#This Row],[rest of Italy data]]*NOT(ISBLANK(Tabella3[[#This Row],[rest of Italy data]]))</f>
        <v>0</v>
      </c>
      <c r="AD204" s="96" t="e">
        <f>Tabella8[[#This Row],[rest of Italy fit]]</f>
        <v>#VALUE!</v>
      </c>
      <c r="AE204" s="91" t="e">
        <f>Tabella3[[#This Row],[rest of Italy cumul. Fit]]/Ka</f>
        <v>#VALUE!</v>
      </c>
      <c r="AF204" s="91">
        <f>IFERROR(Ka*_xlfn.LOGNORM.DIST((Tabella3[[#This Row],[Day]]-pa),mu_a,sigma_a,FALSE),0)</f>
        <v>7.2558565188256035</v>
      </c>
      <c r="AG204" s="91">
        <f>Tabella3[[#This Row],[rest of Italy fit]]/y_a_peak</f>
        <v>2.1472436663039275E-3</v>
      </c>
      <c r="AH204" s="10">
        <f>Tabella3[[#This Row],[rest of Italy fit]]*NOT(ISBLANK(Tabella3[[#This Row],[rest of Italy data]]))</f>
        <v>0</v>
      </c>
      <c r="AI204" s="151"/>
      <c r="AJ204" s="151"/>
    </row>
    <row r="205" spans="2:36" x14ac:dyDescent="0.3">
      <c r="B205" s="9">
        <v>44028</v>
      </c>
      <c r="C205" s="4">
        <v>198</v>
      </c>
      <c r="D205" s="151"/>
      <c r="E205" s="10"/>
      <c r="F205" s="10">
        <f>Tabella3[[#This Row],[Italy data]]*NOT(ISBLANK(Tabella3[[#This Row],[Italy data]]))</f>
        <v>0</v>
      </c>
      <c r="G205" s="96" t="e">
        <f>Tabella8[[#This Row],[Italy fit]]</f>
        <v>#VALUE!</v>
      </c>
      <c r="H205" s="96" t="e">
        <f>Tabella3[[#This Row],[Italy cumul. Fit]]/Kf</f>
        <v>#VALUE!</v>
      </c>
      <c r="I205" s="96">
        <f>Tabella3[[#This Row],[Lombardy fit]]+Tabella3[[#This Row],[rest of Italy fit]]</f>
        <v>15.069525087356851</v>
      </c>
      <c r="J205" s="96">
        <f>Tabella3[[#This Row],[Italy (fitted Lombardy + fitted sum of the other regions)]]/(y_l_peak+y_a_peak)</f>
        <v>2.9334672454007981E-3</v>
      </c>
      <c r="K205" s="91">
        <f>IFERROR(Kf*_xlfn.LOGNORM.DIST((Tabella3[[#This Row],[Day]]-D_bk),mu_f,sigma_f,FALSE),0)</f>
        <v>12.683416491057125</v>
      </c>
      <c r="L205" s="91">
        <f>Tabella3[[#This Row],[Italy fit]]/y_f_peak</f>
        <v>2.5058061210837981E-3</v>
      </c>
      <c r="M205" s="10">
        <f>Tabella3[[#This Row],[Italy (fitted Lombardy + fitted sum of the other regions)]]*NOT(ISBLANK(Tabella3[[#This Row],[Italy data]]))</f>
        <v>0</v>
      </c>
      <c r="N205" s="10">
        <f>Tabella3[[#This Row],[Italy fit]]*NOT(ISBLANK(Tabella3[[#This Row],[Italy data]]))</f>
        <v>0</v>
      </c>
      <c r="O205" s="151"/>
      <c r="P205" s="151"/>
      <c r="Q205" s="151"/>
      <c r="R205" s="10"/>
      <c r="S205" s="10">
        <f>Tabella3[[#This Row],[Lombardy data]]*NOT(ISBLANK(Tabella3[[#This Row],[Lombardy data]]))</f>
        <v>0</v>
      </c>
      <c r="T205" s="96" t="e">
        <f>Tabella8[[#This Row],[Lombardy fit]]</f>
        <v>#VALUE!</v>
      </c>
      <c r="U205" s="91" t="e">
        <f>Tabella3[[#This Row],[Lombardy cumul. Fit]]/Kl</f>
        <v>#VALUE!</v>
      </c>
      <c r="V205" s="91">
        <f>IFERROR(Kl*_xlfn.LOGNORM.DIST((Tabella3[[#This Row],[Day]]-pl),mu_l,sigma_l,FALSE),0)</f>
        <v>8.2935715113132673</v>
      </c>
      <c r="W205" s="91">
        <f>Tabella3[[#This Row],[Lombardy fit]]/y_l_peak</f>
        <v>4.7177396473533258E-3</v>
      </c>
      <c r="X205" s="10">
        <f>Tabella3[[#This Row],[Lombardy fit]]*NOT(ISBLANK(Tabella3[[#This Row],[Lombardy data]]))</f>
        <v>0</v>
      </c>
      <c r="Y205" s="151"/>
      <c r="Z205" s="151"/>
      <c r="AA205" s="151"/>
      <c r="AB205" s="10"/>
      <c r="AC205" s="10">
        <f>Tabella3[[#This Row],[rest of Italy data]]*NOT(ISBLANK(Tabella3[[#This Row],[rest of Italy data]]))</f>
        <v>0</v>
      </c>
      <c r="AD205" s="96" t="e">
        <f>Tabella8[[#This Row],[rest of Italy fit]]</f>
        <v>#VALUE!</v>
      </c>
      <c r="AE205" s="91" t="e">
        <f>Tabella3[[#This Row],[rest of Italy cumul. Fit]]/Ka</f>
        <v>#VALUE!</v>
      </c>
      <c r="AF205" s="91">
        <f>IFERROR(Ka*_xlfn.LOGNORM.DIST((Tabella3[[#This Row],[Day]]-pa),mu_a,sigma_a,FALSE),0)</f>
        <v>6.7759535760435847</v>
      </c>
      <c r="AG205" s="91">
        <f>Tabella3[[#This Row],[rest of Italy fit]]/y_a_peak</f>
        <v>2.0052247948370355E-3</v>
      </c>
      <c r="AH205" s="10">
        <f>Tabella3[[#This Row],[rest of Italy fit]]*NOT(ISBLANK(Tabella3[[#This Row],[rest of Italy data]]))</f>
        <v>0</v>
      </c>
      <c r="AI205" s="151"/>
      <c r="AJ205" s="151"/>
    </row>
    <row r="206" spans="2:36" x14ac:dyDescent="0.3">
      <c r="B206" s="9">
        <v>44029</v>
      </c>
      <c r="C206" s="4">
        <v>199</v>
      </c>
      <c r="D206" s="151"/>
      <c r="E206" s="10"/>
      <c r="F206" s="10">
        <f>Tabella3[[#This Row],[Italy data]]*NOT(ISBLANK(Tabella3[[#This Row],[Italy data]]))</f>
        <v>0</v>
      </c>
      <c r="G206" s="96" t="e">
        <f>Tabella8[[#This Row],[Italy fit]]</f>
        <v>#VALUE!</v>
      </c>
      <c r="H206" s="96" t="e">
        <f>Tabella3[[#This Row],[Italy cumul. Fit]]/Kf</f>
        <v>#VALUE!</v>
      </c>
      <c r="I206" s="96">
        <f>Tabella3[[#This Row],[Lombardy fit]]+Tabella3[[#This Row],[rest of Italy fit]]</f>
        <v>14.157227071073915</v>
      </c>
      <c r="J206" s="96">
        <f>Tabella3[[#This Row],[Italy (fitted Lombardy + fitted sum of the other regions)]]/(y_l_peak+y_a_peak)</f>
        <v>2.7558772859763029E-3</v>
      </c>
      <c r="K206" s="91">
        <f>IFERROR(Kf*_xlfn.LOGNORM.DIST((Tabella3[[#This Row],[Day]]-D_bk),mu_f,sigma_f,FALSE),0)</f>
        <v>11.860041710882255</v>
      </c>
      <c r="L206" s="91">
        <f>Tabella3[[#This Row],[Italy fit]]/y_f_peak</f>
        <v>2.343135631979939E-3</v>
      </c>
      <c r="M206" s="10">
        <f>Tabella3[[#This Row],[Italy (fitted Lombardy + fitted sum of the other regions)]]*NOT(ISBLANK(Tabella3[[#This Row],[Italy data]]))</f>
        <v>0</v>
      </c>
      <c r="N206" s="10">
        <f>Tabella3[[#This Row],[Italy fit]]*NOT(ISBLANK(Tabella3[[#This Row],[Italy data]]))</f>
        <v>0</v>
      </c>
      <c r="O206" s="151"/>
      <c r="P206" s="151"/>
      <c r="Q206" s="151"/>
      <c r="R206" s="10"/>
      <c r="S206" s="10">
        <f>Tabella3[[#This Row],[Lombardy data]]*NOT(ISBLANK(Tabella3[[#This Row],[Lombardy data]]))</f>
        <v>0</v>
      </c>
      <c r="T206" s="96" t="e">
        <f>Tabella8[[#This Row],[Lombardy fit]]</f>
        <v>#VALUE!</v>
      </c>
      <c r="U206" s="91" t="e">
        <f>Tabella3[[#This Row],[Lombardy cumul. Fit]]/Kl</f>
        <v>#VALUE!</v>
      </c>
      <c r="V206" s="91">
        <f>IFERROR(Kl*_xlfn.LOGNORM.DIST((Tabella3[[#This Row],[Day]]-pl),mu_l,sigma_l,FALSE),0)</f>
        <v>7.8291182873561276</v>
      </c>
      <c r="W206" s="91">
        <f>Tabella3[[#This Row],[Lombardy fit]]/y_l_peak</f>
        <v>4.4535387073825665E-3</v>
      </c>
      <c r="X206" s="10">
        <f>Tabella3[[#This Row],[Lombardy fit]]*NOT(ISBLANK(Tabella3[[#This Row],[Lombardy data]]))</f>
        <v>0</v>
      </c>
      <c r="Y206" s="151"/>
      <c r="Z206" s="151"/>
      <c r="AA206" s="151"/>
      <c r="AB206" s="10"/>
      <c r="AC206" s="10">
        <f>Tabella3[[#This Row],[rest of Italy data]]*NOT(ISBLANK(Tabella3[[#This Row],[rest of Italy data]]))</f>
        <v>0</v>
      </c>
      <c r="AD206" s="96" t="e">
        <f>Tabella8[[#This Row],[rest of Italy fit]]</f>
        <v>#VALUE!</v>
      </c>
      <c r="AE206" s="91" t="e">
        <f>Tabella3[[#This Row],[rest of Italy cumul. Fit]]/Ka</f>
        <v>#VALUE!</v>
      </c>
      <c r="AF206" s="91">
        <f>IFERROR(Ka*_xlfn.LOGNORM.DIST((Tabella3[[#This Row],[Day]]-pa),mu_a,sigma_a,FALSE),0)</f>
        <v>6.328108783717787</v>
      </c>
      <c r="AG206" s="91">
        <f>Tabella3[[#This Row],[rest of Italy fit]]/y_a_peak</f>
        <v>1.8726929715693376E-3</v>
      </c>
      <c r="AH206" s="10">
        <f>Tabella3[[#This Row],[rest of Italy fit]]*NOT(ISBLANK(Tabella3[[#This Row],[rest of Italy data]]))</f>
        <v>0</v>
      </c>
      <c r="AI206" s="151"/>
      <c r="AJ206" s="151"/>
    </row>
    <row r="207" spans="2:36" x14ac:dyDescent="0.3">
      <c r="B207" s="9">
        <v>44030</v>
      </c>
      <c r="C207" s="4">
        <v>200</v>
      </c>
      <c r="D207" s="151"/>
      <c r="E207" s="10"/>
      <c r="F207" s="10">
        <f>Tabella3[[#This Row],[Italy data]]*NOT(ISBLANK(Tabella3[[#This Row],[Italy data]]))</f>
        <v>0</v>
      </c>
      <c r="G207" s="96" t="e">
        <f>Tabella8[[#This Row],[Italy fit]]</f>
        <v>#VALUE!</v>
      </c>
      <c r="H207" s="96" t="e">
        <f>Tabella3[[#This Row],[Italy cumul. Fit]]/Kf</f>
        <v>#VALUE!</v>
      </c>
      <c r="I207" s="96">
        <f>Tabella3[[#This Row],[Lombardy fit]]+Tabella3[[#This Row],[rest of Italy fit]]</f>
        <v>13.301117396371353</v>
      </c>
      <c r="J207" s="96">
        <f>Tabella3[[#This Row],[Italy (fitted Lombardy + fitted sum of the other regions)]]/(y_l_peak+y_a_peak)</f>
        <v>2.5892250740019713E-3</v>
      </c>
      <c r="K207" s="91">
        <f>IFERROR(Kf*_xlfn.LOGNORM.DIST((Tabella3[[#This Row],[Day]]-D_bk),mu_f,sigma_f,FALSE),0)</f>
        <v>11.090438072767746</v>
      </c>
      <c r="L207" s="91">
        <f>Tabella3[[#This Row],[Italy fit]]/y_f_peak</f>
        <v>2.1910884679878524E-3</v>
      </c>
      <c r="M207" s="10">
        <f>Tabella3[[#This Row],[Italy (fitted Lombardy + fitted sum of the other regions)]]*NOT(ISBLANK(Tabella3[[#This Row],[Italy data]]))</f>
        <v>0</v>
      </c>
      <c r="N207" s="10">
        <f>Tabella3[[#This Row],[Italy fit]]*NOT(ISBLANK(Tabella3[[#This Row],[Italy data]]))</f>
        <v>0</v>
      </c>
      <c r="O207" s="151"/>
      <c r="P207" s="151"/>
      <c r="Q207" s="151"/>
      <c r="R207" s="10"/>
      <c r="S207" s="10">
        <f>Tabella3[[#This Row],[Lombardy data]]*NOT(ISBLANK(Tabella3[[#This Row],[Lombardy data]]))</f>
        <v>0</v>
      </c>
      <c r="T207" s="96" t="e">
        <f>Tabella8[[#This Row],[Lombardy fit]]</f>
        <v>#VALUE!</v>
      </c>
      <c r="U207" s="91" t="e">
        <f>Tabella3[[#This Row],[Lombardy cumul. Fit]]/Kl</f>
        <v>#VALUE!</v>
      </c>
      <c r="V207" s="91">
        <f>IFERROR(Kl*_xlfn.LOGNORM.DIST((Tabella3[[#This Row],[Day]]-pl),mu_l,sigma_l,FALSE),0)</f>
        <v>7.3909475054923606</v>
      </c>
      <c r="W207" s="91">
        <f>Tabella3[[#This Row],[Lombardy fit]]/y_l_peak</f>
        <v>4.2042883491875882E-3</v>
      </c>
      <c r="X207" s="10">
        <f>Tabella3[[#This Row],[Lombardy fit]]*NOT(ISBLANK(Tabella3[[#This Row],[Lombardy data]]))</f>
        <v>0</v>
      </c>
      <c r="Y207" s="151"/>
      <c r="Z207" s="151"/>
      <c r="AA207" s="151"/>
      <c r="AB207" s="10"/>
      <c r="AC207" s="10">
        <f>Tabella3[[#This Row],[rest of Italy data]]*NOT(ISBLANK(Tabella3[[#This Row],[rest of Italy data]]))</f>
        <v>0</v>
      </c>
      <c r="AD207" s="96" t="e">
        <f>Tabella8[[#This Row],[rest of Italy fit]]</f>
        <v>#VALUE!</v>
      </c>
      <c r="AE207" s="91" t="e">
        <f>Tabella3[[#This Row],[rest of Italy cumul. Fit]]/Ka</f>
        <v>#VALUE!</v>
      </c>
      <c r="AF207" s="91">
        <f>IFERROR(Ka*_xlfn.LOGNORM.DIST((Tabella3[[#This Row],[Day]]-pa),mu_a,sigma_a,FALSE),0)</f>
        <v>5.9101698908789926</v>
      </c>
      <c r="AG207" s="91">
        <f>Tabella3[[#This Row],[rest of Italy fit]]/y_a_peak</f>
        <v>1.7490112755184587E-3</v>
      </c>
      <c r="AH207" s="10">
        <f>Tabella3[[#This Row],[rest of Italy fit]]*NOT(ISBLANK(Tabella3[[#This Row],[rest of Italy data]]))</f>
        <v>0</v>
      </c>
      <c r="AI207" s="151"/>
      <c r="AJ207" s="151"/>
    </row>
    <row r="208" spans="2:36" x14ac:dyDescent="0.3">
      <c r="B208" s="9">
        <v>44031</v>
      </c>
      <c r="C208" s="4">
        <v>201</v>
      </c>
      <c r="D208" s="151"/>
      <c r="E208" s="10"/>
      <c r="F208" s="10">
        <f>Tabella3[[#This Row],[Italy data]]*NOT(ISBLANK(Tabella3[[#This Row],[Italy data]]))</f>
        <v>0</v>
      </c>
      <c r="G208" s="96" t="e">
        <f>Tabella8[[#This Row],[Italy fit]]</f>
        <v>#VALUE!</v>
      </c>
      <c r="H208" s="96" t="e">
        <f>Tabella3[[#This Row],[Italy cumul. Fit]]/Kf</f>
        <v>#VALUE!</v>
      </c>
      <c r="I208" s="96">
        <f>Tabella3[[#This Row],[Lombardy fit]]+Tabella3[[#This Row],[rest of Italy fit]]</f>
        <v>12.49769524269718</v>
      </c>
      <c r="J208" s="96">
        <f>Tabella3[[#This Row],[Italy (fitted Lombardy + fitted sum of the other regions)]]/(y_l_peak+y_a_peak)</f>
        <v>2.4328291319686097E-3</v>
      </c>
      <c r="K208" s="91">
        <f>IFERROR(Kf*_xlfn.LOGNORM.DIST((Tabella3[[#This Row],[Day]]-D_bk),mu_f,sigma_f,FALSE),0)</f>
        <v>10.371092542587286</v>
      </c>
      <c r="L208" s="91">
        <f>Tabella3[[#This Row],[Italy fit]]/y_f_peak</f>
        <v>2.0489705745975811E-3</v>
      </c>
      <c r="M208" s="10">
        <f>Tabella3[[#This Row],[Italy (fitted Lombardy + fitted sum of the other regions)]]*NOT(ISBLANK(Tabella3[[#This Row],[Italy data]]))</f>
        <v>0</v>
      </c>
      <c r="N208" s="10">
        <f>Tabella3[[#This Row],[Italy fit]]*NOT(ISBLANK(Tabella3[[#This Row],[Italy data]]))</f>
        <v>0</v>
      </c>
      <c r="O208" s="151"/>
      <c r="P208" s="151"/>
      <c r="Q208" s="151"/>
      <c r="R208" s="10"/>
      <c r="S208" s="10">
        <f>Tabella3[[#This Row],[Lombardy data]]*NOT(ISBLANK(Tabella3[[#This Row],[Lombardy data]]))</f>
        <v>0</v>
      </c>
      <c r="T208" s="96" t="e">
        <f>Tabella8[[#This Row],[Lombardy fit]]</f>
        <v>#VALUE!</v>
      </c>
      <c r="U208" s="91" t="e">
        <f>Tabella3[[#This Row],[Lombardy cumul. Fit]]/Kl</f>
        <v>#VALUE!</v>
      </c>
      <c r="V208" s="91">
        <f>IFERROR(Kl*_xlfn.LOGNORM.DIST((Tabella3[[#This Row],[Day]]-pl),mu_l,sigma_l,FALSE),0)</f>
        <v>6.9775663579236387</v>
      </c>
      <c r="W208" s="91">
        <f>Tabella3[[#This Row],[Lombardy fit]]/y_l_peak</f>
        <v>3.9691393995832987E-3</v>
      </c>
      <c r="X208" s="10">
        <f>Tabella3[[#This Row],[Lombardy fit]]*NOT(ISBLANK(Tabella3[[#This Row],[Lombardy data]]))</f>
        <v>0</v>
      </c>
      <c r="Y208" s="151"/>
      <c r="Z208" s="151"/>
      <c r="AA208" s="151"/>
      <c r="AB208" s="10"/>
      <c r="AC208" s="10">
        <f>Tabella3[[#This Row],[rest of Italy data]]*NOT(ISBLANK(Tabella3[[#This Row],[rest of Italy data]]))</f>
        <v>0</v>
      </c>
      <c r="AD208" s="96" t="e">
        <f>Tabella8[[#This Row],[rest of Italy fit]]</f>
        <v>#VALUE!</v>
      </c>
      <c r="AE208" s="91" t="e">
        <f>Tabella3[[#This Row],[rest of Italy cumul. Fit]]/Ka</f>
        <v>#VALUE!</v>
      </c>
      <c r="AF208" s="91">
        <f>IFERROR(Ka*_xlfn.LOGNORM.DIST((Tabella3[[#This Row],[Day]]-pa),mu_a,sigma_a,FALSE),0)</f>
        <v>5.5201288847735404</v>
      </c>
      <c r="AG208" s="91">
        <f>Tabella3[[#This Row],[rest of Italy fit]]/y_a_peak</f>
        <v>1.6335854704758999E-3</v>
      </c>
      <c r="AH208" s="10">
        <f>Tabella3[[#This Row],[rest of Italy fit]]*NOT(ISBLANK(Tabella3[[#This Row],[rest of Italy data]]))</f>
        <v>0</v>
      </c>
      <c r="AI208" s="151"/>
      <c r="AJ208" s="151"/>
    </row>
    <row r="209" spans="2:36" x14ac:dyDescent="0.3">
      <c r="B209" s="9">
        <v>44032</v>
      </c>
      <c r="C209" s="4">
        <v>202</v>
      </c>
      <c r="D209" s="151"/>
      <c r="E209" s="10"/>
      <c r="F209" s="10">
        <f>Tabella3[[#This Row],[Italy data]]*NOT(ISBLANK(Tabella3[[#This Row],[Italy data]]))</f>
        <v>0</v>
      </c>
      <c r="G209" s="96" t="e">
        <f>Tabella8[[#This Row],[Italy fit]]</f>
        <v>#VALUE!</v>
      </c>
      <c r="H209" s="96" t="e">
        <f>Tabella3[[#This Row],[Italy cumul. Fit]]/Kf</f>
        <v>#VALUE!</v>
      </c>
      <c r="I209" s="96">
        <f>Tabella3[[#This Row],[Lombardy fit]]+Tabella3[[#This Row],[rest of Italy fit]]</f>
        <v>11.743678763954296</v>
      </c>
      <c r="J209" s="96">
        <f>Tabella3[[#This Row],[Italy (fitted Lombardy + fitted sum of the other regions)]]/(y_l_peak+y_a_peak)</f>
        <v>2.28605060842108E-3</v>
      </c>
      <c r="K209" s="91">
        <f>IFERROR(Kf*_xlfn.LOGNORM.DIST((Tabella3[[#This Row],[Day]]-D_bk),mu_f,sigma_f,FALSE),0)</f>
        <v>9.6987199191701965</v>
      </c>
      <c r="L209" s="91">
        <f>Tabella3[[#This Row],[Italy fit]]/y_f_peak</f>
        <v>1.9161329092417469E-3</v>
      </c>
      <c r="M209" s="10">
        <f>Tabella3[[#This Row],[Italy (fitted Lombardy + fitted sum of the other regions)]]*NOT(ISBLANK(Tabella3[[#This Row],[Italy data]]))</f>
        <v>0</v>
      </c>
      <c r="N209" s="10">
        <f>Tabella3[[#This Row],[Italy fit]]*NOT(ISBLANK(Tabella3[[#This Row],[Italy data]]))</f>
        <v>0</v>
      </c>
      <c r="O209" s="151"/>
      <c r="P209" s="151"/>
      <c r="Q209" s="151"/>
      <c r="R209" s="10"/>
      <c r="S209" s="10">
        <f>Tabella3[[#This Row],[Lombardy data]]*NOT(ISBLANK(Tabella3[[#This Row],[Lombardy data]]))</f>
        <v>0</v>
      </c>
      <c r="T209" s="96" t="e">
        <f>Tabella8[[#This Row],[Lombardy fit]]</f>
        <v>#VALUE!</v>
      </c>
      <c r="U209" s="91" t="e">
        <f>Tabella3[[#This Row],[Lombardy cumul. Fit]]/Kl</f>
        <v>#VALUE!</v>
      </c>
      <c r="V209" s="91">
        <f>IFERROR(Kl*_xlfn.LOGNORM.DIST((Tabella3[[#This Row],[Day]]-pl),mu_l,sigma_l,FALSE),0)</f>
        <v>6.5875663274715093</v>
      </c>
      <c r="W209" s="91">
        <f>Tabella3[[#This Row],[Lombardy fit]]/y_l_peak</f>
        <v>3.7472906335090954E-3</v>
      </c>
      <c r="X209" s="10">
        <f>Tabella3[[#This Row],[Lombardy fit]]*NOT(ISBLANK(Tabella3[[#This Row],[Lombardy data]]))</f>
        <v>0</v>
      </c>
      <c r="Y209" s="151"/>
      <c r="Z209" s="151"/>
      <c r="AA209" s="151"/>
      <c r="AB209" s="10"/>
      <c r="AC209" s="10">
        <f>Tabella3[[#This Row],[rest of Italy data]]*NOT(ISBLANK(Tabella3[[#This Row],[rest of Italy data]]))</f>
        <v>0</v>
      </c>
      <c r="AD209" s="96" t="e">
        <f>Tabella8[[#This Row],[rest of Italy fit]]</f>
        <v>#VALUE!</v>
      </c>
      <c r="AE209" s="91" t="e">
        <f>Tabella3[[#This Row],[rest of Italy cumul. Fit]]/Ka</f>
        <v>#VALUE!</v>
      </c>
      <c r="AF209" s="91">
        <f>IFERROR(Ka*_xlfn.LOGNORM.DIST((Tabella3[[#This Row],[Day]]-pa),mu_a,sigma_a,FALSE),0)</f>
        <v>5.1561124364827862</v>
      </c>
      <c r="AG209" s="91">
        <f>Tabella3[[#This Row],[rest of Italy fit]]/y_a_peak</f>
        <v>1.5258611775554433E-3</v>
      </c>
      <c r="AH209" s="10">
        <f>Tabella3[[#This Row],[rest of Italy fit]]*NOT(ISBLANK(Tabella3[[#This Row],[rest of Italy data]]))</f>
        <v>0</v>
      </c>
      <c r="AI209" s="151"/>
      <c r="AJ209" s="151"/>
    </row>
    <row r="210" spans="2:36" x14ac:dyDescent="0.3">
      <c r="B210" s="9">
        <v>44033</v>
      </c>
      <c r="C210" s="4">
        <v>203</v>
      </c>
      <c r="D210" s="151"/>
      <c r="E210" s="10"/>
      <c r="F210" s="10">
        <f>Tabella3[[#This Row],[Italy data]]*NOT(ISBLANK(Tabella3[[#This Row],[Italy data]]))</f>
        <v>0</v>
      </c>
      <c r="G210" s="96" t="e">
        <f>Tabella8[[#This Row],[Italy fit]]</f>
        <v>#VALUE!</v>
      </c>
      <c r="H210" s="96" t="e">
        <f>Tabella3[[#This Row],[Italy cumul. Fit]]/Kf</f>
        <v>#VALUE!</v>
      </c>
      <c r="I210" s="96">
        <f>Tabella3[[#This Row],[Lombardy fit]]+Tabella3[[#This Row],[rest of Italy fit]]</f>
        <v>11.035991489432472</v>
      </c>
      <c r="J210" s="96">
        <f>Tabella3[[#This Row],[Italy (fitted Lombardy + fitted sum of the other regions)]]/(y_l_peak+y_a_peak)</f>
        <v>2.1482906307334982E-3</v>
      </c>
      <c r="K210" s="91">
        <f>IFERROR(Kf*_xlfn.LOGNORM.DIST((Tabella3[[#This Row],[Day]]-D_bk),mu_f,sigma_f,FALSE),0)</f>
        <v>9.0702483387741601</v>
      </c>
      <c r="L210" s="91">
        <f>Tabella3[[#This Row],[Italy fit]]/y_f_peak</f>
        <v>1.7919685774787726E-3</v>
      </c>
      <c r="M210" s="10">
        <f>Tabella3[[#This Row],[Italy (fitted Lombardy + fitted sum of the other regions)]]*NOT(ISBLANK(Tabella3[[#This Row],[Italy data]]))</f>
        <v>0</v>
      </c>
      <c r="N210" s="10">
        <f>Tabella3[[#This Row],[Italy fit]]*NOT(ISBLANK(Tabella3[[#This Row],[Italy data]]))</f>
        <v>0</v>
      </c>
      <c r="O210" s="151"/>
      <c r="P210" s="151"/>
      <c r="Q210" s="151"/>
      <c r="R210" s="10"/>
      <c r="S210" s="10">
        <f>Tabella3[[#This Row],[Lombardy data]]*NOT(ISBLANK(Tabella3[[#This Row],[Lombardy data]]))</f>
        <v>0</v>
      </c>
      <c r="T210" s="96" t="e">
        <f>Tabella8[[#This Row],[Lombardy fit]]</f>
        <v>#VALUE!</v>
      </c>
      <c r="U210" s="91" t="e">
        <f>Tabella3[[#This Row],[Lombardy cumul. Fit]]/Kl</f>
        <v>#VALUE!</v>
      </c>
      <c r="V210" s="91">
        <f>IFERROR(Kl*_xlfn.LOGNORM.DIST((Tabella3[[#This Row],[Day]]-pl),mu_l,sigma_l,FALSE),0)</f>
        <v>6.2196185272077651</v>
      </c>
      <c r="W210" s="91">
        <f>Tabella3[[#This Row],[Lombardy fit]]/y_l_peak</f>
        <v>3.5379861230104771E-3</v>
      </c>
      <c r="X210" s="10">
        <f>Tabella3[[#This Row],[Lombardy fit]]*NOT(ISBLANK(Tabella3[[#This Row],[Lombardy data]]))</f>
        <v>0</v>
      </c>
      <c r="Y210" s="151"/>
      <c r="Z210" s="151"/>
      <c r="AA210" s="151"/>
      <c r="AB210" s="10"/>
      <c r="AC210" s="10">
        <f>Tabella3[[#This Row],[rest of Italy data]]*NOT(ISBLANK(Tabella3[[#This Row],[rest of Italy data]]))</f>
        <v>0</v>
      </c>
      <c r="AD210" s="96" t="e">
        <f>Tabella8[[#This Row],[rest of Italy fit]]</f>
        <v>#VALUE!</v>
      </c>
      <c r="AE210" s="91" t="e">
        <f>Tabella3[[#This Row],[rest of Italy cumul. Fit]]/Ka</f>
        <v>#VALUE!</v>
      </c>
      <c r="AF210" s="91">
        <f>IFERROR(Ka*_xlfn.LOGNORM.DIST((Tabella3[[#This Row],[Day]]-pa),mu_a,sigma_a,FALSE),0)</f>
        <v>4.8163729622247082</v>
      </c>
      <c r="AG210" s="91">
        <f>Tabella3[[#This Row],[rest of Italy fit]]/y_a_peak</f>
        <v>1.4253212299419041E-3</v>
      </c>
      <c r="AH210" s="10">
        <f>Tabella3[[#This Row],[rest of Italy fit]]*NOT(ISBLANK(Tabella3[[#This Row],[rest of Italy data]]))</f>
        <v>0</v>
      </c>
      <c r="AI210" s="151"/>
      <c r="AJ210" s="151"/>
    </row>
    <row r="211" spans="2:36" x14ac:dyDescent="0.3">
      <c r="B211" s="9">
        <v>44034</v>
      </c>
      <c r="C211" s="4">
        <v>204</v>
      </c>
      <c r="D211" s="151"/>
      <c r="E211" s="10"/>
      <c r="F211" s="10">
        <f>Tabella3[[#This Row],[Italy data]]*NOT(ISBLANK(Tabella3[[#This Row],[Italy data]]))</f>
        <v>0</v>
      </c>
      <c r="G211" s="96" t="e">
        <f>Tabella8[[#This Row],[Italy fit]]</f>
        <v>#VALUE!</v>
      </c>
      <c r="H211" s="96" t="e">
        <f>Tabella3[[#This Row],[Italy cumul. Fit]]/Kf</f>
        <v>#VALUE!</v>
      </c>
      <c r="I211" s="96">
        <f>Tabella3[[#This Row],[Lombardy fit]]+Tabella3[[#This Row],[rest of Italy fit]]</f>
        <v>10.371749548507097</v>
      </c>
      <c r="J211" s="96">
        <f>Tabella3[[#This Row],[Italy (fitted Lombardy + fitted sum of the other regions)]]/(y_l_peak+y_a_peak)</f>
        <v>2.018987818240699E-3</v>
      </c>
      <c r="K211" s="91">
        <f>IFERROR(Kf*_xlfn.LOGNORM.DIST((Tabella3[[#This Row],[Day]]-D_bk),mu_f,sigma_f,FALSE),0)</f>
        <v>8.4828056665878275</v>
      </c>
      <c r="L211" s="91">
        <f>Tabella3[[#This Row],[Italy fit]]/y_f_peak</f>
        <v>1.6759101444226451E-3</v>
      </c>
      <c r="M211" s="10">
        <f>Tabella3[[#This Row],[Italy (fitted Lombardy + fitted sum of the other regions)]]*NOT(ISBLANK(Tabella3[[#This Row],[Italy data]]))</f>
        <v>0</v>
      </c>
      <c r="N211" s="10">
        <f>Tabella3[[#This Row],[Italy fit]]*NOT(ISBLANK(Tabella3[[#This Row],[Italy data]]))</f>
        <v>0</v>
      </c>
      <c r="O211" s="151"/>
      <c r="P211" s="151"/>
      <c r="Q211" s="151"/>
      <c r="R211" s="10"/>
      <c r="S211" s="10">
        <f>Tabella3[[#This Row],[Lombardy data]]*NOT(ISBLANK(Tabella3[[#This Row],[Lombardy data]]))</f>
        <v>0</v>
      </c>
      <c r="T211" s="96" t="e">
        <f>Tabella8[[#This Row],[Lombardy fit]]</f>
        <v>#VALUE!</v>
      </c>
      <c r="U211" s="91" t="e">
        <f>Tabella3[[#This Row],[Lombardy cumul. Fit]]/Kl</f>
        <v>#VALUE!</v>
      </c>
      <c r="V211" s="91">
        <f>IFERROR(Kl*_xlfn.LOGNORM.DIST((Tabella3[[#This Row],[Day]]-pl),mu_l,sigma_l,FALSE),0)</f>
        <v>5.8724692856566794</v>
      </c>
      <c r="W211" s="91">
        <f>Tabella3[[#This Row],[Lombardy fit]]/y_l_peak</f>
        <v>3.3405127259124811E-3</v>
      </c>
      <c r="X211" s="10">
        <f>Tabella3[[#This Row],[Lombardy fit]]*NOT(ISBLANK(Tabella3[[#This Row],[Lombardy data]]))</f>
        <v>0</v>
      </c>
      <c r="Y211" s="151"/>
      <c r="Z211" s="151"/>
      <c r="AA211" s="151"/>
      <c r="AB211" s="10"/>
      <c r="AC211" s="10">
        <f>Tabella3[[#This Row],[rest of Italy data]]*NOT(ISBLANK(Tabella3[[#This Row],[rest of Italy data]]))</f>
        <v>0</v>
      </c>
      <c r="AD211" s="96" t="e">
        <f>Tabella8[[#This Row],[rest of Italy fit]]</f>
        <v>#VALUE!</v>
      </c>
      <c r="AE211" s="91" t="e">
        <f>Tabella3[[#This Row],[rest of Italy cumul. Fit]]/Ka</f>
        <v>#VALUE!</v>
      </c>
      <c r="AF211" s="91">
        <f>IFERROR(Ka*_xlfn.LOGNORM.DIST((Tabella3[[#This Row],[Day]]-pa),mu_a,sigma_a,FALSE),0)</f>
        <v>4.4992802628504176</v>
      </c>
      <c r="AG211" s="91">
        <f>Tabella3[[#This Row],[rest of Italy fit]]/y_a_peak</f>
        <v>1.3314831987465375E-3</v>
      </c>
      <c r="AH211" s="10">
        <f>Tabella3[[#This Row],[rest of Italy fit]]*NOT(ISBLANK(Tabella3[[#This Row],[rest of Italy data]]))</f>
        <v>0</v>
      </c>
      <c r="AI211" s="151"/>
      <c r="AJ211" s="151"/>
    </row>
    <row r="212" spans="2:36" x14ac:dyDescent="0.3">
      <c r="B212" s="9">
        <v>44035</v>
      </c>
      <c r="C212" s="4">
        <v>205</v>
      </c>
      <c r="D212" s="151"/>
      <c r="E212" s="10"/>
      <c r="F212" s="10">
        <f>Tabella3[[#This Row],[Italy data]]*NOT(ISBLANK(Tabella3[[#This Row],[Italy data]]))</f>
        <v>0</v>
      </c>
      <c r="G212" s="96" t="e">
        <f>Tabella8[[#This Row],[Italy fit]]</f>
        <v>#VALUE!</v>
      </c>
      <c r="H212" s="96" t="e">
        <f>Tabella3[[#This Row],[Italy cumul. Fit]]/Kf</f>
        <v>#VALUE!</v>
      </c>
      <c r="I212" s="96">
        <f>Tabella3[[#This Row],[Lombardy fit]]+Tabella3[[#This Row],[rest of Italy fit]]</f>
        <v>9.7482496720112195</v>
      </c>
      <c r="J212" s="96">
        <f>Tabella3[[#This Row],[Italy (fitted Lombardy + fitted sum of the other regions)]]/(y_l_peak+y_a_peak)</f>
        <v>1.8976159465586495E-3</v>
      </c>
      <c r="K212" s="91">
        <f>IFERROR(Kf*_xlfn.LOGNORM.DIST((Tabella3[[#This Row],[Day]]-D_bk),mu_f,sigma_f,FALSE),0)</f>
        <v>7.9337067250416515</v>
      </c>
      <c r="L212" s="91">
        <f>Tabella3[[#This Row],[Italy fit]]/y_f_peak</f>
        <v>1.5674271114971561E-3</v>
      </c>
      <c r="M212" s="10">
        <f>Tabella3[[#This Row],[Italy (fitted Lombardy + fitted sum of the other regions)]]*NOT(ISBLANK(Tabella3[[#This Row],[Italy data]]))</f>
        <v>0</v>
      </c>
      <c r="N212" s="10">
        <f>Tabella3[[#This Row],[Italy fit]]*NOT(ISBLANK(Tabella3[[#This Row],[Italy data]]))</f>
        <v>0</v>
      </c>
      <c r="O212" s="151"/>
      <c r="P212" s="151"/>
      <c r="Q212" s="151"/>
      <c r="R212" s="10"/>
      <c r="S212" s="10">
        <f>Tabella3[[#This Row],[Lombardy data]]*NOT(ISBLANK(Tabella3[[#This Row],[Lombardy data]]))</f>
        <v>0</v>
      </c>
      <c r="T212" s="96" t="e">
        <f>Tabella8[[#This Row],[Lombardy fit]]</f>
        <v>#VALUE!</v>
      </c>
      <c r="U212" s="91" t="e">
        <f>Tabella3[[#This Row],[Lombardy cumul. Fit]]/Kl</f>
        <v>#VALUE!</v>
      </c>
      <c r="V212" s="91">
        <f>IFERROR(Kl*_xlfn.LOGNORM.DIST((Tabella3[[#This Row],[Day]]-pl),mu_l,sigma_l,FALSE),0)</f>
        <v>5.544935965945478</v>
      </c>
      <c r="W212" s="91">
        <f>Tabella3[[#This Row],[Lombardy fit]]/y_l_peak</f>
        <v>3.1541977075729205E-3</v>
      </c>
      <c r="X212" s="10">
        <f>Tabella3[[#This Row],[Lombardy fit]]*NOT(ISBLANK(Tabella3[[#This Row],[Lombardy data]]))</f>
        <v>0</v>
      </c>
      <c r="Y212" s="151"/>
      <c r="Z212" s="151"/>
      <c r="AA212" s="151"/>
      <c r="AB212" s="10"/>
      <c r="AC212" s="10">
        <f>Tabella3[[#This Row],[rest of Italy data]]*NOT(ISBLANK(Tabella3[[#This Row],[rest of Italy data]]))</f>
        <v>0</v>
      </c>
      <c r="AD212" s="96" t="e">
        <f>Tabella8[[#This Row],[rest of Italy fit]]</f>
        <v>#VALUE!</v>
      </c>
      <c r="AE212" s="91" t="e">
        <f>Tabella3[[#This Row],[rest of Italy cumul. Fit]]/Ka</f>
        <v>#VALUE!</v>
      </c>
      <c r="AF212" s="91">
        <f>IFERROR(Ka*_xlfn.LOGNORM.DIST((Tabella3[[#This Row],[Day]]-pa),mu_a,sigma_a,FALSE),0)</f>
        <v>4.2033137060657424</v>
      </c>
      <c r="AG212" s="91">
        <f>Tabella3[[#This Row],[rest of Italy fit]]/y_a_peak</f>
        <v>1.2438970794724292E-3</v>
      </c>
      <c r="AH212" s="10">
        <f>Tabella3[[#This Row],[rest of Italy fit]]*NOT(ISBLANK(Tabella3[[#This Row],[rest of Italy data]]))</f>
        <v>0</v>
      </c>
      <c r="AI212" s="151"/>
      <c r="AJ212" s="151"/>
    </row>
    <row r="213" spans="2:36" x14ac:dyDescent="0.3">
      <c r="B213" s="9">
        <v>44036</v>
      </c>
      <c r="C213" s="4">
        <v>206</v>
      </c>
      <c r="D213" s="151"/>
      <c r="E213" s="10"/>
      <c r="F213" s="10">
        <f>Tabella3[[#This Row],[Italy data]]*NOT(ISBLANK(Tabella3[[#This Row],[Italy data]]))</f>
        <v>0</v>
      </c>
      <c r="G213" s="96" t="e">
        <f>Tabella8[[#This Row],[Italy fit]]</f>
        <v>#VALUE!</v>
      </c>
      <c r="H213" s="96" t="e">
        <f>Tabella3[[#This Row],[Italy cumul. Fit]]/Kf</f>
        <v>#VALUE!</v>
      </c>
      <c r="I213" s="96">
        <f>Tabella3[[#This Row],[Lombardy fit]]+Tabella3[[#This Row],[rest of Italy fit]]</f>
        <v>9.1629579255365226</v>
      </c>
      <c r="J213" s="96">
        <f>Tabella3[[#This Row],[Italy (fitted Lombardy + fitted sum of the other regions)]]/(y_l_peak+y_a_peak)</f>
        <v>1.7836817543837786E-3</v>
      </c>
      <c r="K213" s="91">
        <f>IFERROR(Kf*_xlfn.LOGNORM.DIST((Tabella3[[#This Row],[Day]]-D_bk),mu_f,sigma_f,FALSE),0)</f>
        <v>7.420441311089756</v>
      </c>
      <c r="L213" s="91">
        <f>Tabella3[[#This Row],[Italy fit]]/y_f_peak</f>
        <v>1.4660235490636343E-3</v>
      </c>
      <c r="M213" s="10">
        <f>Tabella3[[#This Row],[Italy (fitted Lombardy + fitted sum of the other regions)]]*NOT(ISBLANK(Tabella3[[#This Row],[Italy data]]))</f>
        <v>0</v>
      </c>
      <c r="N213" s="10">
        <f>Tabella3[[#This Row],[Italy fit]]*NOT(ISBLANK(Tabella3[[#This Row],[Italy data]]))</f>
        <v>0</v>
      </c>
      <c r="O213" s="151"/>
      <c r="P213" s="151"/>
      <c r="Q213" s="151"/>
      <c r="R213" s="10"/>
      <c r="S213" s="10">
        <f>Tabella3[[#This Row],[Lombardy data]]*NOT(ISBLANK(Tabella3[[#This Row],[Lombardy data]]))</f>
        <v>0</v>
      </c>
      <c r="T213" s="96" t="e">
        <f>Tabella8[[#This Row],[Lombardy fit]]</f>
        <v>#VALUE!</v>
      </c>
      <c r="U213" s="91" t="e">
        <f>Tabella3[[#This Row],[Lombardy cumul. Fit]]/Kl</f>
        <v>#VALUE!</v>
      </c>
      <c r="V213" s="91">
        <f>IFERROR(Kl*_xlfn.LOGNORM.DIST((Tabella3[[#This Row],[Day]]-pl),mu_l,sigma_l,FALSE),0)</f>
        <v>5.2359030076835298</v>
      </c>
      <c r="W213" s="91">
        <f>Tabella3[[#This Row],[Lombardy fit]]/y_l_peak</f>
        <v>2.9784064893332868E-3</v>
      </c>
      <c r="X213" s="10">
        <f>Tabella3[[#This Row],[Lombardy fit]]*NOT(ISBLANK(Tabella3[[#This Row],[Lombardy data]]))</f>
        <v>0</v>
      </c>
      <c r="Y213" s="151"/>
      <c r="Z213" s="151"/>
      <c r="AA213" s="151"/>
      <c r="AB213" s="10"/>
      <c r="AC213" s="10">
        <f>Tabella3[[#This Row],[rest of Italy data]]*NOT(ISBLANK(Tabella3[[#This Row],[rest of Italy data]]))</f>
        <v>0</v>
      </c>
      <c r="AD213" s="96" t="e">
        <f>Tabella8[[#This Row],[rest of Italy fit]]</f>
        <v>#VALUE!</v>
      </c>
      <c r="AE213" s="91" t="e">
        <f>Tabella3[[#This Row],[rest of Italy cumul. Fit]]/Ka</f>
        <v>#VALUE!</v>
      </c>
      <c r="AF213" s="91">
        <f>IFERROR(Ka*_xlfn.LOGNORM.DIST((Tabella3[[#This Row],[Day]]-pa),mu_a,sigma_a,FALSE),0)</f>
        <v>3.9270549178529928</v>
      </c>
      <c r="AG213" s="91">
        <f>Tabella3[[#This Row],[rest of Italy fit]]/y_a_peak</f>
        <v>1.1621431291687597E-3</v>
      </c>
      <c r="AH213" s="10">
        <f>Tabella3[[#This Row],[rest of Italy fit]]*NOT(ISBLANK(Tabella3[[#This Row],[rest of Italy data]]))</f>
        <v>0</v>
      </c>
      <c r="AI213" s="151"/>
      <c r="AJ213" s="151"/>
    </row>
    <row r="214" spans="2:36" x14ac:dyDescent="0.3">
      <c r="B214" s="9">
        <v>44037</v>
      </c>
      <c r="C214" s="4">
        <v>207</v>
      </c>
      <c r="D214" s="151"/>
      <c r="E214" s="10"/>
      <c r="F214" s="10">
        <f>Tabella3[[#This Row],[Italy data]]*NOT(ISBLANK(Tabella3[[#This Row],[Italy data]]))</f>
        <v>0</v>
      </c>
      <c r="G214" s="96" t="e">
        <f>Tabella8[[#This Row],[Italy fit]]</f>
        <v>#VALUE!</v>
      </c>
      <c r="H214" s="96" t="e">
        <f>Tabella3[[#This Row],[Italy cumul. Fit]]/Kf</f>
        <v>#VALUE!</v>
      </c>
      <c r="I214" s="96">
        <f>Tabella3[[#This Row],[Lombardy fit]]+Tabella3[[#This Row],[rest of Italy fit]]</f>
        <v>8.6134991321976937</v>
      </c>
      <c r="J214" s="96">
        <f>Tabella3[[#This Row],[Italy (fitted Lombardy + fitted sum of the other regions)]]/(y_l_peak+y_a_peak)</f>
        <v>1.6767228845047805E-3</v>
      </c>
      <c r="K214" s="91">
        <f>IFERROR(Kf*_xlfn.LOGNORM.DIST((Tabella3[[#This Row],[Day]]-D_bk),mu_f,sigma_f,FALSE),0)</f>
        <v>6.9406629569506126</v>
      </c>
      <c r="L214" s="91">
        <f>Tabella3[[#This Row],[Italy fit]]/y_f_peak</f>
        <v>1.3712358759305279E-3</v>
      </c>
      <c r="M214" s="10">
        <f>Tabella3[[#This Row],[Italy (fitted Lombardy + fitted sum of the other regions)]]*NOT(ISBLANK(Tabella3[[#This Row],[Italy data]]))</f>
        <v>0</v>
      </c>
      <c r="N214" s="10">
        <f>Tabella3[[#This Row],[Italy fit]]*NOT(ISBLANK(Tabella3[[#This Row],[Italy data]]))</f>
        <v>0</v>
      </c>
      <c r="O214" s="151"/>
      <c r="P214" s="151"/>
      <c r="Q214" s="151"/>
      <c r="R214" s="10"/>
      <c r="S214" s="10">
        <f>Tabella3[[#This Row],[Lombardy data]]*NOT(ISBLANK(Tabella3[[#This Row],[Lombardy data]]))</f>
        <v>0</v>
      </c>
      <c r="T214" s="96" t="e">
        <f>Tabella8[[#This Row],[Lombardy fit]]</f>
        <v>#VALUE!</v>
      </c>
      <c r="U214" s="91" t="e">
        <f>Tabella3[[#This Row],[Lombardy cumul. Fit]]/Kl</f>
        <v>#VALUE!</v>
      </c>
      <c r="V214" s="91">
        <f>IFERROR(Kl*_xlfn.LOGNORM.DIST((Tabella3[[#This Row],[Day]]-pl),mu_l,sigma_l,FALSE),0)</f>
        <v>4.9443181807676106</v>
      </c>
      <c r="W214" s="91">
        <f>Tabella3[[#This Row],[Lombardy fit]]/y_l_peak</f>
        <v>2.8125405175223003E-3</v>
      </c>
      <c r="X214" s="10">
        <f>Tabella3[[#This Row],[Lombardy fit]]*NOT(ISBLANK(Tabella3[[#This Row],[Lombardy data]]))</f>
        <v>0</v>
      </c>
      <c r="Y214" s="151"/>
      <c r="Z214" s="151"/>
      <c r="AA214" s="151"/>
      <c r="AB214" s="10"/>
      <c r="AC214" s="10">
        <f>Tabella3[[#This Row],[rest of Italy data]]*NOT(ISBLANK(Tabella3[[#This Row],[rest of Italy data]]))</f>
        <v>0</v>
      </c>
      <c r="AD214" s="96" t="e">
        <f>Tabella8[[#This Row],[rest of Italy fit]]</f>
        <v>#VALUE!</v>
      </c>
      <c r="AE214" s="91" t="e">
        <f>Tabella3[[#This Row],[rest of Italy cumul. Fit]]/Ka</f>
        <v>#VALUE!</v>
      </c>
      <c r="AF214" s="91">
        <f>IFERROR(Ka*_xlfn.LOGNORM.DIST((Tabella3[[#This Row],[Day]]-pa),mu_a,sigma_a,FALSE),0)</f>
        <v>3.6691809514300835</v>
      </c>
      <c r="AG214" s="91">
        <f>Tabella3[[#This Row],[rest of Italy fit]]/y_a_peak</f>
        <v>1.0858298449038875E-3</v>
      </c>
      <c r="AH214" s="10">
        <f>Tabella3[[#This Row],[rest of Italy fit]]*NOT(ISBLANK(Tabella3[[#This Row],[rest of Italy data]]))</f>
        <v>0</v>
      </c>
      <c r="AI214" s="151"/>
      <c r="AJ214" s="151"/>
    </row>
    <row r="215" spans="2:36" x14ac:dyDescent="0.3">
      <c r="B215" s="9">
        <v>44038</v>
      </c>
      <c r="C215" s="4">
        <v>208</v>
      </c>
      <c r="D215" s="151"/>
      <c r="E215" s="10"/>
      <c r="F215" s="10">
        <f>Tabella3[[#This Row],[Italy data]]*NOT(ISBLANK(Tabella3[[#This Row],[Italy data]]))</f>
        <v>0</v>
      </c>
      <c r="G215" s="96" t="e">
        <f>Tabella8[[#This Row],[Italy fit]]</f>
        <v>#VALUE!</v>
      </c>
      <c r="H215" s="96" t="e">
        <f>Tabella3[[#This Row],[Italy cumul. Fit]]/Kf</f>
        <v>#VALUE!</v>
      </c>
      <c r="I215" s="96">
        <f>Tabella3[[#This Row],[Lombardy fit]]+Tabella3[[#This Row],[rest of Italy fit]]</f>
        <v>8.0976469445890125</v>
      </c>
      <c r="J215" s="96">
        <f>Tabella3[[#This Row],[Italy (fitted Lombardy + fitted sum of the other regions)]]/(y_l_peak+y_a_peak)</f>
        <v>1.5763059511876183E-3</v>
      </c>
      <c r="K215" s="91">
        <f>IFERROR(Kf*_xlfn.LOGNORM.DIST((Tabella3[[#This Row],[Day]]-D_bk),mu_f,sigma_f,FALSE),0)</f>
        <v>6.492178391051671</v>
      </c>
      <c r="L215" s="91">
        <f>Tabella3[[#This Row],[Italy fit]]/y_f_peak</f>
        <v>1.2826307771991597E-3</v>
      </c>
      <c r="M215" s="10">
        <f>Tabella3[[#This Row],[Italy (fitted Lombardy + fitted sum of the other regions)]]*NOT(ISBLANK(Tabella3[[#This Row],[Italy data]]))</f>
        <v>0</v>
      </c>
      <c r="N215" s="10">
        <f>Tabella3[[#This Row],[Italy fit]]*NOT(ISBLANK(Tabella3[[#This Row],[Italy data]]))</f>
        <v>0</v>
      </c>
      <c r="O215" s="151"/>
      <c r="P215" s="151"/>
      <c r="Q215" s="151"/>
      <c r="R215" s="10"/>
      <c r="S215" s="10">
        <f>Tabella3[[#This Row],[Lombardy data]]*NOT(ISBLANK(Tabella3[[#This Row],[Lombardy data]]))</f>
        <v>0</v>
      </c>
      <c r="T215" s="96" t="e">
        <f>Tabella8[[#This Row],[Lombardy fit]]</f>
        <v>#VALUE!</v>
      </c>
      <c r="U215" s="91" t="e">
        <f>Tabella3[[#This Row],[Lombardy cumul. Fit]]/Kl</f>
        <v>#VALUE!</v>
      </c>
      <c r="V215" s="91">
        <f>IFERROR(Kl*_xlfn.LOGNORM.DIST((Tabella3[[#This Row],[Day]]-pl),mu_l,sigma_l,FALSE),0)</f>
        <v>4.6691890407165877</v>
      </c>
      <c r="W215" s="91">
        <f>Tabella3[[#This Row],[Lombardy fit]]/y_l_peak</f>
        <v>2.6560352470980505E-3</v>
      </c>
      <c r="X215" s="10">
        <f>Tabella3[[#This Row],[Lombardy fit]]*NOT(ISBLANK(Tabella3[[#This Row],[Lombardy data]]))</f>
        <v>0</v>
      </c>
      <c r="Y215" s="151"/>
      <c r="Z215" s="151"/>
      <c r="AA215" s="151"/>
      <c r="AB215" s="10"/>
      <c r="AC215" s="10">
        <f>Tabella3[[#This Row],[rest of Italy data]]*NOT(ISBLANK(Tabella3[[#This Row],[rest of Italy data]]))</f>
        <v>0</v>
      </c>
      <c r="AD215" s="96" t="e">
        <f>Tabella8[[#This Row],[rest of Italy fit]]</f>
        <v>#VALUE!</v>
      </c>
      <c r="AE215" s="91" t="e">
        <f>Tabella3[[#This Row],[rest of Italy cumul. Fit]]/Ka</f>
        <v>#VALUE!</v>
      </c>
      <c r="AF215" s="91">
        <f>IFERROR(Ka*_xlfn.LOGNORM.DIST((Tabella3[[#This Row],[Day]]-pa),mu_a,sigma_a,FALSE),0)</f>
        <v>3.4284579038724243</v>
      </c>
      <c r="AG215" s="91">
        <f>Tabella3[[#This Row],[rest of Italy fit]]/y_a_peak</f>
        <v>1.0145920747163888E-3</v>
      </c>
      <c r="AH215" s="10">
        <f>Tabella3[[#This Row],[rest of Italy fit]]*NOT(ISBLANK(Tabella3[[#This Row],[rest of Italy data]]))</f>
        <v>0</v>
      </c>
      <c r="AI215" s="151"/>
      <c r="AJ215" s="151"/>
    </row>
    <row r="216" spans="2:36" x14ac:dyDescent="0.3">
      <c r="B216" s="9">
        <v>44039</v>
      </c>
      <c r="C216" s="4">
        <v>209</v>
      </c>
      <c r="D216" s="151"/>
      <c r="E216" s="10"/>
      <c r="F216" s="10">
        <f>Tabella3[[#This Row],[Italy data]]*NOT(ISBLANK(Tabella3[[#This Row],[Italy data]]))</f>
        <v>0</v>
      </c>
      <c r="G216" s="96" t="e">
        <f>Tabella8[[#This Row],[Italy fit]]</f>
        <v>#VALUE!</v>
      </c>
      <c r="H216" s="96" t="e">
        <f>Tabella3[[#This Row],[Italy cumul. Fit]]/Kf</f>
        <v>#VALUE!</v>
      </c>
      <c r="I216" s="96">
        <f>Tabella3[[#This Row],[Lombardy fit]]+Tabella3[[#This Row],[rest of Italy fit]]</f>
        <v>7.6133145277789662</v>
      </c>
      <c r="J216" s="96">
        <f>Tabella3[[#This Row],[Italy (fitted Lombardy + fitted sum of the other regions)]]/(y_l_peak+y_a_peak)</f>
        <v>1.4820247265065506E-3</v>
      </c>
      <c r="K216" s="91">
        <f>IFERROR(Kf*_xlfn.LOGNORM.DIST((Tabella3[[#This Row],[Day]]-D_bk),mu_f,sigma_f,FALSE),0)</f>
        <v>6.0729376581136458</v>
      </c>
      <c r="L216" s="91">
        <f>Tabella3[[#This Row],[Italy fit]]/y_f_peak</f>
        <v>1.199803252332774E-3</v>
      </c>
      <c r="M216" s="10">
        <f>Tabella3[[#This Row],[Italy (fitted Lombardy + fitted sum of the other regions)]]*NOT(ISBLANK(Tabella3[[#This Row],[Italy data]]))</f>
        <v>0</v>
      </c>
      <c r="N216" s="10">
        <f>Tabella3[[#This Row],[Italy fit]]*NOT(ISBLANK(Tabella3[[#This Row],[Italy data]]))</f>
        <v>0</v>
      </c>
      <c r="O216" s="151"/>
      <c r="P216" s="151"/>
      <c r="Q216" s="151"/>
      <c r="R216" s="10"/>
      <c r="S216" s="10">
        <f>Tabella3[[#This Row],[Lombardy data]]*NOT(ISBLANK(Tabella3[[#This Row],[Lombardy data]]))</f>
        <v>0</v>
      </c>
      <c r="T216" s="96" t="e">
        <f>Tabella8[[#This Row],[Lombardy fit]]</f>
        <v>#VALUE!</v>
      </c>
      <c r="U216" s="91" t="e">
        <f>Tabella3[[#This Row],[Lombardy cumul. Fit]]/Kl</f>
        <v>#VALUE!</v>
      </c>
      <c r="V216" s="91">
        <f>IFERROR(Kl*_xlfn.LOGNORM.DIST((Tabella3[[#This Row],[Day]]-pl),mu_l,sigma_l,FALSE),0)</f>
        <v>4.4095795755502216</v>
      </c>
      <c r="W216" s="91">
        <f>Tabella3[[#This Row],[Lombardy fit]]/y_l_peak</f>
        <v>2.5083582342486587E-3</v>
      </c>
      <c r="X216" s="10">
        <f>Tabella3[[#This Row],[Lombardy fit]]*NOT(ISBLANK(Tabella3[[#This Row],[Lombardy data]]))</f>
        <v>0</v>
      </c>
      <c r="Y216" s="151"/>
      <c r="Z216" s="151"/>
      <c r="AA216" s="151"/>
      <c r="AB216" s="10"/>
      <c r="AC216" s="10">
        <f>Tabella3[[#This Row],[rest of Italy data]]*NOT(ISBLANK(Tabella3[[#This Row],[rest of Italy data]]))</f>
        <v>0</v>
      </c>
      <c r="AD216" s="96" t="e">
        <f>Tabella8[[#This Row],[rest of Italy fit]]</f>
        <v>#VALUE!</v>
      </c>
      <c r="AE216" s="91" t="e">
        <f>Tabella3[[#This Row],[rest of Italy cumul. Fit]]/Ka</f>
        <v>#VALUE!</v>
      </c>
      <c r="AF216" s="91">
        <f>IFERROR(Ka*_xlfn.LOGNORM.DIST((Tabella3[[#This Row],[Day]]-pa),mu_a,sigma_a,FALSE),0)</f>
        <v>3.2037349522287442</v>
      </c>
      <c r="AG216" s="91">
        <f>Tabella3[[#This Row],[rest of Italy fit]]/y_a_peak</f>
        <v>9.4808925270797938E-4</v>
      </c>
      <c r="AH216" s="10">
        <f>Tabella3[[#This Row],[rest of Italy fit]]*NOT(ISBLANK(Tabella3[[#This Row],[rest of Italy data]]))</f>
        <v>0</v>
      </c>
      <c r="AI216" s="151"/>
      <c r="AJ216" s="151"/>
    </row>
    <row r="217" spans="2:36" x14ac:dyDescent="0.3">
      <c r="B217" s="9">
        <v>44040</v>
      </c>
      <c r="C217" s="4">
        <v>210</v>
      </c>
      <c r="D217" s="151"/>
      <c r="E217" s="10"/>
      <c r="F217" s="10">
        <f>Tabella3[[#This Row],[Italy data]]*NOT(ISBLANK(Tabella3[[#This Row],[Italy data]]))</f>
        <v>0</v>
      </c>
      <c r="G217" s="96" t="e">
        <f>Tabella8[[#This Row],[Italy fit]]</f>
        <v>#VALUE!</v>
      </c>
      <c r="H217" s="96" t="e">
        <f>Tabella3[[#This Row],[Italy cumul. Fit]]/Kf</f>
        <v>#VALUE!</v>
      </c>
      <c r="I217" s="96">
        <f>Tabella3[[#This Row],[Lombardy fit]]+Tabella3[[#This Row],[rest of Italy fit]]</f>
        <v>7.1585458172196716</v>
      </c>
      <c r="J217" s="96">
        <f>Tabella3[[#This Row],[Italy (fitted Lombardy + fitted sum of the other regions)]]/(y_l_peak+y_a_peak)</f>
        <v>1.393498438589349E-3</v>
      </c>
      <c r="K217" s="91">
        <f>IFERROR(Kf*_xlfn.LOGNORM.DIST((Tabella3[[#This Row],[Day]]-D_bk),mu_f,sigma_f,FALSE),0)</f>
        <v>5.6810248594298596</v>
      </c>
      <c r="L217" s="91">
        <f>Tabella3[[#This Row],[Italy fit]]/y_f_peak</f>
        <v>1.1223747857547549E-3</v>
      </c>
      <c r="M217" s="10">
        <f>Tabella3[[#This Row],[Italy (fitted Lombardy + fitted sum of the other regions)]]*NOT(ISBLANK(Tabella3[[#This Row],[Italy data]]))</f>
        <v>0</v>
      </c>
      <c r="N217" s="10">
        <f>Tabella3[[#This Row],[Italy fit]]*NOT(ISBLANK(Tabella3[[#This Row],[Italy data]]))</f>
        <v>0</v>
      </c>
      <c r="O217" s="151"/>
      <c r="P217" s="151"/>
      <c r="Q217" s="151"/>
      <c r="R217" s="10"/>
      <c r="S217" s="10">
        <f>Tabella3[[#This Row],[Lombardy data]]*NOT(ISBLANK(Tabella3[[#This Row],[Lombardy data]]))</f>
        <v>0</v>
      </c>
      <c r="T217" s="96" t="e">
        <f>Tabella8[[#This Row],[Lombardy fit]]</f>
        <v>#VALUE!</v>
      </c>
      <c r="U217" s="91" t="e">
        <f>Tabella3[[#This Row],[Lombardy cumul. Fit]]/Kl</f>
        <v>#VALUE!</v>
      </c>
      <c r="V217" s="91">
        <f>IFERROR(Kl*_xlfn.LOGNORM.DIST((Tabella3[[#This Row],[Day]]-pl),mu_l,sigma_l,FALSE),0)</f>
        <v>4.1646070346273749</v>
      </c>
      <c r="W217" s="91">
        <f>Tabella3[[#This Row],[Lombardy fit]]/y_l_peak</f>
        <v>2.3690073324992636E-3</v>
      </c>
      <c r="X217" s="10">
        <f>Tabella3[[#This Row],[Lombardy fit]]*NOT(ISBLANK(Tabella3[[#This Row],[Lombardy data]]))</f>
        <v>0</v>
      </c>
      <c r="Y217" s="151"/>
      <c r="Z217" s="151"/>
      <c r="AA217" s="151"/>
      <c r="AB217" s="10"/>
      <c r="AC217" s="10">
        <f>Tabella3[[#This Row],[rest of Italy data]]*NOT(ISBLANK(Tabella3[[#This Row],[rest of Italy data]]))</f>
        <v>0</v>
      </c>
      <c r="AD217" s="96" t="e">
        <f>Tabella8[[#This Row],[rest of Italy fit]]</f>
        <v>#VALUE!</v>
      </c>
      <c r="AE217" s="91" t="e">
        <f>Tabella3[[#This Row],[rest of Italy cumul. Fit]]/Ka</f>
        <v>#VALUE!</v>
      </c>
      <c r="AF217" s="91">
        <f>IFERROR(Ka*_xlfn.LOGNORM.DIST((Tabella3[[#This Row],[Day]]-pa),mu_a,sigma_a,FALSE),0)</f>
        <v>2.9939387825922967</v>
      </c>
      <c r="AG217" s="91">
        <f>Tabella3[[#This Row],[rest of Italy fit]]/y_a_peak</f>
        <v>8.8600375042470123E-4</v>
      </c>
      <c r="AH217" s="10">
        <f>Tabella3[[#This Row],[rest of Italy fit]]*NOT(ISBLANK(Tabella3[[#This Row],[rest of Italy data]]))</f>
        <v>0</v>
      </c>
      <c r="AI217" s="151"/>
      <c r="AJ217" s="151"/>
    </row>
    <row r="218" spans="2:36" x14ac:dyDescent="0.3">
      <c r="B218" s="9">
        <v>44041</v>
      </c>
      <c r="C218" s="4">
        <v>211</v>
      </c>
      <c r="D218" s="151"/>
      <c r="E218" s="10"/>
      <c r="F218" s="10">
        <f>Tabella3[[#This Row],[Italy data]]*NOT(ISBLANK(Tabella3[[#This Row],[Italy data]]))</f>
        <v>0</v>
      </c>
      <c r="G218" s="96" t="e">
        <f>Tabella8[[#This Row],[Italy fit]]</f>
        <v>#VALUE!</v>
      </c>
      <c r="H218" s="96" t="e">
        <f>Tabella3[[#This Row],[Italy cumul. Fit]]/Kf</f>
        <v>#VALUE!</v>
      </c>
      <c r="I218" s="96">
        <f>Tabella3[[#This Row],[Lombardy fit]]+Tabella3[[#This Row],[rest of Italy fit]]</f>
        <v>6.7315073174005198</v>
      </c>
      <c r="J218" s="96">
        <f>Tabella3[[#This Row],[Italy (fitted Lombardy + fitted sum of the other regions)]]/(y_l_peak+y_a_peak)</f>
        <v>1.3103701751249893E-3</v>
      </c>
      <c r="K218" s="91">
        <f>IFERROR(Kf*_xlfn.LOGNORM.DIST((Tabella3[[#This Row],[Day]]-D_bk),mu_f,sigma_f,FALSE),0)</f>
        <v>5.3146494764345897</v>
      </c>
      <c r="L218" s="91">
        <f>Tabella3[[#This Row],[Italy fit]]/y_f_peak</f>
        <v>1.0499916326846589E-3</v>
      </c>
      <c r="M218" s="10">
        <f>Tabella3[[#This Row],[Italy (fitted Lombardy + fitted sum of the other regions)]]*NOT(ISBLANK(Tabella3[[#This Row],[Italy data]]))</f>
        <v>0</v>
      </c>
      <c r="N218" s="10">
        <f>Tabella3[[#This Row],[Italy fit]]*NOT(ISBLANK(Tabella3[[#This Row],[Italy data]]))</f>
        <v>0</v>
      </c>
      <c r="O218" s="151"/>
      <c r="P218" s="151"/>
      <c r="Q218" s="151"/>
      <c r="R218" s="10"/>
      <c r="S218" s="10">
        <f>Tabella3[[#This Row],[Lombardy data]]*NOT(ISBLANK(Tabella3[[#This Row],[Lombardy data]]))</f>
        <v>0</v>
      </c>
      <c r="T218" s="96" t="e">
        <f>Tabella8[[#This Row],[Lombardy fit]]</f>
        <v>#VALUE!</v>
      </c>
      <c r="U218" s="91" t="e">
        <f>Tabella3[[#This Row],[Lombardy cumul. Fit]]/Kl</f>
        <v>#VALUE!</v>
      </c>
      <c r="V218" s="91">
        <f>IFERROR(Kl*_xlfn.LOGNORM.DIST((Tabella3[[#This Row],[Day]]-pl),mu_l,sigma_l,FALSE),0)</f>
        <v>3.9334389302597814</v>
      </c>
      <c r="W218" s="91">
        <f>Tabella3[[#This Row],[Lombardy fit]]/y_l_peak</f>
        <v>2.2375089871011643E-3</v>
      </c>
      <c r="X218" s="10">
        <f>Tabella3[[#This Row],[Lombardy fit]]*NOT(ISBLANK(Tabella3[[#This Row],[Lombardy data]]))</f>
        <v>0</v>
      </c>
      <c r="Y218" s="151"/>
      <c r="Z218" s="151"/>
      <c r="AA218" s="151"/>
      <c r="AB218" s="10"/>
      <c r="AC218" s="10">
        <f>Tabella3[[#This Row],[rest of Italy data]]*NOT(ISBLANK(Tabella3[[#This Row],[rest of Italy data]]))</f>
        <v>0</v>
      </c>
      <c r="AD218" s="96" t="e">
        <f>Tabella8[[#This Row],[rest of Italy fit]]</f>
        <v>#VALUE!</v>
      </c>
      <c r="AE218" s="91" t="e">
        <f>Tabella3[[#This Row],[rest of Italy cumul. Fit]]/Ka</f>
        <v>#VALUE!</v>
      </c>
      <c r="AF218" s="91">
        <f>IFERROR(Ka*_xlfn.LOGNORM.DIST((Tabella3[[#This Row],[Day]]-pa),mu_a,sigma_a,FALSE),0)</f>
        <v>2.7980683871407384</v>
      </c>
      <c r="AG218" s="91">
        <f>Tabella3[[#This Row],[rest of Italy fit]]/y_a_peak</f>
        <v>8.2803933713199217E-4</v>
      </c>
      <c r="AH218" s="10">
        <f>Tabella3[[#This Row],[rest of Italy fit]]*NOT(ISBLANK(Tabella3[[#This Row],[rest of Italy data]]))</f>
        <v>0</v>
      </c>
      <c r="AI218" s="151"/>
      <c r="AJ218" s="151"/>
    </row>
    <row r="219" spans="2:36" x14ac:dyDescent="0.3">
      <c r="B219" s="9">
        <v>44042</v>
      </c>
      <c r="C219" s="4">
        <v>212</v>
      </c>
      <c r="D219" s="151"/>
      <c r="E219" s="10"/>
      <c r="F219" s="10">
        <f>Tabella3[[#This Row],[Italy data]]*NOT(ISBLANK(Tabella3[[#This Row],[Italy data]]))</f>
        <v>0</v>
      </c>
      <c r="G219" s="96" t="e">
        <f>Tabella8[[#This Row],[Italy fit]]</f>
        <v>#VALUE!</v>
      </c>
      <c r="H219" s="96" t="e">
        <f>Tabella3[[#This Row],[Italy cumul. Fit]]/Kf</f>
        <v>#VALUE!</v>
      </c>
      <c r="I219" s="96">
        <f>Tabella3[[#This Row],[Lombardy fit]]+Tabella3[[#This Row],[rest of Italy fit]]</f>
        <v>6.3304804089381737</v>
      </c>
      <c r="J219" s="96">
        <f>Tabella3[[#This Row],[Italy (fitted Lombardy + fitted sum of the other regions)]]/(y_l_peak+y_a_peak)</f>
        <v>1.232305385844694E-3</v>
      </c>
      <c r="K219" s="91">
        <f>IFERROR(Kf*_xlfn.LOGNORM.DIST((Tabella3[[#This Row],[Day]]-D_bk),mu_f,sigma_f,FALSE),0)</f>
        <v>4.972138242621968</v>
      </c>
      <c r="L219" s="91">
        <f>Tabella3[[#This Row],[Italy fit]]/y_f_peak</f>
        <v>9.823232133094233E-4</v>
      </c>
      <c r="M219" s="10">
        <f>Tabella3[[#This Row],[Italy (fitted Lombardy + fitted sum of the other regions)]]*NOT(ISBLANK(Tabella3[[#This Row],[Italy data]]))</f>
        <v>0</v>
      </c>
      <c r="N219" s="10">
        <f>Tabella3[[#This Row],[Italy fit]]*NOT(ISBLANK(Tabella3[[#This Row],[Italy data]]))</f>
        <v>0</v>
      </c>
      <c r="O219" s="151"/>
      <c r="P219" s="151"/>
      <c r="Q219" s="151"/>
      <c r="R219" s="10"/>
      <c r="S219" s="10">
        <f>Tabella3[[#This Row],[Lombardy data]]*NOT(ISBLANK(Tabella3[[#This Row],[Lombardy data]]))</f>
        <v>0</v>
      </c>
      <c r="T219" s="96" t="e">
        <f>Tabella8[[#This Row],[Lombardy fit]]</f>
        <v>#VALUE!</v>
      </c>
      <c r="U219" s="91" t="e">
        <f>Tabella3[[#This Row],[Lombardy cumul. Fit]]/Kl</f>
        <v>#VALUE!</v>
      </c>
      <c r="V219" s="91">
        <f>IFERROR(Kl*_xlfn.LOGNORM.DIST((Tabella3[[#This Row],[Day]]-pl),mu_l,sigma_l,FALSE),0)</f>
        <v>3.715290203303137</v>
      </c>
      <c r="W219" s="91">
        <f>Tabella3[[#This Row],[Lombardy fit]]/y_l_peak</f>
        <v>2.1134166226983104E-3</v>
      </c>
      <c r="X219" s="10">
        <f>Tabella3[[#This Row],[Lombardy fit]]*NOT(ISBLANK(Tabella3[[#This Row],[Lombardy data]]))</f>
        <v>0</v>
      </c>
      <c r="Y219" s="151"/>
      <c r="Z219" s="151"/>
      <c r="AA219" s="151"/>
      <c r="AB219" s="10"/>
      <c r="AC219" s="10">
        <f>Tabella3[[#This Row],[rest of Italy data]]*NOT(ISBLANK(Tabella3[[#This Row],[rest of Italy data]]))</f>
        <v>0</v>
      </c>
      <c r="AD219" s="96" t="e">
        <f>Tabella8[[#This Row],[rest of Italy fit]]</f>
        <v>#VALUE!</v>
      </c>
      <c r="AE219" s="91" t="e">
        <f>Tabella3[[#This Row],[rest of Italy cumul. Fit]]/Ka</f>
        <v>#VALUE!</v>
      </c>
      <c r="AF219" s="91">
        <f>IFERROR(Ka*_xlfn.LOGNORM.DIST((Tabella3[[#This Row],[Day]]-pa),mu_a,sigma_a,FALSE),0)</f>
        <v>2.6151902056350362</v>
      </c>
      <c r="AG219" s="91">
        <f>Tabella3[[#This Row],[rest of Italy fit]]/y_a_peak</f>
        <v>7.7391974202637435E-4</v>
      </c>
      <c r="AH219" s="10">
        <f>Tabella3[[#This Row],[rest of Italy fit]]*NOT(ISBLANK(Tabella3[[#This Row],[rest of Italy data]]))</f>
        <v>0</v>
      </c>
      <c r="AI219" s="151"/>
      <c r="AJ219" s="151"/>
    </row>
    <row r="220" spans="2:36" x14ac:dyDescent="0.3">
      <c r="B220" s="9">
        <v>44043</v>
      </c>
      <c r="C220" s="4">
        <v>213</v>
      </c>
      <c r="D220" s="151"/>
      <c r="E220" s="10"/>
      <c r="F220" s="10">
        <f>Tabella3[[#This Row],[Italy data]]*NOT(ISBLANK(Tabella3[[#This Row],[Italy data]]))</f>
        <v>0</v>
      </c>
      <c r="G220" s="96" t="e">
        <f>Tabella8[[#This Row],[Italy fit]]</f>
        <v>#VALUE!</v>
      </c>
      <c r="H220" s="96" t="e">
        <f>Tabella3[[#This Row],[Italy cumul. Fit]]/Kf</f>
        <v>#VALUE!</v>
      </c>
      <c r="I220" s="96">
        <f>Tabella3[[#This Row],[Lombardy fit]]+Tabella3[[#This Row],[rest of Italy fit]]</f>
        <v>5.9538541335838993</v>
      </c>
      <c r="J220" s="96">
        <f>Tabella3[[#This Row],[Italy (fitted Lombardy + fitted sum of the other regions)]]/(y_l_peak+y_a_peak)</f>
        <v>1.158990478035423E-3</v>
      </c>
      <c r="K220" s="91">
        <f>IFERROR(Kf*_xlfn.LOGNORM.DIST((Tabella3[[#This Row],[Day]]-D_bk),mu_f,sigma_f,FALSE),0)</f>
        <v>4.6519275307624479</v>
      </c>
      <c r="L220" s="91">
        <f>Tabella3[[#This Row],[Italy fit]]/y_f_peak</f>
        <v>9.1906060875962124E-4</v>
      </c>
      <c r="M220" s="10">
        <f>Tabella3[[#This Row],[Italy (fitted Lombardy + fitted sum of the other regions)]]*NOT(ISBLANK(Tabella3[[#This Row],[Italy data]]))</f>
        <v>0</v>
      </c>
      <c r="N220" s="10">
        <f>Tabella3[[#This Row],[Italy fit]]*NOT(ISBLANK(Tabella3[[#This Row],[Italy data]]))</f>
        <v>0</v>
      </c>
      <c r="O220" s="151"/>
      <c r="P220" s="151"/>
      <c r="Q220" s="151"/>
      <c r="R220" s="10"/>
      <c r="S220" s="10">
        <f>Tabella3[[#This Row],[Lombardy data]]*NOT(ISBLANK(Tabella3[[#This Row],[Lombardy data]]))</f>
        <v>0</v>
      </c>
      <c r="T220" s="96" t="e">
        <f>Tabella8[[#This Row],[Lombardy fit]]</f>
        <v>#VALUE!</v>
      </c>
      <c r="U220" s="91" t="e">
        <f>Tabella3[[#This Row],[Lombardy cumul. Fit]]/Kl</f>
        <v>#VALUE!</v>
      </c>
      <c r="V220" s="91">
        <f>IFERROR(Kl*_xlfn.LOGNORM.DIST((Tabella3[[#This Row],[Day]]-pl),mu_l,sigma_l,FALSE),0)</f>
        <v>3.5094205443131448</v>
      </c>
      <c r="W220" s="91">
        <f>Tabella3[[#This Row],[Lombardy fit]]/y_l_peak</f>
        <v>1.9963091194858127E-3</v>
      </c>
      <c r="X220" s="10">
        <f>Tabella3[[#This Row],[Lombardy fit]]*NOT(ISBLANK(Tabella3[[#This Row],[Lombardy data]]))</f>
        <v>0</v>
      </c>
      <c r="Y220" s="151"/>
      <c r="Z220" s="151"/>
      <c r="AA220" s="151"/>
      <c r="AB220" s="10"/>
      <c r="AC220" s="10">
        <f>Tabella3[[#This Row],[rest of Italy data]]*NOT(ISBLANK(Tabella3[[#This Row],[rest of Italy data]]))</f>
        <v>0</v>
      </c>
      <c r="AD220" s="96" t="e">
        <f>Tabella8[[#This Row],[rest of Italy fit]]</f>
        <v>#VALUE!</v>
      </c>
      <c r="AE220" s="91" t="e">
        <f>Tabella3[[#This Row],[rest of Italy cumul. Fit]]/Ka</f>
        <v>#VALUE!</v>
      </c>
      <c r="AF220" s="91">
        <f>IFERROR(Ka*_xlfn.LOGNORM.DIST((Tabella3[[#This Row],[Day]]-pa),mu_a,sigma_a,FALSE),0)</f>
        <v>2.4444335892707545</v>
      </c>
      <c r="AG220" s="91">
        <f>Tabella3[[#This Row],[rest of Italy fit]]/y_a_peak</f>
        <v>7.2338731184168282E-4</v>
      </c>
      <c r="AH220" s="10">
        <f>Tabella3[[#This Row],[rest of Italy fit]]*NOT(ISBLANK(Tabella3[[#This Row],[rest of Italy data]]))</f>
        <v>0</v>
      </c>
      <c r="AI220" s="151"/>
      <c r="AJ220" s="151"/>
    </row>
    <row r="221" spans="2:36" x14ac:dyDescent="0.3">
      <c r="B221" s="9">
        <v>44044</v>
      </c>
      <c r="C221" s="4">
        <v>214</v>
      </c>
      <c r="D221" s="151"/>
      <c r="E221" s="10"/>
      <c r="F221" s="10">
        <f>Tabella3[[#This Row],[Italy data]]*NOT(ISBLANK(Tabella3[[#This Row],[Italy data]]))</f>
        <v>0</v>
      </c>
      <c r="G221" s="96" t="e">
        <f>Tabella8[[#This Row],[Italy fit]]</f>
        <v>#VALUE!</v>
      </c>
      <c r="H221" s="96" t="e">
        <f>Tabella3[[#This Row],[Italy cumul. Fit]]/Kf</f>
        <v>#VALUE!</v>
      </c>
      <c r="I221" s="96">
        <f>Tabella3[[#This Row],[Lombardy fit]]+Tabella3[[#This Row],[rest of Italy fit]]</f>
        <v>5.6001184283293721</v>
      </c>
      <c r="J221" s="96">
        <f>Tabella3[[#This Row],[Italy (fitted Lombardy + fitted sum of the other regions)]]/(y_l_peak+y_a_peak)</f>
        <v>1.090131499475873E-3</v>
      </c>
      <c r="K221" s="91">
        <f>IFERROR(Kf*_xlfn.LOGNORM.DIST((Tabella3[[#This Row],[Day]]-D_bk),mu_f,sigma_f,FALSE),0)</f>
        <v>4.3525562241737807</v>
      </c>
      <c r="L221" s="91">
        <f>Tabella3[[#This Row],[Italy fit]]/y_f_peak</f>
        <v>8.5991515271820944E-4</v>
      </c>
      <c r="M221" s="10">
        <f>Tabella3[[#This Row],[Italy (fitted Lombardy + fitted sum of the other regions)]]*NOT(ISBLANK(Tabella3[[#This Row],[Italy data]]))</f>
        <v>0</v>
      </c>
      <c r="N221" s="10">
        <f>Tabella3[[#This Row],[Italy fit]]*NOT(ISBLANK(Tabella3[[#This Row],[Italy data]]))</f>
        <v>0</v>
      </c>
      <c r="O221" s="151"/>
      <c r="P221" s="151"/>
      <c r="Q221" s="151"/>
      <c r="R221" s="10"/>
      <c r="S221" s="10">
        <f>Tabella3[[#This Row],[Lombardy data]]*NOT(ISBLANK(Tabella3[[#This Row],[Lombardy data]]))</f>
        <v>0</v>
      </c>
      <c r="T221" s="96" t="e">
        <f>Tabella8[[#This Row],[Lombardy fit]]</f>
        <v>#VALUE!</v>
      </c>
      <c r="U221" s="91" t="e">
        <f>Tabella3[[#This Row],[Lombardy cumul. Fit]]/Kl</f>
        <v>#VALUE!</v>
      </c>
      <c r="V221" s="91">
        <f>IFERROR(Kl*_xlfn.LOGNORM.DIST((Tabella3[[#This Row],[Day]]-pl),mu_l,sigma_l,FALSE),0)</f>
        <v>3.3151318622232631</v>
      </c>
      <c r="W221" s="91">
        <f>Tabella3[[#This Row],[Lombardy fit]]/y_l_peak</f>
        <v>1.8857893732851414E-3</v>
      </c>
      <c r="X221" s="10">
        <f>Tabella3[[#This Row],[Lombardy fit]]*NOT(ISBLANK(Tabella3[[#This Row],[Lombardy data]]))</f>
        <v>0</v>
      </c>
      <c r="Y221" s="151"/>
      <c r="Z221" s="151"/>
      <c r="AA221" s="151"/>
      <c r="AB221" s="10"/>
      <c r="AC221" s="10">
        <f>Tabella3[[#This Row],[rest of Italy data]]*NOT(ISBLANK(Tabella3[[#This Row],[rest of Italy data]]))</f>
        <v>0</v>
      </c>
      <c r="AD221" s="96" t="e">
        <f>Tabella8[[#This Row],[rest of Italy fit]]</f>
        <v>#VALUE!</v>
      </c>
      <c r="AE221" s="91" t="e">
        <f>Tabella3[[#This Row],[rest of Italy cumul. Fit]]/Ka</f>
        <v>#VALUE!</v>
      </c>
      <c r="AF221" s="91">
        <f>IFERROR(Ka*_xlfn.LOGNORM.DIST((Tabella3[[#This Row],[Day]]-pa),mu_a,sigma_a,FALSE),0)</f>
        <v>2.2849865661061091</v>
      </c>
      <c r="AG221" s="91">
        <f>Tabella3[[#This Row],[rest of Italy fit]]/y_a_peak</f>
        <v>6.7620175770165757E-4</v>
      </c>
      <c r="AH221" s="10">
        <f>Tabella3[[#This Row],[rest of Italy fit]]*NOT(ISBLANK(Tabella3[[#This Row],[rest of Italy data]]))</f>
        <v>0</v>
      </c>
      <c r="AI221" s="151"/>
      <c r="AJ221" s="151"/>
    </row>
    <row r="222" spans="2:36" x14ac:dyDescent="0.3">
      <c r="B222" s="9">
        <v>44045</v>
      </c>
      <c r="C222" s="4">
        <v>215</v>
      </c>
      <c r="D222" s="151"/>
      <c r="E222" s="10"/>
      <c r="F222" s="10">
        <f>Tabella3[[#This Row],[Italy data]]*NOT(ISBLANK(Tabella3[[#This Row],[Italy data]]))</f>
        <v>0</v>
      </c>
      <c r="G222" s="96" t="e">
        <f>Tabella8[[#This Row],[Italy fit]]</f>
        <v>#VALUE!</v>
      </c>
      <c r="H222" s="96" t="e">
        <f>Tabella3[[#This Row],[Italy cumul. Fit]]/Kf</f>
        <v>#VALUE!</v>
      </c>
      <c r="I222" s="96">
        <f>Tabella3[[#This Row],[Lombardy fit]]+Tabella3[[#This Row],[rest of Italy fit]]</f>
        <v>5.2678577814181295</v>
      </c>
      <c r="J222" s="96">
        <f>Tabella3[[#This Row],[Italy (fitted Lombardy + fitted sum of the other regions)]]/(y_l_peak+y_a_peak)</f>
        <v>1.0254529035015679E-3</v>
      </c>
      <c r="K222" s="91">
        <f>IFERROR(Kf*_xlfn.LOGNORM.DIST((Tabella3[[#This Row],[Day]]-D_bk),mu_f,sigma_f,FALSE),0)</f>
        <v>4.0726590425325124</v>
      </c>
      <c r="L222" s="91">
        <f>Tabella3[[#This Row],[Italy fit]]/y_f_peak</f>
        <v>8.0461711283082442E-4</v>
      </c>
      <c r="M222" s="10">
        <f>Tabella3[[#This Row],[Italy (fitted Lombardy + fitted sum of the other regions)]]*NOT(ISBLANK(Tabella3[[#This Row],[Italy data]]))</f>
        <v>0</v>
      </c>
      <c r="N222" s="10">
        <f>Tabella3[[#This Row],[Italy fit]]*NOT(ISBLANK(Tabella3[[#This Row],[Italy data]]))</f>
        <v>0</v>
      </c>
      <c r="O222" s="151"/>
      <c r="P222" s="151"/>
      <c r="Q222" s="151"/>
      <c r="R222" s="10"/>
      <c r="S222" s="10">
        <f>Tabella3[[#This Row],[Lombardy data]]*NOT(ISBLANK(Tabella3[[#This Row],[Lombardy data]]))</f>
        <v>0</v>
      </c>
      <c r="T222" s="96" t="e">
        <f>Tabella8[[#This Row],[Lombardy fit]]</f>
        <v>#VALUE!</v>
      </c>
      <c r="U222" s="91" t="e">
        <f>Tabella3[[#This Row],[Lombardy cumul. Fit]]/Kl</f>
        <v>#VALUE!</v>
      </c>
      <c r="V222" s="91">
        <f>IFERROR(Kl*_xlfn.LOGNORM.DIST((Tabella3[[#This Row],[Day]]-pl),mu_l,sigma_l,FALSE),0)</f>
        <v>3.1317658928650469</v>
      </c>
      <c r="W222" s="91">
        <f>Tabella3[[#This Row],[Lombardy fit]]/y_l_peak</f>
        <v>1.7814829351677894E-3</v>
      </c>
      <c r="X222" s="10">
        <f>Tabella3[[#This Row],[Lombardy fit]]*NOT(ISBLANK(Tabella3[[#This Row],[Lombardy data]]))</f>
        <v>0</v>
      </c>
      <c r="Y222" s="151"/>
      <c r="Z222" s="151"/>
      <c r="AA222" s="151"/>
      <c r="AB222" s="10"/>
      <c r="AC222" s="10">
        <f>Tabella3[[#This Row],[rest of Italy data]]*NOT(ISBLANK(Tabella3[[#This Row],[rest of Italy data]]))</f>
        <v>0</v>
      </c>
      <c r="AD222" s="96" t="e">
        <f>Tabella8[[#This Row],[rest of Italy fit]]</f>
        <v>#VALUE!</v>
      </c>
      <c r="AE222" s="91" t="e">
        <f>Tabella3[[#This Row],[rest of Italy cumul. Fit]]/Ka</f>
        <v>#VALUE!</v>
      </c>
      <c r="AF222" s="91">
        <f>IFERROR(Ka*_xlfn.LOGNORM.DIST((Tabella3[[#This Row],[Day]]-pa),mu_a,sigma_a,FALSE),0)</f>
        <v>2.1360918885530822</v>
      </c>
      <c r="AG222" s="91">
        <f>Tabella3[[#This Row],[rest of Italy fit]]/y_a_peak</f>
        <v>6.3213898544415854E-4</v>
      </c>
      <c r="AH222" s="10">
        <f>Tabella3[[#This Row],[rest of Italy fit]]*NOT(ISBLANK(Tabella3[[#This Row],[rest of Italy data]]))</f>
        <v>0</v>
      </c>
      <c r="AI222" s="151"/>
      <c r="AJ222" s="151"/>
    </row>
    <row r="223" spans="2:36" x14ac:dyDescent="0.3">
      <c r="B223" s="9">
        <v>44046</v>
      </c>
      <c r="C223" s="4">
        <v>216</v>
      </c>
      <c r="D223" s="151"/>
      <c r="E223" s="10"/>
      <c r="F223" s="10">
        <f>Tabella3[[#This Row],[Italy data]]*NOT(ISBLANK(Tabella3[[#This Row],[Italy data]]))</f>
        <v>0</v>
      </c>
      <c r="G223" s="96" t="e">
        <f>Tabella8[[#This Row],[Italy fit]]</f>
        <v>#VALUE!</v>
      </c>
      <c r="H223" s="96" t="e">
        <f>Tabella3[[#This Row],[Italy cumul. Fit]]/Kf</f>
        <v>#VALUE!</v>
      </c>
      <c r="I223" s="96">
        <f>Tabella3[[#This Row],[Lombardy fit]]+Tabella3[[#This Row],[rest of Italy fit]]</f>
        <v>4.9557452846154622</v>
      </c>
      <c r="J223" s="96">
        <f>Tabella3[[#This Row],[Italy (fitted Lombardy + fitted sum of the other regions)]]/(y_l_peak+y_a_peak)</f>
        <v>9.6469639120649626E-4</v>
      </c>
      <c r="K223" s="91">
        <f>IFERROR(Kf*_xlfn.LOGNORM.DIST((Tabella3[[#This Row],[Day]]-D_bk),mu_f,sigma_f,FALSE),0)</f>
        <v>3.810960294367876</v>
      </c>
      <c r="L223" s="91">
        <f>Tabella3[[#This Row],[Italy fit]]/y_f_peak</f>
        <v>7.5291445641381845E-4</v>
      </c>
      <c r="M223" s="10">
        <f>Tabella3[[#This Row],[Italy (fitted Lombardy + fitted sum of the other regions)]]*NOT(ISBLANK(Tabella3[[#This Row],[Italy data]]))</f>
        <v>0</v>
      </c>
      <c r="N223" s="10">
        <f>Tabella3[[#This Row],[Italy fit]]*NOT(ISBLANK(Tabella3[[#This Row],[Italy data]]))</f>
        <v>0</v>
      </c>
      <c r="O223" s="151"/>
      <c r="P223" s="151"/>
      <c r="Q223" s="151"/>
      <c r="R223" s="10"/>
      <c r="S223" s="10">
        <f>Tabella3[[#This Row],[Lombardy data]]*NOT(ISBLANK(Tabella3[[#This Row],[Lombardy data]]))</f>
        <v>0</v>
      </c>
      <c r="T223" s="96" t="e">
        <f>Tabella8[[#This Row],[Lombardy fit]]</f>
        <v>#VALUE!</v>
      </c>
      <c r="U223" s="91" t="e">
        <f>Tabella3[[#This Row],[Lombardy cumul. Fit]]/Kl</f>
        <v>#VALUE!</v>
      </c>
      <c r="V223" s="91">
        <f>IFERROR(Kl*_xlfn.LOGNORM.DIST((Tabella3[[#This Row],[Day]]-pl),mu_l,sigma_l,FALSE),0)</f>
        <v>2.9587019400030021</v>
      </c>
      <c r="W223" s="91">
        <f>Tabella3[[#This Row],[Lombardy fit]]/y_l_peak</f>
        <v>1.6830367264588867E-3</v>
      </c>
      <c r="X223" s="10">
        <f>Tabella3[[#This Row],[Lombardy fit]]*NOT(ISBLANK(Tabella3[[#This Row],[Lombardy data]]))</f>
        <v>0</v>
      </c>
      <c r="Y223" s="151"/>
      <c r="Z223" s="151"/>
      <c r="AA223" s="151"/>
      <c r="AB223" s="10"/>
      <c r="AC223" s="10">
        <f>Tabella3[[#This Row],[rest of Italy data]]*NOT(ISBLANK(Tabella3[[#This Row],[rest of Italy data]]))</f>
        <v>0</v>
      </c>
      <c r="AD223" s="96" t="e">
        <f>Tabella8[[#This Row],[rest of Italy fit]]</f>
        <v>#VALUE!</v>
      </c>
      <c r="AE223" s="91" t="e">
        <f>Tabella3[[#This Row],[rest of Italy cumul. Fit]]/Ka</f>
        <v>#VALUE!</v>
      </c>
      <c r="AF223" s="91">
        <f>IFERROR(Ka*_xlfn.LOGNORM.DIST((Tabella3[[#This Row],[Day]]-pa),mu_a,sigma_a,FALSE),0)</f>
        <v>1.9970433446124605</v>
      </c>
      <c r="AG223" s="91">
        <f>Tabella3[[#This Row],[rest of Italy fit]]/y_a_peak</f>
        <v>5.9099000399577561E-4</v>
      </c>
      <c r="AH223" s="10">
        <f>Tabella3[[#This Row],[rest of Italy fit]]*NOT(ISBLANK(Tabella3[[#This Row],[rest of Italy data]]))</f>
        <v>0</v>
      </c>
      <c r="AI223" s="151"/>
      <c r="AJ223" s="151"/>
    </row>
    <row r="224" spans="2:36" x14ac:dyDescent="0.3">
      <c r="B224" s="9">
        <v>44047</v>
      </c>
      <c r="C224" s="4">
        <v>217</v>
      </c>
      <c r="D224" s="151"/>
      <c r="E224" s="10"/>
      <c r="F224" s="10">
        <f>Tabella3[[#This Row],[Italy data]]*NOT(ISBLANK(Tabella3[[#This Row],[Italy data]]))</f>
        <v>0</v>
      </c>
      <c r="G224" s="96" t="e">
        <f>Tabella8[[#This Row],[Italy fit]]</f>
        <v>#VALUE!</v>
      </c>
      <c r="H224" s="96" t="e">
        <f>Tabella3[[#This Row],[Italy cumul. Fit]]/Kf</f>
        <v>#VALUE!</v>
      </c>
      <c r="I224" s="96">
        <f>Tabella3[[#This Row],[Lombardy fit]]+Tabella3[[#This Row],[rest of Italy fit]]</f>
        <v>4.6625370575592822</v>
      </c>
      <c r="J224" s="96">
        <f>Tabella3[[#This Row],[Italy (fitted Lombardy + fitted sum of the other regions)]]/(y_l_peak+y_a_peak)</f>
        <v>9.0761982607486034E-4</v>
      </c>
      <c r="K224" s="91">
        <f>IFERROR(Kf*_xlfn.LOGNORM.DIST((Tabella3[[#This Row],[Day]]-D_bk),mu_f,sigma_f,FALSE),0)</f>
        <v>3.5662680299556788</v>
      </c>
      <c r="L224" s="91">
        <f>Tabella3[[#This Row],[Italy fit]]/y_f_peak</f>
        <v>7.0457169526754045E-4</v>
      </c>
      <c r="M224" s="10">
        <f>Tabella3[[#This Row],[Italy (fitted Lombardy + fitted sum of the other regions)]]*NOT(ISBLANK(Tabella3[[#This Row],[Italy data]]))</f>
        <v>0</v>
      </c>
      <c r="N224" s="10">
        <f>Tabella3[[#This Row],[Italy fit]]*NOT(ISBLANK(Tabella3[[#This Row],[Italy data]]))</f>
        <v>0</v>
      </c>
      <c r="O224" s="151"/>
      <c r="P224" s="151"/>
      <c r="Q224" s="151"/>
      <c r="R224" s="10"/>
      <c r="S224" s="10">
        <f>Tabella3[[#This Row],[Lombardy data]]*NOT(ISBLANK(Tabella3[[#This Row],[Lombardy data]]))</f>
        <v>0</v>
      </c>
      <c r="T224" s="96" t="e">
        <f>Tabella8[[#This Row],[Lombardy fit]]</f>
        <v>#VALUE!</v>
      </c>
      <c r="U224" s="91" t="e">
        <f>Tabella3[[#This Row],[Lombardy cumul. Fit]]/Kl</f>
        <v>#VALUE!</v>
      </c>
      <c r="V224" s="91">
        <f>IFERROR(Kl*_xlfn.LOGNORM.DIST((Tabella3[[#This Row],[Day]]-pl),mu_l,sigma_l,FALSE),0)</f>
        <v>2.7953547418971674</v>
      </c>
      <c r="W224" s="91">
        <f>Tabella3[[#This Row],[Lombardy fit]]/y_l_peak</f>
        <v>1.5901178251463751E-3</v>
      </c>
      <c r="X224" s="10">
        <f>Tabella3[[#This Row],[Lombardy fit]]*NOT(ISBLANK(Tabella3[[#This Row],[Lombardy data]]))</f>
        <v>0</v>
      </c>
      <c r="Y224" s="151"/>
      <c r="Z224" s="151"/>
      <c r="AA224" s="151"/>
      <c r="AB224" s="10"/>
      <c r="AC224" s="10">
        <f>Tabella3[[#This Row],[rest of Italy data]]*NOT(ISBLANK(Tabella3[[#This Row],[rest of Italy data]]))</f>
        <v>0</v>
      </c>
      <c r="AD224" s="96" t="e">
        <f>Tabella8[[#This Row],[rest of Italy fit]]</f>
        <v>#VALUE!</v>
      </c>
      <c r="AE224" s="91" t="e">
        <f>Tabella3[[#This Row],[rest of Italy cumul. Fit]]/Ka</f>
        <v>#VALUE!</v>
      </c>
      <c r="AF224" s="91">
        <f>IFERROR(Ka*_xlfn.LOGNORM.DIST((Tabella3[[#This Row],[Day]]-pa),mu_a,sigma_a,FALSE),0)</f>
        <v>1.8671823156621152</v>
      </c>
      <c r="AG224" s="91">
        <f>Tabella3[[#This Row],[rest of Italy fit]]/y_a_peak</f>
        <v>5.5255990670955303E-4</v>
      </c>
      <c r="AH224" s="10">
        <f>Tabella3[[#This Row],[rest of Italy fit]]*NOT(ISBLANK(Tabella3[[#This Row],[rest of Italy data]]))</f>
        <v>0</v>
      </c>
      <c r="AI224" s="151"/>
      <c r="AJ224" s="151"/>
    </row>
    <row r="225" spans="2:36" x14ac:dyDescent="0.3">
      <c r="B225" s="9">
        <v>44048</v>
      </c>
      <c r="C225" s="4">
        <v>218</v>
      </c>
      <c r="D225" s="151"/>
      <c r="E225" s="10"/>
      <c r="F225" s="10">
        <f>Tabella3[[#This Row],[Italy data]]*NOT(ISBLANK(Tabella3[[#This Row],[Italy data]]))</f>
        <v>0</v>
      </c>
      <c r="G225" s="96" t="e">
        <f>Tabella8[[#This Row],[Italy fit]]</f>
        <v>#VALUE!</v>
      </c>
      <c r="H225" s="96" t="e">
        <f>Tabella3[[#This Row],[Italy cumul. Fit]]/Kf</f>
        <v>#VALUE!</v>
      </c>
      <c r="I225" s="96">
        <f>Tabella3[[#This Row],[Lombardy fit]]+Tabella3[[#This Row],[rest of Italy fit]]</f>
        <v>4.3870670214126983</v>
      </c>
      <c r="J225" s="96">
        <f>Tabella3[[#This Row],[Italy (fitted Lombardy + fitted sum of the other regions)]]/(y_l_peak+y_a_peak)</f>
        <v>8.5399621660867022E-4</v>
      </c>
      <c r="K225" s="91">
        <f>IFERROR(Kf*_xlfn.LOGNORM.DIST((Tabella3[[#This Row],[Day]]-D_bk),mu_f,sigma_f,FALSE),0)</f>
        <v>3.3374685698344209</v>
      </c>
      <c r="L225" s="91">
        <f>Tabella3[[#This Row],[Italy fit]]/y_f_peak</f>
        <v>6.5936880469962759E-4</v>
      </c>
      <c r="M225" s="10">
        <f>Tabella3[[#This Row],[Italy (fitted Lombardy + fitted sum of the other regions)]]*NOT(ISBLANK(Tabella3[[#This Row],[Italy data]]))</f>
        <v>0</v>
      </c>
      <c r="N225" s="10">
        <f>Tabella3[[#This Row],[Italy fit]]*NOT(ISBLANK(Tabella3[[#This Row],[Italy data]]))</f>
        <v>0</v>
      </c>
      <c r="O225" s="151"/>
      <c r="P225" s="151"/>
      <c r="Q225" s="151"/>
      <c r="R225" s="10"/>
      <c r="S225" s="10">
        <f>Tabella3[[#This Row],[Lombardy data]]*NOT(ISBLANK(Tabella3[[#This Row],[Lombardy data]]))</f>
        <v>0</v>
      </c>
      <c r="T225" s="96" t="e">
        <f>Tabella8[[#This Row],[Lombardy fit]]</f>
        <v>#VALUE!</v>
      </c>
      <c r="U225" s="91" t="e">
        <f>Tabella3[[#This Row],[Lombardy cumul. Fit]]/Kl</f>
        <v>#VALUE!</v>
      </c>
      <c r="V225" s="91">
        <f>IFERROR(Kl*_xlfn.LOGNORM.DIST((Tabella3[[#This Row],[Day]]-pl),mu_l,sigma_l,FALSE),0)</f>
        <v>2.6411724567360562</v>
      </c>
      <c r="W225" s="91">
        <f>Tabella3[[#This Row],[Lombardy fit]]/y_l_peak</f>
        <v>1.5024123199087493E-3</v>
      </c>
      <c r="X225" s="10">
        <f>Tabella3[[#This Row],[Lombardy fit]]*NOT(ISBLANK(Tabella3[[#This Row],[Lombardy data]]))</f>
        <v>0</v>
      </c>
      <c r="Y225" s="151"/>
      <c r="Z225" s="151"/>
      <c r="AA225" s="151"/>
      <c r="AB225" s="10"/>
      <c r="AC225" s="10">
        <f>Tabella3[[#This Row],[rest of Italy data]]*NOT(ISBLANK(Tabella3[[#This Row],[rest of Italy data]]))</f>
        <v>0</v>
      </c>
      <c r="AD225" s="96" t="e">
        <f>Tabella8[[#This Row],[rest of Italy fit]]</f>
        <v>#VALUE!</v>
      </c>
      <c r="AE225" s="91" t="e">
        <f>Tabella3[[#This Row],[rest of Italy cumul. Fit]]/Ka</f>
        <v>#VALUE!</v>
      </c>
      <c r="AF225" s="91">
        <f>IFERROR(Ka*_xlfn.LOGNORM.DIST((Tabella3[[#This Row],[Day]]-pa),mu_a,sigma_a,FALSE),0)</f>
        <v>1.7458945646766422</v>
      </c>
      <c r="AG225" s="91">
        <f>Tabella3[[#This Row],[rest of Italy fit]]/y_a_peak</f>
        <v>5.1666692089483938E-4</v>
      </c>
      <c r="AH225" s="10">
        <f>Tabella3[[#This Row],[rest of Italy fit]]*NOT(ISBLANK(Tabella3[[#This Row],[rest of Italy data]]))</f>
        <v>0</v>
      </c>
      <c r="AI225" s="151"/>
      <c r="AJ225" s="151"/>
    </row>
    <row r="226" spans="2:36" x14ac:dyDescent="0.3">
      <c r="B226" s="9">
        <v>44049</v>
      </c>
      <c r="C226" s="4">
        <v>219</v>
      </c>
      <c r="D226" s="151"/>
      <c r="E226" s="10"/>
      <c r="F226" s="10">
        <f>Tabella3[[#This Row],[Italy data]]*NOT(ISBLANK(Tabella3[[#This Row],[Italy data]]))</f>
        <v>0</v>
      </c>
      <c r="G226" s="96" t="e">
        <f>Tabella8[[#This Row],[Italy fit]]</f>
        <v>#VALUE!</v>
      </c>
      <c r="H226" s="96" t="e">
        <f>Tabella3[[#This Row],[Italy cumul. Fit]]/Kf</f>
        <v>#VALUE!</v>
      </c>
      <c r="I226" s="96">
        <f>Tabella3[[#This Row],[Lombardy fit]]+Tabella3[[#This Row],[rest of Italy fit]]</f>
        <v>4.1282420003636702</v>
      </c>
      <c r="J226" s="96">
        <f>Tabella3[[#This Row],[Italy (fitted Lombardy + fitted sum of the other regions)]]/(y_l_peak+y_a_peak)</f>
        <v>8.0361276277477996E-4</v>
      </c>
      <c r="K226" s="91">
        <f>IFERROR(Kf*_xlfn.LOGNORM.DIST((Tabella3[[#This Row],[Day]]-D_bk),mu_f,sigma_f,FALSE),0)</f>
        <v>3.1235213855955011</v>
      </c>
      <c r="L226" s="91">
        <f>Tabella3[[#This Row],[Italy fit]]/y_f_peak</f>
        <v>6.1710021214552108E-4</v>
      </c>
      <c r="M226" s="10">
        <f>Tabella3[[#This Row],[Italy (fitted Lombardy + fitted sum of the other regions)]]*NOT(ISBLANK(Tabella3[[#This Row],[Italy data]]))</f>
        <v>0</v>
      </c>
      <c r="N226" s="10">
        <f>Tabella3[[#This Row],[Italy fit]]*NOT(ISBLANK(Tabella3[[#This Row],[Italy data]]))</f>
        <v>0</v>
      </c>
      <c r="O226" s="151"/>
      <c r="P226" s="151"/>
      <c r="Q226" s="151"/>
      <c r="R226" s="10"/>
      <c r="S226" s="10">
        <f>Tabella3[[#This Row],[Lombardy data]]*NOT(ISBLANK(Tabella3[[#This Row],[Lombardy data]]))</f>
        <v>0</v>
      </c>
      <c r="T226" s="96" t="e">
        <f>Tabella8[[#This Row],[Lombardy fit]]</f>
        <v>#VALUE!</v>
      </c>
      <c r="U226" s="91" t="e">
        <f>Tabella3[[#This Row],[Lombardy cumul. Fit]]/Kl</f>
        <v>#VALUE!</v>
      </c>
      <c r="V226" s="91">
        <f>IFERROR(Kl*_xlfn.LOGNORM.DIST((Tabella3[[#This Row],[Day]]-pl),mu_l,sigma_l,FALSE),0)</f>
        <v>2.4956347606012477</v>
      </c>
      <c r="W226" s="91">
        <f>Tabella3[[#This Row],[Lombardy fit]]/y_l_peak</f>
        <v>1.4196242281556315E-3</v>
      </c>
      <c r="X226" s="10">
        <f>Tabella3[[#This Row],[Lombardy fit]]*NOT(ISBLANK(Tabella3[[#This Row],[Lombardy data]]))</f>
        <v>0</v>
      </c>
      <c r="Y226" s="151"/>
      <c r="Z226" s="151"/>
      <c r="AA226" s="151"/>
      <c r="AB226" s="10"/>
      <c r="AC226" s="10">
        <f>Tabella3[[#This Row],[rest of Italy data]]*NOT(ISBLANK(Tabella3[[#This Row],[rest of Italy data]]))</f>
        <v>0</v>
      </c>
      <c r="AD226" s="96" t="e">
        <f>Tabella8[[#This Row],[rest of Italy fit]]</f>
        <v>#VALUE!</v>
      </c>
      <c r="AE226" s="91" t="e">
        <f>Tabella3[[#This Row],[rest of Italy cumul. Fit]]/Ka</f>
        <v>#VALUE!</v>
      </c>
      <c r="AF226" s="91">
        <f>IFERROR(Ka*_xlfn.LOGNORM.DIST((Tabella3[[#This Row],[Day]]-pa),mu_a,sigma_a,FALSE),0)</f>
        <v>1.6326072397624227</v>
      </c>
      <c r="AG226" s="91">
        <f>Tabella3[[#This Row],[rest of Italy fit]]/y_a_peak</f>
        <v>4.8314152106596504E-4</v>
      </c>
      <c r="AH226" s="10">
        <f>Tabella3[[#This Row],[rest of Italy fit]]*NOT(ISBLANK(Tabella3[[#This Row],[rest of Italy data]]))</f>
        <v>0</v>
      </c>
      <c r="AI226" s="151"/>
      <c r="AJ226" s="151"/>
    </row>
    <row r="227" spans="2:36" x14ac:dyDescent="0.3">
      <c r="B227" s="9">
        <v>44050</v>
      </c>
      <c r="C227" s="4">
        <v>220</v>
      </c>
      <c r="D227" s="151"/>
      <c r="E227" s="10"/>
      <c r="F227" s="10">
        <f>Tabella3[[#This Row],[Italy data]]*NOT(ISBLANK(Tabella3[[#This Row],[Italy data]]))</f>
        <v>0</v>
      </c>
      <c r="G227" s="96" t="e">
        <f>Tabella8[[#This Row],[Italy fit]]</f>
        <v>#VALUE!</v>
      </c>
      <c r="H227" s="96" t="e">
        <f>Tabella3[[#This Row],[Italy cumul. Fit]]/Kf</f>
        <v>#VALUE!</v>
      </c>
      <c r="I227" s="96">
        <f>Tabella3[[#This Row],[Lombardy fit]]+Tabella3[[#This Row],[rest of Italy fit]]</f>
        <v>3.8850371307746219</v>
      </c>
      <c r="J227" s="96">
        <f>Tabella3[[#This Row],[Italy (fitted Lombardy + fitted sum of the other regions)]]/(y_l_peak+y_a_peak)</f>
        <v>7.5626996233974777E-4</v>
      </c>
      <c r="K227" s="91">
        <f>IFERROR(Kf*_xlfn.LOGNORM.DIST((Tabella3[[#This Row],[Day]]-D_bk),mu_f,sigma_f,FALSE),0)</f>
        <v>2.9234543109588409</v>
      </c>
      <c r="L227" s="91">
        <f>Tabella3[[#This Row],[Italy fit]]/y_f_peak</f>
        <v>5.775738510420005E-4</v>
      </c>
      <c r="M227" s="10">
        <f>Tabella3[[#This Row],[Italy (fitted Lombardy + fitted sum of the other regions)]]*NOT(ISBLANK(Tabella3[[#This Row],[Italy data]]))</f>
        <v>0</v>
      </c>
      <c r="N227" s="10">
        <f>Tabella3[[#This Row],[Italy fit]]*NOT(ISBLANK(Tabella3[[#This Row],[Italy data]]))</f>
        <v>0</v>
      </c>
      <c r="O227" s="151"/>
      <c r="P227" s="151"/>
      <c r="Q227" s="151"/>
      <c r="R227" s="10"/>
      <c r="S227" s="10">
        <f>Tabella3[[#This Row],[Lombardy data]]*NOT(ISBLANK(Tabella3[[#This Row],[Lombardy data]]))</f>
        <v>0</v>
      </c>
      <c r="T227" s="96" t="e">
        <f>Tabella8[[#This Row],[Lombardy fit]]</f>
        <v>#VALUE!</v>
      </c>
      <c r="U227" s="91" t="e">
        <f>Tabella3[[#This Row],[Lombardy cumul. Fit]]/Kl</f>
        <v>#VALUE!</v>
      </c>
      <c r="V227" s="91">
        <f>IFERROR(Kl*_xlfn.LOGNORM.DIST((Tabella3[[#This Row],[Day]]-pl),mu_l,sigma_l,FALSE),0)</f>
        <v>2.3582510519313353</v>
      </c>
      <c r="W227" s="91">
        <f>Tabella3[[#This Row],[Lombardy fit]]/y_l_peak</f>
        <v>1.3414744746497557E-3</v>
      </c>
      <c r="X227" s="10">
        <f>Tabella3[[#This Row],[Lombardy fit]]*NOT(ISBLANK(Tabella3[[#This Row],[Lombardy data]]))</f>
        <v>0</v>
      </c>
      <c r="Y227" s="151"/>
      <c r="Z227" s="151"/>
      <c r="AA227" s="151"/>
      <c r="AB227" s="10"/>
      <c r="AC227" s="10">
        <f>Tabella3[[#This Row],[rest of Italy data]]*NOT(ISBLANK(Tabella3[[#This Row],[rest of Italy data]]))</f>
        <v>0</v>
      </c>
      <c r="AD227" s="96" t="e">
        <f>Tabella8[[#This Row],[rest of Italy fit]]</f>
        <v>#VALUE!</v>
      </c>
      <c r="AE227" s="91" t="e">
        <f>Tabella3[[#This Row],[rest of Italy cumul. Fit]]/Ka</f>
        <v>#VALUE!</v>
      </c>
      <c r="AF227" s="91">
        <f>IFERROR(Ka*_xlfn.LOGNORM.DIST((Tabella3[[#This Row],[Day]]-pa),mu_a,sigma_a,FALSE),0)</f>
        <v>1.5267860788432863</v>
      </c>
      <c r="AG227" s="91">
        <f>Tabella3[[#This Row],[rest of Italy fit]]/y_a_peak</f>
        <v>4.5182560171791794E-4</v>
      </c>
      <c r="AH227" s="10">
        <f>Tabella3[[#This Row],[rest of Italy fit]]*NOT(ISBLANK(Tabella3[[#This Row],[rest of Italy data]]))</f>
        <v>0</v>
      </c>
      <c r="AI227" s="151"/>
      <c r="AJ227" s="151"/>
    </row>
    <row r="228" spans="2:36" x14ac:dyDescent="0.3">
      <c r="B228" s="9">
        <v>44051</v>
      </c>
      <c r="C228" s="4">
        <v>221</v>
      </c>
      <c r="D228" s="151"/>
      <c r="E228" s="10"/>
      <c r="F228" s="10">
        <f>Tabella3[[#This Row],[Italy data]]*NOT(ISBLANK(Tabella3[[#This Row],[Italy data]]))</f>
        <v>0</v>
      </c>
      <c r="G228" s="96" t="e">
        <f>Tabella8[[#This Row],[Italy fit]]</f>
        <v>#VALUE!</v>
      </c>
      <c r="H228" s="96" t="e">
        <f>Tabella3[[#This Row],[Italy cumul. Fit]]/Kf</f>
        <v>#VALUE!</v>
      </c>
      <c r="I228" s="96">
        <f>Tabella3[[#This Row],[Lombardy fit]]+Tabella3[[#This Row],[rest of Italy fit]]</f>
        <v>3.6564915589759179</v>
      </c>
      <c r="J228" s="96">
        <f>Tabella3[[#This Row],[Italy (fitted Lombardy + fitted sum of the other regions)]]/(y_l_peak+y_a_peak)</f>
        <v>7.1178077339275312E-4</v>
      </c>
      <c r="K228" s="91">
        <f>IFERROR(Kf*_xlfn.LOGNORM.DIST((Tabella3[[#This Row],[Day]]-D_bk),mu_f,sigma_f,FALSE),0)</f>
        <v>2.7363590624370957</v>
      </c>
      <c r="L228" s="91">
        <f>Tabella3[[#This Row],[Italy fit]]/y_f_peak</f>
        <v>5.4061027586475667E-4</v>
      </c>
      <c r="M228" s="10">
        <f>Tabella3[[#This Row],[Italy (fitted Lombardy + fitted sum of the other regions)]]*NOT(ISBLANK(Tabella3[[#This Row],[Italy data]]))</f>
        <v>0</v>
      </c>
      <c r="N228" s="10">
        <f>Tabella3[[#This Row],[Italy fit]]*NOT(ISBLANK(Tabella3[[#This Row],[Italy data]]))</f>
        <v>0</v>
      </c>
      <c r="O228" s="151"/>
      <c r="P228" s="151"/>
      <c r="Q228" s="151"/>
      <c r="R228" s="10"/>
      <c r="S228" s="10">
        <f>Tabella3[[#This Row],[Lombardy data]]*NOT(ISBLANK(Tabella3[[#This Row],[Lombardy data]]))</f>
        <v>0</v>
      </c>
      <c r="T228" s="96" t="e">
        <f>Tabella8[[#This Row],[Lombardy fit]]</f>
        <v>#VALUE!</v>
      </c>
      <c r="U228" s="91" t="e">
        <f>Tabella3[[#This Row],[Lombardy cumul. Fit]]/Kl</f>
        <v>#VALUE!</v>
      </c>
      <c r="V228" s="91">
        <f>IFERROR(Kl*_xlfn.LOGNORM.DIST((Tabella3[[#This Row],[Day]]-pl),mu_l,sigma_l,FALSE),0)</f>
        <v>2.2285587567489626</v>
      </c>
      <c r="W228" s="91">
        <f>Tabella3[[#This Row],[Lombardy fit]]/y_l_peak</f>
        <v>1.2676999274473233E-3</v>
      </c>
      <c r="X228" s="10">
        <f>Tabella3[[#This Row],[Lombardy fit]]*NOT(ISBLANK(Tabella3[[#This Row],[Lombardy data]]))</f>
        <v>0</v>
      </c>
      <c r="Y228" s="151"/>
      <c r="Z228" s="151"/>
      <c r="AA228" s="151"/>
      <c r="AB228" s="10"/>
      <c r="AC228" s="10">
        <f>Tabella3[[#This Row],[rest of Italy data]]*NOT(ISBLANK(Tabella3[[#This Row],[rest of Italy data]]))</f>
        <v>0</v>
      </c>
      <c r="AD228" s="96" t="e">
        <f>Tabella8[[#This Row],[rest of Italy fit]]</f>
        <v>#VALUE!</v>
      </c>
      <c r="AE228" s="91" t="e">
        <f>Tabella3[[#This Row],[rest of Italy cumul. Fit]]/Ka</f>
        <v>#VALUE!</v>
      </c>
      <c r="AF228" s="91">
        <f>IFERROR(Ka*_xlfn.LOGNORM.DIST((Tabella3[[#This Row],[Day]]-pa),mu_a,sigma_a,FALSE),0)</f>
        <v>1.4279328022269551</v>
      </c>
      <c r="AG228" s="91">
        <f>Tabella3[[#This Row],[rest of Italy fit]]/y_a_peak</f>
        <v>4.2257170570204645E-4</v>
      </c>
      <c r="AH228" s="10">
        <f>Tabella3[[#This Row],[rest of Italy fit]]*NOT(ISBLANK(Tabella3[[#This Row],[rest of Italy data]]))</f>
        <v>0</v>
      </c>
      <c r="AI228" s="151"/>
      <c r="AJ228" s="151"/>
    </row>
    <row r="229" spans="2:36" x14ac:dyDescent="0.3">
      <c r="B229" s="9">
        <v>44052</v>
      </c>
      <c r="C229" s="4">
        <v>222</v>
      </c>
      <c r="D229" s="151"/>
      <c r="E229" s="10"/>
      <c r="F229" s="10">
        <f>Tabella3[[#This Row],[Italy data]]*NOT(ISBLANK(Tabella3[[#This Row],[Italy data]]))</f>
        <v>0</v>
      </c>
      <c r="G229" s="96" t="e">
        <f>Tabella8[[#This Row],[Italy fit]]</f>
        <v>#VALUE!</v>
      </c>
      <c r="H229" s="96" t="e">
        <f>Tabella3[[#This Row],[Italy cumul. Fit]]/Kf</f>
        <v>#VALUE!</v>
      </c>
      <c r="I229" s="96">
        <f>Tabella3[[#This Row],[Lombardy fit]]+Tabella3[[#This Row],[rest of Italy fit]]</f>
        <v>3.4417044098239624</v>
      </c>
      <c r="J229" s="96">
        <f>Tabella3[[#This Row],[Italy (fitted Lombardy + fitted sum of the other regions)]]/(y_l_peak+y_a_peak)</f>
        <v>6.6996982957615611E-4</v>
      </c>
      <c r="K229" s="91">
        <f>IFERROR(Kf*_xlfn.LOGNORM.DIST((Tabella3[[#This Row],[Day]]-D_bk),mu_f,sigma_f,FALSE),0)</f>
        <v>2.5613870501150058</v>
      </c>
      <c r="L229" s="91">
        <f>Tabella3[[#This Row],[Italy fit]]/y_f_peak</f>
        <v>5.060418344827219E-4</v>
      </c>
      <c r="M229" s="10">
        <f>Tabella3[[#This Row],[Italy (fitted Lombardy + fitted sum of the other regions)]]*NOT(ISBLANK(Tabella3[[#This Row],[Italy data]]))</f>
        <v>0</v>
      </c>
      <c r="N229" s="10">
        <f>Tabella3[[#This Row],[Italy fit]]*NOT(ISBLANK(Tabella3[[#This Row],[Italy data]]))</f>
        <v>0</v>
      </c>
      <c r="O229" s="151"/>
      <c r="P229" s="151"/>
      <c r="Q229" s="151"/>
      <c r="R229" s="10"/>
      <c r="S229" s="10">
        <f>Tabella3[[#This Row],[Lombardy data]]*NOT(ISBLANK(Tabella3[[#This Row],[Lombardy data]]))</f>
        <v>0</v>
      </c>
      <c r="T229" s="96" t="e">
        <f>Tabella8[[#This Row],[Lombardy fit]]</f>
        <v>#VALUE!</v>
      </c>
      <c r="U229" s="91" t="e">
        <f>Tabella3[[#This Row],[Lombardy cumul. Fit]]/Kl</f>
        <v>#VALUE!</v>
      </c>
      <c r="V229" s="91">
        <f>IFERROR(Kl*_xlfn.LOGNORM.DIST((Tabella3[[#This Row],[Day]]-pl),mu_l,sigma_l,FALSE),0)</f>
        <v>2.1061217291979557</v>
      </c>
      <c r="W229" s="91">
        <f>Tabella3[[#This Row],[Lombardy fit]]/y_l_peak</f>
        <v>1.1980524880548327E-3</v>
      </c>
      <c r="X229" s="10">
        <f>Tabella3[[#This Row],[Lombardy fit]]*NOT(ISBLANK(Tabella3[[#This Row],[Lombardy data]]))</f>
        <v>0</v>
      </c>
      <c r="Y229" s="151"/>
      <c r="Z229" s="151"/>
      <c r="AA229" s="151"/>
      <c r="AB229" s="10"/>
      <c r="AC229" s="10">
        <f>Tabella3[[#This Row],[rest of Italy data]]*NOT(ISBLANK(Tabella3[[#This Row],[rest of Italy data]]))</f>
        <v>0</v>
      </c>
      <c r="AD229" s="96" t="e">
        <f>Tabella8[[#This Row],[rest of Italy fit]]</f>
        <v>#VALUE!</v>
      </c>
      <c r="AE229" s="91" t="e">
        <f>Tabella3[[#This Row],[rest of Italy cumul. Fit]]/Ka</f>
        <v>#VALUE!</v>
      </c>
      <c r="AF229" s="91">
        <f>IFERROR(Ka*_xlfn.LOGNORM.DIST((Tabella3[[#This Row],[Day]]-pa),mu_a,sigma_a,FALSE),0)</f>
        <v>1.3355826806260067</v>
      </c>
      <c r="AG229" s="91">
        <f>Tabella3[[#This Row],[rest of Italy fit]]/y_a_peak</f>
        <v>3.9524230452445407E-4</v>
      </c>
      <c r="AH229" s="10">
        <f>Tabella3[[#This Row],[rest of Italy fit]]*NOT(ISBLANK(Tabella3[[#This Row],[rest of Italy data]]))</f>
        <v>0</v>
      </c>
      <c r="AI229" s="151"/>
      <c r="AJ229" s="151"/>
    </row>
    <row r="230" spans="2:36" x14ac:dyDescent="0.3">
      <c r="B230" s="9">
        <v>44053</v>
      </c>
      <c r="C230" s="4">
        <v>223</v>
      </c>
      <c r="D230" s="151"/>
      <c r="E230" s="10"/>
      <c r="F230" s="10">
        <f>Tabella3[[#This Row],[Italy data]]*NOT(ISBLANK(Tabella3[[#This Row],[Italy data]]))</f>
        <v>0</v>
      </c>
      <c r="G230" s="96" t="e">
        <f>Tabella8[[#This Row],[Italy fit]]</f>
        <v>#VALUE!</v>
      </c>
      <c r="H230" s="96" t="e">
        <f>Tabella3[[#This Row],[Italy cumul. Fit]]/Kf</f>
        <v>#VALUE!</v>
      </c>
      <c r="I230" s="96">
        <f>Tabella3[[#This Row],[Lombardy fit]]+Tabella3[[#This Row],[rest of Italy fit]]</f>
        <v>3.2398310092111737</v>
      </c>
      <c r="J230" s="96">
        <f>Tabella3[[#This Row],[Italy (fitted Lombardy + fitted sum of the other regions)]]/(y_l_peak+y_a_peak)</f>
        <v>6.3067270475089348E-4</v>
      </c>
      <c r="K230" s="91">
        <f>IFERROR(Kf*_xlfn.LOGNORM.DIST((Tabella3[[#This Row],[Day]]-D_bk),mu_f,sigma_f,FALSE),0)</f>
        <v>2.3977454602309245</v>
      </c>
      <c r="L230" s="91">
        <f>Tabella3[[#This Row],[Italy fit]]/y_f_peak</f>
        <v>4.7371189421114456E-4</v>
      </c>
      <c r="M230" s="10">
        <f>Tabella3[[#This Row],[Italy (fitted Lombardy + fitted sum of the other regions)]]*NOT(ISBLANK(Tabella3[[#This Row],[Italy data]]))</f>
        <v>0</v>
      </c>
      <c r="N230" s="10">
        <f>Tabella3[[#This Row],[Italy fit]]*NOT(ISBLANK(Tabella3[[#This Row],[Italy data]]))</f>
        <v>0</v>
      </c>
      <c r="O230" s="151"/>
      <c r="P230" s="151"/>
      <c r="Q230" s="151"/>
      <c r="R230" s="10"/>
      <c r="S230" s="10">
        <f>Tabella3[[#This Row],[Lombardy data]]*NOT(ISBLANK(Tabella3[[#This Row],[Lombardy data]]))</f>
        <v>0</v>
      </c>
      <c r="T230" s="96" t="e">
        <f>Tabella8[[#This Row],[Lombardy fit]]</f>
        <v>#VALUE!</v>
      </c>
      <c r="U230" s="91" t="e">
        <f>Tabella3[[#This Row],[Lombardy cumul. Fit]]/Kl</f>
        <v>#VALUE!</v>
      </c>
      <c r="V230" s="91">
        <f>IFERROR(Kl*_xlfn.LOGNORM.DIST((Tabella3[[#This Row],[Day]]-pl),mu_l,sigma_l,FALSE),0)</f>
        <v>1.9905287422103664</v>
      </c>
      <c r="W230" s="91">
        <f>Tabella3[[#This Row],[Lombardy fit]]/y_l_peak</f>
        <v>1.1322982328556763E-3</v>
      </c>
      <c r="X230" s="10">
        <f>Tabella3[[#This Row],[Lombardy fit]]*NOT(ISBLANK(Tabella3[[#This Row],[Lombardy data]]))</f>
        <v>0</v>
      </c>
      <c r="Y230" s="151"/>
      <c r="Z230" s="151"/>
      <c r="AA230" s="151"/>
      <c r="AB230" s="10"/>
      <c r="AC230" s="10">
        <f>Tabella3[[#This Row],[rest of Italy data]]*NOT(ISBLANK(Tabella3[[#This Row],[rest of Italy data]]))</f>
        <v>0</v>
      </c>
      <c r="AD230" s="96" t="e">
        <f>Tabella8[[#This Row],[rest of Italy fit]]</f>
        <v>#VALUE!</v>
      </c>
      <c r="AE230" s="91" t="e">
        <f>Tabella3[[#This Row],[rest of Italy cumul. Fit]]/Ka</f>
        <v>#VALUE!</v>
      </c>
      <c r="AF230" s="91">
        <f>IFERROR(Ka*_xlfn.LOGNORM.DIST((Tabella3[[#This Row],[Day]]-pa),mu_a,sigma_a,FALSE),0)</f>
        <v>1.2493022670008072</v>
      </c>
      <c r="AG230" s="91">
        <f>Tabella3[[#This Row],[rest of Italy fit]]/y_a_peak</f>
        <v>3.6970912712463706E-4</v>
      </c>
      <c r="AH230" s="10">
        <f>Tabella3[[#This Row],[rest of Italy fit]]*NOT(ISBLANK(Tabella3[[#This Row],[rest of Italy data]]))</f>
        <v>0</v>
      </c>
      <c r="AI230" s="151"/>
      <c r="AJ230" s="151"/>
    </row>
    <row r="231" spans="2:36" x14ac:dyDescent="0.3">
      <c r="B231" s="9">
        <v>44054</v>
      </c>
      <c r="C231" s="4">
        <v>224</v>
      </c>
      <c r="D231" s="151"/>
      <c r="E231" s="10"/>
      <c r="F231" s="10">
        <f>Tabella3[[#This Row],[Italy data]]*NOT(ISBLANK(Tabella3[[#This Row],[Italy data]]))</f>
        <v>0</v>
      </c>
      <c r="G231" s="96" t="e">
        <f>Tabella8[[#This Row],[Italy fit]]</f>
        <v>#VALUE!</v>
      </c>
      <c r="H231" s="96" t="e">
        <f>Tabella3[[#This Row],[Italy cumul. Fit]]/Kf</f>
        <v>#VALUE!</v>
      </c>
      <c r="I231" s="96">
        <f>Tabella3[[#This Row],[Lombardy fit]]+Tabella3[[#This Row],[rest of Italy fit]]</f>
        <v>3.0500793447229428</v>
      </c>
      <c r="J231" s="96">
        <f>Tabella3[[#This Row],[Italy (fitted Lombardy + fitted sum of the other regions)]]/(y_l_peak+y_a_peak)</f>
        <v>5.9373522402009638E-4</v>
      </c>
      <c r="K231" s="91">
        <f>IFERROR(Kf*_xlfn.LOGNORM.DIST((Tabella3[[#This Row],[Day]]-D_bk),mu_f,sigma_f,FALSE),0)</f>
        <v>2.2446935923470637</v>
      </c>
      <c r="L231" s="91">
        <f>Tabella3[[#This Row],[Italy fit]]/y_f_peak</f>
        <v>4.4347411816262483E-4</v>
      </c>
      <c r="M231" s="10">
        <f>Tabella3[[#This Row],[Italy (fitted Lombardy + fitted sum of the other regions)]]*NOT(ISBLANK(Tabella3[[#This Row],[Italy data]]))</f>
        <v>0</v>
      </c>
      <c r="N231" s="10">
        <f>Tabella3[[#This Row],[Italy fit]]*NOT(ISBLANK(Tabella3[[#This Row],[Italy data]]))</f>
        <v>0</v>
      </c>
      <c r="O231" s="151"/>
      <c r="P231" s="151"/>
      <c r="Q231" s="151"/>
      <c r="R231" s="10"/>
      <c r="S231" s="10">
        <f>Tabella3[[#This Row],[Lombardy data]]*NOT(ISBLANK(Tabella3[[#This Row],[Lombardy data]]))</f>
        <v>0</v>
      </c>
      <c r="T231" s="96" t="e">
        <f>Tabella8[[#This Row],[Lombardy fit]]</f>
        <v>#VALUE!</v>
      </c>
      <c r="U231" s="91" t="e">
        <f>Tabella3[[#This Row],[Lombardy cumul. Fit]]/Kl</f>
        <v>#VALUE!</v>
      </c>
      <c r="V231" s="91">
        <f>IFERROR(Kl*_xlfn.LOGNORM.DIST((Tabella3[[#This Row],[Day]]-pl),mu_l,sigma_l,FALSE),0)</f>
        <v>1.8813920633845929</v>
      </c>
      <c r="W231" s="91">
        <f>Tabella3[[#This Row],[Lombardy fit]]/y_l_peak</f>
        <v>1.0702166030084539E-3</v>
      </c>
      <c r="X231" s="10">
        <f>Tabella3[[#This Row],[Lombardy fit]]*NOT(ISBLANK(Tabella3[[#This Row],[Lombardy data]]))</f>
        <v>0</v>
      </c>
      <c r="Y231" s="151"/>
      <c r="Z231" s="151"/>
      <c r="AA231" s="151"/>
      <c r="AB231" s="10"/>
      <c r="AC231" s="10">
        <f>Tabella3[[#This Row],[rest of Italy data]]*NOT(ISBLANK(Tabella3[[#This Row],[rest of Italy data]]))</f>
        <v>0</v>
      </c>
      <c r="AD231" s="96" t="e">
        <f>Tabella8[[#This Row],[rest of Italy fit]]</f>
        <v>#VALUE!</v>
      </c>
      <c r="AE231" s="91" t="e">
        <f>Tabella3[[#This Row],[rest of Italy cumul. Fit]]/Ka</f>
        <v>#VALUE!</v>
      </c>
      <c r="AF231" s="91">
        <f>IFERROR(Ka*_xlfn.LOGNORM.DIST((Tabella3[[#This Row],[Day]]-pa),mu_a,sigma_a,FALSE),0)</f>
        <v>1.16868728133835</v>
      </c>
      <c r="AG231" s="91">
        <f>Tabella3[[#This Row],[rest of Italy fit]]/y_a_peak</f>
        <v>3.4585253391282558E-4</v>
      </c>
      <c r="AH231" s="10">
        <f>Tabella3[[#This Row],[rest of Italy fit]]*NOT(ISBLANK(Tabella3[[#This Row],[rest of Italy data]]))</f>
        <v>0</v>
      </c>
      <c r="AI231" s="151"/>
      <c r="AJ231" s="151"/>
    </row>
    <row r="232" spans="2:36" x14ac:dyDescent="0.3">
      <c r="B232" s="9">
        <v>44055</v>
      </c>
      <c r="C232" s="4">
        <v>225</v>
      </c>
      <c r="D232" s="151"/>
      <c r="E232" s="10"/>
      <c r="F232" s="10">
        <f>Tabella3[[#This Row],[Italy data]]*NOT(ISBLANK(Tabella3[[#This Row],[Italy data]]))</f>
        <v>0</v>
      </c>
      <c r="G232" s="96" t="e">
        <f>Tabella8[[#This Row],[Italy fit]]</f>
        <v>#VALUE!</v>
      </c>
      <c r="H232" s="96" t="e">
        <f>Tabella3[[#This Row],[Italy cumul. Fit]]/Kf</f>
        <v>#VALUE!</v>
      </c>
      <c r="I232" s="96">
        <f>Tabella3[[#This Row],[Lombardy fit]]+Tabella3[[#This Row],[rest of Italy fit]]</f>
        <v>2.8717067495887125</v>
      </c>
      <c r="J232" s="96">
        <f>Tabella3[[#This Row],[Italy (fitted Lombardy + fitted sum of the other regions)]]/(y_l_peak+y_a_peak)</f>
        <v>5.5901281821963734E-4</v>
      </c>
      <c r="K232" s="91">
        <f>IFERROR(Kf*_xlfn.LOGNORM.DIST((Tabella3[[#This Row],[Day]]-D_bk),mu_f,sigma_f,FALSE),0)</f>
        <v>2.1015394349327088</v>
      </c>
      <c r="L232" s="91">
        <f>Tabella3[[#This Row],[Italy fit]]/y_f_peak</f>
        <v>4.1519178870033765E-4</v>
      </c>
      <c r="M232" s="10">
        <f>Tabella3[[#This Row],[Italy (fitted Lombardy + fitted sum of the other regions)]]*NOT(ISBLANK(Tabella3[[#This Row],[Italy data]]))</f>
        <v>0</v>
      </c>
      <c r="N232" s="10">
        <f>Tabella3[[#This Row],[Italy fit]]*NOT(ISBLANK(Tabella3[[#This Row],[Italy data]]))</f>
        <v>0</v>
      </c>
      <c r="O232" s="151"/>
      <c r="P232" s="151"/>
      <c r="Q232" s="151"/>
      <c r="R232" s="10"/>
      <c r="S232" s="10">
        <f>Tabella3[[#This Row],[Lombardy data]]*NOT(ISBLANK(Tabella3[[#This Row],[Lombardy data]]))</f>
        <v>0</v>
      </c>
      <c r="T232" s="96" t="e">
        <f>Tabella8[[#This Row],[Lombardy fit]]</f>
        <v>#VALUE!</v>
      </c>
      <c r="U232" s="91" t="e">
        <f>Tabella3[[#This Row],[Lombardy cumul. Fit]]/Kl</f>
        <v>#VALUE!</v>
      </c>
      <c r="V232" s="91">
        <f>IFERROR(Kl*_xlfn.LOGNORM.DIST((Tabella3[[#This Row],[Day]]-pl),mu_l,sigma_l,FALSE),0)</f>
        <v>1.7783461114061818</v>
      </c>
      <c r="W232" s="91">
        <f>Tabella3[[#This Row],[Lombardy fit]]/y_l_peak</f>
        <v>1.0115996401614262E-3</v>
      </c>
      <c r="X232" s="10">
        <f>Tabella3[[#This Row],[Lombardy fit]]*NOT(ISBLANK(Tabella3[[#This Row],[Lombardy data]]))</f>
        <v>0</v>
      </c>
      <c r="Y232" s="151"/>
      <c r="Z232" s="151"/>
      <c r="AA232" s="151"/>
      <c r="AB232" s="10"/>
      <c r="AC232" s="10">
        <f>Tabella3[[#This Row],[rest of Italy data]]*NOT(ISBLANK(Tabella3[[#This Row],[rest of Italy data]]))</f>
        <v>0</v>
      </c>
      <c r="AD232" s="96" t="e">
        <f>Tabella8[[#This Row],[rest of Italy fit]]</f>
        <v>#VALUE!</v>
      </c>
      <c r="AE232" s="91" t="e">
        <f>Tabella3[[#This Row],[rest of Italy cumul. Fit]]/Ka</f>
        <v>#VALUE!</v>
      </c>
      <c r="AF232" s="91">
        <f>IFERROR(Ka*_xlfn.LOGNORM.DIST((Tabella3[[#This Row],[Day]]-pa),mu_a,sigma_a,FALSE),0)</f>
        <v>1.0933606381825307</v>
      </c>
      <c r="AG232" s="91">
        <f>Tabella3[[#This Row],[rest of Italy fit]]/y_a_peak</f>
        <v>3.2356093305211173E-4</v>
      </c>
      <c r="AH232" s="10">
        <f>Tabella3[[#This Row],[rest of Italy fit]]*NOT(ISBLANK(Tabella3[[#This Row],[rest of Italy data]]))</f>
        <v>0</v>
      </c>
      <c r="AI232" s="151"/>
      <c r="AJ232" s="151"/>
    </row>
    <row r="233" spans="2:36" x14ac:dyDescent="0.3">
      <c r="B233" s="9">
        <v>44056</v>
      </c>
      <c r="C233" s="4">
        <v>226</v>
      </c>
      <c r="D233" s="151"/>
      <c r="E233" s="10"/>
      <c r="F233" s="10">
        <f>Tabella3[[#This Row],[Italy data]]*NOT(ISBLANK(Tabella3[[#This Row],[Italy data]]))</f>
        <v>0</v>
      </c>
      <c r="G233" s="96" t="e">
        <f>Tabella8[[#This Row],[Italy fit]]</f>
        <v>#VALUE!</v>
      </c>
      <c r="H233" s="96" t="e">
        <f>Tabella3[[#This Row],[Italy cumul. Fit]]/Kf</f>
        <v>#VALUE!</v>
      </c>
      <c r="I233" s="96">
        <f>Tabella3[[#This Row],[Lombardy fit]]+Tabella3[[#This Row],[rest of Italy fit]]</f>
        <v>2.704016795973049</v>
      </c>
      <c r="J233" s="96">
        <f>Tabella3[[#This Row],[Italy (fitted Lombardy + fitted sum of the other regions)]]/(y_l_peak+y_a_peak)</f>
        <v>5.2636991915926568E-4</v>
      </c>
      <c r="K233" s="91">
        <f>IFERROR(Kf*_xlfn.LOGNORM.DIST((Tabella3[[#This Row],[Day]]-D_bk),mu_f,sigma_f,FALSE),0)</f>
        <v>1.9676364641682262</v>
      </c>
      <c r="L233" s="91">
        <f>Tabella3[[#This Row],[Italy fit]]/y_f_peak</f>
        <v>3.8873717499199453E-4</v>
      </c>
      <c r="M233" s="10">
        <f>Tabella3[[#This Row],[Italy (fitted Lombardy + fitted sum of the other regions)]]*NOT(ISBLANK(Tabella3[[#This Row],[Italy data]]))</f>
        <v>0</v>
      </c>
      <c r="N233" s="10">
        <f>Tabella3[[#This Row],[Italy fit]]*NOT(ISBLANK(Tabella3[[#This Row],[Italy data]]))</f>
        <v>0</v>
      </c>
      <c r="O233" s="151"/>
      <c r="P233" s="151"/>
      <c r="Q233" s="151"/>
      <c r="R233" s="10"/>
      <c r="S233" s="10">
        <f>Tabella3[[#This Row],[Lombardy data]]*NOT(ISBLANK(Tabella3[[#This Row],[Lombardy data]]))</f>
        <v>0</v>
      </c>
      <c r="T233" s="96" t="e">
        <f>Tabella8[[#This Row],[Lombardy fit]]</f>
        <v>#VALUE!</v>
      </c>
      <c r="U233" s="91" t="e">
        <f>Tabella3[[#This Row],[Lombardy cumul. Fit]]/Kl</f>
        <v>#VALUE!</v>
      </c>
      <c r="V233" s="91">
        <f>IFERROR(Kl*_xlfn.LOGNORM.DIST((Tabella3[[#This Row],[Day]]-pl),mu_l,sigma_l,FALSE),0)</f>
        <v>1.681046188582225</v>
      </c>
      <c r="W233" s="91">
        <f>Tabella3[[#This Row],[Lombardy fit]]/y_l_peak</f>
        <v>9.5625126546364638E-4</v>
      </c>
      <c r="X233" s="10">
        <f>Tabella3[[#This Row],[Lombardy fit]]*NOT(ISBLANK(Tabella3[[#This Row],[Lombardy data]]))</f>
        <v>0</v>
      </c>
      <c r="Y233" s="151"/>
      <c r="Z233" s="151"/>
      <c r="AA233" s="151"/>
      <c r="AB233" s="10"/>
      <c r="AC233" s="10">
        <f>Tabella3[[#This Row],[rest of Italy data]]*NOT(ISBLANK(Tabella3[[#This Row],[rest of Italy data]]))</f>
        <v>0</v>
      </c>
      <c r="AD233" s="96" t="e">
        <f>Tabella8[[#This Row],[rest of Italy fit]]</f>
        <v>#VALUE!</v>
      </c>
      <c r="AE233" s="91" t="e">
        <f>Tabella3[[#This Row],[rest of Italy cumul. Fit]]/Ka</f>
        <v>#VALUE!</v>
      </c>
      <c r="AF233" s="91">
        <f>IFERROR(Ka*_xlfn.LOGNORM.DIST((Tabella3[[#This Row],[Day]]-pa),mu_a,sigma_a,FALSE),0)</f>
        <v>1.022970607390824</v>
      </c>
      <c r="AG233" s="91">
        <f>Tabella3[[#This Row],[rest of Italy fit]]/y_a_peak</f>
        <v>3.0273023616659856E-4</v>
      </c>
      <c r="AH233" s="10">
        <f>Tabella3[[#This Row],[rest of Italy fit]]*NOT(ISBLANK(Tabella3[[#This Row],[rest of Italy data]]))</f>
        <v>0</v>
      </c>
      <c r="AI233" s="151"/>
      <c r="AJ233" s="151"/>
    </row>
    <row r="234" spans="2:36" x14ac:dyDescent="0.3">
      <c r="B234" s="9">
        <v>44057</v>
      </c>
      <c r="C234" s="4">
        <v>227</v>
      </c>
      <c r="D234" s="151"/>
      <c r="E234" s="10"/>
      <c r="F234" s="10">
        <f>Tabella3[[#This Row],[Italy data]]*NOT(ISBLANK(Tabella3[[#This Row],[Italy data]]))</f>
        <v>0</v>
      </c>
      <c r="G234" s="96" t="e">
        <f>Tabella8[[#This Row],[Italy fit]]</f>
        <v>#VALUE!</v>
      </c>
      <c r="H234" s="96" t="e">
        <f>Tabella3[[#This Row],[Italy cumul. Fit]]/Kf</f>
        <v>#VALUE!</v>
      </c>
      <c r="I234" s="96">
        <f>Tabella3[[#This Row],[Lombardy fit]]+Tabella3[[#This Row],[rest of Italy fit]]</f>
        <v>2.546356384500406</v>
      </c>
      <c r="J234" s="96">
        <f>Tabella3[[#This Row],[Italy (fitted Lombardy + fitted sum of the other regions)]]/(y_l_peak+y_a_peak)</f>
        <v>4.9567939306302956E-4</v>
      </c>
      <c r="K234" s="91">
        <f>IFERROR(Kf*_xlfn.LOGNORM.DIST((Tabella3[[#This Row],[Day]]-D_bk),mu_f,sigma_f,FALSE),0)</f>
        <v>1.8423806517049084</v>
      </c>
      <c r="L234" s="91">
        <f>Tabella3[[#This Row],[Italy fit]]/y_f_peak</f>
        <v>3.6399094184627948E-4</v>
      </c>
      <c r="M234" s="10">
        <f>Tabella3[[#This Row],[Italy (fitted Lombardy + fitted sum of the other regions)]]*NOT(ISBLANK(Tabella3[[#This Row],[Italy data]]))</f>
        <v>0</v>
      </c>
      <c r="N234" s="10">
        <f>Tabella3[[#This Row],[Italy fit]]*NOT(ISBLANK(Tabella3[[#This Row],[Italy data]]))</f>
        <v>0</v>
      </c>
      <c r="O234" s="151"/>
      <c r="P234" s="151"/>
      <c r="Q234" s="151"/>
      <c r="R234" s="10"/>
      <c r="S234" s="10">
        <f>Tabella3[[#This Row],[Lombardy data]]*NOT(ISBLANK(Tabella3[[#This Row],[Lombardy data]]))</f>
        <v>0</v>
      </c>
      <c r="T234" s="96" t="e">
        <f>Tabella8[[#This Row],[Lombardy fit]]</f>
        <v>#VALUE!</v>
      </c>
      <c r="U234" s="91" t="e">
        <f>Tabella3[[#This Row],[Lombardy cumul. Fit]]/Kl</f>
        <v>#VALUE!</v>
      </c>
      <c r="V234" s="91">
        <f>IFERROR(Kl*_xlfn.LOGNORM.DIST((Tabella3[[#This Row],[Day]]-pl),mu_l,sigma_l,FALSE),0)</f>
        <v>1.5891672852894634</v>
      </c>
      <c r="W234" s="91">
        <f>Tabella3[[#This Row],[Lombardy fit]]/y_l_peak</f>
        <v>9.0398659948369799E-4</v>
      </c>
      <c r="X234" s="10">
        <f>Tabella3[[#This Row],[Lombardy fit]]*NOT(ISBLANK(Tabella3[[#This Row],[Lombardy data]]))</f>
        <v>0</v>
      </c>
      <c r="Y234" s="151"/>
      <c r="Z234" s="151"/>
      <c r="AA234" s="151"/>
      <c r="AB234" s="10"/>
      <c r="AC234" s="10">
        <f>Tabella3[[#This Row],[rest of Italy data]]*NOT(ISBLANK(Tabella3[[#This Row],[rest of Italy data]]))</f>
        <v>0</v>
      </c>
      <c r="AD234" s="96" t="e">
        <f>Tabella8[[#This Row],[rest of Italy fit]]</f>
        <v>#VALUE!</v>
      </c>
      <c r="AE234" s="91" t="e">
        <f>Tabella3[[#This Row],[rest of Italy cumul. Fit]]/Ka</f>
        <v>#VALUE!</v>
      </c>
      <c r="AF234" s="91">
        <f>IFERROR(Ka*_xlfn.LOGNORM.DIST((Tabella3[[#This Row],[Day]]-pa),mu_a,sigma_a,FALSE),0)</f>
        <v>0.95718909921094275</v>
      </c>
      <c r="AG234" s="91">
        <f>Tabella3[[#This Row],[rest of Italy fit]]/y_a_peak</f>
        <v>2.8326335083987057E-4</v>
      </c>
      <c r="AH234" s="10">
        <f>Tabella3[[#This Row],[rest of Italy fit]]*NOT(ISBLANK(Tabella3[[#This Row],[rest of Italy data]]))</f>
        <v>0</v>
      </c>
      <c r="AI234" s="151"/>
      <c r="AJ234" s="151"/>
    </row>
    <row r="235" spans="2:36" x14ac:dyDescent="0.3">
      <c r="B235" s="9">
        <v>44058</v>
      </c>
      <c r="C235" s="4">
        <v>228</v>
      </c>
      <c r="D235" s="151"/>
      <c r="E235" s="10"/>
      <c r="F235" s="10">
        <f>Tabella3[[#This Row],[Italy data]]*NOT(ISBLANK(Tabella3[[#This Row],[Italy data]]))</f>
        <v>0</v>
      </c>
      <c r="G235" s="96" t="e">
        <f>Tabella8[[#This Row],[Italy fit]]</f>
        <v>#VALUE!</v>
      </c>
      <c r="H235" s="96" t="e">
        <f>Tabella3[[#This Row],[Italy cumul. Fit]]/Kf</f>
        <v>#VALUE!</v>
      </c>
      <c r="I235" s="96">
        <f>Tabella3[[#This Row],[Lombardy fit]]+Tabella3[[#This Row],[rest of Italy fit]]</f>
        <v>2.3981130177070868</v>
      </c>
      <c r="J235" s="96">
        <f>Tabella3[[#This Row],[Italy (fitted Lombardy + fitted sum of the other regions)]]/(y_l_peak+y_a_peak)</f>
        <v>4.6682200981337519E-4</v>
      </c>
      <c r="K235" s="91">
        <f>IFERROR(Kf*_xlfn.LOGNORM.DIST((Tabella3[[#This Row],[Day]]-D_bk),mu_f,sigma_f,FALSE),0)</f>
        <v>1.7252076679921002</v>
      </c>
      <c r="L235" s="91">
        <f>Tabella3[[#This Row],[Italy fit]]/y_f_peak</f>
        <v>3.4084159718664235E-4</v>
      </c>
      <c r="M235" s="10">
        <f>Tabella3[[#This Row],[Italy (fitted Lombardy + fitted sum of the other regions)]]*NOT(ISBLANK(Tabella3[[#This Row],[Italy data]]))</f>
        <v>0</v>
      </c>
      <c r="N235" s="10">
        <f>Tabella3[[#This Row],[Italy fit]]*NOT(ISBLANK(Tabella3[[#This Row],[Italy data]]))</f>
        <v>0</v>
      </c>
      <c r="O235" s="151"/>
      <c r="P235" s="151"/>
      <c r="Q235" s="151"/>
      <c r="R235" s="10"/>
      <c r="S235" s="10">
        <f>Tabella3[[#This Row],[Lombardy data]]*NOT(ISBLANK(Tabella3[[#This Row],[Lombardy data]]))</f>
        <v>0</v>
      </c>
      <c r="T235" s="96" t="e">
        <f>Tabella8[[#This Row],[Lombardy fit]]</f>
        <v>#VALUE!</v>
      </c>
      <c r="U235" s="91" t="e">
        <f>Tabella3[[#This Row],[Lombardy cumul. Fit]]/Kl</f>
        <v>#VALUE!</v>
      </c>
      <c r="V235" s="91">
        <f>IFERROR(Kl*_xlfn.LOGNORM.DIST((Tabella3[[#This Row],[Day]]-pl),mu_l,sigma_l,FALSE),0)</f>
        <v>1.5024029523548661</v>
      </c>
      <c r="W235" s="91">
        <f>Tabella3[[#This Row],[Lombardy fit]]/y_l_peak</f>
        <v>8.5463132077134298E-4</v>
      </c>
      <c r="X235" s="10">
        <f>Tabella3[[#This Row],[Lombardy fit]]*NOT(ISBLANK(Tabella3[[#This Row],[Lombardy data]]))</f>
        <v>0</v>
      </c>
      <c r="Y235" s="151"/>
      <c r="Z235" s="151"/>
      <c r="AA235" s="151"/>
      <c r="AB235" s="10"/>
      <c r="AC235" s="10">
        <f>Tabella3[[#This Row],[rest of Italy data]]*NOT(ISBLANK(Tabella3[[#This Row],[rest of Italy data]]))</f>
        <v>0</v>
      </c>
      <c r="AD235" s="96" t="e">
        <f>Tabella8[[#This Row],[rest of Italy fit]]</f>
        <v>#VALUE!</v>
      </c>
      <c r="AE235" s="91" t="e">
        <f>Tabella3[[#This Row],[rest of Italy cumul. Fit]]/Ka</f>
        <v>#VALUE!</v>
      </c>
      <c r="AF235" s="91">
        <f>IFERROR(Ka*_xlfn.LOGNORM.DIST((Tabella3[[#This Row],[Day]]-pa),mu_a,sigma_a,FALSE),0)</f>
        <v>0.89571006535222097</v>
      </c>
      <c r="AG235" s="91">
        <f>Tabella3[[#This Row],[rest of Italy fit]]/y_a_peak</f>
        <v>2.6506970744007087E-4</v>
      </c>
      <c r="AH235" s="10">
        <f>Tabella3[[#This Row],[rest of Italy fit]]*NOT(ISBLANK(Tabella3[[#This Row],[rest of Italy data]]))</f>
        <v>0</v>
      </c>
      <c r="AI235" s="151"/>
      <c r="AJ235" s="151"/>
    </row>
    <row r="236" spans="2:36" x14ac:dyDescent="0.3">
      <c r="B236" s="9">
        <v>44059</v>
      </c>
      <c r="C236" s="4">
        <v>229</v>
      </c>
      <c r="D236" s="151"/>
      <c r="E236" s="10"/>
      <c r="F236" s="10">
        <f>Tabella3[[#This Row],[Italy data]]*NOT(ISBLANK(Tabella3[[#This Row],[Italy data]]))</f>
        <v>0</v>
      </c>
      <c r="G236" s="96" t="e">
        <f>Tabella8[[#This Row],[Italy fit]]</f>
        <v>#VALUE!</v>
      </c>
      <c r="H236" s="96" t="e">
        <f>Tabella3[[#This Row],[Italy cumul. Fit]]/Kf</f>
        <v>#VALUE!</v>
      </c>
      <c r="I236" s="96">
        <f>Tabella3[[#This Row],[Lombardy fit]]+Tabella3[[#This Row],[rest of Italy fit]]</f>
        <v>2.2587122458670308</v>
      </c>
      <c r="J236" s="96">
        <f>Tabella3[[#This Row],[Italy (fitted Lombardy + fitted sum of the other regions)]]/(y_l_peak+y_a_peak)</f>
        <v>4.3968594574991777E-4</v>
      </c>
      <c r="K236" s="91">
        <f>IFERROR(Kf*_xlfn.LOGNORM.DIST((Tabella3[[#This Row],[Day]]-D_bk),mu_f,sigma_f,FALSE),0)</f>
        <v>1.6155902686085455</v>
      </c>
      <c r="L236" s="91">
        <f>Tabella3[[#This Row],[Italy fit]]/y_f_peak</f>
        <v>3.1918497568042033E-4</v>
      </c>
      <c r="M236" s="10">
        <f>Tabella3[[#This Row],[Italy (fitted Lombardy + fitted sum of the other regions)]]*NOT(ISBLANK(Tabella3[[#This Row],[Italy data]]))</f>
        <v>0</v>
      </c>
      <c r="N236" s="10">
        <f>Tabella3[[#This Row],[Italy fit]]*NOT(ISBLANK(Tabella3[[#This Row],[Italy data]]))</f>
        <v>0</v>
      </c>
      <c r="O236" s="151"/>
      <c r="P236" s="151"/>
      <c r="Q236" s="151"/>
      <c r="R236" s="10"/>
      <c r="S236" s="10">
        <f>Tabella3[[#This Row],[Lombardy data]]*NOT(ISBLANK(Tabella3[[#This Row],[Lombardy data]]))</f>
        <v>0</v>
      </c>
      <c r="T236" s="96" t="e">
        <f>Tabella8[[#This Row],[Lombardy fit]]</f>
        <v>#VALUE!</v>
      </c>
      <c r="U236" s="91" t="e">
        <f>Tabella3[[#This Row],[Lombardy cumul. Fit]]/Kl</f>
        <v>#VALUE!</v>
      </c>
      <c r="V236" s="91">
        <f>IFERROR(Kl*_xlfn.LOGNORM.DIST((Tabella3[[#This Row],[Day]]-pl),mu_l,sigma_l,FALSE),0)</f>
        <v>1.4204642375960852</v>
      </c>
      <c r="W236" s="91">
        <f>Tabella3[[#This Row],[Lombardy fit]]/y_l_peak</f>
        <v>8.0802106091606095E-4</v>
      </c>
      <c r="X236" s="10">
        <f>Tabella3[[#This Row],[Lombardy fit]]*NOT(ISBLANK(Tabella3[[#This Row],[Lombardy data]]))</f>
        <v>0</v>
      </c>
      <c r="Y236" s="151"/>
      <c r="Z236" s="151"/>
      <c r="AA236" s="151"/>
      <c r="AB236" s="10"/>
      <c r="AC236" s="10">
        <f>Tabella3[[#This Row],[rest of Italy data]]*NOT(ISBLANK(Tabella3[[#This Row],[rest of Italy data]]))</f>
        <v>0</v>
      </c>
      <c r="AD236" s="96" t="e">
        <f>Tabella8[[#This Row],[rest of Italy fit]]</f>
        <v>#VALUE!</v>
      </c>
      <c r="AE236" s="91" t="e">
        <f>Tabella3[[#This Row],[rest of Italy cumul. Fit]]/Ka</f>
        <v>#VALUE!</v>
      </c>
      <c r="AF236" s="91">
        <f>IFERROR(Ka*_xlfn.LOGNORM.DIST((Tabella3[[#This Row],[Day]]-pa),mu_a,sigma_a,FALSE),0)</f>
        <v>0.83824800827094559</v>
      </c>
      <c r="AG236" s="91">
        <f>Tabella3[[#This Row],[rest of Italy fit]]/y_a_peak</f>
        <v>2.4806481796900204E-4</v>
      </c>
      <c r="AH236" s="10">
        <f>Tabella3[[#This Row],[rest of Italy fit]]*NOT(ISBLANK(Tabella3[[#This Row],[rest of Italy data]]))</f>
        <v>0</v>
      </c>
      <c r="AI236" s="151"/>
      <c r="AJ236" s="151"/>
    </row>
    <row r="237" spans="2:36" x14ac:dyDescent="0.3">
      <c r="B237" s="9">
        <v>44060</v>
      </c>
      <c r="C237" s="4">
        <v>230</v>
      </c>
      <c r="D237" s="151"/>
      <c r="E237" s="10"/>
      <c r="F237" s="10">
        <f>Tabella3[[#This Row],[Italy data]]*NOT(ISBLANK(Tabella3[[#This Row],[Italy data]]))</f>
        <v>0</v>
      </c>
      <c r="G237" s="96" t="e">
        <f>Tabella8[[#This Row],[Italy fit]]</f>
        <v>#VALUE!</v>
      </c>
      <c r="H237" s="96" t="e">
        <f>Tabella3[[#This Row],[Italy cumul. Fit]]/Kf</f>
        <v>#VALUE!</v>
      </c>
      <c r="I237" s="96">
        <f>Tabella3[[#This Row],[Lombardy fit]]+Tabella3[[#This Row],[rest of Italy fit]]</f>
        <v>2.1276152743486554</v>
      </c>
      <c r="J237" s="96">
        <f>Tabella3[[#This Row],[Italy (fitted Lombardy + fitted sum of the other regions)]]/(y_l_peak+y_a_peak)</f>
        <v>4.1416631791220681E-4</v>
      </c>
      <c r="K237" s="91">
        <f>IFERROR(Kf*_xlfn.LOGNORM.DIST((Tabella3[[#This Row],[Day]]-D_bk),mu_f,sigma_f,FALSE),0)</f>
        <v>1.5130358518147091</v>
      </c>
      <c r="L237" s="91">
        <f>Tabella3[[#This Row],[Italy fit]]/y_f_peak</f>
        <v>2.9892375619532596E-4</v>
      </c>
      <c r="M237" s="10">
        <f>Tabella3[[#This Row],[Italy (fitted Lombardy + fitted sum of the other regions)]]*NOT(ISBLANK(Tabella3[[#This Row],[Italy data]]))</f>
        <v>0</v>
      </c>
      <c r="N237" s="10">
        <f>Tabella3[[#This Row],[Italy fit]]*NOT(ISBLANK(Tabella3[[#This Row],[Italy data]]))</f>
        <v>0</v>
      </c>
      <c r="O237" s="151"/>
      <c r="P237" s="151"/>
      <c r="Q237" s="151"/>
      <c r="R237" s="10"/>
      <c r="S237" s="10">
        <f>Tabella3[[#This Row],[Lombardy data]]*NOT(ISBLANK(Tabella3[[#This Row],[Lombardy data]]))</f>
        <v>0</v>
      </c>
      <c r="T237" s="96" t="e">
        <f>Tabella8[[#This Row],[Lombardy fit]]</f>
        <v>#VALUE!</v>
      </c>
      <c r="U237" s="91" t="e">
        <f>Tabella3[[#This Row],[Lombardy cumul. Fit]]/Kl</f>
        <v>#VALUE!</v>
      </c>
      <c r="V237" s="91">
        <f>IFERROR(Kl*_xlfn.LOGNORM.DIST((Tabella3[[#This Row],[Day]]-pl),mu_l,sigma_l,FALSE),0)</f>
        <v>1.3430786829485246</v>
      </c>
      <c r="W237" s="91">
        <f>Tabella3[[#This Row],[Lombardy fit]]/y_l_peak</f>
        <v>7.6400083406985705E-4</v>
      </c>
      <c r="X237" s="10">
        <f>Tabella3[[#This Row],[Lombardy fit]]*NOT(ISBLANK(Tabella3[[#This Row],[Lombardy data]]))</f>
        <v>0</v>
      </c>
      <c r="Y237" s="151"/>
      <c r="Z237" s="151"/>
      <c r="AA237" s="151"/>
      <c r="AB237" s="10"/>
      <c r="AC237" s="10">
        <f>Tabella3[[#This Row],[rest of Italy data]]*NOT(ISBLANK(Tabella3[[#This Row],[rest of Italy data]]))</f>
        <v>0</v>
      </c>
      <c r="AD237" s="96" t="e">
        <f>Tabella8[[#This Row],[rest of Italy fit]]</f>
        <v>#VALUE!</v>
      </c>
      <c r="AE237" s="91" t="e">
        <f>Tabella3[[#This Row],[rest of Italy cumul. Fit]]/Ka</f>
        <v>#VALUE!</v>
      </c>
      <c r="AF237" s="91">
        <f>IFERROR(Ka*_xlfn.LOGNORM.DIST((Tabella3[[#This Row],[Day]]-pa),mu_a,sigma_a,FALSE),0)</f>
        <v>0.78453659140013077</v>
      </c>
      <c r="AG237" s="91">
        <f>Tabella3[[#This Row],[rest of Italy fit]]/y_a_peak</f>
        <v>2.3216986478396664E-4</v>
      </c>
      <c r="AH237" s="10">
        <f>Tabella3[[#This Row],[rest of Italy fit]]*NOT(ISBLANK(Tabella3[[#This Row],[rest of Italy data]]))</f>
        <v>0</v>
      </c>
      <c r="AI237" s="151"/>
      <c r="AJ237" s="151"/>
    </row>
    <row r="238" spans="2:36" x14ac:dyDescent="0.3">
      <c r="B238" s="9">
        <v>44061</v>
      </c>
      <c r="C238" s="4">
        <v>231</v>
      </c>
      <c r="D238" s="151"/>
      <c r="E238" s="10"/>
      <c r="F238" s="10">
        <f>Tabella3[[#This Row],[Italy data]]*NOT(ISBLANK(Tabella3[[#This Row],[Italy data]]))</f>
        <v>0</v>
      </c>
      <c r="G238" s="96" t="e">
        <f>Tabella8[[#This Row],[Italy fit]]</f>
        <v>#VALUE!</v>
      </c>
      <c r="H238" s="96" t="e">
        <f>Tabella3[[#This Row],[Italy cumul. Fit]]/Kf</f>
        <v>#VALUE!</v>
      </c>
      <c r="I238" s="96">
        <f>Tabella3[[#This Row],[Lombardy fit]]+Tabella3[[#This Row],[rest of Italy fit]]</f>
        <v>2.004316722327832</v>
      </c>
      <c r="J238" s="96">
        <f>Tabella3[[#This Row],[Italy (fitted Lombardy + fitted sum of the other regions)]]/(y_l_peak+y_a_peak)</f>
        <v>3.9016474774581267E-4</v>
      </c>
      <c r="K238" s="91">
        <f>IFERROR(Kf*_xlfn.LOGNORM.DIST((Tabella3[[#This Row],[Day]]-D_bk),mu_f,sigma_f,FALSE),0)</f>
        <v>1.4170841762761091</v>
      </c>
      <c r="L238" s="91">
        <f>Tabella3[[#This Row],[Italy fit]]/y_f_peak</f>
        <v>2.7996701090020782E-4</v>
      </c>
      <c r="M238" s="10">
        <f>Tabella3[[#This Row],[Italy (fitted Lombardy + fitted sum of the other regions)]]*NOT(ISBLANK(Tabella3[[#This Row],[Italy data]]))</f>
        <v>0</v>
      </c>
      <c r="N238" s="10">
        <f>Tabella3[[#This Row],[Italy fit]]*NOT(ISBLANK(Tabella3[[#This Row],[Italy data]]))</f>
        <v>0</v>
      </c>
      <c r="O238" s="151"/>
      <c r="P238" s="151"/>
      <c r="Q238" s="151"/>
      <c r="R238" s="10"/>
      <c r="S238" s="10">
        <f>Tabella3[[#This Row],[Lombardy data]]*NOT(ISBLANK(Tabella3[[#This Row],[Lombardy data]]))</f>
        <v>0</v>
      </c>
      <c r="T238" s="96" t="e">
        <f>Tabella8[[#This Row],[Lombardy fit]]</f>
        <v>#VALUE!</v>
      </c>
      <c r="U238" s="91" t="e">
        <f>Tabella3[[#This Row],[Lombardy cumul. Fit]]/Kl</f>
        <v>#VALUE!</v>
      </c>
      <c r="V238" s="91">
        <f>IFERROR(Kl*_xlfn.LOGNORM.DIST((Tabella3[[#This Row],[Day]]-pl),mu_l,sigma_l,FALSE),0)</f>
        <v>1.2699893787952741</v>
      </c>
      <c r="W238" s="91">
        <f>Tabella3[[#This Row],[Lombardy fit]]/y_l_peak</f>
        <v>7.2242449900951637E-4</v>
      </c>
      <c r="X238" s="10">
        <f>Tabella3[[#This Row],[Lombardy fit]]*NOT(ISBLANK(Tabella3[[#This Row],[Lombardy data]]))</f>
        <v>0</v>
      </c>
      <c r="Y238" s="151"/>
      <c r="Z238" s="151"/>
      <c r="AA238" s="151"/>
      <c r="AB238" s="10"/>
      <c r="AC238" s="10">
        <f>Tabella3[[#This Row],[rest of Italy data]]*NOT(ISBLANK(Tabella3[[#This Row],[rest of Italy data]]))</f>
        <v>0</v>
      </c>
      <c r="AD238" s="96" t="e">
        <f>Tabella8[[#This Row],[rest of Italy fit]]</f>
        <v>#VALUE!</v>
      </c>
      <c r="AE238" s="91" t="e">
        <f>Tabella3[[#This Row],[rest of Italy cumul. Fit]]/Ka</f>
        <v>#VALUE!</v>
      </c>
      <c r="AF238" s="91">
        <f>IFERROR(Ka*_xlfn.LOGNORM.DIST((Tabella3[[#This Row],[Day]]-pa),mu_a,sigma_a,FALSE),0)</f>
        <v>0.7343273435325578</v>
      </c>
      <c r="AG238" s="91">
        <f>Tabella3[[#This Row],[rest of Italy fit]]/y_a_peak</f>
        <v>2.1731131718261744E-4</v>
      </c>
      <c r="AH238" s="10">
        <f>Tabella3[[#This Row],[rest of Italy fit]]*NOT(ISBLANK(Tabella3[[#This Row],[rest of Italy data]]))</f>
        <v>0</v>
      </c>
      <c r="AI238" s="151"/>
      <c r="AJ238" s="151"/>
    </row>
    <row r="239" spans="2:36" x14ac:dyDescent="0.3">
      <c r="B239" s="9">
        <v>44062</v>
      </c>
      <c r="C239" s="4">
        <v>232</v>
      </c>
      <c r="D239" s="151"/>
      <c r="E239" s="10"/>
      <c r="F239" s="10">
        <f>Tabella3[[#This Row],[Italy data]]*NOT(ISBLANK(Tabella3[[#This Row],[Italy data]]))</f>
        <v>0</v>
      </c>
      <c r="G239" s="96" t="e">
        <f>Tabella8[[#This Row],[Italy fit]]</f>
        <v>#VALUE!</v>
      </c>
      <c r="H239" s="96" t="e">
        <f>Tabella3[[#This Row],[Italy cumul. Fit]]/Kf</f>
        <v>#VALUE!</v>
      </c>
      <c r="I239" s="96">
        <f>Tabella3[[#This Row],[Lombardy fit]]+Tabella3[[#This Row],[rest of Italy fit]]</f>
        <v>1.8883425233112821</v>
      </c>
      <c r="J239" s="96">
        <f>Tabella3[[#This Row],[Italy (fitted Lombardy + fitted sum of the other regions)]]/(y_l_peak+y_a_peak)</f>
        <v>3.6758895241354491E-4</v>
      </c>
      <c r="K239" s="91">
        <f>IFERROR(Kf*_xlfn.LOGNORM.DIST((Tabella3[[#This Row],[Day]]-D_bk),mu_f,sigma_f,FALSE),0)</f>
        <v>1.3273052285988629</v>
      </c>
      <c r="L239" s="91">
        <f>Tabella3[[#This Row],[Italy fit]]/y_f_peak</f>
        <v>2.6222978396354393E-4</v>
      </c>
      <c r="M239" s="10">
        <f>Tabella3[[#This Row],[Italy (fitted Lombardy + fitted sum of the other regions)]]*NOT(ISBLANK(Tabella3[[#This Row],[Italy data]]))</f>
        <v>0</v>
      </c>
      <c r="N239" s="10">
        <f>Tabella3[[#This Row],[Italy fit]]*NOT(ISBLANK(Tabella3[[#This Row],[Italy data]]))</f>
        <v>0</v>
      </c>
      <c r="O239" s="151"/>
      <c r="P239" s="151"/>
      <c r="Q239" s="151"/>
      <c r="R239" s="10"/>
      <c r="S239" s="10">
        <f>Tabella3[[#This Row],[Lombardy data]]*NOT(ISBLANK(Tabella3[[#This Row],[Lombardy data]]))</f>
        <v>0</v>
      </c>
      <c r="T239" s="96" t="e">
        <f>Tabella8[[#This Row],[Lombardy fit]]</f>
        <v>#VALUE!</v>
      </c>
      <c r="U239" s="91" t="e">
        <f>Tabella3[[#This Row],[Lombardy cumul. Fit]]/Kl</f>
        <v>#VALUE!</v>
      </c>
      <c r="V239" s="91">
        <f>IFERROR(Kl*_xlfn.LOGNORM.DIST((Tabella3[[#This Row],[Day]]-pl),mu_l,sigma_l,FALSE),0)</f>
        <v>1.2009540722966696</v>
      </c>
      <c r="W239" s="91">
        <f>Tabella3[[#This Row],[Lombardy fit]]/y_l_peak</f>
        <v>6.8315425191616463E-4</v>
      </c>
      <c r="X239" s="10">
        <f>Tabella3[[#This Row],[Lombardy fit]]*NOT(ISBLANK(Tabella3[[#This Row],[Lombardy data]]))</f>
        <v>0</v>
      </c>
      <c r="Y239" s="151"/>
      <c r="Z239" s="151"/>
      <c r="AA239" s="151"/>
      <c r="AB239" s="10"/>
      <c r="AC239" s="10">
        <f>Tabella3[[#This Row],[rest of Italy data]]*NOT(ISBLANK(Tabella3[[#This Row],[rest of Italy data]]))</f>
        <v>0</v>
      </c>
      <c r="AD239" s="96" t="e">
        <f>Tabella8[[#This Row],[rest of Italy fit]]</f>
        <v>#VALUE!</v>
      </c>
      <c r="AE239" s="91" t="e">
        <f>Tabella3[[#This Row],[rest of Italy cumul. Fit]]/Ka</f>
        <v>#VALUE!</v>
      </c>
      <c r="AF239" s="91">
        <f>IFERROR(Ka*_xlfn.LOGNORM.DIST((Tabella3[[#This Row],[Day]]-pa),mu_a,sigma_a,FALSE),0)</f>
        <v>0.68738845101461243</v>
      </c>
      <c r="AG239" s="91">
        <f>Tabella3[[#This Row],[rest of Italy fit]]/y_a_peak</f>
        <v>2.0342057397387602E-4</v>
      </c>
      <c r="AH239" s="10">
        <f>Tabella3[[#This Row],[rest of Italy fit]]*NOT(ISBLANK(Tabella3[[#This Row],[rest of Italy data]]))</f>
        <v>0</v>
      </c>
      <c r="AI239" s="151"/>
      <c r="AJ239" s="151"/>
    </row>
    <row r="240" spans="2:36" x14ac:dyDescent="0.3">
      <c r="B240" s="9">
        <v>44063</v>
      </c>
      <c r="C240" s="4">
        <v>233</v>
      </c>
      <c r="D240" s="151"/>
      <c r="E240" s="10"/>
      <c r="F240" s="10">
        <f>Tabella3[[#This Row],[Italy data]]*NOT(ISBLANK(Tabella3[[#This Row],[Italy data]]))</f>
        <v>0</v>
      </c>
      <c r="G240" s="96" t="e">
        <f>Tabella8[[#This Row],[Italy fit]]</f>
        <v>#VALUE!</v>
      </c>
      <c r="H240" s="96" t="e">
        <f>Tabella3[[#This Row],[Italy cumul. Fit]]/Kf</f>
        <v>#VALUE!</v>
      </c>
      <c r="I240" s="96">
        <f>Tabella3[[#This Row],[Lombardy fit]]+Tabella3[[#This Row],[rest of Italy fit]]</f>
        <v>1.7792479585171133</v>
      </c>
      <c r="J240" s="96">
        <f>Tabella3[[#This Row],[Italy (fitted Lombardy + fitted sum of the other regions)]]/(y_l_peak+y_a_peak)</f>
        <v>3.4635236196893651E-4</v>
      </c>
      <c r="K240" s="91">
        <f>IFERROR(Kf*_xlfn.LOGNORM.DIST((Tabella3[[#This Row],[Day]]-D_bk),mu_f,sigma_f,FALSE),0)</f>
        <v>1.2432972309695713</v>
      </c>
      <c r="L240" s="91">
        <f>Tabella3[[#This Row],[Italy fit]]/y_f_peak</f>
        <v>2.4563269793172453E-4</v>
      </c>
      <c r="M240" s="10">
        <f>Tabella3[[#This Row],[Italy (fitted Lombardy + fitted sum of the other regions)]]*NOT(ISBLANK(Tabella3[[#This Row],[Italy data]]))</f>
        <v>0</v>
      </c>
      <c r="N240" s="10">
        <f>Tabella3[[#This Row],[Italy fit]]*NOT(ISBLANK(Tabella3[[#This Row],[Italy data]]))</f>
        <v>0</v>
      </c>
      <c r="O240" s="151"/>
      <c r="P240" s="151"/>
      <c r="Q240" s="151"/>
      <c r="R240" s="10"/>
      <c r="S240" s="10">
        <f>Tabella3[[#This Row],[Lombardy data]]*NOT(ISBLANK(Tabella3[[#This Row],[Lombardy data]]))</f>
        <v>0</v>
      </c>
      <c r="T240" s="96" t="e">
        <f>Tabella8[[#This Row],[Lombardy fit]]</f>
        <v>#VALUE!</v>
      </c>
      <c r="U240" s="91" t="e">
        <f>Tabella3[[#This Row],[Lombardy cumul. Fit]]/Kl</f>
        <v>#VALUE!</v>
      </c>
      <c r="V240" s="91">
        <f>IFERROR(Kl*_xlfn.LOGNORM.DIST((Tabella3[[#This Row],[Day]]-pl),mu_l,sigma_l,FALSE),0)</f>
        <v>1.1357443266885185</v>
      </c>
      <c r="W240" s="91">
        <f>Tabella3[[#This Row],[Lombardy fit]]/y_l_peak</f>
        <v>6.4606014814799393E-4</v>
      </c>
      <c r="X240" s="10">
        <f>Tabella3[[#This Row],[Lombardy fit]]*NOT(ISBLANK(Tabella3[[#This Row],[Lombardy data]]))</f>
        <v>0</v>
      </c>
      <c r="Y240" s="151"/>
      <c r="Z240" s="151"/>
      <c r="AA240" s="151"/>
      <c r="AB240" s="10"/>
      <c r="AC240" s="10">
        <f>Tabella3[[#This Row],[rest of Italy data]]*NOT(ISBLANK(Tabella3[[#This Row],[rest of Italy data]]))</f>
        <v>0</v>
      </c>
      <c r="AD240" s="96" t="e">
        <f>Tabella8[[#This Row],[rest of Italy fit]]</f>
        <v>#VALUE!</v>
      </c>
      <c r="AE240" s="91" t="e">
        <f>Tabella3[[#This Row],[rest of Italy cumul. Fit]]/Ka</f>
        <v>#VALUE!</v>
      </c>
      <c r="AF240" s="91">
        <f>IFERROR(Ka*_xlfn.LOGNORM.DIST((Tabella3[[#This Row],[Day]]-pa),mu_a,sigma_a,FALSE),0)</f>
        <v>0.64350363182859471</v>
      </c>
      <c r="AG240" s="91">
        <f>Tabella3[[#This Row],[rest of Italy fit]]/y_a_peak</f>
        <v>1.9043363028231009E-4</v>
      </c>
      <c r="AH240" s="10">
        <f>Tabella3[[#This Row],[rest of Italy fit]]*NOT(ISBLANK(Tabella3[[#This Row],[rest of Italy data]]))</f>
        <v>0</v>
      </c>
      <c r="AI240" s="151"/>
      <c r="AJ240" s="151"/>
    </row>
    <row r="241" spans="2:36" x14ac:dyDescent="0.3">
      <c r="B241" s="9">
        <v>44064</v>
      </c>
      <c r="C241" s="4">
        <v>234</v>
      </c>
      <c r="D241" s="151"/>
      <c r="E241" s="10"/>
      <c r="F241" s="10">
        <f>Tabella3[[#This Row],[Italy data]]*NOT(ISBLANK(Tabella3[[#This Row],[Italy data]]))</f>
        <v>0</v>
      </c>
      <c r="G241" s="96" t="e">
        <f>Tabella8[[#This Row],[Italy fit]]</f>
        <v>#VALUE!</v>
      </c>
      <c r="H241" s="96" t="e">
        <f>Tabella3[[#This Row],[Italy cumul. Fit]]/Kf</f>
        <v>#VALUE!</v>
      </c>
      <c r="I241" s="96">
        <f>Tabella3[[#This Row],[Lombardy fit]]+Tabella3[[#This Row],[rest of Italy fit]]</f>
        <v>1.6766158147151393</v>
      </c>
      <c r="J241" s="96">
        <f>Tabella3[[#This Row],[Italy (fitted Lombardy + fitted sum of the other regions)]]/(y_l_peak+y_a_peak)</f>
        <v>3.2637376075734641E-4</v>
      </c>
      <c r="K241" s="91">
        <f>IFERROR(Kf*_xlfn.LOGNORM.DIST((Tabella3[[#This Row],[Day]]-D_bk),mu_f,sigma_f,FALSE),0)</f>
        <v>1.1646847798030495</v>
      </c>
      <c r="L241" s="91">
        <f>Tabella3[[#This Row],[Italy fit]]/y_f_peak</f>
        <v>2.3010158598997255E-4</v>
      </c>
      <c r="M241" s="10">
        <f>Tabella3[[#This Row],[Italy (fitted Lombardy + fitted sum of the other regions)]]*NOT(ISBLANK(Tabella3[[#This Row],[Italy data]]))</f>
        <v>0</v>
      </c>
      <c r="N241" s="10">
        <f>Tabella3[[#This Row],[Italy fit]]*NOT(ISBLANK(Tabella3[[#This Row],[Italy data]]))</f>
        <v>0</v>
      </c>
      <c r="O241" s="151"/>
      <c r="P241" s="151"/>
      <c r="Q241" s="151"/>
      <c r="R241" s="10"/>
      <c r="S241" s="10">
        <f>Tabella3[[#This Row],[Lombardy data]]*NOT(ISBLANK(Tabella3[[#This Row],[Lombardy data]]))</f>
        <v>0</v>
      </c>
      <c r="T241" s="96" t="e">
        <f>Tabella8[[#This Row],[Lombardy fit]]</f>
        <v>#VALUE!</v>
      </c>
      <c r="U241" s="91" t="e">
        <f>Tabella3[[#This Row],[Lombardy cumul. Fit]]/Kl</f>
        <v>#VALUE!</v>
      </c>
      <c r="V241" s="91">
        <f>IFERROR(Kl*_xlfn.LOGNORM.DIST((Tabella3[[#This Row],[Day]]-pl),mu_l,sigma_l,FALSE),0)</f>
        <v>1.074144728681137</v>
      </c>
      <c r="W241" s="91">
        <f>Tabella3[[#This Row],[Lombardy fit]]/y_l_peak</f>
        <v>6.1101965137479695E-4</v>
      </c>
      <c r="X241" s="10">
        <f>Tabella3[[#This Row],[Lombardy fit]]*NOT(ISBLANK(Tabella3[[#This Row],[Lombardy data]]))</f>
        <v>0</v>
      </c>
      <c r="Y241" s="151"/>
      <c r="Z241" s="151"/>
      <c r="AA241" s="151"/>
      <c r="AB241" s="10"/>
      <c r="AC241" s="10">
        <f>Tabella3[[#This Row],[rest of Italy data]]*NOT(ISBLANK(Tabella3[[#This Row],[rest of Italy data]]))</f>
        <v>0</v>
      </c>
      <c r="AD241" s="96" t="e">
        <f>Tabella8[[#This Row],[rest of Italy fit]]</f>
        <v>#VALUE!</v>
      </c>
      <c r="AE241" s="91" t="e">
        <f>Tabella3[[#This Row],[rest of Italy cumul. Fit]]/Ka</f>
        <v>#VALUE!</v>
      </c>
      <c r="AF241" s="91">
        <f>IFERROR(Ka*_xlfn.LOGNORM.DIST((Tabella3[[#This Row],[Day]]-pa),mu_a,sigma_a,FALSE),0)</f>
        <v>0.60247108603400246</v>
      </c>
      <c r="AG241" s="91">
        <f>Tabella3[[#This Row],[rest of Italy fit]]/y_a_peak</f>
        <v>1.7829076694961225E-4</v>
      </c>
      <c r="AH241" s="10">
        <f>Tabella3[[#This Row],[rest of Italy fit]]*NOT(ISBLANK(Tabella3[[#This Row],[rest of Italy data]]))</f>
        <v>0</v>
      </c>
      <c r="AI241" s="151"/>
      <c r="AJ241" s="151"/>
    </row>
    <row r="242" spans="2:36" x14ac:dyDescent="0.3">
      <c r="B242" s="9">
        <v>44065</v>
      </c>
      <c r="C242" s="4">
        <v>235</v>
      </c>
      <c r="D242" s="151"/>
      <c r="E242" s="10"/>
      <c r="F242" s="10">
        <f>Tabella3[[#This Row],[Italy data]]*NOT(ISBLANK(Tabella3[[#This Row],[Italy data]]))</f>
        <v>0</v>
      </c>
      <c r="G242" s="96" t="e">
        <f>Tabella8[[#This Row],[Italy fit]]</f>
        <v>#VALUE!</v>
      </c>
      <c r="H242" s="96" t="e">
        <f>Tabella3[[#This Row],[Italy cumul. Fit]]/Kf</f>
        <v>#VALUE!</v>
      </c>
      <c r="I242" s="96">
        <f>Tabella3[[#This Row],[Lombardy fit]]+Tabella3[[#This Row],[rest of Italy fit]]</f>
        <v>1.5800546586538069</v>
      </c>
      <c r="J242" s="96">
        <f>Tabella3[[#This Row],[Italy (fitted Lombardy + fitted sum of the other regions)]]/(y_l_peak+y_a_peak)</f>
        <v>3.0757695151207003E-4</v>
      </c>
      <c r="K242" s="91">
        <f>IFERROR(Kf*_xlfn.LOGNORM.DIST((Tabella3[[#This Row],[Day]]-D_bk),mu_f,sigma_f,FALSE),0)</f>
        <v>1.0911171068771255</v>
      </c>
      <c r="L242" s="91">
        <f>Tabella3[[#This Row],[Italy fit]]/y_f_peak</f>
        <v>2.155671484224882E-4</v>
      </c>
      <c r="M242" s="10">
        <f>Tabella3[[#This Row],[Italy (fitted Lombardy + fitted sum of the other regions)]]*NOT(ISBLANK(Tabella3[[#This Row],[Italy data]]))</f>
        <v>0</v>
      </c>
      <c r="N242" s="10">
        <f>Tabella3[[#This Row],[Italy fit]]*NOT(ISBLANK(Tabella3[[#This Row],[Italy data]]))</f>
        <v>0</v>
      </c>
      <c r="O242" s="151"/>
      <c r="P242" s="151"/>
      <c r="Q242" s="151"/>
      <c r="R242" s="10"/>
      <c r="S242" s="10">
        <f>Tabella3[[#This Row],[Lombardy data]]*NOT(ISBLANK(Tabella3[[#This Row],[Lombardy data]]))</f>
        <v>0</v>
      </c>
      <c r="T242" s="96" t="e">
        <f>Tabella8[[#This Row],[Lombardy fit]]</f>
        <v>#VALUE!</v>
      </c>
      <c r="U242" s="91" t="e">
        <f>Tabella3[[#This Row],[Lombardy cumul. Fit]]/Kl</f>
        <v>#VALUE!</v>
      </c>
      <c r="V242" s="91">
        <f>IFERROR(Kl*_xlfn.LOGNORM.DIST((Tabella3[[#This Row],[Day]]-pl),mu_l,sigma_l,FALSE),0)</f>
        <v>1.0159521412471268</v>
      </c>
      <c r="W242" s="91">
        <f>Tabella3[[#This Row],[Lombardy fit]]/y_l_peak</f>
        <v>5.7791720853156501E-4</v>
      </c>
      <c r="X242" s="10">
        <f>Tabella3[[#This Row],[Lombardy fit]]*NOT(ISBLANK(Tabella3[[#This Row],[Lombardy data]]))</f>
        <v>0</v>
      </c>
      <c r="Y242" s="151"/>
      <c r="Z242" s="151"/>
      <c r="AA242" s="151"/>
      <c r="AB242" s="10"/>
      <c r="AC242" s="10">
        <f>Tabella3[[#This Row],[rest of Italy data]]*NOT(ISBLANK(Tabella3[[#This Row],[rest of Italy data]]))</f>
        <v>0</v>
      </c>
      <c r="AD242" s="96" t="e">
        <f>Tabella8[[#This Row],[rest of Italy fit]]</f>
        <v>#VALUE!</v>
      </c>
      <c r="AE242" s="91" t="e">
        <f>Tabella3[[#This Row],[rest of Italy cumul. Fit]]/Ka</f>
        <v>#VALUE!</v>
      </c>
      <c r="AF242" s="91">
        <f>IFERROR(Ka*_xlfn.LOGNORM.DIST((Tabella3[[#This Row],[Day]]-pa),mu_a,sigma_a,FALSE),0)</f>
        <v>0.56410251740668005</v>
      </c>
      <c r="AG242" s="91">
        <f>Tabella3[[#This Row],[rest of Italy fit]]/y_a_peak</f>
        <v>1.6693626100583976E-4</v>
      </c>
      <c r="AH242" s="10">
        <f>Tabella3[[#This Row],[rest of Italy fit]]*NOT(ISBLANK(Tabella3[[#This Row],[rest of Italy data]]))</f>
        <v>0</v>
      </c>
      <c r="AI242" s="151"/>
      <c r="AJ242" s="151"/>
    </row>
    <row r="243" spans="2:36" x14ac:dyDescent="0.3">
      <c r="B243" s="9">
        <v>44066</v>
      </c>
      <c r="C243" s="4">
        <v>236</v>
      </c>
      <c r="D243" s="151"/>
      <c r="E243" s="10"/>
      <c r="F243" s="10">
        <f>Tabella3[[#This Row],[Italy data]]*NOT(ISBLANK(Tabella3[[#This Row],[Italy data]]))</f>
        <v>0</v>
      </c>
      <c r="G243" s="96" t="e">
        <f>Tabella8[[#This Row],[Italy fit]]</f>
        <v>#VALUE!</v>
      </c>
      <c r="H243" s="96" t="e">
        <f>Tabella3[[#This Row],[Italy cumul. Fit]]/Kf</f>
        <v>#VALUE!</v>
      </c>
      <c r="I243" s="96">
        <f>Tabella3[[#This Row],[Lombardy fit]]+Tabella3[[#This Row],[rest of Italy fit]]</f>
        <v>1.489197220691759</v>
      </c>
      <c r="J243" s="96">
        <f>Tabella3[[#This Row],[Italy (fitted Lombardy + fitted sum of the other regions)]]/(y_l_peak+y_a_peak)</f>
        <v>2.8989044070846707E-4</v>
      </c>
      <c r="K243" s="91">
        <f>IFERROR(Kf*_xlfn.LOGNORM.DIST((Tabella3[[#This Row],[Day]]-D_bk),mu_f,sigma_f,FALSE),0)</f>
        <v>1.022266454974617</v>
      </c>
      <c r="L243" s="91">
        <f>Tabella3[[#This Row],[Italy fit]]/y_f_peak</f>
        <v>2.0196463169526717E-4</v>
      </c>
      <c r="M243" s="10">
        <f>Tabella3[[#This Row],[Italy (fitted Lombardy + fitted sum of the other regions)]]*NOT(ISBLANK(Tabella3[[#This Row],[Italy data]]))</f>
        <v>0</v>
      </c>
      <c r="N243" s="10">
        <f>Tabella3[[#This Row],[Italy fit]]*NOT(ISBLANK(Tabella3[[#This Row],[Italy data]]))</f>
        <v>0</v>
      </c>
      <c r="O243" s="151"/>
      <c r="P243" s="151"/>
      <c r="Q243" s="151"/>
      <c r="R243" s="10"/>
      <c r="S243" s="10">
        <f>Tabella3[[#This Row],[Lombardy data]]*NOT(ISBLANK(Tabella3[[#This Row],[Lombardy data]]))</f>
        <v>0</v>
      </c>
      <c r="T243" s="96" t="e">
        <f>Tabella8[[#This Row],[Lombardy fit]]</f>
        <v>#VALUE!</v>
      </c>
      <c r="U243" s="91" t="e">
        <f>Tabella3[[#This Row],[Lombardy cumul. Fit]]/Kl</f>
        <v>#VALUE!</v>
      </c>
      <c r="V243" s="91">
        <f>IFERROR(Kl*_xlfn.LOGNORM.DIST((Tabella3[[#This Row],[Day]]-pl),mu_l,sigma_l,FALSE),0)</f>
        <v>0.96097499923311935</v>
      </c>
      <c r="W243" s="91">
        <f>Tabella3[[#This Row],[Lombardy fit]]/y_l_peak</f>
        <v>5.4664384913219726E-4</v>
      </c>
      <c r="X243" s="10">
        <f>Tabella3[[#This Row],[Lombardy fit]]*NOT(ISBLANK(Tabella3[[#This Row],[Lombardy data]]))</f>
        <v>0</v>
      </c>
      <c r="Y243" s="151"/>
      <c r="Z243" s="151"/>
      <c r="AA243" s="151"/>
      <c r="AB243" s="10"/>
      <c r="AC243" s="10">
        <f>Tabella3[[#This Row],[rest of Italy data]]*NOT(ISBLANK(Tabella3[[#This Row],[rest of Italy data]]))</f>
        <v>0</v>
      </c>
      <c r="AD243" s="96" t="e">
        <f>Tabella8[[#This Row],[rest of Italy fit]]</f>
        <v>#VALUE!</v>
      </c>
      <c r="AE243" s="91" t="e">
        <f>Tabella3[[#This Row],[rest of Italy cumul. Fit]]/Ka</f>
        <v>#VALUE!</v>
      </c>
      <c r="AF243" s="91">
        <f>IFERROR(Ka*_xlfn.LOGNORM.DIST((Tabella3[[#This Row],[Day]]-pa),mu_a,sigma_a,FALSE),0)</f>
        <v>0.52822222145863951</v>
      </c>
      <c r="AG243" s="91">
        <f>Tabella3[[#This Row],[rest of Italy fit]]/y_a_peak</f>
        <v>1.5631811578485207E-4</v>
      </c>
      <c r="AH243" s="10">
        <f>Tabella3[[#This Row],[rest of Italy fit]]*NOT(ISBLANK(Tabella3[[#This Row],[rest of Italy data]]))</f>
        <v>0</v>
      </c>
      <c r="AI243" s="151"/>
      <c r="AJ243" s="151"/>
    </row>
    <row r="244" spans="2:36" x14ac:dyDescent="0.3">
      <c r="B244" s="9">
        <v>44067</v>
      </c>
      <c r="C244" s="4">
        <v>237</v>
      </c>
      <c r="D244" s="151"/>
      <c r="E244" s="10"/>
      <c r="F244" s="10">
        <f>Tabella3[[#This Row],[Italy data]]*NOT(ISBLANK(Tabella3[[#This Row],[Italy data]]))</f>
        <v>0</v>
      </c>
      <c r="G244" s="96" t="e">
        <f>Tabella8[[#This Row],[Italy fit]]</f>
        <v>#VALUE!</v>
      </c>
      <c r="H244" s="96" t="e">
        <f>Tabella3[[#This Row],[Italy cumul. Fit]]/Kf</f>
        <v>#VALUE!</v>
      </c>
      <c r="I244" s="96">
        <f>Tabella3[[#This Row],[Lombardy fit]]+Tabella3[[#This Row],[rest of Italy fit]]</f>
        <v>1.4036988807147233</v>
      </c>
      <c r="J244" s="96">
        <f>Tabella3[[#This Row],[Italy (fitted Lombardy + fitted sum of the other regions)]]/(y_l_peak+y_a_peak)</f>
        <v>2.7324714382917796E-4</v>
      </c>
      <c r="K244" s="91">
        <f>IFERROR(Kf*_xlfn.LOGNORM.DIST((Tabella3[[#This Row],[Day]]-D_bk),mu_f,sigma_f,FALSE),0)</f>
        <v>0.95782656056050697</v>
      </c>
      <c r="L244" s="91">
        <f>Tabella3[[#This Row],[Italy fit]]/y_f_peak</f>
        <v>1.8923352868538626E-4</v>
      </c>
      <c r="M244" s="10">
        <f>Tabella3[[#This Row],[Italy (fitted Lombardy + fitted sum of the other regions)]]*NOT(ISBLANK(Tabella3[[#This Row],[Italy data]]))</f>
        <v>0</v>
      </c>
      <c r="N244" s="10">
        <f>Tabella3[[#This Row],[Italy fit]]*NOT(ISBLANK(Tabella3[[#This Row],[Italy data]]))</f>
        <v>0</v>
      </c>
      <c r="O244" s="151"/>
      <c r="P244" s="151"/>
      <c r="Q244" s="151"/>
      <c r="R244" s="10"/>
      <c r="S244" s="10">
        <f>Tabella3[[#This Row],[Lombardy data]]*NOT(ISBLANK(Tabella3[[#This Row],[Lombardy data]]))</f>
        <v>0</v>
      </c>
      <c r="T244" s="96" t="e">
        <f>Tabella8[[#This Row],[Lombardy fit]]</f>
        <v>#VALUE!</v>
      </c>
      <c r="U244" s="91" t="e">
        <f>Tabella3[[#This Row],[Lombardy cumul. Fit]]/Kl</f>
        <v>#VALUE!</v>
      </c>
      <c r="V244" s="91">
        <f>IFERROR(Kl*_xlfn.LOGNORM.DIST((Tabella3[[#This Row],[Day]]-pl),mu_l,sigma_l,FALSE),0)</f>
        <v>0.90903264537120754</v>
      </c>
      <c r="W244" s="91">
        <f>Tabella3[[#This Row],[Lombardy fit]]/y_l_peak</f>
        <v>5.1709680756428843E-4</v>
      </c>
      <c r="X244" s="10">
        <f>Tabella3[[#This Row],[Lombardy fit]]*NOT(ISBLANK(Tabella3[[#This Row],[Lombardy data]]))</f>
        <v>0</v>
      </c>
      <c r="Y244" s="151"/>
      <c r="Z244" s="151"/>
      <c r="AA244" s="151"/>
      <c r="AB244" s="10"/>
      <c r="AC244" s="10">
        <f>Tabella3[[#This Row],[rest of Italy data]]*NOT(ISBLANK(Tabella3[[#This Row],[rest of Italy data]]))</f>
        <v>0</v>
      </c>
      <c r="AD244" s="96" t="e">
        <f>Tabella8[[#This Row],[rest of Italy fit]]</f>
        <v>#VALUE!</v>
      </c>
      <c r="AE244" s="91" t="e">
        <f>Tabella3[[#This Row],[rest of Italy cumul. Fit]]/Ka</f>
        <v>#VALUE!</v>
      </c>
      <c r="AF244" s="91">
        <f>IFERROR(Ka*_xlfn.LOGNORM.DIST((Tabella3[[#This Row],[Day]]-pa),mu_a,sigma_a,FALSE),0)</f>
        <v>0.49466623534351584</v>
      </c>
      <c r="AG244" s="91">
        <f>Tabella3[[#This Row],[rest of Italy fit]]/y_a_peak</f>
        <v>1.4638780935371775E-4</v>
      </c>
      <c r="AH244" s="10">
        <f>Tabella3[[#This Row],[rest of Italy fit]]*NOT(ISBLANK(Tabella3[[#This Row],[rest of Italy data]]))</f>
        <v>0</v>
      </c>
      <c r="AI244" s="151"/>
      <c r="AJ244" s="151"/>
    </row>
    <row r="245" spans="2:36" x14ac:dyDescent="0.3">
      <c r="B245" s="9">
        <v>44068</v>
      </c>
      <c r="C245" s="4">
        <v>238</v>
      </c>
      <c r="D245" s="151"/>
      <c r="E245" s="10"/>
      <c r="F245" s="10">
        <f>Tabella3[[#This Row],[Italy data]]*NOT(ISBLANK(Tabella3[[#This Row],[Italy data]]))</f>
        <v>0</v>
      </c>
      <c r="G245" s="96" t="e">
        <f>Tabella8[[#This Row],[Italy fit]]</f>
        <v>#VALUE!</v>
      </c>
      <c r="H245" s="96" t="e">
        <f>Tabella3[[#This Row],[Italy cumul. Fit]]/Kf</f>
        <v>#VALUE!</v>
      </c>
      <c r="I245" s="96">
        <f>Tabella3[[#This Row],[Lombardy fit]]+Tabella3[[#This Row],[rest of Italy fit]]</f>
        <v>1.3232362498521684</v>
      </c>
      <c r="J245" s="96">
        <f>Tabella3[[#This Row],[Italy (fitted Lombardy + fitted sum of the other regions)]]/(y_l_peak+y_a_peak)</f>
        <v>2.5758410927793581E-4</v>
      </c>
      <c r="K245" s="91">
        <f>IFERROR(Kf*_xlfn.LOGNORM.DIST((Tabella3[[#This Row],[Day]]-D_bk),mu_f,sigma_f,FALSE),0)</f>
        <v>0.89751123649975406</v>
      </c>
      <c r="L245" s="91">
        <f>Tabella3[[#This Row],[Italy fit]]/y_f_peak</f>
        <v>1.7731729867487191E-4</v>
      </c>
      <c r="M245" s="10">
        <f>Tabella3[[#This Row],[Italy (fitted Lombardy + fitted sum of the other regions)]]*NOT(ISBLANK(Tabella3[[#This Row],[Italy data]]))</f>
        <v>0</v>
      </c>
      <c r="N245" s="10">
        <f>Tabella3[[#This Row],[Italy fit]]*NOT(ISBLANK(Tabella3[[#This Row],[Italy data]]))</f>
        <v>0</v>
      </c>
      <c r="O245" s="151"/>
      <c r="P245" s="151"/>
      <c r="Q245" s="151"/>
      <c r="R245" s="10"/>
      <c r="S245" s="10">
        <f>Tabella3[[#This Row],[Lombardy data]]*NOT(ISBLANK(Tabella3[[#This Row],[Lombardy data]]))</f>
        <v>0</v>
      </c>
      <c r="T245" s="96" t="e">
        <f>Tabella8[[#This Row],[Lombardy fit]]</f>
        <v>#VALUE!</v>
      </c>
      <c r="U245" s="91" t="e">
        <f>Tabella3[[#This Row],[Lombardy cumul. Fit]]/Kl</f>
        <v>#VALUE!</v>
      </c>
      <c r="V245" s="91">
        <f>IFERROR(Kl*_xlfn.LOGNORM.DIST((Tabella3[[#This Row],[Day]]-pl),mu_l,sigma_l,FALSE),0)</f>
        <v>0.85995470439869859</v>
      </c>
      <c r="W245" s="91">
        <f>Tabella3[[#This Row],[Lombardy fit]]/y_l_peak</f>
        <v>4.8917916706156506E-4</v>
      </c>
      <c r="X245" s="10">
        <f>Tabella3[[#This Row],[Lombardy fit]]*NOT(ISBLANK(Tabella3[[#This Row],[Lombardy data]]))</f>
        <v>0</v>
      </c>
      <c r="Y245" s="151"/>
      <c r="Z245" s="151"/>
      <c r="AA245" s="151"/>
      <c r="AB245" s="10"/>
      <c r="AC245" s="10">
        <f>Tabella3[[#This Row],[rest of Italy data]]*NOT(ISBLANK(Tabella3[[#This Row],[rest of Italy data]]))</f>
        <v>0</v>
      </c>
      <c r="AD245" s="96" t="e">
        <f>Tabella8[[#This Row],[rest of Italy fit]]</f>
        <v>#VALUE!</v>
      </c>
      <c r="AE245" s="91" t="e">
        <f>Tabella3[[#This Row],[rest of Italy cumul. Fit]]/Ka</f>
        <v>#VALUE!</v>
      </c>
      <c r="AF245" s="91">
        <f>IFERROR(Ka*_xlfn.LOGNORM.DIST((Tabella3[[#This Row],[Day]]-pa),mu_a,sigma_a,FALSE),0)</f>
        <v>0.46328154545346967</v>
      </c>
      <c r="AG245" s="91">
        <f>Tabella3[[#This Row],[rest of Italy fit]]/y_a_peak</f>
        <v>1.3710006001489507E-4</v>
      </c>
      <c r="AH245" s="10">
        <f>Tabella3[[#This Row],[rest of Italy fit]]*NOT(ISBLANK(Tabella3[[#This Row],[rest of Italy data]]))</f>
        <v>0</v>
      </c>
      <c r="AI245" s="151"/>
      <c r="AJ245" s="151"/>
    </row>
    <row r="246" spans="2:36" x14ac:dyDescent="0.3">
      <c r="B246" s="9">
        <v>44069</v>
      </c>
      <c r="C246" s="4">
        <v>239</v>
      </c>
      <c r="D246" s="151"/>
      <c r="E246" s="10"/>
      <c r="F246" s="10">
        <f>Tabella3[[#This Row],[Italy data]]*NOT(ISBLANK(Tabella3[[#This Row],[Italy data]]))</f>
        <v>0</v>
      </c>
      <c r="G246" s="96" t="e">
        <f>Tabella8[[#This Row],[Italy fit]]</f>
        <v>#VALUE!</v>
      </c>
      <c r="H246" s="96" t="e">
        <f>Tabella3[[#This Row],[Italy cumul. Fit]]/Kf</f>
        <v>#VALUE!</v>
      </c>
      <c r="I246" s="96">
        <f>Tabella3[[#This Row],[Lombardy fit]]+Tabella3[[#This Row],[rest of Italy fit]]</f>
        <v>1.2475058419161535</v>
      </c>
      <c r="J246" s="96">
        <f>Tabella3[[#This Row],[Italy (fitted Lombardy + fitted sum of the other regions)]]/(y_l_peak+y_a_peak)</f>
        <v>2.4284225975890065E-4</v>
      </c>
      <c r="K246" s="91">
        <f>IFERROR(Kf*_xlfn.LOGNORM.DIST((Tabella3[[#This Row],[Day]]-D_bk),mu_f,sigma_f,FALSE),0)</f>
        <v>0.84105304826897653</v>
      </c>
      <c r="L246" s="91">
        <f>Tabella3[[#This Row],[Italy fit]]/y_f_peak</f>
        <v>1.6616310581573697E-4</v>
      </c>
      <c r="M246" s="10">
        <f>Tabella3[[#This Row],[Italy (fitted Lombardy + fitted sum of the other regions)]]*NOT(ISBLANK(Tabella3[[#This Row],[Italy data]]))</f>
        <v>0</v>
      </c>
      <c r="N246" s="10">
        <f>Tabella3[[#This Row],[Italy fit]]*NOT(ISBLANK(Tabella3[[#This Row],[Italy data]]))</f>
        <v>0</v>
      </c>
      <c r="O246" s="151"/>
      <c r="P246" s="151"/>
      <c r="Q246" s="151"/>
      <c r="R246" s="10"/>
      <c r="S246" s="10">
        <f>Tabella3[[#This Row],[Lombardy data]]*NOT(ISBLANK(Tabella3[[#This Row],[Lombardy data]]))</f>
        <v>0</v>
      </c>
      <c r="T246" s="96" t="e">
        <f>Tabella8[[#This Row],[Lombardy fit]]</f>
        <v>#VALUE!</v>
      </c>
      <c r="U246" s="91" t="e">
        <f>Tabella3[[#This Row],[Lombardy cumul. Fit]]/Kl</f>
        <v>#VALUE!</v>
      </c>
      <c r="V246" s="91">
        <f>IFERROR(Kl*_xlfn.LOGNORM.DIST((Tabella3[[#This Row],[Day]]-pl),mu_l,sigma_l,FALSE),0)</f>
        <v>0.81358049312119352</v>
      </c>
      <c r="W246" s="91">
        <f>Tabella3[[#This Row],[Lombardy fit]]/y_l_peak</f>
        <v>4.6279952412243015E-4</v>
      </c>
      <c r="X246" s="10">
        <f>Tabella3[[#This Row],[Lombardy fit]]*NOT(ISBLANK(Tabella3[[#This Row],[Lombardy data]]))</f>
        <v>0</v>
      </c>
      <c r="Y246" s="151"/>
      <c r="Z246" s="151"/>
      <c r="AA246" s="151"/>
      <c r="AB246" s="10"/>
      <c r="AC246" s="10">
        <f>Tabella3[[#This Row],[rest of Italy data]]*NOT(ISBLANK(Tabella3[[#This Row],[rest of Italy data]]))</f>
        <v>0</v>
      </c>
      <c r="AD246" s="96" t="e">
        <f>Tabella8[[#This Row],[rest of Italy fit]]</f>
        <v>#VALUE!</v>
      </c>
      <c r="AE246" s="91" t="e">
        <f>Tabella3[[#This Row],[rest of Italy cumul. Fit]]/Ka</f>
        <v>#VALUE!</v>
      </c>
      <c r="AF246" s="91">
        <f>IFERROR(Ka*_xlfn.LOGNORM.DIST((Tabella3[[#This Row],[Day]]-pa),mu_a,sigma_a,FALSE),0)</f>
        <v>0.43392534879496003</v>
      </c>
      <c r="AG246" s="91">
        <f>Tabella3[[#This Row],[rest of Italy fit]]/y_a_peak</f>
        <v>1.2841260772332745E-4</v>
      </c>
      <c r="AH246" s="10">
        <f>Tabella3[[#This Row],[rest of Italy fit]]*NOT(ISBLANK(Tabella3[[#This Row],[rest of Italy data]]))</f>
        <v>0</v>
      </c>
      <c r="AI246" s="151"/>
      <c r="AJ246" s="151"/>
    </row>
    <row r="247" spans="2:36" x14ac:dyDescent="0.3">
      <c r="B247" s="9">
        <v>44070</v>
      </c>
      <c r="C247" s="4">
        <v>240</v>
      </c>
      <c r="D247" s="151"/>
      <c r="E247" s="10"/>
      <c r="F247" s="10">
        <f>Tabella3[[#This Row],[Italy data]]*NOT(ISBLANK(Tabella3[[#This Row],[Italy data]]))</f>
        <v>0</v>
      </c>
      <c r="G247" s="96" t="e">
        <f>Tabella8[[#This Row],[Italy fit]]</f>
        <v>#VALUE!</v>
      </c>
      <c r="H247" s="96" t="e">
        <f>Tabella3[[#This Row],[Italy cumul. Fit]]/Kf</f>
        <v>#VALUE!</v>
      </c>
      <c r="I247" s="96">
        <f>Tabella3[[#This Row],[Lombardy fit]]+Tabella3[[#This Row],[rest of Italy fit]]</f>
        <v>1.176222828867036</v>
      </c>
      <c r="J247" s="96">
        <f>Tabella3[[#This Row],[Italy (fitted Lombardy + fitted sum of the other regions)]]/(y_l_peak+y_a_peak)</f>
        <v>2.2896615001284757E-4</v>
      </c>
      <c r="K247" s="91">
        <f>IFERROR(Kf*_xlfn.LOGNORM.DIST((Tabella3[[#This Row],[Day]]-D_bk),mu_f,sigma_f,FALSE),0)</f>
        <v>0.78820207753595362</v>
      </c>
      <c r="L247" s="91">
        <f>Tabella3[[#This Row],[Italy fit]]/y_f_peak</f>
        <v>1.557215748558882E-4</v>
      </c>
      <c r="M247" s="10">
        <f>Tabella3[[#This Row],[Italy (fitted Lombardy + fitted sum of the other regions)]]*NOT(ISBLANK(Tabella3[[#This Row],[Italy data]]))</f>
        <v>0</v>
      </c>
      <c r="N247" s="10">
        <f>Tabella3[[#This Row],[Italy fit]]*NOT(ISBLANK(Tabella3[[#This Row],[Italy data]]))</f>
        <v>0</v>
      </c>
      <c r="O247" s="151"/>
      <c r="P247" s="151"/>
      <c r="Q247" s="151"/>
      <c r="R247" s="10"/>
      <c r="S247" s="10">
        <f>Tabella3[[#This Row],[Lombardy data]]*NOT(ISBLANK(Tabella3[[#This Row],[Lombardy data]]))</f>
        <v>0</v>
      </c>
      <c r="T247" s="96" t="e">
        <f>Tabella8[[#This Row],[Lombardy fit]]</f>
        <v>#VALUE!</v>
      </c>
      <c r="U247" s="91" t="e">
        <f>Tabella3[[#This Row],[Lombardy cumul. Fit]]/Kl</f>
        <v>#VALUE!</v>
      </c>
      <c r="V247" s="91">
        <f>IFERROR(Kl*_xlfn.LOGNORM.DIST((Tabella3[[#This Row],[Day]]-pl),mu_l,sigma_l,FALSE),0)</f>
        <v>0.76975846437346696</v>
      </c>
      <c r="W247" s="91">
        <f>Tabella3[[#This Row],[Lombardy fit]]/y_l_peak</f>
        <v>4.3787167221103211E-4</v>
      </c>
      <c r="X247" s="10">
        <f>Tabella3[[#This Row],[Lombardy fit]]*NOT(ISBLANK(Tabella3[[#This Row],[Lombardy data]]))</f>
        <v>0</v>
      </c>
      <c r="Y247" s="151"/>
      <c r="Z247" s="151"/>
      <c r="AA247" s="151"/>
      <c r="AB247" s="10"/>
      <c r="AC247" s="10">
        <f>Tabella3[[#This Row],[rest of Italy data]]*NOT(ISBLANK(Tabella3[[#This Row],[rest of Italy data]]))</f>
        <v>0</v>
      </c>
      <c r="AD247" s="96" t="e">
        <f>Tabella8[[#This Row],[rest of Italy fit]]</f>
        <v>#VALUE!</v>
      </c>
      <c r="AE247" s="91" t="e">
        <f>Tabella3[[#This Row],[rest of Italy cumul. Fit]]/Ka</f>
        <v>#VALUE!</v>
      </c>
      <c r="AF247" s="91">
        <f>IFERROR(Ka*_xlfn.LOGNORM.DIST((Tabella3[[#This Row],[Day]]-pa),mu_a,sigma_a,FALSE),0)</f>
        <v>0.40646436449356915</v>
      </c>
      <c r="AG247" s="91">
        <f>Tabella3[[#This Row],[rest of Italy fit]]/y_a_peak</f>
        <v>1.2028601033835367E-4</v>
      </c>
      <c r="AH247" s="10">
        <f>Tabella3[[#This Row],[rest of Italy fit]]*NOT(ISBLANK(Tabella3[[#This Row],[rest of Italy data]]))</f>
        <v>0</v>
      </c>
      <c r="AI247" s="151"/>
      <c r="AJ247" s="151"/>
    </row>
    <row r="248" spans="2:36" x14ac:dyDescent="0.3">
      <c r="B248" s="9">
        <v>44071</v>
      </c>
      <c r="C248" s="4">
        <v>241</v>
      </c>
      <c r="D248" s="151"/>
      <c r="E248" s="10"/>
      <c r="F248" s="10">
        <f>Tabella3[[#This Row],[Italy data]]*NOT(ISBLANK(Tabella3[[#This Row],[Italy data]]))</f>
        <v>0</v>
      </c>
      <c r="G248" s="96" t="e">
        <f>Tabella8[[#This Row],[Italy fit]]</f>
        <v>#VALUE!</v>
      </c>
      <c r="H248" s="96" t="e">
        <f>Tabella3[[#This Row],[Italy cumul. Fit]]/Kf</f>
        <v>#VALUE!</v>
      </c>
      <c r="I248" s="96">
        <f>Tabella3[[#This Row],[Lombardy fit]]+Tabella3[[#This Row],[rest of Italy fit]]</f>
        <v>1.1091198749702205</v>
      </c>
      <c r="J248" s="96">
        <f>Tabella3[[#This Row],[Italy (fitted Lombardy + fitted sum of the other regions)]]/(y_l_peak+y_a_peak)</f>
        <v>2.1590373987152874E-4</v>
      </c>
      <c r="K248" s="91">
        <f>IFERROR(Kf*_xlfn.LOGNORM.DIST((Tabella3[[#This Row],[Day]]-D_bk),mu_f,sigma_f,FALSE),0)</f>
        <v>0.73872476737503612</v>
      </c>
      <c r="L248" s="91">
        <f>Tabella3[[#This Row],[Italy fit]]/y_f_peak</f>
        <v>1.4594656299347672E-4</v>
      </c>
      <c r="M248" s="10">
        <f>Tabella3[[#This Row],[Italy (fitted Lombardy + fitted sum of the other regions)]]*NOT(ISBLANK(Tabella3[[#This Row],[Italy data]]))</f>
        <v>0</v>
      </c>
      <c r="N248" s="10">
        <f>Tabella3[[#This Row],[Italy fit]]*NOT(ISBLANK(Tabella3[[#This Row],[Italy data]]))</f>
        <v>0</v>
      </c>
      <c r="O248" s="151"/>
      <c r="P248" s="151"/>
      <c r="Q248" s="151"/>
      <c r="R248" s="10"/>
      <c r="S248" s="10">
        <f>Tabella3[[#This Row],[Lombardy data]]*NOT(ISBLANK(Tabella3[[#This Row],[Lombardy data]]))</f>
        <v>0</v>
      </c>
      <c r="T248" s="96" t="e">
        <f>Tabella8[[#This Row],[Lombardy fit]]</f>
        <v>#VALUE!</v>
      </c>
      <c r="U248" s="91" t="e">
        <f>Tabella3[[#This Row],[Lombardy cumul. Fit]]/Kl</f>
        <v>#VALUE!</v>
      </c>
      <c r="V248" s="91">
        <f>IFERROR(Kl*_xlfn.LOGNORM.DIST((Tabella3[[#This Row],[Day]]-pl),mu_l,sigma_l,FALSE),0)</f>
        <v>0.72834568294645352</v>
      </c>
      <c r="W248" s="91">
        <f>Tabella3[[#This Row],[Lombardy fit]]/y_l_peak</f>
        <v>4.1431430364202807E-4</v>
      </c>
      <c r="X248" s="10">
        <f>Tabella3[[#This Row],[Lombardy fit]]*NOT(ISBLANK(Tabella3[[#This Row],[Lombardy data]]))</f>
        <v>0</v>
      </c>
      <c r="Y248" s="151"/>
      <c r="Z248" s="151"/>
      <c r="AA248" s="151"/>
      <c r="AB248" s="10"/>
      <c r="AC248" s="10">
        <f>Tabella3[[#This Row],[rest of Italy data]]*NOT(ISBLANK(Tabella3[[#This Row],[rest of Italy data]]))</f>
        <v>0</v>
      </c>
      <c r="AD248" s="96" t="e">
        <f>Tabella8[[#This Row],[rest of Italy fit]]</f>
        <v>#VALUE!</v>
      </c>
      <c r="AE248" s="91" t="e">
        <f>Tabella3[[#This Row],[rest of Italy cumul. Fit]]/Ka</f>
        <v>#VALUE!</v>
      </c>
      <c r="AF248" s="91">
        <f>IFERROR(Ka*_xlfn.LOGNORM.DIST((Tabella3[[#This Row],[Day]]-pa),mu_a,sigma_a,FALSE),0)</f>
        <v>0.380774192023767</v>
      </c>
      <c r="AG248" s="91">
        <f>Tabella3[[#This Row],[rest of Italy fit]]/y_a_peak</f>
        <v>1.1268345370304598E-4</v>
      </c>
      <c r="AH248" s="10">
        <f>Tabella3[[#This Row],[rest of Italy fit]]*NOT(ISBLANK(Tabella3[[#This Row],[rest of Italy data]]))</f>
        <v>0</v>
      </c>
      <c r="AI248" s="151"/>
      <c r="AJ248" s="151"/>
    </row>
    <row r="249" spans="2:36" x14ac:dyDescent="0.3">
      <c r="B249" s="9">
        <v>44072</v>
      </c>
      <c r="C249" s="4">
        <v>242</v>
      </c>
      <c r="D249" s="151"/>
      <c r="E249" s="10"/>
      <c r="F249" s="10">
        <f>Tabella3[[#This Row],[Italy data]]*NOT(ISBLANK(Tabella3[[#This Row],[Italy data]]))</f>
        <v>0</v>
      </c>
      <c r="G249" s="96" t="e">
        <f>Tabella8[[#This Row],[Italy fit]]</f>
        <v>#VALUE!</v>
      </c>
      <c r="H249" s="96" t="e">
        <f>Tabella3[[#This Row],[Italy cumul. Fit]]/Kf</f>
        <v>#VALUE!</v>
      </c>
      <c r="I249" s="96">
        <f>Tabella3[[#This Row],[Lombardy fit]]+Tabella3[[#This Row],[rest of Italy fit]]</f>
        <v>1.0459460446448936</v>
      </c>
      <c r="J249" s="96">
        <f>Tabella3[[#This Row],[Italy (fitted Lombardy + fitted sum of the other regions)]]/(y_l_peak+y_a_peak)</f>
        <v>2.0360618165708085E-4</v>
      </c>
      <c r="K249" s="91">
        <f>IFERROR(Kf*_xlfn.LOGNORM.DIST((Tabella3[[#This Row],[Day]]-D_bk),mu_f,sigma_f,FALSE),0)</f>
        <v>0.69240284375678396</v>
      </c>
      <c r="L249" s="91">
        <f>Tabella3[[#This Row],[Italy fit]]/y_f_peak</f>
        <v>1.3679494680040807E-4</v>
      </c>
      <c r="M249" s="10">
        <f>Tabella3[[#This Row],[Italy (fitted Lombardy + fitted sum of the other regions)]]*NOT(ISBLANK(Tabella3[[#This Row],[Italy data]]))</f>
        <v>0</v>
      </c>
      <c r="N249" s="10">
        <f>Tabella3[[#This Row],[Italy fit]]*NOT(ISBLANK(Tabella3[[#This Row],[Italy data]]))</f>
        <v>0</v>
      </c>
      <c r="O249" s="151"/>
      <c r="P249" s="151"/>
      <c r="Q249" s="151"/>
      <c r="R249" s="10"/>
      <c r="S249" s="10">
        <f>Tabella3[[#This Row],[Lombardy data]]*NOT(ISBLANK(Tabella3[[#This Row],[Lombardy data]]))</f>
        <v>0</v>
      </c>
      <c r="T249" s="96" t="e">
        <f>Tabella8[[#This Row],[Lombardy fit]]</f>
        <v>#VALUE!</v>
      </c>
      <c r="U249" s="91" t="e">
        <f>Tabella3[[#This Row],[Lombardy cumul. Fit]]/Kl</f>
        <v>#VALUE!</v>
      </c>
      <c r="V249" s="91">
        <f>IFERROR(Kl*_xlfn.LOGNORM.DIST((Tabella3[[#This Row],[Day]]-pl),mu_l,sigma_l,FALSE),0)</f>
        <v>0.68920733165576609</v>
      </c>
      <c r="W249" s="91">
        <f>Tabella3[[#This Row],[Lombardy fit]]/y_l_peak</f>
        <v>3.9205072861114485E-4</v>
      </c>
      <c r="X249" s="10">
        <f>Tabella3[[#This Row],[Lombardy fit]]*NOT(ISBLANK(Tabella3[[#This Row],[Lombardy data]]))</f>
        <v>0</v>
      </c>
      <c r="Y249" s="151"/>
      <c r="Z249" s="151"/>
      <c r="AA249" s="151"/>
      <c r="AB249" s="10"/>
      <c r="AC249" s="10">
        <f>Tabella3[[#This Row],[rest of Italy data]]*NOT(ISBLANK(Tabella3[[#This Row],[rest of Italy data]]))</f>
        <v>0</v>
      </c>
      <c r="AD249" s="96" t="e">
        <f>Tabella8[[#This Row],[rest of Italy fit]]</f>
        <v>#VALUE!</v>
      </c>
      <c r="AE249" s="91" t="e">
        <f>Tabella3[[#This Row],[rest of Italy cumul. Fit]]/Ka</f>
        <v>#VALUE!</v>
      </c>
      <c r="AF249" s="91">
        <f>IFERROR(Ka*_xlfn.LOGNORM.DIST((Tabella3[[#This Row],[Day]]-pa),mu_a,sigma_a,FALSE),0)</f>
        <v>0.35673871298912757</v>
      </c>
      <c r="AG249" s="91">
        <f>Tabella3[[#This Row],[rest of Italy fit]]/y_a_peak</f>
        <v>1.055705746115416E-4</v>
      </c>
      <c r="AH249" s="10">
        <f>Tabella3[[#This Row],[rest of Italy fit]]*NOT(ISBLANK(Tabella3[[#This Row],[rest of Italy data]]))</f>
        <v>0</v>
      </c>
      <c r="AI249" s="151"/>
      <c r="AJ249" s="151"/>
    </row>
    <row r="250" spans="2:36" x14ac:dyDescent="0.3">
      <c r="B250" s="9">
        <v>44073</v>
      </c>
      <c r="C250" s="4">
        <v>243</v>
      </c>
      <c r="D250" s="151"/>
      <c r="E250" s="10"/>
      <c r="F250" s="10">
        <f>Tabella3[[#This Row],[Italy data]]*NOT(ISBLANK(Tabella3[[#This Row],[Italy data]]))</f>
        <v>0</v>
      </c>
      <c r="G250" s="96" t="e">
        <f>Tabella8[[#This Row],[Italy fit]]</f>
        <v>#VALUE!</v>
      </c>
      <c r="H250" s="96" t="e">
        <f>Tabella3[[#This Row],[Italy cumul. Fit]]/Kf</f>
        <v>#VALUE!</v>
      </c>
      <c r="I250" s="96">
        <f>Tabella3[[#This Row],[Lombardy fit]]+Tabella3[[#This Row],[rest of Italy fit]]</f>
        <v>0.98646577932201884</v>
      </c>
      <c r="J250" s="96">
        <f>Tabella3[[#This Row],[Italy (fitted Lombardy + fitted sum of the other regions)]]/(y_l_peak+y_a_peak)</f>
        <v>1.920276210149282E-4</v>
      </c>
      <c r="K250" s="91">
        <f>IFERROR(Kf*_xlfn.LOGNORM.DIST((Tabella3[[#This Row],[Day]]-D_bk),mu_f,sigma_f,FALSE),0)</f>
        <v>0.64903230829671821</v>
      </c>
      <c r="L250" s="91">
        <f>Tabella3[[#This Row],[Italy fit]]/y_f_peak</f>
        <v>1.2822642322419799E-4</v>
      </c>
      <c r="M250" s="10">
        <f>Tabella3[[#This Row],[Italy (fitted Lombardy + fitted sum of the other regions)]]*NOT(ISBLANK(Tabella3[[#This Row],[Italy data]]))</f>
        <v>0</v>
      </c>
      <c r="N250" s="10">
        <f>Tabella3[[#This Row],[Italy fit]]*NOT(ISBLANK(Tabella3[[#This Row],[Italy data]]))</f>
        <v>0</v>
      </c>
      <c r="O250" s="151"/>
      <c r="P250" s="151"/>
      <c r="Q250" s="151"/>
      <c r="R250" s="10"/>
      <c r="S250" s="10">
        <f>Tabella3[[#This Row],[Lombardy data]]*NOT(ISBLANK(Tabella3[[#This Row],[Lombardy data]]))</f>
        <v>0</v>
      </c>
      <c r="T250" s="96" t="e">
        <f>Tabella8[[#This Row],[Lombardy fit]]</f>
        <v>#VALUE!</v>
      </c>
      <c r="U250" s="91" t="e">
        <f>Tabella3[[#This Row],[Lombardy cumul. Fit]]/Kl</f>
        <v>#VALUE!</v>
      </c>
      <c r="V250" s="91">
        <f>IFERROR(Kl*_xlfn.LOGNORM.DIST((Tabella3[[#This Row],[Day]]-pl),mu_l,sigma_l,FALSE),0)</f>
        <v>0.65221624582942583</v>
      </c>
      <c r="W250" s="91">
        <f>Tabella3[[#This Row],[Lombardy fit]]/y_l_peak</f>
        <v>3.7100861039180837E-4</v>
      </c>
      <c r="X250" s="10">
        <f>Tabella3[[#This Row],[Lombardy fit]]*NOT(ISBLANK(Tabella3[[#This Row],[Lombardy data]]))</f>
        <v>0</v>
      </c>
      <c r="Y250" s="151"/>
      <c r="Z250" s="151"/>
      <c r="AA250" s="151"/>
      <c r="AB250" s="10"/>
      <c r="AC250" s="10">
        <f>Tabella3[[#This Row],[rest of Italy data]]*NOT(ISBLANK(Tabella3[[#This Row],[rest of Italy data]]))</f>
        <v>0</v>
      </c>
      <c r="AD250" s="96" t="e">
        <f>Tabella8[[#This Row],[rest of Italy fit]]</f>
        <v>#VALUE!</v>
      </c>
      <c r="AE250" s="91" t="e">
        <f>Tabella3[[#This Row],[rest of Italy cumul. Fit]]/Ka</f>
        <v>#VALUE!</v>
      </c>
      <c r="AF250" s="91">
        <f>IFERROR(Ka*_xlfn.LOGNORM.DIST((Tabella3[[#This Row],[Day]]-pa),mu_a,sigma_a,FALSE),0)</f>
        <v>0.33424953349259295</v>
      </c>
      <c r="AG250" s="91">
        <f>Tabella3[[#This Row],[rest of Italy fit]]/y_a_peak</f>
        <v>9.8915295788288066E-5</v>
      </c>
      <c r="AH250" s="10">
        <f>Tabella3[[#This Row],[rest of Italy fit]]*NOT(ISBLANK(Tabella3[[#This Row],[rest of Italy data]]))</f>
        <v>0</v>
      </c>
      <c r="AI250" s="151"/>
      <c r="AJ250" s="151"/>
    </row>
    <row r="251" spans="2:36" x14ac:dyDescent="0.3">
      <c r="B251" s="9">
        <v>44074</v>
      </c>
      <c r="C251" s="4">
        <v>244</v>
      </c>
      <c r="D251" s="151"/>
      <c r="E251" s="10"/>
      <c r="F251" s="10">
        <f>Tabella3[[#This Row],[Italy data]]*NOT(ISBLANK(Tabella3[[#This Row],[Italy data]]))</f>
        <v>0</v>
      </c>
      <c r="G251" s="96" t="e">
        <f>Tabella8[[#This Row],[Italy fit]]</f>
        <v>#VALUE!</v>
      </c>
      <c r="H251" s="96" t="e">
        <f>Tabella3[[#This Row],[Italy cumul. Fit]]/Kf</f>
        <v>#VALUE!</v>
      </c>
      <c r="I251" s="96">
        <f>Tabella3[[#This Row],[Lombardy fit]]+Tabella3[[#This Row],[rest of Italy fit]]</f>
        <v>0.93045793892517303</v>
      </c>
      <c r="J251" s="96">
        <f>Tabella3[[#This Row],[Italy (fitted Lombardy + fitted sum of the other regions)]]/(y_l_peak+y_a_peak)</f>
        <v>1.8112501032631226E-4</v>
      </c>
      <c r="K251" s="91">
        <f>IFERROR(Kf*_xlfn.LOGNORM.DIST((Tabella3[[#This Row],[Day]]-D_bk),mu_f,sigma_f,FALSE),0)</f>
        <v>0.60842249757342626</v>
      </c>
      <c r="L251" s="91">
        <f>Tabella3[[#This Row],[Italy fit]]/y_f_peak</f>
        <v>1.202033237416391E-4</v>
      </c>
      <c r="M251" s="10">
        <f>Tabella3[[#This Row],[Italy (fitted Lombardy + fitted sum of the other regions)]]*NOT(ISBLANK(Tabella3[[#This Row],[Italy data]]))</f>
        <v>0</v>
      </c>
      <c r="N251" s="10">
        <f>Tabella3[[#This Row],[Italy fit]]*NOT(ISBLANK(Tabella3[[#This Row],[Italy data]]))</f>
        <v>0</v>
      </c>
      <c r="O251" s="151"/>
      <c r="P251" s="151"/>
      <c r="Q251" s="151"/>
      <c r="R251" s="10"/>
      <c r="S251" s="10">
        <f>Tabella3[[#This Row],[Lombardy data]]*NOT(ISBLANK(Tabella3[[#This Row],[Lombardy data]]))</f>
        <v>0</v>
      </c>
      <c r="T251" s="96" t="e">
        <f>Tabella8[[#This Row],[Lombardy fit]]</f>
        <v>#VALUE!</v>
      </c>
      <c r="U251" s="91" t="e">
        <f>Tabella3[[#This Row],[Lombardy cumul. Fit]]/Kl</f>
        <v>#VALUE!</v>
      </c>
      <c r="V251" s="91">
        <f>IFERROR(Kl*_xlfn.LOGNORM.DIST((Tabella3[[#This Row],[Day]]-pl),mu_l,sigma_l,FALSE),0)</f>
        <v>0.61725247458845545</v>
      </c>
      <c r="W251" s="91">
        <f>Tabella3[[#This Row],[Lombardy fit]]/y_l_peak</f>
        <v>3.5111971577270369E-4</v>
      </c>
      <c r="X251" s="10">
        <f>Tabella3[[#This Row],[Lombardy fit]]*NOT(ISBLANK(Tabella3[[#This Row],[Lombardy data]]))</f>
        <v>0</v>
      </c>
      <c r="Y251" s="151"/>
      <c r="Z251" s="151"/>
      <c r="AA251" s="151"/>
      <c r="AB251" s="10"/>
      <c r="AC251" s="10">
        <f>Tabella3[[#This Row],[rest of Italy data]]*NOT(ISBLANK(Tabella3[[#This Row],[rest of Italy data]]))</f>
        <v>0</v>
      </c>
      <c r="AD251" s="96" t="e">
        <f>Tabella8[[#This Row],[rest of Italy fit]]</f>
        <v>#VALUE!</v>
      </c>
      <c r="AE251" s="91" t="e">
        <f>Tabella3[[#This Row],[rest of Italy cumul. Fit]]/Ka</f>
        <v>#VALUE!</v>
      </c>
      <c r="AF251" s="91">
        <f>IFERROR(Ka*_xlfn.LOGNORM.DIST((Tabella3[[#This Row],[Day]]-pa),mu_a,sigma_a,FALSE),0)</f>
        <v>0.31320546433671753</v>
      </c>
      <c r="AG251" s="91">
        <f>Tabella3[[#This Row],[rest of Italy fit]]/y_a_peak</f>
        <v>9.2687672062408629E-5</v>
      </c>
      <c r="AH251" s="10">
        <f>Tabella3[[#This Row],[rest of Italy fit]]*NOT(ISBLANK(Tabella3[[#This Row],[rest of Italy data]]))</f>
        <v>0</v>
      </c>
      <c r="AI251" s="151"/>
      <c r="AJ251" s="151"/>
    </row>
    <row r="252" spans="2:36" x14ac:dyDescent="0.3">
      <c r="B252" s="9">
        <v>44075</v>
      </c>
      <c r="C252" s="4">
        <v>245</v>
      </c>
      <c r="D252" s="151"/>
      <c r="E252" s="10"/>
      <c r="F252" s="10">
        <f>Tabella3[[#This Row],[Italy data]]*NOT(ISBLANK(Tabella3[[#This Row],[Italy data]]))</f>
        <v>0</v>
      </c>
      <c r="G252" s="96" t="e">
        <f>Tabella8[[#This Row],[Italy fit]]</f>
        <v>#VALUE!</v>
      </c>
      <c r="H252" s="96" t="e">
        <f>Tabella3[[#This Row],[Italy cumul. Fit]]/Kf</f>
        <v>#VALUE!</v>
      </c>
      <c r="I252" s="96">
        <f>Tabella3[[#This Row],[Lombardy fit]]+Tabella3[[#This Row],[rest of Italy fit]]</f>
        <v>0.87771490386616469</v>
      </c>
      <c r="J252" s="96">
        <f>Tabella3[[#This Row],[Italy (fitted Lombardy + fitted sum of the other regions)]]/(y_l_peak+y_a_peak)</f>
        <v>1.7085793390076286E-4</v>
      </c>
      <c r="K252" s="91">
        <f>IFERROR(Kf*_xlfn.LOGNORM.DIST((Tabella3[[#This Row],[Day]]-D_bk),mu_f,sigma_f,FALSE),0)</f>
        <v>0.57039520463072435</v>
      </c>
      <c r="L252" s="91">
        <f>Tabella3[[#This Row],[Italy fit]]/y_f_peak</f>
        <v>1.1269044079789473E-4</v>
      </c>
      <c r="M252" s="10">
        <f>Tabella3[[#This Row],[Italy (fitted Lombardy + fitted sum of the other regions)]]*NOT(ISBLANK(Tabella3[[#This Row],[Italy data]]))</f>
        <v>0</v>
      </c>
      <c r="N252" s="10">
        <f>Tabella3[[#This Row],[Italy fit]]*NOT(ISBLANK(Tabella3[[#This Row],[Italy data]]))</f>
        <v>0</v>
      </c>
      <c r="O252" s="151"/>
      <c r="P252" s="151"/>
      <c r="Q252" s="151"/>
      <c r="R252" s="10"/>
      <c r="S252" s="10">
        <f>Tabella3[[#This Row],[Lombardy data]]*NOT(ISBLANK(Tabella3[[#This Row],[Lombardy data]]))</f>
        <v>0</v>
      </c>
      <c r="T252" s="96" t="e">
        <f>Tabella8[[#This Row],[Lombardy fit]]</f>
        <v>#VALUE!</v>
      </c>
      <c r="U252" s="91" t="e">
        <f>Tabella3[[#This Row],[Lombardy cumul. Fit]]/Kl</f>
        <v>#VALUE!</v>
      </c>
      <c r="V252" s="91">
        <f>IFERROR(Kl*_xlfn.LOGNORM.DIST((Tabella3[[#This Row],[Day]]-pl),mu_l,sigma_l,FALSE),0)</f>
        <v>0.58420286738576432</v>
      </c>
      <c r="W252" s="91">
        <f>Tabella3[[#This Row],[Lombardy fit]]/y_l_peak</f>
        <v>3.3231967986333704E-4</v>
      </c>
      <c r="X252" s="10">
        <f>Tabella3[[#This Row],[Lombardy fit]]*NOT(ISBLANK(Tabella3[[#This Row],[Lombardy data]]))</f>
        <v>0</v>
      </c>
      <c r="Y252" s="151"/>
      <c r="Z252" s="151"/>
      <c r="AA252" s="151"/>
      <c r="AB252" s="10"/>
      <c r="AC252" s="10">
        <f>Tabella3[[#This Row],[rest of Italy data]]*NOT(ISBLANK(Tabella3[[#This Row],[rest of Italy data]]))</f>
        <v>0</v>
      </c>
      <c r="AD252" s="96" t="e">
        <f>Tabella8[[#This Row],[rest of Italy fit]]</f>
        <v>#VALUE!</v>
      </c>
      <c r="AE252" s="91" t="e">
        <f>Tabella3[[#This Row],[rest of Italy cumul. Fit]]/Ka</f>
        <v>#VALUE!</v>
      </c>
      <c r="AF252" s="91">
        <f>IFERROR(Ka*_xlfn.LOGNORM.DIST((Tabella3[[#This Row],[Day]]-pa),mu_a,sigma_a,FALSE),0)</f>
        <v>0.29351203648040042</v>
      </c>
      <c r="AG252" s="91">
        <f>Tabella3[[#This Row],[rest of Italy fit]]/y_a_peak</f>
        <v>8.6859746975607917E-5</v>
      </c>
      <c r="AH252" s="10">
        <f>Tabella3[[#This Row],[rest of Italy fit]]*NOT(ISBLANK(Tabella3[[#This Row],[rest of Italy data]]))</f>
        <v>0</v>
      </c>
      <c r="AI252" s="151"/>
      <c r="AJ252" s="151"/>
    </row>
    <row r="253" spans="2:36" x14ac:dyDescent="0.3">
      <c r="B253" s="9">
        <v>44076</v>
      </c>
      <c r="C253" s="4">
        <v>246</v>
      </c>
      <c r="D253" s="151"/>
      <c r="E253" s="10"/>
      <c r="F253" s="10">
        <f>Tabella3[[#This Row],[Italy data]]*NOT(ISBLANK(Tabella3[[#This Row],[Italy data]]))</f>
        <v>0</v>
      </c>
      <c r="G253" s="96" t="e">
        <f>Tabella8[[#This Row],[Italy fit]]</f>
        <v>#VALUE!</v>
      </c>
      <c r="H253" s="96" t="e">
        <f>Tabella3[[#This Row],[Italy cumul. Fit]]/Kf</f>
        <v>#VALUE!</v>
      </c>
      <c r="I253" s="96">
        <f>Tabella3[[#This Row],[Lombardy fit]]+Tabella3[[#This Row],[rest of Italy fit]]</f>
        <v>0.82804173370777234</v>
      </c>
      <c r="J253" s="96">
        <f>Tabella3[[#This Row],[Italy (fitted Lombardy + fitted sum of the other regions)]]/(y_l_peak+y_a_peak)</f>
        <v>1.6118844419951692E-4</v>
      </c>
      <c r="K253" s="91">
        <f>IFERROR(Kf*_xlfn.LOGNORM.DIST((Tabella3[[#This Row],[Day]]-D_bk),mu_f,sigma_f,FALSE),0)</f>
        <v>0.53478385856407396</v>
      </c>
      <c r="L253" s="91">
        <f>Tabella3[[#This Row],[Italy fit]]/y_f_peak</f>
        <v>1.0565486572104029E-4</v>
      </c>
      <c r="M253" s="10">
        <f>Tabella3[[#This Row],[Italy (fitted Lombardy + fitted sum of the other regions)]]*NOT(ISBLANK(Tabella3[[#This Row],[Italy data]]))</f>
        <v>0</v>
      </c>
      <c r="N253" s="10">
        <f>Tabella3[[#This Row],[Italy fit]]*NOT(ISBLANK(Tabella3[[#This Row],[Italy data]]))</f>
        <v>0</v>
      </c>
      <c r="O253" s="151"/>
      <c r="P253" s="151"/>
      <c r="Q253" s="151"/>
      <c r="R253" s="10"/>
      <c r="S253" s="10">
        <f>Tabella3[[#This Row],[Lombardy data]]*NOT(ISBLANK(Tabella3[[#This Row],[Lombardy data]]))</f>
        <v>0</v>
      </c>
      <c r="T253" s="96" t="e">
        <f>Tabella8[[#This Row],[Lombardy fit]]</f>
        <v>#VALUE!</v>
      </c>
      <c r="U253" s="91" t="e">
        <f>Tabella3[[#This Row],[Lombardy cumul. Fit]]/Kl</f>
        <v>#VALUE!</v>
      </c>
      <c r="V253" s="91">
        <f>IFERROR(Kl*_xlfn.LOGNORM.DIST((Tabella3[[#This Row],[Day]]-pl),mu_l,sigma_l,FALSE),0)</f>
        <v>0.55296068435463097</v>
      </c>
      <c r="W253" s="91">
        <f>Tabella3[[#This Row],[Lombardy fit]]/y_l_peak</f>
        <v>3.1454778444351832E-4</v>
      </c>
      <c r="X253" s="10">
        <f>Tabella3[[#This Row],[Lombardy fit]]*NOT(ISBLANK(Tabella3[[#This Row],[Lombardy data]]))</f>
        <v>0</v>
      </c>
      <c r="Y253" s="151"/>
      <c r="Z253" s="151"/>
      <c r="AA253" s="151"/>
      <c r="AB253" s="10"/>
      <c r="AC253" s="10">
        <f>Tabella3[[#This Row],[rest of Italy data]]*NOT(ISBLANK(Tabella3[[#This Row],[rest of Italy data]]))</f>
        <v>0</v>
      </c>
      <c r="AD253" s="96" t="e">
        <f>Tabella8[[#This Row],[rest of Italy fit]]</f>
        <v>#VALUE!</v>
      </c>
      <c r="AE253" s="91" t="e">
        <f>Tabella3[[#This Row],[rest of Italy cumul. Fit]]/Ka</f>
        <v>#VALUE!</v>
      </c>
      <c r="AF253" s="91">
        <f>IFERROR(Ka*_xlfn.LOGNORM.DIST((Tabella3[[#This Row],[Day]]-pa),mu_a,sigma_a,FALSE),0)</f>
        <v>0.27508104935314132</v>
      </c>
      <c r="AG253" s="91">
        <f>Tabella3[[#This Row],[rest of Italy fit]]/y_a_peak</f>
        <v>8.1405419113686259E-5</v>
      </c>
      <c r="AH253" s="10">
        <f>Tabella3[[#This Row],[rest of Italy fit]]*NOT(ISBLANK(Tabella3[[#This Row],[rest of Italy data]]))</f>
        <v>0</v>
      </c>
      <c r="AI253" s="151"/>
      <c r="AJ253" s="151"/>
    </row>
    <row r="254" spans="2:36" x14ac:dyDescent="0.3">
      <c r="B254" s="9">
        <v>44077</v>
      </c>
      <c r="C254" s="4">
        <v>247</v>
      </c>
      <c r="D254" s="151"/>
      <c r="E254" s="10"/>
      <c r="F254" s="10">
        <f>Tabella3[[#This Row],[Italy data]]*NOT(ISBLANK(Tabella3[[#This Row],[Italy data]]))</f>
        <v>0</v>
      </c>
      <c r="G254" s="96" t="e">
        <f>Tabella8[[#This Row],[Italy fit]]</f>
        <v>#VALUE!</v>
      </c>
      <c r="H254" s="96" t="e">
        <f>Tabella3[[#This Row],[Italy cumul. Fit]]/Kf</f>
        <v>#VALUE!</v>
      </c>
      <c r="I254" s="96">
        <f>Tabella3[[#This Row],[Lombardy fit]]+Tabella3[[#This Row],[rest of Italy fit]]</f>
        <v>0.78125537889062191</v>
      </c>
      <c r="J254" s="96">
        <f>Tabella3[[#This Row],[Italy (fitted Lombardy + fitted sum of the other regions)]]/(y_l_peak+y_a_peak)</f>
        <v>1.5208090838852057E-4</v>
      </c>
      <c r="K254" s="91">
        <f>IFERROR(Kf*_xlfn.LOGNORM.DIST((Tabella3[[#This Row],[Day]]-D_bk),mu_f,sigma_f,FALSE),0)</f>
        <v>0.50143275835880718</v>
      </c>
      <c r="L254" s="91">
        <f>Tabella3[[#This Row],[Italy fit]]/y_f_peak</f>
        <v>9.9065837354892931E-5</v>
      </c>
      <c r="M254" s="10">
        <f>Tabella3[[#This Row],[Italy (fitted Lombardy + fitted sum of the other regions)]]*NOT(ISBLANK(Tabella3[[#This Row],[Italy data]]))</f>
        <v>0</v>
      </c>
      <c r="N254" s="10">
        <f>Tabella3[[#This Row],[Italy fit]]*NOT(ISBLANK(Tabella3[[#This Row],[Italy data]]))</f>
        <v>0</v>
      </c>
      <c r="O254" s="151"/>
      <c r="P254" s="151"/>
      <c r="Q254" s="151"/>
      <c r="R254" s="10"/>
      <c r="S254" s="10">
        <f>Tabella3[[#This Row],[Lombardy data]]*NOT(ISBLANK(Tabella3[[#This Row],[Lombardy data]]))</f>
        <v>0</v>
      </c>
      <c r="T254" s="96" t="e">
        <f>Tabella8[[#This Row],[Lombardy fit]]</f>
        <v>#VALUE!</v>
      </c>
      <c r="U254" s="91" t="e">
        <f>Tabella3[[#This Row],[Lombardy cumul. Fit]]/Kl</f>
        <v>#VALUE!</v>
      </c>
      <c r="V254" s="91">
        <f>IFERROR(Kl*_xlfn.LOGNORM.DIST((Tabella3[[#This Row],[Day]]-pl),mu_l,sigma_l,FALSE),0)</f>
        <v>0.5234252291001773</v>
      </c>
      <c r="W254" s="91">
        <f>Tabella3[[#This Row],[Lombardy fit]]/y_l_peak</f>
        <v>2.9774674907938217E-4</v>
      </c>
      <c r="X254" s="10">
        <f>Tabella3[[#This Row],[Lombardy fit]]*NOT(ISBLANK(Tabella3[[#This Row],[Lombardy data]]))</f>
        <v>0</v>
      </c>
      <c r="Y254" s="151"/>
      <c r="Z254" s="151"/>
      <c r="AA254" s="151"/>
      <c r="AB254" s="10"/>
      <c r="AC254" s="10">
        <f>Tabella3[[#This Row],[rest of Italy data]]*NOT(ISBLANK(Tabella3[[#This Row],[rest of Italy data]]))</f>
        <v>0</v>
      </c>
      <c r="AD254" s="96" t="e">
        <f>Tabella8[[#This Row],[rest of Italy fit]]</f>
        <v>#VALUE!</v>
      </c>
      <c r="AE254" s="91" t="e">
        <f>Tabella3[[#This Row],[rest of Italy cumul. Fit]]/Ka</f>
        <v>#VALUE!</v>
      </c>
      <c r="AF254" s="91">
        <f>IFERROR(Ka*_xlfn.LOGNORM.DIST((Tabella3[[#This Row],[Day]]-pa),mu_a,sigma_a,FALSE),0)</f>
        <v>0.25783014979044461</v>
      </c>
      <c r="AG254" s="91">
        <f>Tabella3[[#This Row],[rest of Italy fit]]/y_a_peak</f>
        <v>7.6300317499846589E-5</v>
      </c>
      <c r="AH254" s="10">
        <f>Tabella3[[#This Row],[rest of Italy fit]]*NOT(ISBLANK(Tabella3[[#This Row],[rest of Italy data]]))</f>
        <v>0</v>
      </c>
      <c r="AI254" s="151"/>
      <c r="AJ254" s="151"/>
    </row>
    <row r="255" spans="2:36" x14ac:dyDescent="0.3">
      <c r="B255" s="9">
        <v>44078</v>
      </c>
      <c r="C255" s="4">
        <v>248</v>
      </c>
      <c r="D255" s="151"/>
      <c r="E255" s="10"/>
      <c r="F255" s="10">
        <f>Tabella3[[#This Row],[Italy data]]*NOT(ISBLANK(Tabella3[[#This Row],[Italy data]]))</f>
        <v>0</v>
      </c>
      <c r="G255" s="96" t="e">
        <f>Tabella8[[#This Row],[Italy fit]]</f>
        <v>#VALUE!</v>
      </c>
      <c r="H255" s="96" t="e">
        <f>Tabella3[[#This Row],[Italy cumul. Fit]]/Kf</f>
        <v>#VALUE!</v>
      </c>
      <c r="I255" s="96">
        <f>Tabella3[[#This Row],[Lombardy fit]]+Tabella3[[#This Row],[rest of Italy fit]]</f>
        <v>0.73718394215009286</v>
      </c>
      <c r="J255" s="96">
        <f>Tabella3[[#This Row],[Italy (fitted Lombardy + fitted sum of the other regions)]]/(y_l_peak+y_a_peak)</f>
        <v>1.4350186456420246E-4</v>
      </c>
      <c r="K255" s="91">
        <f>IFERROR(Kf*_xlfn.LOGNORM.DIST((Tabella3[[#This Row],[Day]]-D_bk),mu_f,sigma_f,FALSE),0)</f>
        <v>0.47019635739778404</v>
      </c>
      <c r="L255" s="91">
        <f>Tabella3[[#This Row],[Italy fit]]/y_f_peak</f>
        <v>9.2894600702375193E-5</v>
      </c>
      <c r="M255" s="10">
        <f>Tabella3[[#This Row],[Italy (fitted Lombardy + fitted sum of the other regions)]]*NOT(ISBLANK(Tabella3[[#This Row],[Italy data]]))</f>
        <v>0</v>
      </c>
      <c r="N255" s="10">
        <f>Tabella3[[#This Row],[Italy fit]]*NOT(ISBLANK(Tabella3[[#This Row],[Italy data]]))</f>
        <v>0</v>
      </c>
      <c r="O255" s="151"/>
      <c r="P255" s="151"/>
      <c r="Q255" s="151"/>
      <c r="R255" s="10"/>
      <c r="S255" s="10">
        <f>Tabella3[[#This Row],[Lombardy data]]*NOT(ISBLANK(Tabella3[[#This Row],[Lombardy data]]))</f>
        <v>0</v>
      </c>
      <c r="T255" s="96" t="e">
        <f>Tabella8[[#This Row],[Lombardy fit]]</f>
        <v>#VALUE!</v>
      </c>
      <c r="U255" s="91" t="e">
        <f>Tabella3[[#This Row],[Lombardy cumul. Fit]]/Kl</f>
        <v>#VALUE!</v>
      </c>
      <c r="V255" s="91">
        <f>IFERROR(Kl*_xlfn.LOGNORM.DIST((Tabella3[[#This Row],[Day]]-pl),mu_l,sigma_l,FALSE),0)</f>
        <v>0.4955015026442452</v>
      </c>
      <c r="W255" s="91">
        <f>Tabella3[[#This Row],[Lombardy fit]]/y_l_peak</f>
        <v>2.8186253427237202E-4</v>
      </c>
      <c r="X255" s="10">
        <f>Tabella3[[#This Row],[Lombardy fit]]*NOT(ISBLANK(Tabella3[[#This Row],[Lombardy data]]))</f>
        <v>0</v>
      </c>
      <c r="Y255" s="151"/>
      <c r="Z255" s="151"/>
      <c r="AA255" s="151"/>
      <c r="AB255" s="10"/>
      <c r="AC255" s="10">
        <f>Tabella3[[#This Row],[rest of Italy data]]*NOT(ISBLANK(Tabella3[[#This Row],[rest of Italy data]]))</f>
        <v>0</v>
      </c>
      <c r="AD255" s="96" t="e">
        <f>Tabella8[[#This Row],[rest of Italy fit]]</f>
        <v>#VALUE!</v>
      </c>
      <c r="AE255" s="91" t="e">
        <f>Tabella3[[#This Row],[rest of Italy cumul. Fit]]/Ka</f>
        <v>#VALUE!</v>
      </c>
      <c r="AF255" s="91">
        <f>IFERROR(Ka*_xlfn.LOGNORM.DIST((Tabella3[[#This Row],[Day]]-pa),mu_a,sigma_a,FALSE),0)</f>
        <v>0.24168243950584764</v>
      </c>
      <c r="AG255" s="91">
        <f>Tabella3[[#This Row],[rest of Italy fit]]/y_a_peak</f>
        <v>7.1521685432915418E-5</v>
      </c>
      <c r="AH255" s="10">
        <f>Tabella3[[#This Row],[rest of Italy fit]]*NOT(ISBLANK(Tabella3[[#This Row],[rest of Italy data]]))</f>
        <v>0</v>
      </c>
      <c r="AI255" s="151"/>
      <c r="AJ255" s="151"/>
    </row>
    <row r="256" spans="2:36" x14ac:dyDescent="0.3">
      <c r="B256" s="9">
        <v>44079</v>
      </c>
      <c r="C256" s="4">
        <v>249</v>
      </c>
      <c r="D256" s="151"/>
      <c r="E256" s="10"/>
      <c r="F256" s="10">
        <f>Tabella3[[#This Row],[Italy data]]*NOT(ISBLANK(Tabella3[[#This Row],[Italy data]]))</f>
        <v>0</v>
      </c>
      <c r="G256" s="96" t="e">
        <f>Tabella8[[#This Row],[Italy fit]]</f>
        <v>#VALUE!</v>
      </c>
      <c r="H256" s="96" t="e">
        <f>Tabella3[[#This Row],[Italy cumul. Fit]]/Kf</f>
        <v>#VALUE!</v>
      </c>
      <c r="I256" s="96">
        <f>Tabella3[[#This Row],[Lombardy fit]]+Tabella3[[#This Row],[rest of Italy fit]]</f>
        <v>0.69566598646400668</v>
      </c>
      <c r="J256" s="96">
        <f>Tabella3[[#This Row],[Italy (fitted Lombardy + fitted sum of the other regions)]]/(y_l_peak+y_a_peak)</f>
        <v>1.3541988703703292E-4</v>
      </c>
      <c r="K256" s="91">
        <f>IFERROR(Kf*_xlfn.LOGNORM.DIST((Tabella3[[#This Row],[Day]]-D_bk),mu_f,sigma_f,FALSE),0)</f>
        <v>0.4409385952907578</v>
      </c>
      <c r="L256" s="91">
        <f>Tabella3[[#This Row],[Italy fit]]/y_f_peak</f>
        <v>8.7114274918017909E-5</v>
      </c>
      <c r="M256" s="10">
        <f>Tabella3[[#This Row],[Italy (fitted Lombardy + fitted sum of the other regions)]]*NOT(ISBLANK(Tabella3[[#This Row],[Italy data]]))</f>
        <v>0</v>
      </c>
      <c r="N256" s="10">
        <f>Tabella3[[#This Row],[Italy fit]]*NOT(ISBLANK(Tabella3[[#This Row],[Italy data]]))</f>
        <v>0</v>
      </c>
      <c r="O256" s="151"/>
      <c r="P256" s="151"/>
      <c r="Q256" s="151"/>
      <c r="R256" s="10"/>
      <c r="S256" s="10">
        <f>Tabella3[[#This Row],[Lombardy data]]*NOT(ISBLANK(Tabella3[[#This Row],[Lombardy data]]))</f>
        <v>0</v>
      </c>
      <c r="T256" s="96" t="e">
        <f>Tabella8[[#This Row],[Lombardy fit]]</f>
        <v>#VALUE!</v>
      </c>
      <c r="U256" s="91" t="e">
        <f>Tabella3[[#This Row],[Lombardy cumul. Fit]]/Kl</f>
        <v>#VALUE!</v>
      </c>
      <c r="V256" s="91">
        <f>IFERROR(Kl*_xlfn.LOGNORM.DIST((Tabella3[[#This Row],[Day]]-pl),mu_l,sigma_l,FALSE),0)</f>
        <v>0.46909987730729369</v>
      </c>
      <c r="W256" s="91">
        <f>Tabella3[[#This Row],[Lombardy fit]]/y_l_peak</f>
        <v>2.6684415594925787E-4</v>
      </c>
      <c r="X256" s="10">
        <f>Tabella3[[#This Row],[Lombardy fit]]*NOT(ISBLANK(Tabella3[[#This Row],[Lombardy data]]))</f>
        <v>0</v>
      </c>
      <c r="Y256" s="151"/>
      <c r="Z256" s="151"/>
      <c r="AA256" s="151"/>
      <c r="AB256" s="10"/>
      <c r="AC256" s="10">
        <f>Tabella3[[#This Row],[rest of Italy data]]*NOT(ISBLANK(Tabella3[[#This Row],[rest of Italy data]]))</f>
        <v>0</v>
      </c>
      <c r="AD256" s="96" t="e">
        <f>Tabella8[[#This Row],[rest of Italy fit]]</f>
        <v>#VALUE!</v>
      </c>
      <c r="AE256" s="91" t="e">
        <f>Tabella3[[#This Row],[rest of Italy cumul. Fit]]/Ka</f>
        <v>#VALUE!</v>
      </c>
      <c r="AF256" s="91">
        <f>IFERROR(Ka*_xlfn.LOGNORM.DIST((Tabella3[[#This Row],[Day]]-pa),mu_a,sigma_a,FALSE),0)</f>
        <v>0.22656610915671305</v>
      </c>
      <c r="AG256" s="91">
        <f>Tabella3[[#This Row],[rest of Italy fit]]/y_a_peak</f>
        <v>6.7048272195522645E-5</v>
      </c>
      <c r="AH256" s="10">
        <f>Tabella3[[#This Row],[rest of Italy fit]]*NOT(ISBLANK(Tabella3[[#This Row],[rest of Italy data]]))</f>
        <v>0</v>
      </c>
      <c r="AI256" s="151"/>
      <c r="AJ256" s="151"/>
    </row>
    <row r="257" spans="2:36" x14ac:dyDescent="0.3">
      <c r="B257" s="9">
        <v>44080</v>
      </c>
      <c r="C257" s="4">
        <v>250</v>
      </c>
      <c r="D257" s="151"/>
      <c r="E257" s="10"/>
      <c r="F257" s="10">
        <f>Tabella3[[#This Row],[Italy data]]*NOT(ISBLANK(Tabella3[[#This Row],[Italy data]]))</f>
        <v>0</v>
      </c>
      <c r="G257" s="96" t="e">
        <f>Tabella8[[#This Row],[Italy fit]]</f>
        <v>#VALUE!</v>
      </c>
      <c r="H257" s="96" t="e">
        <f>Tabella3[[#This Row],[Italy cumul. Fit]]/Kf</f>
        <v>#VALUE!</v>
      </c>
      <c r="I257" s="96">
        <f>Tabella3[[#This Row],[Lombardy fit]]+Tabella3[[#This Row],[rest of Italy fit]]</f>
        <v>0.65654988657283408</v>
      </c>
      <c r="J257" s="96">
        <f>Tabella3[[#This Row],[Italy (fitted Lombardy + fitted sum of the other regions)]]/(y_l_peak+y_a_peak)</f>
        <v>1.2780546009700608E-4</v>
      </c>
      <c r="K257" s="91">
        <f>IFERROR(Kf*_xlfn.LOGNORM.DIST((Tabella3[[#This Row],[Day]]-D_bk),mu_f,sigma_f,FALSE),0)</f>
        <v>0.41353227389681613</v>
      </c>
      <c r="L257" s="91">
        <f>Tabella3[[#This Row],[Italy fit]]/y_f_peak</f>
        <v>8.1699730031492226E-5</v>
      </c>
      <c r="M257" s="10">
        <f>Tabella3[[#This Row],[Italy (fitted Lombardy + fitted sum of the other regions)]]*NOT(ISBLANK(Tabella3[[#This Row],[Italy data]]))</f>
        <v>0</v>
      </c>
      <c r="N257" s="10">
        <f>Tabella3[[#This Row],[Italy fit]]*NOT(ISBLANK(Tabella3[[#This Row],[Italy data]]))</f>
        <v>0</v>
      </c>
      <c r="O257" s="151"/>
      <c r="P257" s="151"/>
      <c r="Q257" s="151"/>
      <c r="R257" s="10"/>
      <c r="S257" s="10">
        <f>Tabella3[[#This Row],[Lombardy data]]*NOT(ISBLANK(Tabella3[[#This Row],[Lombardy data]]))</f>
        <v>0</v>
      </c>
      <c r="T257" s="96" t="e">
        <f>Tabella8[[#This Row],[Lombardy fit]]</f>
        <v>#VALUE!</v>
      </c>
      <c r="U257" s="91" t="e">
        <f>Tabella3[[#This Row],[Lombardy cumul. Fit]]/Kl</f>
        <v>#VALUE!</v>
      </c>
      <c r="V257" s="91">
        <f>IFERROR(Kl*_xlfn.LOGNORM.DIST((Tabella3[[#This Row],[Day]]-pl),mu_l,sigma_l,FALSE),0)</f>
        <v>0.44413578937989073</v>
      </c>
      <c r="W257" s="91">
        <f>Tabella3[[#This Row],[Lombardy fit]]/y_l_peak</f>
        <v>2.5264351064048258E-4</v>
      </c>
      <c r="X257" s="10">
        <f>Tabella3[[#This Row],[Lombardy fit]]*NOT(ISBLANK(Tabella3[[#This Row],[Lombardy data]]))</f>
        <v>0</v>
      </c>
      <c r="Y257" s="151"/>
      <c r="Z257" s="151"/>
      <c r="AA257" s="151"/>
      <c r="AB257" s="10"/>
      <c r="AC257" s="10">
        <f>Tabella3[[#This Row],[rest of Italy data]]*NOT(ISBLANK(Tabella3[[#This Row],[rest of Italy data]]))</f>
        <v>0</v>
      </c>
      <c r="AD257" s="96" t="e">
        <f>Tabella8[[#This Row],[rest of Italy fit]]</f>
        <v>#VALUE!</v>
      </c>
      <c r="AE257" s="91" t="e">
        <f>Tabella3[[#This Row],[rest of Italy cumul. Fit]]/Ka</f>
        <v>#VALUE!</v>
      </c>
      <c r="AF257" s="91">
        <f>IFERROR(Ka*_xlfn.LOGNORM.DIST((Tabella3[[#This Row],[Day]]-pa),mu_a,sigma_a,FALSE),0)</f>
        <v>0.21241409719294341</v>
      </c>
      <c r="AG257" s="91">
        <f>Tabella3[[#This Row],[rest of Italy fit]]/y_a_peak</f>
        <v>6.2860232096353182E-5</v>
      </c>
      <c r="AH257" s="10">
        <f>Tabella3[[#This Row],[rest of Italy fit]]*NOT(ISBLANK(Tabella3[[#This Row],[rest of Italy data]]))</f>
        <v>0</v>
      </c>
      <c r="AI257" s="151"/>
      <c r="AJ257" s="151"/>
    </row>
    <row r="258" spans="2:36" x14ac:dyDescent="0.3">
      <c r="B258" s="9">
        <v>44081</v>
      </c>
      <c r="C258" s="4">
        <v>251</v>
      </c>
      <c r="D258" s="151"/>
      <c r="E258" s="10"/>
      <c r="F258" s="10">
        <f>Tabella3[[#This Row],[Italy data]]*NOT(ISBLANK(Tabella3[[#This Row],[Italy data]]))</f>
        <v>0</v>
      </c>
      <c r="G258" s="96" t="e">
        <f>Tabella8[[#This Row],[Italy fit]]</f>
        <v>#VALUE!</v>
      </c>
      <c r="H258" s="96" t="e">
        <f>Tabella3[[#This Row],[Italy cumul. Fit]]/Kf</f>
        <v>#VALUE!</v>
      </c>
      <c r="I258" s="96">
        <f>Tabella3[[#This Row],[Lombardy fit]]+Tabella3[[#This Row],[rest of Italy fit]]</f>
        <v>0.61969322130277338</v>
      </c>
      <c r="J258" s="96">
        <f>Tabella3[[#This Row],[Italy (fitted Lombardy + fitted sum of the other regions)]]/(y_l_peak+y_a_peak)</f>
        <v>1.2063085972189978E-4</v>
      </c>
      <c r="K258" s="91">
        <f>IFERROR(Kf*_xlfn.LOGNORM.DIST((Tabella3[[#This Row],[Day]]-D_bk),mu_f,sigma_f,FALSE),0)</f>
        <v>0.38785847461655842</v>
      </c>
      <c r="L258" s="91">
        <f>Tabella3[[#This Row],[Italy fit]]/y_f_peak</f>
        <v>7.6627471824619722E-5</v>
      </c>
      <c r="M258" s="10">
        <f>Tabella3[[#This Row],[Italy (fitted Lombardy + fitted sum of the other regions)]]*NOT(ISBLANK(Tabella3[[#This Row],[Italy data]]))</f>
        <v>0</v>
      </c>
      <c r="N258" s="10">
        <f>Tabella3[[#This Row],[Italy fit]]*NOT(ISBLANK(Tabella3[[#This Row],[Italy data]]))</f>
        <v>0</v>
      </c>
      <c r="O258" s="151"/>
      <c r="P258" s="151"/>
      <c r="Q258" s="151"/>
      <c r="R258" s="10"/>
      <c r="S258" s="10">
        <f>Tabella3[[#This Row],[Lombardy data]]*NOT(ISBLANK(Tabella3[[#This Row],[Lombardy data]]))</f>
        <v>0</v>
      </c>
      <c r="T258" s="96" t="e">
        <f>Tabella8[[#This Row],[Lombardy fit]]</f>
        <v>#VALUE!</v>
      </c>
      <c r="U258" s="91" t="e">
        <f>Tabella3[[#This Row],[Lombardy cumul. Fit]]/Kl</f>
        <v>#VALUE!</v>
      </c>
      <c r="V258" s="91">
        <f>IFERROR(Kl*_xlfn.LOGNORM.DIST((Tabella3[[#This Row],[Day]]-pl),mu_l,sigma_l,FALSE),0)</f>
        <v>0.42052944950167509</v>
      </c>
      <c r="W258" s="91">
        <f>Tabella3[[#This Row],[Lombardy fit]]/y_l_peak</f>
        <v>2.3921521073127724E-4</v>
      </c>
      <c r="X258" s="10">
        <f>Tabella3[[#This Row],[Lombardy fit]]*NOT(ISBLANK(Tabella3[[#This Row],[Lombardy data]]))</f>
        <v>0</v>
      </c>
      <c r="Y258" s="151"/>
      <c r="Z258" s="151"/>
      <c r="AA258" s="151"/>
      <c r="AB258" s="10"/>
      <c r="AC258" s="10">
        <f>Tabella3[[#This Row],[rest of Italy data]]*NOT(ISBLANK(Tabella3[[#This Row],[rest of Italy data]]))</f>
        <v>0</v>
      </c>
      <c r="AD258" s="96" t="e">
        <f>Tabella8[[#This Row],[rest of Italy fit]]</f>
        <v>#VALUE!</v>
      </c>
      <c r="AE258" s="91" t="e">
        <f>Tabella3[[#This Row],[rest of Italy cumul. Fit]]/Ka</f>
        <v>#VALUE!</v>
      </c>
      <c r="AF258" s="91">
        <f>IFERROR(Ka*_xlfn.LOGNORM.DIST((Tabella3[[#This Row],[Day]]-pa),mu_a,sigma_a,FALSE),0)</f>
        <v>0.19916377180109829</v>
      </c>
      <c r="AG258" s="91">
        <f>Tabella3[[#This Row],[rest of Italy fit]]/y_a_peak</f>
        <v>5.8939030347078433E-5</v>
      </c>
      <c r="AH258" s="10">
        <f>Tabella3[[#This Row],[rest of Italy fit]]*NOT(ISBLANK(Tabella3[[#This Row],[rest of Italy data]]))</f>
        <v>0</v>
      </c>
      <c r="AI258" s="151"/>
      <c r="AJ258" s="151"/>
    </row>
    <row r="259" spans="2:36" x14ac:dyDescent="0.3">
      <c r="B259" s="9">
        <v>44082</v>
      </c>
      <c r="C259" s="4">
        <v>252</v>
      </c>
      <c r="D259" s="151"/>
      <c r="E259" s="10"/>
      <c r="F259" s="10">
        <f>Tabella3[[#This Row],[Italy data]]*NOT(ISBLANK(Tabella3[[#This Row],[Italy data]]))</f>
        <v>0</v>
      </c>
      <c r="G259" s="96" t="e">
        <f>Tabella8[[#This Row],[Italy fit]]</f>
        <v>#VALUE!</v>
      </c>
      <c r="H259" s="96" t="e">
        <f>Tabella3[[#This Row],[Italy cumul. Fit]]/Kf</f>
        <v>#VALUE!</v>
      </c>
      <c r="I259" s="96">
        <f>Tabella3[[#This Row],[Lombardy fit]]+Tabella3[[#This Row],[rest of Italy fit]]</f>
        <v>0.58496220409853017</v>
      </c>
      <c r="J259" s="96">
        <f>Tabella3[[#This Row],[Italy (fitted Lombardy + fitted sum of the other regions)]]/(y_l_peak+y_a_peak)</f>
        <v>1.1387004272352091E-4</v>
      </c>
      <c r="K259" s="91">
        <f>IFERROR(Kf*_xlfn.LOGNORM.DIST((Tabella3[[#This Row],[Day]]-D_bk),mu_f,sigma_f,FALSE),0)</f>
        <v>0.36380601422276243</v>
      </c>
      <c r="L259" s="91">
        <f>Tabella3[[#This Row],[Italy fit]]/y_f_peak</f>
        <v>7.1875534322260196E-5</v>
      </c>
      <c r="M259" s="10">
        <f>Tabella3[[#This Row],[Italy (fitted Lombardy + fitted sum of the other regions)]]*NOT(ISBLANK(Tabella3[[#This Row],[Italy data]]))</f>
        <v>0</v>
      </c>
      <c r="N259" s="10">
        <f>Tabella3[[#This Row],[Italy fit]]*NOT(ISBLANK(Tabella3[[#This Row],[Italy data]]))</f>
        <v>0</v>
      </c>
      <c r="O259" s="151"/>
      <c r="P259" s="151"/>
      <c r="Q259" s="151"/>
      <c r="R259" s="10"/>
      <c r="S259" s="10">
        <f>Tabella3[[#This Row],[Lombardy data]]*NOT(ISBLANK(Tabella3[[#This Row],[Lombardy data]]))</f>
        <v>0</v>
      </c>
      <c r="T259" s="96" t="e">
        <f>Tabella8[[#This Row],[Lombardy fit]]</f>
        <v>#VALUE!</v>
      </c>
      <c r="U259" s="91" t="e">
        <f>Tabella3[[#This Row],[Lombardy cumul. Fit]]/Kl</f>
        <v>#VALUE!</v>
      </c>
      <c r="V259" s="91">
        <f>IFERROR(Kl*_xlfn.LOGNORM.DIST((Tabella3[[#This Row],[Day]]-pl),mu_l,sigma_l,FALSE),0)</f>
        <v>0.39820556972734578</v>
      </c>
      <c r="W259" s="91">
        <f>Tabella3[[#This Row],[Lombardy fit]]/y_l_peak</f>
        <v>2.2651642920507495E-4</v>
      </c>
      <c r="X259" s="10">
        <f>Tabella3[[#This Row],[Lombardy fit]]*NOT(ISBLANK(Tabella3[[#This Row],[Lombardy data]]))</f>
        <v>0</v>
      </c>
      <c r="Y259" s="151"/>
      <c r="Z259" s="151"/>
      <c r="AA259" s="151"/>
      <c r="AB259" s="10"/>
      <c r="AC259" s="10">
        <f>Tabella3[[#This Row],[rest of Italy data]]*NOT(ISBLANK(Tabella3[[#This Row],[rest of Italy data]]))</f>
        <v>0</v>
      </c>
      <c r="AD259" s="96" t="e">
        <f>Tabella8[[#This Row],[rest of Italy fit]]</f>
        <v>#VALUE!</v>
      </c>
      <c r="AE259" s="91" t="e">
        <f>Tabella3[[#This Row],[rest of Italy cumul. Fit]]/Ka</f>
        <v>#VALUE!</v>
      </c>
      <c r="AF259" s="91">
        <f>IFERROR(Ka*_xlfn.LOGNORM.DIST((Tabella3[[#This Row],[Day]]-pa),mu_a,sigma_a,FALSE),0)</f>
        <v>0.18675663437118439</v>
      </c>
      <c r="AG259" s="91">
        <f>Tabella3[[#This Row],[rest of Italy fit]]/y_a_peak</f>
        <v>5.526735530854597E-5</v>
      </c>
      <c r="AH259" s="10">
        <f>Tabella3[[#This Row],[rest of Italy fit]]*NOT(ISBLANK(Tabella3[[#This Row],[rest of Italy data]]))</f>
        <v>0</v>
      </c>
      <c r="AI259" s="151"/>
      <c r="AJ259" s="151"/>
    </row>
    <row r="260" spans="2:36" x14ac:dyDescent="0.3">
      <c r="B260" s="9">
        <v>44083</v>
      </c>
      <c r="C260" s="4">
        <v>253</v>
      </c>
      <c r="D260" s="151"/>
      <c r="E260" s="10"/>
      <c r="F260" s="10">
        <f>Tabella3[[#This Row],[Italy data]]*NOT(ISBLANK(Tabella3[[#This Row],[Italy data]]))</f>
        <v>0</v>
      </c>
      <c r="G260" s="96" t="e">
        <f>Tabella8[[#This Row],[Italy fit]]</f>
        <v>#VALUE!</v>
      </c>
      <c r="H260" s="96" t="e">
        <f>Tabella3[[#This Row],[Italy cumul. Fit]]/Kf</f>
        <v>#VALUE!</v>
      </c>
      <c r="I260" s="96">
        <f>Tabella3[[#This Row],[Lombardy fit]]+Tabella3[[#This Row],[rest of Italy fit]]</f>
        <v>0.55223114933800554</v>
      </c>
      <c r="J260" s="96">
        <f>Tabella3[[#This Row],[Italy (fitted Lombardy + fitted sum of the other regions)]]/(y_l_peak+y_a_peak)</f>
        <v>1.0749854285933641E-4</v>
      </c>
      <c r="K260" s="91">
        <f>IFERROR(Kf*_xlfn.LOGNORM.DIST((Tabella3[[#This Row],[Day]]-D_bk),mu_f,sigma_f,FALSE),0)</f>
        <v>0.34127093667792957</v>
      </c>
      <c r="L260" s="91">
        <f>Tabella3[[#This Row],[Italy fit]]/y_f_peak</f>
        <v>6.7423379392966866E-5</v>
      </c>
      <c r="M260" s="10">
        <f>Tabella3[[#This Row],[Italy (fitted Lombardy + fitted sum of the other regions)]]*NOT(ISBLANK(Tabella3[[#This Row],[Italy data]]))</f>
        <v>0</v>
      </c>
      <c r="N260" s="10">
        <f>Tabella3[[#This Row],[Italy fit]]*NOT(ISBLANK(Tabella3[[#This Row],[Italy data]]))</f>
        <v>0</v>
      </c>
      <c r="O260" s="151"/>
      <c r="P260" s="151"/>
      <c r="Q260" s="151"/>
      <c r="R260" s="10"/>
      <c r="S260" s="10">
        <f>Tabella3[[#This Row],[Lombardy data]]*NOT(ISBLANK(Tabella3[[#This Row],[Lombardy data]]))</f>
        <v>0</v>
      </c>
      <c r="T260" s="96" t="e">
        <f>Tabella8[[#This Row],[Lombardy fit]]</f>
        <v>#VALUE!</v>
      </c>
      <c r="U260" s="91" t="e">
        <f>Tabella3[[#This Row],[Lombardy cumul. Fit]]/Kl</f>
        <v>#VALUE!</v>
      </c>
      <c r="V260" s="91">
        <f>IFERROR(Kl*_xlfn.LOGNORM.DIST((Tabella3[[#This Row],[Day]]-pl),mu_l,sigma_l,FALSE),0)</f>
        <v>0.37709310631732912</v>
      </c>
      <c r="W260" s="91">
        <f>Tabella3[[#This Row],[Lombardy fit]]/y_l_peak</f>
        <v>2.1450675333179608E-4</v>
      </c>
      <c r="X260" s="10">
        <f>Tabella3[[#This Row],[Lombardy fit]]*NOT(ISBLANK(Tabella3[[#This Row],[Lombardy data]]))</f>
        <v>0</v>
      </c>
      <c r="Y260" s="151"/>
      <c r="Z260" s="151"/>
      <c r="AA260" s="151"/>
      <c r="AB260" s="10"/>
      <c r="AC260" s="10">
        <f>Tabella3[[#This Row],[rest of Italy data]]*NOT(ISBLANK(Tabella3[[#This Row],[rest of Italy data]]))</f>
        <v>0</v>
      </c>
      <c r="AD260" s="96" t="e">
        <f>Tabella8[[#This Row],[rest of Italy fit]]</f>
        <v>#VALUE!</v>
      </c>
      <c r="AE260" s="91" t="e">
        <f>Tabella3[[#This Row],[rest of Italy cumul. Fit]]/Ka</f>
        <v>#VALUE!</v>
      </c>
      <c r="AF260" s="91">
        <f>IFERROR(Ka*_xlfn.LOGNORM.DIST((Tabella3[[#This Row],[Day]]-pa),mu_a,sigma_a,FALSE),0)</f>
        <v>0.17513804302067645</v>
      </c>
      <c r="AG260" s="91">
        <f>Tabella3[[#This Row],[rest of Italy fit]]/y_a_peak</f>
        <v>5.1829036672555395E-5</v>
      </c>
      <c r="AH260" s="10">
        <f>Tabella3[[#This Row],[rest of Italy fit]]*NOT(ISBLANK(Tabella3[[#This Row],[rest of Italy data]]))</f>
        <v>0</v>
      </c>
      <c r="AI260" s="151"/>
      <c r="AJ260" s="151"/>
    </row>
    <row r="261" spans="2:36" x14ac:dyDescent="0.3">
      <c r="B261" s="9">
        <v>44084</v>
      </c>
      <c r="C261" s="4">
        <v>254</v>
      </c>
      <c r="D261" s="151"/>
      <c r="E261" s="10"/>
      <c r="F261" s="10">
        <f>Tabella3[[#This Row],[Italy data]]*NOT(ISBLANK(Tabella3[[#This Row],[Italy data]]))</f>
        <v>0</v>
      </c>
      <c r="G261" s="96" t="e">
        <f>Tabella8[[#This Row],[Italy fit]]</f>
        <v>#VALUE!</v>
      </c>
      <c r="H261" s="96" t="e">
        <f>Tabella3[[#This Row],[Italy cumul. Fit]]/Kf</f>
        <v>#VALUE!</v>
      </c>
      <c r="I261" s="96">
        <f>Tabella3[[#This Row],[Lombardy fit]]+Tabella3[[#This Row],[rest of Italy fit]]</f>
        <v>0.52138197215610349</v>
      </c>
      <c r="J261" s="96">
        <f>Tabella3[[#This Row],[Italy (fitted Lombardy + fitted sum of the other regions)]]/(y_l_peak+y_a_peak)</f>
        <v>1.0149337346706409E-4</v>
      </c>
      <c r="K261" s="91">
        <f>IFERROR(Kf*_xlfn.LOGNORM.DIST((Tabella3[[#This Row],[Day]]-D_bk),mu_f,sigma_f,FALSE),0)</f>
        <v>0.32015603855500413</v>
      </c>
      <c r="L261" s="91">
        <f>Tabella3[[#This Row],[Italy fit]]/y_f_peak</f>
        <v>6.3251802988471026E-5</v>
      </c>
      <c r="M261" s="10">
        <f>Tabella3[[#This Row],[Italy (fitted Lombardy + fitted sum of the other regions)]]*NOT(ISBLANK(Tabella3[[#This Row],[Italy data]]))</f>
        <v>0</v>
      </c>
      <c r="N261" s="10">
        <f>Tabella3[[#This Row],[Italy fit]]*NOT(ISBLANK(Tabella3[[#This Row],[Italy data]]))</f>
        <v>0</v>
      </c>
      <c r="O261" s="151"/>
      <c r="P261" s="151"/>
      <c r="Q261" s="151"/>
      <c r="R261" s="10"/>
      <c r="S261" s="10">
        <f>Tabella3[[#This Row],[Lombardy data]]*NOT(ISBLANK(Tabella3[[#This Row],[Lombardy data]]))</f>
        <v>0</v>
      </c>
      <c r="T261" s="96" t="e">
        <f>Tabella8[[#This Row],[Lombardy fit]]</f>
        <v>#VALUE!</v>
      </c>
      <c r="U261" s="91" t="e">
        <f>Tabella3[[#This Row],[Lombardy cumul. Fit]]/Kl</f>
        <v>#VALUE!</v>
      </c>
      <c r="V261" s="91">
        <f>IFERROR(Kl*_xlfn.LOGNORM.DIST((Tabella3[[#This Row],[Day]]-pl),mu_l,sigma_l,FALSE),0)</f>
        <v>0.35712501734604035</v>
      </c>
      <c r="W261" s="91">
        <f>Tabella3[[#This Row],[Lombardy fit]]/y_l_peak</f>
        <v>2.0314804678501784E-4</v>
      </c>
      <c r="X261" s="10">
        <f>Tabella3[[#This Row],[Lombardy fit]]*NOT(ISBLANK(Tabella3[[#This Row],[Lombardy data]]))</f>
        <v>0</v>
      </c>
      <c r="Y261" s="151"/>
      <c r="Z261" s="151"/>
      <c r="AA261" s="151"/>
      <c r="AB261" s="10"/>
      <c r="AC261" s="10">
        <f>Tabella3[[#This Row],[rest of Italy data]]*NOT(ISBLANK(Tabella3[[#This Row],[rest of Italy data]]))</f>
        <v>0</v>
      </c>
      <c r="AD261" s="96" t="e">
        <f>Tabella8[[#This Row],[rest of Italy fit]]</f>
        <v>#VALUE!</v>
      </c>
      <c r="AE261" s="91" t="e">
        <f>Tabella3[[#This Row],[rest of Italy cumul. Fit]]/Ka</f>
        <v>#VALUE!</v>
      </c>
      <c r="AF261" s="91">
        <f>IFERROR(Ka*_xlfn.LOGNORM.DIST((Tabella3[[#This Row],[Day]]-pa),mu_a,sigma_a,FALSE),0)</f>
        <v>0.16425695481006308</v>
      </c>
      <c r="AG261" s="91">
        <f>Tabella3[[#This Row],[rest of Italy fit]]/y_a_peak</f>
        <v>4.8608969175063655E-5</v>
      </c>
      <c r="AH261" s="10">
        <f>Tabella3[[#This Row],[rest of Italy fit]]*NOT(ISBLANK(Tabella3[[#This Row],[rest of Italy data]]))</f>
        <v>0</v>
      </c>
      <c r="AI261" s="151"/>
      <c r="AJ261" s="151"/>
    </row>
    <row r="262" spans="2:36" x14ac:dyDescent="0.3">
      <c r="B262" s="9">
        <v>44085</v>
      </c>
      <c r="C262" s="4">
        <v>255</v>
      </c>
      <c r="D262" s="151"/>
      <c r="E262" s="10"/>
      <c r="F262" s="10">
        <f>Tabella3[[#This Row],[Italy data]]*NOT(ISBLANK(Tabella3[[#This Row],[Italy data]]))</f>
        <v>0</v>
      </c>
      <c r="G262" s="96" t="e">
        <f>Tabella8[[#This Row],[Italy fit]]</f>
        <v>#VALUE!</v>
      </c>
      <c r="H262" s="96" t="e">
        <f>Tabella3[[#This Row],[Italy cumul. Fit]]/Kf</f>
        <v>#VALUE!</v>
      </c>
      <c r="I262" s="96">
        <f>Tabella3[[#This Row],[Lombardy fit]]+Tabella3[[#This Row],[rest of Italy fit]]</f>
        <v>0.49230371964969821</v>
      </c>
      <c r="J262" s="96">
        <f>Tabella3[[#This Row],[Italy (fitted Lombardy + fitted sum of the other regions)]]/(y_l_peak+y_a_peak)</f>
        <v>9.5832936207989537E-5</v>
      </c>
      <c r="K262" s="91">
        <f>IFERROR(Kf*_xlfn.LOGNORM.DIST((Tabella3[[#This Row],[Day]]-D_bk),mu_f,sigma_f,FALSE),0)</f>
        <v>0.30037042583483214</v>
      </c>
      <c r="L262" s="91">
        <f>Tabella3[[#This Row],[Italy fit]]/y_f_peak</f>
        <v>5.9342847582129396E-5</v>
      </c>
      <c r="M262" s="10">
        <f>Tabella3[[#This Row],[Italy (fitted Lombardy + fitted sum of the other regions)]]*NOT(ISBLANK(Tabella3[[#This Row],[Italy data]]))</f>
        <v>0</v>
      </c>
      <c r="N262" s="10">
        <f>Tabella3[[#This Row],[Italy fit]]*NOT(ISBLANK(Tabella3[[#This Row],[Italy data]]))</f>
        <v>0</v>
      </c>
      <c r="O262" s="151"/>
      <c r="P262" s="151"/>
      <c r="Q262" s="151"/>
      <c r="R262" s="10"/>
      <c r="S262" s="10">
        <f>Tabella3[[#This Row],[Lombardy data]]*NOT(ISBLANK(Tabella3[[#This Row],[Lombardy data]]))</f>
        <v>0</v>
      </c>
      <c r="T262" s="96" t="e">
        <f>Tabella8[[#This Row],[Lombardy fit]]</f>
        <v>#VALUE!</v>
      </c>
      <c r="U262" s="91" t="e">
        <f>Tabella3[[#This Row],[Lombardy cumul. Fit]]/Kl</f>
        <v>#VALUE!</v>
      </c>
      <c r="V262" s="91">
        <f>IFERROR(Kl*_xlfn.LOGNORM.DIST((Tabella3[[#This Row],[Day]]-pl),mu_l,sigma_l,FALSE),0)</f>
        <v>0.33823803427225169</v>
      </c>
      <c r="W262" s="91">
        <f>Tabella3[[#This Row],[Lombardy fit]]/y_l_peak</f>
        <v>1.9240431970138957E-4</v>
      </c>
      <c r="X262" s="10">
        <f>Tabella3[[#This Row],[Lombardy fit]]*NOT(ISBLANK(Tabella3[[#This Row],[Lombardy data]]))</f>
        <v>0</v>
      </c>
      <c r="Y262" s="151"/>
      <c r="Z262" s="151"/>
      <c r="AA262" s="151"/>
      <c r="AB262" s="10"/>
      <c r="AC262" s="10">
        <f>Tabella3[[#This Row],[rest of Italy data]]*NOT(ISBLANK(Tabella3[[#This Row],[rest of Italy data]]))</f>
        <v>0</v>
      </c>
      <c r="AD262" s="96" t="e">
        <f>Tabella8[[#This Row],[rest of Italy fit]]</f>
        <v>#VALUE!</v>
      </c>
      <c r="AE262" s="91" t="e">
        <f>Tabella3[[#This Row],[rest of Italy cumul. Fit]]/Ka</f>
        <v>#VALUE!</v>
      </c>
      <c r="AF262" s="91">
        <f>IFERROR(Ka*_xlfn.LOGNORM.DIST((Tabella3[[#This Row],[Day]]-pa),mu_a,sigma_a,FALSE),0)</f>
        <v>0.1540656853774465</v>
      </c>
      <c r="AG262" s="91">
        <f>Tabella3[[#This Row],[rest of Italy fit]]/y_a_peak</f>
        <v>4.5593041464254307E-5</v>
      </c>
      <c r="AH262" s="10">
        <f>Tabella3[[#This Row],[rest of Italy fit]]*NOT(ISBLANK(Tabella3[[#This Row],[rest of Italy data]]))</f>
        <v>0</v>
      </c>
      <c r="AI262" s="151"/>
      <c r="AJ262" s="151"/>
    </row>
    <row r="263" spans="2:36" x14ac:dyDescent="0.3">
      <c r="B263" s="9">
        <v>44086</v>
      </c>
      <c r="C263" s="4">
        <v>256</v>
      </c>
      <c r="D263" s="151"/>
      <c r="E263" s="10"/>
      <c r="F263" s="10">
        <f>Tabella3[[#This Row],[Italy data]]*NOT(ISBLANK(Tabella3[[#This Row],[Italy data]]))</f>
        <v>0</v>
      </c>
      <c r="G263" s="96" t="e">
        <f>Tabella8[[#This Row],[Italy fit]]</f>
        <v>#VALUE!</v>
      </c>
      <c r="H263" s="96" t="e">
        <f>Tabella3[[#This Row],[Italy cumul. Fit]]/Kf</f>
        <v>#VALUE!</v>
      </c>
      <c r="I263" s="96">
        <f>Tabella3[[#This Row],[Lombardy fit]]+Tabella3[[#This Row],[rest of Italy fit]]</f>
        <v>0.46489213147197472</v>
      </c>
      <c r="J263" s="96">
        <f>Tabella3[[#This Row],[Italy (fitted Lombardy + fitted sum of the other regions)]]/(y_l_peak+y_a_peak)</f>
        <v>9.0496935531283974E-5</v>
      </c>
      <c r="K263" s="91">
        <f>IFERROR(Kf*_xlfn.LOGNORM.DIST((Tabella3[[#This Row],[Day]]-D_bk),mu_f,sigma_f,FALSE),0)</f>
        <v>0.28182910000078298</v>
      </c>
      <c r="L263" s="91">
        <f>Tabella3[[#This Row],[Italy fit]]/y_f_peak</f>
        <v>5.5679720395481502E-5</v>
      </c>
      <c r="M263" s="10">
        <f>Tabella3[[#This Row],[Italy (fitted Lombardy + fitted sum of the other regions)]]*NOT(ISBLANK(Tabella3[[#This Row],[Italy data]]))</f>
        <v>0</v>
      </c>
      <c r="N263" s="10">
        <f>Tabella3[[#This Row],[Italy fit]]*NOT(ISBLANK(Tabella3[[#This Row],[Italy data]]))</f>
        <v>0</v>
      </c>
      <c r="O263" s="151"/>
      <c r="P263" s="151"/>
      <c r="Q263" s="151"/>
      <c r="R263" s="10"/>
      <c r="S263" s="10">
        <f>Tabella3[[#This Row],[Lombardy data]]*NOT(ISBLANK(Tabella3[[#This Row],[Lombardy data]]))</f>
        <v>0</v>
      </c>
      <c r="T263" s="96" t="e">
        <f>Tabella8[[#This Row],[Lombardy fit]]</f>
        <v>#VALUE!</v>
      </c>
      <c r="U263" s="91" t="e">
        <f>Tabella3[[#This Row],[Lombardy cumul. Fit]]/Kl</f>
        <v>#VALUE!</v>
      </c>
      <c r="V263" s="91">
        <f>IFERROR(Kl*_xlfn.LOGNORM.DIST((Tabella3[[#This Row],[Day]]-pl),mu_l,sigma_l,FALSE),0)</f>
        <v>0.32037244666542969</v>
      </c>
      <c r="W263" s="91">
        <f>Tabella3[[#This Row],[Lombardy fit]]/y_l_peak</f>
        <v>1.8224160622372861E-4</v>
      </c>
      <c r="X263" s="10">
        <f>Tabella3[[#This Row],[Lombardy fit]]*NOT(ISBLANK(Tabella3[[#This Row],[Lombardy data]]))</f>
        <v>0</v>
      </c>
      <c r="Y263" s="151"/>
      <c r="Z263" s="151"/>
      <c r="AA263" s="151"/>
      <c r="AB263" s="10"/>
      <c r="AC263" s="10">
        <f>Tabella3[[#This Row],[rest of Italy data]]*NOT(ISBLANK(Tabella3[[#This Row],[rest of Italy data]]))</f>
        <v>0</v>
      </c>
      <c r="AD263" s="96" t="e">
        <f>Tabella8[[#This Row],[rest of Italy fit]]</f>
        <v>#VALUE!</v>
      </c>
      <c r="AE263" s="91" t="e">
        <f>Tabella3[[#This Row],[rest of Italy cumul. Fit]]/Ka</f>
        <v>#VALUE!</v>
      </c>
      <c r="AF263" s="91">
        <f>IFERROR(Ka*_xlfn.LOGNORM.DIST((Tabella3[[#This Row],[Day]]-pa),mu_a,sigma_a,FALSE),0)</f>
        <v>0.14451968480654503</v>
      </c>
      <c r="AG263" s="91">
        <f>Tabella3[[#This Row],[rest of Italy fit]]/y_a_peak</f>
        <v>4.2768069772598046E-5</v>
      </c>
      <c r="AH263" s="10">
        <f>Tabella3[[#This Row],[rest of Italy fit]]*NOT(ISBLANK(Tabella3[[#This Row],[rest of Italy data]]))</f>
        <v>0</v>
      </c>
      <c r="AI263" s="151"/>
      <c r="AJ263" s="151"/>
    </row>
    <row r="264" spans="2:36" x14ac:dyDescent="0.3">
      <c r="B264" s="9">
        <v>44087</v>
      </c>
      <c r="C264" s="4">
        <v>257</v>
      </c>
      <c r="D264" s="151"/>
      <c r="E264" s="10"/>
      <c r="F264" s="10">
        <f>Tabella3[[#This Row],[Italy data]]*NOT(ISBLANK(Tabella3[[#This Row],[Italy data]]))</f>
        <v>0</v>
      </c>
      <c r="G264" s="96" t="e">
        <f>Tabella8[[#This Row],[Italy fit]]</f>
        <v>#VALUE!</v>
      </c>
      <c r="H264" s="96" t="e">
        <f>Tabella3[[#This Row],[Italy cumul. Fit]]/Kf</f>
        <v>#VALUE!</v>
      </c>
      <c r="I264" s="96">
        <f>Tabella3[[#This Row],[Lombardy fit]]+Tabella3[[#This Row],[rest of Italy fit]]</f>
        <v>0.43904922795118195</v>
      </c>
      <c r="J264" s="96">
        <f>Tabella3[[#This Row],[Italy (fitted Lombardy + fitted sum of the other regions)]]/(y_l_peak+y_a_peak)</f>
        <v>8.5466298496285318E-5</v>
      </c>
      <c r="K264" s="91">
        <f>IFERROR(Kf*_xlfn.LOGNORM.DIST((Tabella3[[#This Row],[Day]]-D_bk),mu_f,sigma_f,FALSE),0)</f>
        <v>0.26445257148823254</v>
      </c>
      <c r="L264" s="91">
        <f>Tabella3[[#This Row],[Italy fit]]/y_f_peak</f>
        <v>5.2246717029185288E-5</v>
      </c>
      <c r="M264" s="10">
        <f>Tabella3[[#This Row],[Italy (fitted Lombardy + fitted sum of the other regions)]]*NOT(ISBLANK(Tabella3[[#This Row],[Italy data]]))</f>
        <v>0</v>
      </c>
      <c r="N264" s="10">
        <f>Tabella3[[#This Row],[Italy fit]]*NOT(ISBLANK(Tabella3[[#This Row],[Italy data]]))</f>
        <v>0</v>
      </c>
      <c r="O264" s="151"/>
      <c r="P264" s="151"/>
      <c r="Q264" s="151"/>
      <c r="R264" s="10"/>
      <c r="S264" s="10">
        <f>Tabella3[[#This Row],[Lombardy data]]*NOT(ISBLANK(Tabella3[[#This Row],[Lombardy data]]))</f>
        <v>0</v>
      </c>
      <c r="T264" s="96" t="e">
        <f>Tabella8[[#This Row],[Lombardy fit]]</f>
        <v>#VALUE!</v>
      </c>
      <c r="U264" s="91" t="e">
        <f>Tabella3[[#This Row],[Lombardy cumul. Fit]]/Kl</f>
        <v>#VALUE!</v>
      </c>
      <c r="V264" s="91">
        <f>IFERROR(Kl*_xlfn.LOGNORM.DIST((Tabella3[[#This Row],[Day]]-pl),mu_l,sigma_l,FALSE),0)</f>
        <v>0.30347189932791618</v>
      </c>
      <c r="W264" s="91">
        <f>Tabella3[[#This Row],[Lombardy fit]]/y_l_peak</f>
        <v>1.7262784909540384E-4</v>
      </c>
      <c r="X264" s="10">
        <f>Tabella3[[#This Row],[Lombardy fit]]*NOT(ISBLANK(Tabella3[[#This Row],[Lombardy data]]))</f>
        <v>0</v>
      </c>
      <c r="Y264" s="151"/>
      <c r="Z264" s="151"/>
      <c r="AA264" s="151"/>
      <c r="AB264" s="10"/>
      <c r="AC264" s="10">
        <f>Tabella3[[#This Row],[rest of Italy data]]*NOT(ISBLANK(Tabella3[[#This Row],[rest of Italy data]]))</f>
        <v>0</v>
      </c>
      <c r="AD264" s="96" t="e">
        <f>Tabella8[[#This Row],[rest of Italy fit]]</f>
        <v>#VALUE!</v>
      </c>
      <c r="AE264" s="91" t="e">
        <f>Tabella3[[#This Row],[rest of Italy cumul. Fit]]/Ka</f>
        <v>#VALUE!</v>
      </c>
      <c r="AF264" s="91">
        <f>IFERROR(Ka*_xlfn.LOGNORM.DIST((Tabella3[[#This Row],[Day]]-pa),mu_a,sigma_a,FALSE),0)</f>
        <v>0.1355773286232658</v>
      </c>
      <c r="AG264" s="91">
        <f>Tabella3[[#This Row],[rest of Italy fit]]/y_a_peak</f>
        <v>4.0121736065948628E-5</v>
      </c>
      <c r="AH264" s="10">
        <f>Tabella3[[#This Row],[rest of Italy fit]]*NOT(ISBLANK(Tabella3[[#This Row],[rest of Italy data]]))</f>
        <v>0</v>
      </c>
      <c r="AI264" s="151"/>
      <c r="AJ264" s="151"/>
    </row>
    <row r="265" spans="2:36" x14ac:dyDescent="0.3">
      <c r="B265" s="9">
        <v>44088</v>
      </c>
      <c r="C265" s="4">
        <v>258</v>
      </c>
      <c r="D265" s="151"/>
      <c r="E265" s="10"/>
      <c r="F265" s="10">
        <f>Tabella3[[#This Row],[Italy data]]*NOT(ISBLANK(Tabella3[[#This Row],[Italy data]]))</f>
        <v>0</v>
      </c>
      <c r="G265" s="96" t="e">
        <f>Tabella8[[#This Row],[Italy fit]]</f>
        <v>#VALUE!</v>
      </c>
      <c r="H265" s="96" t="e">
        <f>Tabella3[[#This Row],[Italy cumul. Fit]]/Kf</f>
        <v>#VALUE!</v>
      </c>
      <c r="I265" s="96">
        <f>Tabella3[[#This Row],[Lombardy fit]]+Tabella3[[#This Row],[rest of Italy fit]]</f>
        <v>0.41468292398825102</v>
      </c>
      <c r="J265" s="96">
        <f>Tabella3[[#This Row],[Italy (fitted Lombardy + fitted sum of the other regions)]]/(y_l_peak+y_a_peak)</f>
        <v>8.0723099612950476E-5</v>
      </c>
      <c r="K265" s="91">
        <f>IFERROR(Kf*_xlfn.LOGNORM.DIST((Tabella3[[#This Row],[Day]]-D_bk),mu_f,sigma_f,FALSE),0)</f>
        <v>0.24816649867512486</v>
      </c>
      <c r="L265" s="91">
        <f>Tabella3[[#This Row],[Italy fit]]/y_f_peak</f>
        <v>4.9029150139989777E-5</v>
      </c>
      <c r="M265" s="10">
        <f>Tabella3[[#This Row],[Italy (fitted Lombardy + fitted sum of the other regions)]]*NOT(ISBLANK(Tabella3[[#This Row],[Italy data]]))</f>
        <v>0</v>
      </c>
      <c r="N265" s="10">
        <f>Tabella3[[#This Row],[Italy fit]]*NOT(ISBLANK(Tabella3[[#This Row],[Italy data]]))</f>
        <v>0</v>
      </c>
      <c r="O265" s="151"/>
      <c r="P265" s="151"/>
      <c r="Q265" s="151"/>
      <c r="R265" s="10"/>
      <c r="S265" s="10">
        <f>Tabella3[[#This Row],[Lombardy data]]*NOT(ISBLANK(Tabella3[[#This Row],[Lombardy data]]))</f>
        <v>0</v>
      </c>
      <c r="T265" s="96" t="e">
        <f>Tabella8[[#This Row],[Lombardy fit]]</f>
        <v>#VALUE!</v>
      </c>
      <c r="U265" s="91" t="e">
        <f>Tabella3[[#This Row],[Lombardy cumul. Fit]]/Kl</f>
        <v>#VALUE!</v>
      </c>
      <c r="V265" s="91">
        <f>IFERROR(Kl*_xlfn.LOGNORM.DIST((Tabella3[[#This Row],[Day]]-pl),mu_l,sigma_l,FALSE),0)</f>
        <v>0.28748320109670422</v>
      </c>
      <c r="W265" s="91">
        <f>Tabella3[[#This Row],[Lombardy fit]]/y_l_peak</f>
        <v>1.6353279089857491E-4</v>
      </c>
      <c r="X265" s="10">
        <f>Tabella3[[#This Row],[Lombardy fit]]*NOT(ISBLANK(Tabella3[[#This Row],[Lombardy data]]))</f>
        <v>0</v>
      </c>
      <c r="Y265" s="151"/>
      <c r="Z265" s="151"/>
      <c r="AA265" s="151"/>
      <c r="AB265" s="10"/>
      <c r="AC265" s="10">
        <f>Tabella3[[#This Row],[rest of Italy data]]*NOT(ISBLANK(Tabella3[[#This Row],[rest of Italy data]]))</f>
        <v>0</v>
      </c>
      <c r="AD265" s="96" t="e">
        <f>Tabella8[[#This Row],[rest of Italy fit]]</f>
        <v>#VALUE!</v>
      </c>
      <c r="AE265" s="91" t="e">
        <f>Tabella3[[#This Row],[rest of Italy cumul. Fit]]/Ka</f>
        <v>#VALUE!</v>
      </c>
      <c r="AF265" s="91">
        <f>IFERROR(Ka*_xlfn.LOGNORM.DIST((Tabella3[[#This Row],[Day]]-pa),mu_a,sigma_a,FALSE),0)</f>
        <v>0.12719972289154682</v>
      </c>
      <c r="AG265" s="91">
        <f>Tabella3[[#This Row],[rest of Italy fit]]/y_a_peak</f>
        <v>3.7642530365070658E-5</v>
      </c>
      <c r="AH265" s="10">
        <f>Tabella3[[#This Row],[rest of Italy fit]]*NOT(ISBLANK(Tabella3[[#This Row],[rest of Italy data]]))</f>
        <v>0</v>
      </c>
      <c r="AI265" s="151"/>
      <c r="AJ265" s="151"/>
    </row>
    <row r="266" spans="2:36" x14ac:dyDescent="0.3">
      <c r="B266" s="9">
        <v>44089</v>
      </c>
      <c r="C266" s="4">
        <v>259</v>
      </c>
      <c r="D266" s="151"/>
      <c r="E266" s="10"/>
      <c r="F266" s="10">
        <f>Tabella3[[#This Row],[Italy data]]*NOT(ISBLANK(Tabella3[[#This Row],[Italy data]]))</f>
        <v>0</v>
      </c>
      <c r="G266" s="96" t="e">
        <f>Tabella8[[#This Row],[Italy fit]]</f>
        <v>#VALUE!</v>
      </c>
      <c r="H266" s="96" t="e">
        <f>Tabella3[[#This Row],[Italy cumul. Fit]]/Kf</f>
        <v>#VALUE!</v>
      </c>
      <c r="I266" s="96">
        <f>Tabella3[[#This Row],[Lombardy fit]]+Tabella3[[#This Row],[rest of Italy fit]]</f>
        <v>0.39170666709898594</v>
      </c>
      <c r="J266" s="96">
        <f>Tabella3[[#This Row],[Italy (fitted Lombardy + fitted sum of the other regions)]]/(y_l_peak+y_a_peak)</f>
        <v>7.6250490382343629E-5</v>
      </c>
      <c r="K266" s="91">
        <f>IFERROR(Kf*_xlfn.LOGNORM.DIST((Tabella3[[#This Row],[Day]]-D_bk),mu_f,sigma_f,FALSE),0)</f>
        <v>0.2329013507197373</v>
      </c>
      <c r="L266" s="91">
        <f>Tabella3[[#This Row],[Italy fit]]/y_f_peak</f>
        <v>4.6013282829093663E-5</v>
      </c>
      <c r="M266" s="10">
        <f>Tabella3[[#This Row],[Italy (fitted Lombardy + fitted sum of the other regions)]]*NOT(ISBLANK(Tabella3[[#This Row],[Italy data]]))</f>
        <v>0</v>
      </c>
      <c r="N266" s="10">
        <f>Tabella3[[#This Row],[Italy fit]]*NOT(ISBLANK(Tabella3[[#This Row],[Italy data]]))</f>
        <v>0</v>
      </c>
      <c r="O266" s="151"/>
      <c r="P266" s="151"/>
      <c r="Q266" s="151"/>
      <c r="R266" s="10"/>
      <c r="S266" s="10">
        <f>Tabella3[[#This Row],[Lombardy data]]*NOT(ISBLANK(Tabella3[[#This Row],[Lombardy data]]))</f>
        <v>0</v>
      </c>
      <c r="T266" s="96" t="e">
        <f>Tabella8[[#This Row],[Lombardy fit]]</f>
        <v>#VALUE!</v>
      </c>
      <c r="U266" s="91" t="e">
        <f>Tabella3[[#This Row],[Lombardy cumul. Fit]]/Kl</f>
        <v>#VALUE!</v>
      </c>
      <c r="V266" s="91">
        <f>IFERROR(Kl*_xlfn.LOGNORM.DIST((Tabella3[[#This Row],[Day]]-pl),mu_l,sigma_l,FALSE),0)</f>
        <v>0.27235614464960117</v>
      </c>
      <c r="W266" s="91">
        <f>Tabella3[[#This Row],[Lombardy fit]]/y_l_peak</f>
        <v>1.5492787155219921E-4</v>
      </c>
      <c r="X266" s="10">
        <f>Tabella3[[#This Row],[Lombardy fit]]*NOT(ISBLANK(Tabella3[[#This Row],[Lombardy data]]))</f>
        <v>0</v>
      </c>
      <c r="Y266" s="151"/>
      <c r="Z266" s="151"/>
      <c r="AA266" s="151"/>
      <c r="AB266" s="10"/>
      <c r="AC266" s="10">
        <f>Tabella3[[#This Row],[rest of Italy data]]*NOT(ISBLANK(Tabella3[[#This Row],[rest of Italy data]]))</f>
        <v>0</v>
      </c>
      <c r="AD266" s="96" t="e">
        <f>Tabella8[[#This Row],[rest of Italy fit]]</f>
        <v>#VALUE!</v>
      </c>
      <c r="AE266" s="91" t="e">
        <f>Tabella3[[#This Row],[rest of Italy cumul. Fit]]/Ka</f>
        <v>#VALUE!</v>
      </c>
      <c r="AF266" s="91">
        <f>IFERROR(Ka*_xlfn.LOGNORM.DIST((Tabella3[[#This Row],[Day]]-pa),mu_a,sigma_a,FALSE),0)</f>
        <v>0.11935052244938478</v>
      </c>
      <c r="AG266" s="91">
        <f>Tabella3[[#This Row],[rest of Italy fit]]/y_a_peak</f>
        <v>3.5319696955775189E-5</v>
      </c>
      <c r="AH266" s="10">
        <f>Tabella3[[#This Row],[rest of Italy fit]]*NOT(ISBLANK(Tabella3[[#This Row],[rest of Italy data]]))</f>
        <v>0</v>
      </c>
      <c r="AI266" s="151"/>
      <c r="AJ266" s="151"/>
    </row>
    <row r="267" spans="2:36" x14ac:dyDescent="0.3">
      <c r="B267" s="9">
        <v>44090</v>
      </c>
      <c r="C267" s="4">
        <v>260</v>
      </c>
      <c r="D267" s="151"/>
      <c r="E267" s="10"/>
      <c r="F267" s="10">
        <f>Tabella3[[#This Row],[Italy data]]*NOT(ISBLANK(Tabella3[[#This Row],[Italy data]]))</f>
        <v>0</v>
      </c>
      <c r="G267" s="96" t="e">
        <f>Tabella8[[#This Row],[Italy fit]]</f>
        <v>#VALUE!</v>
      </c>
      <c r="H267" s="96" t="e">
        <f>Tabella3[[#This Row],[Italy cumul. Fit]]/Kf</f>
        <v>#VALUE!</v>
      </c>
      <c r="I267" s="96">
        <f>Tabella3[[#This Row],[Lombardy fit]]+Tabella3[[#This Row],[rest of Italy fit]]</f>
        <v>0.370039098071065</v>
      </c>
      <c r="J267" s="96">
        <f>Tabella3[[#This Row],[Italy (fitted Lombardy + fitted sum of the other regions)]]/(y_l_peak+y_a_peak)</f>
        <v>7.2032633239374082E-5</v>
      </c>
      <c r="K267" s="91">
        <f>IFERROR(Kf*_xlfn.LOGNORM.DIST((Tabella3[[#This Row],[Day]]-D_bk),mu_f,sigma_f,FALSE),0)</f>
        <v>0.21859209266390442</v>
      </c>
      <c r="L267" s="91">
        <f>Tabella3[[#This Row],[Italy fit]]/y_f_peak</f>
        <v>4.3186266429391315E-5</v>
      </c>
      <c r="M267" s="10">
        <f>Tabella3[[#This Row],[Italy (fitted Lombardy + fitted sum of the other regions)]]*NOT(ISBLANK(Tabella3[[#This Row],[Italy data]]))</f>
        <v>0</v>
      </c>
      <c r="N267" s="10">
        <f>Tabella3[[#This Row],[Italy fit]]*NOT(ISBLANK(Tabella3[[#This Row],[Italy data]]))</f>
        <v>0</v>
      </c>
      <c r="O267" s="151"/>
      <c r="P267" s="151"/>
      <c r="Q267" s="151"/>
      <c r="R267" s="10"/>
      <c r="S267" s="10">
        <f>Tabella3[[#This Row],[Lombardy data]]*NOT(ISBLANK(Tabella3[[#This Row],[Lombardy data]]))</f>
        <v>0</v>
      </c>
      <c r="T267" s="96" t="e">
        <f>Tabella8[[#This Row],[Lombardy fit]]</f>
        <v>#VALUE!</v>
      </c>
      <c r="U267" s="91" t="e">
        <f>Tabella3[[#This Row],[Lombardy cumul. Fit]]/Kl</f>
        <v>#VALUE!</v>
      </c>
      <c r="V267" s="91">
        <f>IFERROR(Kl*_xlfn.LOGNORM.DIST((Tabella3[[#This Row],[Day]]-pl),mu_l,sigma_l,FALSE),0)</f>
        <v>0.25804333667958684</v>
      </c>
      <c r="W267" s="91">
        <f>Tabella3[[#This Row],[Lombardy fit]]/y_l_peak</f>
        <v>1.4678613170791361E-4</v>
      </c>
      <c r="X267" s="10">
        <f>Tabella3[[#This Row],[Lombardy fit]]*NOT(ISBLANK(Tabella3[[#This Row],[Lombardy data]]))</f>
        <v>0</v>
      </c>
      <c r="Y267" s="151"/>
      <c r="Z267" s="151"/>
      <c r="AA267" s="151"/>
      <c r="AB267" s="10"/>
      <c r="AC267" s="10">
        <f>Tabella3[[#This Row],[rest of Italy data]]*NOT(ISBLANK(Tabella3[[#This Row],[rest of Italy data]]))</f>
        <v>0</v>
      </c>
      <c r="AD267" s="96" t="e">
        <f>Tabella8[[#This Row],[rest of Italy fit]]</f>
        <v>#VALUE!</v>
      </c>
      <c r="AE267" s="91" t="e">
        <f>Tabella3[[#This Row],[rest of Italy cumul. Fit]]/Ka</f>
        <v>#VALUE!</v>
      </c>
      <c r="AF267" s="91">
        <f>IFERROR(Ka*_xlfn.LOGNORM.DIST((Tabella3[[#This Row],[Day]]-pa),mu_a,sigma_a,FALSE),0)</f>
        <v>0.11199576139147817</v>
      </c>
      <c r="AG267" s="91">
        <f>Tabella3[[#This Row],[rest of Italy fit]]/y_a_peak</f>
        <v>3.3143184223226718E-5</v>
      </c>
      <c r="AH267" s="10">
        <f>Tabella3[[#This Row],[rest of Italy fit]]*NOT(ISBLANK(Tabella3[[#This Row],[rest of Italy data]]))</f>
        <v>0</v>
      </c>
      <c r="AI267" s="151"/>
      <c r="AJ267" s="151"/>
    </row>
    <row r="268" spans="2:36" x14ac:dyDescent="0.3">
      <c r="B268" s="9">
        <v>44091</v>
      </c>
      <c r="C268" s="4">
        <v>261</v>
      </c>
      <c r="D268" s="151"/>
      <c r="E268" s="10"/>
      <c r="F268" s="10">
        <f>Tabella3[[#This Row],[Italy data]]*NOT(ISBLANK(Tabella3[[#This Row],[Italy data]]))</f>
        <v>0</v>
      </c>
      <c r="G268" s="96" t="e">
        <f>Tabella8[[#This Row],[Italy fit]]</f>
        <v>#VALUE!</v>
      </c>
      <c r="H268" s="96" t="e">
        <f>Tabella3[[#This Row],[Italy cumul. Fit]]/Kf</f>
        <v>#VALUE!</v>
      </c>
      <c r="I268" s="96">
        <f>Tabella3[[#This Row],[Lombardy fit]]+Tabella3[[#This Row],[rest of Italy fit]]</f>
        <v>0.34960373280371099</v>
      </c>
      <c r="J268" s="96">
        <f>Tabella3[[#This Row],[Italy (fitted Lombardy + fitted sum of the other regions)]]/(y_l_peak+y_a_peak)</f>
        <v>6.8054639618999254E-5</v>
      </c>
      <c r="K268" s="91">
        <f>IFERROR(Kf*_xlfn.LOGNORM.DIST((Tabella3[[#This Row],[Day]]-D_bk),mu_f,sigma_f,FALSE),0)</f>
        <v>0.20517789132482117</v>
      </c>
      <c r="L268" s="91">
        <f>Tabella3[[#This Row],[Italy fit]]/y_f_peak</f>
        <v>4.0536082399825969E-5</v>
      </c>
      <c r="M268" s="10">
        <f>Tabella3[[#This Row],[Italy (fitted Lombardy + fitted sum of the other regions)]]*NOT(ISBLANK(Tabella3[[#This Row],[Italy data]]))</f>
        <v>0</v>
      </c>
      <c r="N268" s="10">
        <f>Tabella3[[#This Row],[Italy fit]]*NOT(ISBLANK(Tabella3[[#This Row],[Italy data]]))</f>
        <v>0</v>
      </c>
      <c r="O268" s="151"/>
      <c r="P268" s="151"/>
      <c r="Q268" s="151"/>
      <c r="R268" s="10"/>
      <c r="S268" s="10">
        <f>Tabella3[[#This Row],[Lombardy data]]*NOT(ISBLANK(Tabella3[[#This Row],[Lombardy data]]))</f>
        <v>0</v>
      </c>
      <c r="T268" s="96" t="e">
        <f>Tabella8[[#This Row],[Lombardy fit]]</f>
        <v>#VALUE!</v>
      </c>
      <c r="U268" s="91" t="e">
        <f>Tabella3[[#This Row],[Lombardy cumul. Fit]]/Kl</f>
        <v>#VALUE!</v>
      </c>
      <c r="V268" s="91">
        <f>IFERROR(Kl*_xlfn.LOGNORM.DIST((Tabella3[[#This Row],[Day]]-pl),mu_l,sigma_l,FALSE),0)</f>
        <v>0.24450003783773513</v>
      </c>
      <c r="W268" s="91">
        <f>Tabella3[[#This Row],[Lombardy fit]]/y_l_peak</f>
        <v>1.3908212170269443E-4</v>
      </c>
      <c r="X268" s="10">
        <f>Tabella3[[#This Row],[Lombardy fit]]*NOT(ISBLANK(Tabella3[[#This Row],[Lombardy data]]))</f>
        <v>0</v>
      </c>
      <c r="Y268" s="151"/>
      <c r="Z268" s="151"/>
      <c r="AA268" s="151"/>
      <c r="AB268" s="10"/>
      <c r="AC268" s="10">
        <f>Tabella3[[#This Row],[rest of Italy data]]*NOT(ISBLANK(Tabella3[[#This Row],[rest of Italy data]]))</f>
        <v>0</v>
      </c>
      <c r="AD268" s="96" t="e">
        <f>Tabella8[[#This Row],[rest of Italy fit]]</f>
        <v>#VALUE!</v>
      </c>
      <c r="AE268" s="91" t="e">
        <f>Tabella3[[#This Row],[rest of Italy cumul. Fit]]/Ka</f>
        <v>#VALUE!</v>
      </c>
      <c r="AF268" s="91">
        <f>IFERROR(Ka*_xlfn.LOGNORM.DIST((Tabella3[[#This Row],[Day]]-pa),mu_a,sigma_a,FALSE),0)</f>
        <v>0.10510369496597585</v>
      </c>
      <c r="AG268" s="91">
        <f>Tabella3[[#This Row],[rest of Italy fit]]/y_a_peak</f>
        <v>3.1103597864054735E-5</v>
      </c>
      <c r="AH268" s="10">
        <f>Tabella3[[#This Row],[rest of Italy fit]]*NOT(ISBLANK(Tabella3[[#This Row],[rest of Italy data]]))</f>
        <v>0</v>
      </c>
      <c r="AI268" s="151"/>
      <c r="AJ268" s="151"/>
    </row>
    <row r="269" spans="2:36" x14ac:dyDescent="0.3">
      <c r="B269" s="9">
        <v>44092</v>
      </c>
      <c r="C269" s="4">
        <v>262</v>
      </c>
      <c r="D269" s="151"/>
      <c r="E269" s="10"/>
      <c r="F269" s="10">
        <f>Tabella3[[#This Row],[Italy data]]*NOT(ISBLANK(Tabella3[[#This Row],[Italy data]]))</f>
        <v>0</v>
      </c>
      <c r="G269" s="96" t="e">
        <f>Tabella8[[#This Row],[Italy fit]]</f>
        <v>#VALUE!</v>
      </c>
      <c r="H269" s="96" t="e">
        <f>Tabella3[[#This Row],[Italy cumul. Fit]]/Kf</f>
        <v>#VALUE!</v>
      </c>
      <c r="I269" s="96">
        <f>Tabella3[[#This Row],[Lombardy fit]]+Tabella3[[#This Row],[rest of Italy fit]]</f>
        <v>0.33032866398940813</v>
      </c>
      <c r="J269" s="96">
        <f>Tabella3[[#This Row],[Italy (fitted Lombardy + fitted sum of the other regions)]]/(y_l_peak+y_a_peak)</f>
        <v>6.4302511884924702E-5</v>
      </c>
      <c r="K269" s="91">
        <f>IFERROR(Kf*_xlfn.LOGNORM.DIST((Tabella3[[#This Row],[Day]]-D_bk),mu_f,sigma_f,FALSE),0)</f>
        <v>0.19260184059637908</v>
      </c>
      <c r="L269" s="91">
        <f>Tabella3[[#This Row],[Italy fit]]/y_f_peak</f>
        <v>3.8051488054397832E-5</v>
      </c>
      <c r="M269" s="10">
        <f>Tabella3[[#This Row],[Italy (fitted Lombardy + fitted sum of the other regions)]]*NOT(ISBLANK(Tabella3[[#This Row],[Italy data]]))</f>
        <v>0</v>
      </c>
      <c r="N269" s="10">
        <f>Tabella3[[#This Row],[Italy fit]]*NOT(ISBLANK(Tabella3[[#This Row],[Italy data]]))</f>
        <v>0</v>
      </c>
      <c r="O269" s="151"/>
      <c r="P269" s="151"/>
      <c r="Q269" s="151"/>
      <c r="R269" s="10"/>
      <c r="S269" s="10">
        <f>Tabella3[[#This Row],[Lombardy data]]*NOT(ISBLANK(Tabella3[[#This Row],[Lombardy data]]))</f>
        <v>0</v>
      </c>
      <c r="T269" s="96" t="e">
        <f>Tabella8[[#This Row],[Lombardy fit]]</f>
        <v>#VALUE!</v>
      </c>
      <c r="U269" s="91" t="e">
        <f>Tabella3[[#This Row],[Lombardy cumul. Fit]]/Kl</f>
        <v>#VALUE!</v>
      </c>
      <c r="V269" s="91">
        <f>IFERROR(Kl*_xlfn.LOGNORM.DIST((Tabella3[[#This Row],[Day]]-pl),mu_l,sigma_l,FALSE),0)</f>
        <v>0.23168401187976448</v>
      </c>
      <c r="W269" s="91">
        <f>Tabella3[[#This Row],[Lombardy fit]]/y_l_peak</f>
        <v>1.3179181574693696E-4</v>
      </c>
      <c r="X269" s="10">
        <f>Tabella3[[#This Row],[Lombardy fit]]*NOT(ISBLANK(Tabella3[[#This Row],[Lombardy data]]))</f>
        <v>0</v>
      </c>
      <c r="Y269" s="151"/>
      <c r="Z269" s="151"/>
      <c r="AA269" s="151"/>
      <c r="AB269" s="10"/>
      <c r="AC269" s="10">
        <f>Tabella3[[#This Row],[rest of Italy data]]*NOT(ISBLANK(Tabella3[[#This Row],[rest of Italy data]]))</f>
        <v>0</v>
      </c>
      <c r="AD269" s="96" t="e">
        <f>Tabella8[[#This Row],[rest of Italy fit]]</f>
        <v>#VALUE!</v>
      </c>
      <c r="AE269" s="91" t="e">
        <f>Tabella3[[#This Row],[rest of Italy cumul. Fit]]/Ka</f>
        <v>#VALUE!</v>
      </c>
      <c r="AF269" s="91">
        <f>IFERROR(Ka*_xlfn.LOGNORM.DIST((Tabella3[[#This Row],[Day]]-pa),mu_a,sigma_a,FALSE),0)</f>
        <v>9.8644652109643641E-2</v>
      </c>
      <c r="AG269" s="91">
        <f>Tabella3[[#This Row],[rest of Italy fit]]/y_a_peak</f>
        <v>2.9192157246718801E-5</v>
      </c>
      <c r="AH269" s="10">
        <f>Tabella3[[#This Row],[rest of Italy fit]]*NOT(ISBLANK(Tabella3[[#This Row],[rest of Italy data]]))</f>
        <v>0</v>
      </c>
      <c r="AI269" s="151"/>
      <c r="AJ269" s="151"/>
    </row>
    <row r="270" spans="2:36" x14ac:dyDescent="0.3">
      <c r="B270" s="9">
        <v>44093</v>
      </c>
      <c r="C270" s="4">
        <v>263</v>
      </c>
      <c r="D270" s="151"/>
      <c r="E270" s="10"/>
      <c r="F270" s="10">
        <f>Tabella3[[#This Row],[Italy data]]*NOT(ISBLANK(Tabella3[[#This Row],[Italy data]]))</f>
        <v>0</v>
      </c>
      <c r="G270" s="96" t="e">
        <f>Tabella8[[#This Row],[Italy fit]]</f>
        <v>#VALUE!</v>
      </c>
      <c r="H270" s="96" t="e">
        <f>Tabella3[[#This Row],[Italy cumul. Fit]]/Kf</f>
        <v>#VALUE!</v>
      </c>
      <c r="I270" s="96">
        <f>Tabella3[[#This Row],[Lombardy fit]]+Tabella3[[#This Row],[rest of Italy fit]]</f>
        <v>0.31214628138260297</v>
      </c>
      <c r="J270" s="96">
        <f>Tabella3[[#This Row],[Italy (fitted Lombardy + fitted sum of the other regions)]]/(y_l_peak+y_a_peak)</f>
        <v>6.0763088876487788E-5</v>
      </c>
      <c r="K270" s="91">
        <f>IFERROR(Kf*_xlfn.LOGNORM.DIST((Tabella3[[#This Row],[Day]]-D_bk),mu_f,sigma_f,FALSE),0)</f>
        <v>0.18081070487245496</v>
      </c>
      <c r="L270" s="91">
        <f>Tabella3[[#This Row],[Italy fit]]/y_f_peak</f>
        <v>3.5721965871445662E-5</v>
      </c>
      <c r="M270" s="10">
        <f>Tabella3[[#This Row],[Italy (fitted Lombardy + fitted sum of the other regions)]]*NOT(ISBLANK(Tabella3[[#This Row],[Italy data]]))</f>
        <v>0</v>
      </c>
      <c r="N270" s="10">
        <f>Tabella3[[#This Row],[Italy fit]]*NOT(ISBLANK(Tabella3[[#This Row],[Italy data]]))</f>
        <v>0</v>
      </c>
      <c r="O270" s="151"/>
      <c r="P270" s="151"/>
      <c r="Q270" s="151"/>
      <c r="R270" s="10"/>
      <c r="S270" s="10">
        <f>Tabella3[[#This Row],[Lombardy data]]*NOT(ISBLANK(Tabella3[[#This Row],[Lombardy data]]))</f>
        <v>0</v>
      </c>
      <c r="T270" s="96" t="e">
        <f>Tabella8[[#This Row],[Lombardy fit]]</f>
        <v>#VALUE!</v>
      </c>
      <c r="U270" s="91" t="e">
        <f>Tabella3[[#This Row],[Lombardy cumul. Fit]]/Kl</f>
        <v>#VALUE!</v>
      </c>
      <c r="V270" s="91">
        <f>IFERROR(Kl*_xlfn.LOGNORM.DIST((Tabella3[[#This Row],[Day]]-pl),mu_l,sigma_l,FALSE),0)</f>
        <v>0.21955538348380665</v>
      </c>
      <c r="W270" s="91">
        <f>Tabella3[[#This Row],[Lombardy fit]]/y_l_peak</f>
        <v>1.2489253104509625E-4</v>
      </c>
      <c r="X270" s="10">
        <f>Tabella3[[#This Row],[Lombardy fit]]*NOT(ISBLANK(Tabella3[[#This Row],[Lombardy data]]))</f>
        <v>0</v>
      </c>
      <c r="Y270" s="151"/>
      <c r="Z270" s="151"/>
      <c r="AA270" s="151"/>
      <c r="AB270" s="10"/>
      <c r="AC270" s="10">
        <f>Tabella3[[#This Row],[rest of Italy data]]*NOT(ISBLANK(Tabella3[[#This Row],[rest of Italy data]]))</f>
        <v>0</v>
      </c>
      <c r="AD270" s="96" t="e">
        <f>Tabella8[[#This Row],[rest of Italy fit]]</f>
        <v>#VALUE!</v>
      </c>
      <c r="AE270" s="91" t="e">
        <f>Tabella3[[#This Row],[rest of Italy cumul. Fit]]/Ka</f>
        <v>#VALUE!</v>
      </c>
      <c r="AF270" s="91">
        <f>IFERROR(Ka*_xlfn.LOGNORM.DIST((Tabella3[[#This Row],[Day]]-pa),mu_a,sigma_a,FALSE),0)</f>
        <v>9.2590897898796334E-2</v>
      </c>
      <c r="AG270" s="91">
        <f>Tabella3[[#This Row],[rest of Italy fit]]/y_a_peak</f>
        <v>2.740065470627075E-5</v>
      </c>
      <c r="AH270" s="10">
        <f>Tabella3[[#This Row],[rest of Italy fit]]*NOT(ISBLANK(Tabella3[[#This Row],[rest of Italy data]]))</f>
        <v>0</v>
      </c>
      <c r="AI270" s="151"/>
      <c r="AJ270" s="151"/>
    </row>
    <row r="271" spans="2:36" x14ac:dyDescent="0.3">
      <c r="B271" s="9">
        <v>44094</v>
      </c>
      <c r="C271" s="4">
        <v>264</v>
      </c>
      <c r="D271" s="151"/>
      <c r="E271" s="10"/>
      <c r="F271" s="10">
        <f>Tabella3[[#This Row],[Italy data]]*NOT(ISBLANK(Tabella3[[#This Row],[Italy data]]))</f>
        <v>0</v>
      </c>
      <c r="G271" s="96" t="e">
        <f>Tabella8[[#This Row],[Italy fit]]</f>
        <v>#VALUE!</v>
      </c>
      <c r="H271" s="96" t="e">
        <f>Tabella3[[#This Row],[Italy cumul. Fit]]/Kf</f>
        <v>#VALUE!</v>
      </c>
      <c r="I271" s="96">
        <f>Tabella3[[#This Row],[Lombardy fit]]+Tabella3[[#This Row],[rest of Italy fit]]</f>
        <v>0.29499300948050117</v>
      </c>
      <c r="J271" s="96">
        <f>Tabella3[[#This Row],[Italy (fitted Lombardy + fitted sum of the other regions)]]/(y_l_peak+y_a_peak)</f>
        <v>5.7423994845018535E-5</v>
      </c>
      <c r="K271" s="91">
        <f>IFERROR(Kf*_xlfn.LOGNORM.DIST((Tabella3[[#This Row],[Day]]-D_bk),mu_f,sigma_f,FALSE),0)</f>
        <v>0.16975467939009214</v>
      </c>
      <c r="L271" s="91">
        <f>Tabella3[[#This Row],[Italy fit]]/y_f_peak</f>
        <v>3.353767614571624E-5</v>
      </c>
      <c r="M271" s="10">
        <f>Tabella3[[#This Row],[Italy (fitted Lombardy + fitted sum of the other regions)]]*NOT(ISBLANK(Tabella3[[#This Row],[Italy data]]))</f>
        <v>0</v>
      </c>
      <c r="N271" s="10">
        <f>Tabella3[[#This Row],[Italy fit]]*NOT(ISBLANK(Tabella3[[#This Row],[Italy data]]))</f>
        <v>0</v>
      </c>
      <c r="O271" s="151"/>
      <c r="P271" s="151"/>
      <c r="Q271" s="151"/>
      <c r="R271" s="10"/>
      <c r="S271" s="10">
        <f>Tabella3[[#This Row],[Lombardy data]]*NOT(ISBLANK(Tabella3[[#This Row],[Lombardy data]]))</f>
        <v>0</v>
      </c>
      <c r="T271" s="96" t="e">
        <f>Tabella8[[#This Row],[Lombardy fit]]</f>
        <v>#VALUE!</v>
      </c>
      <c r="U271" s="91" t="e">
        <f>Tabella3[[#This Row],[Lombardy cumul. Fit]]/Kl</f>
        <v>#VALUE!</v>
      </c>
      <c r="V271" s="91">
        <f>IFERROR(Kl*_xlfn.LOGNORM.DIST((Tabella3[[#This Row],[Day]]-pl),mu_l,sigma_l,FALSE),0)</f>
        <v>0.20807650423781732</v>
      </c>
      <c r="W271" s="91">
        <f>Tabella3[[#This Row],[Lombardy fit]]/y_l_peak</f>
        <v>1.1836285156357094E-4</v>
      </c>
      <c r="X271" s="10">
        <f>Tabella3[[#This Row],[Lombardy fit]]*NOT(ISBLANK(Tabella3[[#This Row],[Lombardy data]]))</f>
        <v>0</v>
      </c>
      <c r="Y271" s="151"/>
      <c r="Z271" s="151"/>
      <c r="AA271" s="151"/>
      <c r="AB271" s="10"/>
      <c r="AC271" s="10">
        <f>Tabella3[[#This Row],[rest of Italy data]]*NOT(ISBLANK(Tabella3[[#This Row],[rest of Italy data]]))</f>
        <v>0</v>
      </c>
      <c r="AD271" s="96" t="e">
        <f>Tabella8[[#This Row],[rest of Italy fit]]</f>
        <v>#VALUE!</v>
      </c>
      <c r="AE271" s="91" t="e">
        <f>Tabella3[[#This Row],[rest of Italy cumul. Fit]]/Ka</f>
        <v>#VALUE!</v>
      </c>
      <c r="AF271" s="91">
        <f>IFERROR(Ka*_xlfn.LOGNORM.DIST((Tabella3[[#This Row],[Day]]-pa),mu_a,sigma_a,FALSE),0)</f>
        <v>8.6916505242683836E-2</v>
      </c>
      <c r="AG271" s="91">
        <f>Tabella3[[#This Row],[rest of Italy fit]]/y_a_peak</f>
        <v>2.572141757425933E-5</v>
      </c>
      <c r="AH271" s="10">
        <f>Tabella3[[#This Row],[rest of Italy fit]]*NOT(ISBLANK(Tabella3[[#This Row],[rest of Italy data]]))</f>
        <v>0</v>
      </c>
      <c r="AI271" s="151"/>
      <c r="AJ271" s="151"/>
    </row>
    <row r="272" spans="2:36" x14ac:dyDescent="0.3">
      <c r="B272" s="9">
        <v>44095</v>
      </c>
      <c r="C272" s="4">
        <v>265</v>
      </c>
      <c r="D272" s="151"/>
      <c r="E272" s="10"/>
      <c r="F272" s="10">
        <f>Tabella3[[#This Row],[Italy data]]*NOT(ISBLANK(Tabella3[[#This Row],[Italy data]]))</f>
        <v>0</v>
      </c>
      <c r="G272" s="96" t="e">
        <f>Tabella8[[#This Row],[Italy fit]]</f>
        <v>#VALUE!</v>
      </c>
      <c r="H272" s="96" t="e">
        <f>Tabella3[[#This Row],[Italy cumul. Fit]]/Kf</f>
        <v>#VALUE!</v>
      </c>
      <c r="I272" s="96">
        <f>Tabella3[[#This Row],[Lombardy fit]]+Tabella3[[#This Row],[rest of Italy fit]]</f>
        <v>0.27880906151605978</v>
      </c>
      <c r="J272" s="96">
        <f>Tabella3[[#This Row],[Italy (fitted Lombardy + fitted sum of the other regions)]]/(y_l_peak+y_a_peak)</f>
        <v>5.4273591565568754E-5</v>
      </c>
      <c r="K272" s="91">
        <f>IFERROR(Kf*_xlfn.LOGNORM.DIST((Tabella3[[#This Row],[Day]]-D_bk),mu_f,sigma_f,FALSE),0)</f>
        <v>0.15938716637021433</v>
      </c>
      <c r="L272" s="91">
        <f>Tabella3[[#This Row],[Italy fit]]/y_f_peak</f>
        <v>3.1489412761481945E-5</v>
      </c>
      <c r="M272" s="10">
        <f>Tabella3[[#This Row],[Italy (fitted Lombardy + fitted sum of the other regions)]]*NOT(ISBLANK(Tabella3[[#This Row],[Italy data]]))</f>
        <v>0</v>
      </c>
      <c r="N272" s="10">
        <f>Tabella3[[#This Row],[Italy fit]]*NOT(ISBLANK(Tabella3[[#This Row],[Italy data]]))</f>
        <v>0</v>
      </c>
      <c r="O272" s="151"/>
      <c r="P272" s="151"/>
      <c r="Q272" s="151"/>
      <c r="R272" s="10"/>
      <c r="S272" s="10">
        <f>Tabella3[[#This Row],[Lombardy data]]*NOT(ISBLANK(Tabella3[[#This Row],[Lombardy data]]))</f>
        <v>0</v>
      </c>
      <c r="T272" s="96" t="e">
        <f>Tabella8[[#This Row],[Lombardy fit]]</f>
        <v>#VALUE!</v>
      </c>
      <c r="U272" s="91" t="e">
        <f>Tabella3[[#This Row],[Lombardy cumul. Fit]]/Kl</f>
        <v>#VALUE!</v>
      </c>
      <c r="V272" s="91">
        <f>IFERROR(Kl*_xlfn.LOGNORM.DIST((Tabella3[[#This Row],[Day]]-pl),mu_l,sigma_l,FALSE),0)</f>
        <v>0.19721182632402609</v>
      </c>
      <c r="W272" s="91">
        <f>Tabella3[[#This Row],[Lombardy fit]]/y_l_peak</f>
        <v>1.1218255617699381E-4</v>
      </c>
      <c r="X272" s="10">
        <f>Tabella3[[#This Row],[Lombardy fit]]*NOT(ISBLANK(Tabella3[[#This Row],[Lombardy data]]))</f>
        <v>0</v>
      </c>
      <c r="Y272" s="151"/>
      <c r="Z272" s="151"/>
      <c r="AA272" s="151"/>
      <c r="AB272" s="10"/>
      <c r="AC272" s="10">
        <f>Tabella3[[#This Row],[rest of Italy data]]*NOT(ISBLANK(Tabella3[[#This Row],[rest of Italy data]]))</f>
        <v>0</v>
      </c>
      <c r="AD272" s="96" t="e">
        <f>Tabella8[[#This Row],[rest of Italy fit]]</f>
        <v>#VALUE!</v>
      </c>
      <c r="AE272" s="91" t="e">
        <f>Tabella3[[#This Row],[rest of Italy cumul. Fit]]/Ka</f>
        <v>#VALUE!</v>
      </c>
      <c r="AF272" s="91">
        <f>IFERROR(Ka*_xlfn.LOGNORM.DIST((Tabella3[[#This Row],[Day]]-pa),mu_a,sigma_a,FALSE),0)</f>
        <v>8.1597235192033657E-2</v>
      </c>
      <c r="AG272" s="91">
        <f>Tabella3[[#This Row],[rest of Italy fit]]/y_a_peak</f>
        <v>2.4147272758139474E-5</v>
      </c>
      <c r="AH272" s="10">
        <f>Tabella3[[#This Row],[rest of Italy fit]]*NOT(ISBLANK(Tabella3[[#This Row],[rest of Italy data]]))</f>
        <v>0</v>
      </c>
      <c r="AI272" s="151"/>
      <c r="AJ272" s="151"/>
    </row>
    <row r="273" spans="2:36" x14ac:dyDescent="0.3">
      <c r="B273" s="9">
        <v>44096</v>
      </c>
      <c r="C273" s="4">
        <v>266</v>
      </c>
      <c r="D273" s="151"/>
      <c r="E273" s="10"/>
      <c r="F273" s="10">
        <f>Tabella3[[#This Row],[Italy data]]*NOT(ISBLANK(Tabella3[[#This Row],[Italy data]]))</f>
        <v>0</v>
      </c>
      <c r="G273" s="96" t="e">
        <f>Tabella8[[#This Row],[Italy fit]]</f>
        <v>#VALUE!</v>
      </c>
      <c r="H273" s="96" t="e">
        <f>Tabella3[[#This Row],[Italy cumul. Fit]]/Kf</f>
        <v>#VALUE!</v>
      </c>
      <c r="I273" s="96">
        <f>Tabella3[[#This Row],[Lombardy fit]]+Tabella3[[#This Row],[rest of Italy fit]]</f>
        <v>0.26353820873343858</v>
      </c>
      <c r="J273" s="96">
        <f>Tabella3[[#This Row],[Italy (fitted Lombardy + fitted sum of the other regions)]]/(y_l_peak+y_a_peak)</f>
        <v>5.1300933423558648E-5</v>
      </c>
      <c r="K273" s="91">
        <f>IFERROR(Kf*_xlfn.LOGNORM.DIST((Tabella3[[#This Row],[Day]]-D_bk),mu_f,sigma_f,FALSE),0)</f>
        <v>0.14966456590812116</v>
      </c>
      <c r="L273" s="91">
        <f>Tabella3[[#This Row],[Italy fit]]/y_f_peak</f>
        <v>2.9568561879707054E-5</v>
      </c>
      <c r="M273" s="10">
        <f>Tabella3[[#This Row],[Italy (fitted Lombardy + fitted sum of the other regions)]]*NOT(ISBLANK(Tabella3[[#This Row],[Italy data]]))</f>
        <v>0</v>
      </c>
      <c r="N273" s="10">
        <f>Tabella3[[#This Row],[Italy fit]]*NOT(ISBLANK(Tabella3[[#This Row],[Italy data]]))</f>
        <v>0</v>
      </c>
      <c r="O273" s="151"/>
      <c r="P273" s="151"/>
      <c r="Q273" s="151"/>
      <c r="R273" s="10"/>
      <c r="S273" s="10">
        <f>Tabella3[[#This Row],[Lombardy data]]*NOT(ISBLANK(Tabella3[[#This Row],[Lombardy data]]))</f>
        <v>0</v>
      </c>
      <c r="T273" s="96" t="e">
        <f>Tabella8[[#This Row],[Lombardy fit]]</f>
        <v>#VALUE!</v>
      </c>
      <c r="U273" s="91" t="e">
        <f>Tabella3[[#This Row],[Lombardy cumul. Fit]]/Kl</f>
        <v>#VALUE!</v>
      </c>
      <c r="V273" s="91">
        <f>IFERROR(Kl*_xlfn.LOGNORM.DIST((Tabella3[[#This Row],[Day]]-pl),mu_l,sigma_l,FALSE),0)</f>
        <v>0.1869277834551584</v>
      </c>
      <c r="W273" s="91">
        <f>Tabella3[[#This Row],[Lombardy fit]]/y_l_peak</f>
        <v>1.0633255093964152E-4</v>
      </c>
      <c r="X273" s="10">
        <f>Tabella3[[#This Row],[Lombardy fit]]*NOT(ISBLANK(Tabella3[[#This Row],[Lombardy data]]))</f>
        <v>0</v>
      </c>
      <c r="Y273" s="151"/>
      <c r="Z273" s="151"/>
      <c r="AA273" s="151"/>
      <c r="AB273" s="10"/>
      <c r="AC273" s="10">
        <f>Tabella3[[#This Row],[rest of Italy data]]*NOT(ISBLANK(Tabella3[[#This Row],[rest of Italy data]]))</f>
        <v>0</v>
      </c>
      <c r="AD273" s="96" t="e">
        <f>Tabella8[[#This Row],[rest of Italy fit]]</f>
        <v>#VALUE!</v>
      </c>
      <c r="AE273" s="91" t="e">
        <f>Tabella3[[#This Row],[rest of Italy cumul. Fit]]/Ka</f>
        <v>#VALUE!</v>
      </c>
      <c r="AF273" s="91">
        <f>IFERROR(Ka*_xlfn.LOGNORM.DIST((Tabella3[[#This Row],[Day]]-pa),mu_a,sigma_a,FALSE),0)</f>
        <v>7.6610425278280159E-2</v>
      </c>
      <c r="AG273" s="91">
        <f>Tabella3[[#This Row],[rest of Italy fit]]/y_a_peak</f>
        <v>2.2671513697222713E-5</v>
      </c>
      <c r="AH273" s="10">
        <f>Tabella3[[#This Row],[rest of Italy fit]]*NOT(ISBLANK(Tabella3[[#This Row],[rest of Italy data]]))</f>
        <v>0</v>
      </c>
      <c r="AI273" s="151"/>
      <c r="AJ273" s="151"/>
    </row>
    <row r="274" spans="2:36" x14ac:dyDescent="0.3">
      <c r="B274" s="9">
        <v>44097</v>
      </c>
      <c r="C274" s="4">
        <v>267</v>
      </c>
      <c r="D274" s="151"/>
      <c r="E274" s="10"/>
      <c r="F274" s="10">
        <f>Tabella3[[#This Row],[Italy data]]*NOT(ISBLANK(Tabella3[[#This Row],[Italy data]]))</f>
        <v>0</v>
      </c>
      <c r="G274" s="96" t="e">
        <f>Tabella8[[#This Row],[Italy fit]]</f>
        <v>#VALUE!</v>
      </c>
      <c r="H274" s="96" t="e">
        <f>Tabella3[[#This Row],[Italy cumul. Fit]]/Kf</f>
        <v>#VALUE!</v>
      </c>
      <c r="I274" s="96">
        <f>Tabella3[[#This Row],[Lombardy fit]]+Tabella3[[#This Row],[rest of Italy fit]]</f>
        <v>0.24912756398193603</v>
      </c>
      <c r="J274" s="96">
        <f>Tabella3[[#This Row],[Italy (fitted Lombardy + fitted sum of the other regions)]]/(y_l_peak+y_a_peak)</f>
        <v>4.8495725288691392E-5</v>
      </c>
      <c r="K274" s="91">
        <f>IFERROR(Kf*_xlfn.LOGNORM.DIST((Tabella3[[#This Row],[Day]]-D_bk),mu_f,sigma_f,FALSE),0)</f>
        <v>0.14054608063564339</v>
      </c>
      <c r="L274" s="91">
        <f>Tabella3[[#This Row],[Italy fit]]/y_f_peak</f>
        <v>2.7767063346019555E-5</v>
      </c>
      <c r="M274" s="10">
        <f>Tabella3[[#This Row],[Italy (fitted Lombardy + fitted sum of the other regions)]]*NOT(ISBLANK(Tabella3[[#This Row],[Italy data]]))</f>
        <v>0</v>
      </c>
      <c r="N274" s="10">
        <f>Tabella3[[#This Row],[Italy fit]]*NOT(ISBLANK(Tabella3[[#This Row],[Italy data]]))</f>
        <v>0</v>
      </c>
      <c r="O274" s="151"/>
      <c r="P274" s="151"/>
      <c r="Q274" s="151"/>
      <c r="R274" s="10"/>
      <c r="S274" s="10">
        <f>Tabella3[[#This Row],[Lombardy data]]*NOT(ISBLANK(Tabella3[[#This Row],[Lombardy data]]))</f>
        <v>0</v>
      </c>
      <c r="T274" s="96" t="e">
        <f>Tabella8[[#This Row],[Lombardy fit]]</f>
        <v>#VALUE!</v>
      </c>
      <c r="U274" s="91" t="e">
        <f>Tabella3[[#This Row],[Lombardy cumul. Fit]]/Kl</f>
        <v>#VALUE!</v>
      </c>
      <c r="V274" s="91">
        <f>IFERROR(Kl*_xlfn.LOGNORM.DIST((Tabella3[[#This Row],[Day]]-pl),mu_l,sigma_l,FALSE),0)</f>
        <v>0.17719267864299418</v>
      </c>
      <c r="W274" s="91">
        <f>Tabella3[[#This Row],[Lombardy fit]]/y_l_peak</f>
        <v>1.0079480524337095E-4</v>
      </c>
      <c r="X274" s="10">
        <f>Tabella3[[#This Row],[Lombardy fit]]*NOT(ISBLANK(Tabella3[[#This Row],[Lombardy data]]))</f>
        <v>0</v>
      </c>
      <c r="Y274" s="151"/>
      <c r="Z274" s="151"/>
      <c r="AA274" s="151"/>
      <c r="AB274" s="10"/>
      <c r="AC274" s="10">
        <f>Tabella3[[#This Row],[rest of Italy data]]*NOT(ISBLANK(Tabella3[[#This Row],[rest of Italy data]]))</f>
        <v>0</v>
      </c>
      <c r="AD274" s="96" t="e">
        <f>Tabella8[[#This Row],[rest of Italy fit]]</f>
        <v>#VALUE!</v>
      </c>
      <c r="AE274" s="91" t="e">
        <f>Tabella3[[#This Row],[rest of Italy cumul. Fit]]/Ka</f>
        <v>#VALUE!</v>
      </c>
      <c r="AF274" s="91">
        <f>IFERROR(Ka*_xlfn.LOGNORM.DIST((Tabella3[[#This Row],[Day]]-pa),mu_a,sigma_a,FALSE),0)</f>
        <v>7.1934885338941851E-2</v>
      </c>
      <c r="AG274" s="91">
        <f>Tabella3[[#This Row],[rest of Italy fit]]/y_a_peak</f>
        <v>2.1287869534021952E-5</v>
      </c>
      <c r="AH274" s="10">
        <f>Tabella3[[#This Row],[rest of Italy fit]]*NOT(ISBLANK(Tabella3[[#This Row],[rest of Italy data]]))</f>
        <v>0</v>
      </c>
      <c r="AI274" s="151"/>
      <c r="AJ274" s="151"/>
    </row>
    <row r="275" spans="2:36" x14ac:dyDescent="0.3">
      <c r="B275" s="9">
        <v>44098</v>
      </c>
      <c r="C275" s="4">
        <v>268</v>
      </c>
      <c r="D275" s="151"/>
      <c r="E275" s="10"/>
      <c r="F275" s="10">
        <f>Tabella3[[#This Row],[Italy data]]*NOT(ISBLANK(Tabella3[[#This Row],[Italy data]]))</f>
        <v>0</v>
      </c>
      <c r="G275" s="96" t="e">
        <f>Tabella8[[#This Row],[Italy fit]]</f>
        <v>#VALUE!</v>
      </c>
      <c r="H275" s="96" t="e">
        <f>Tabella3[[#This Row],[Italy cumul. Fit]]/Kf</f>
        <v>#VALUE!</v>
      </c>
      <c r="I275" s="96">
        <f>Tabella3[[#This Row],[Lombardy fit]]+Tabella3[[#This Row],[rest of Italy fit]]</f>
        <v>0.23552737872584503</v>
      </c>
      <c r="J275" s="96">
        <f>Tabella3[[#This Row],[Italy (fitted Lombardy + fitted sum of the other regions)]]/(y_l_peak+y_a_peak)</f>
        <v>4.5848283000440524E-5</v>
      </c>
      <c r="K275" s="91">
        <f>IFERROR(Kf*_xlfn.LOGNORM.DIST((Tabella3[[#This Row],[Day]]-D_bk),mu_f,sigma_f,FALSE),0)</f>
        <v>0.13199353324176377</v>
      </c>
      <c r="L275" s="91">
        <f>Tabella3[[#This Row],[Italy fit]]/y_f_peak</f>
        <v>2.6077374639072692E-5</v>
      </c>
      <c r="M275" s="10">
        <f>Tabella3[[#This Row],[Italy (fitted Lombardy + fitted sum of the other regions)]]*NOT(ISBLANK(Tabella3[[#This Row],[Italy data]]))</f>
        <v>0</v>
      </c>
      <c r="N275" s="10">
        <f>Tabella3[[#This Row],[Italy fit]]*NOT(ISBLANK(Tabella3[[#This Row],[Italy data]]))</f>
        <v>0</v>
      </c>
      <c r="O275" s="151"/>
      <c r="P275" s="151"/>
      <c r="Q275" s="151"/>
      <c r="R275" s="10"/>
      <c r="S275" s="10">
        <f>Tabella3[[#This Row],[Lombardy data]]*NOT(ISBLANK(Tabella3[[#This Row],[Lombardy data]]))</f>
        <v>0</v>
      </c>
      <c r="T275" s="96" t="e">
        <f>Tabella8[[#This Row],[Lombardy fit]]</f>
        <v>#VALUE!</v>
      </c>
      <c r="U275" s="91" t="e">
        <f>Tabella3[[#This Row],[Lombardy cumul. Fit]]/Kl</f>
        <v>#VALUE!</v>
      </c>
      <c r="V275" s="91">
        <f>IFERROR(Kl*_xlfn.LOGNORM.DIST((Tabella3[[#This Row],[Day]]-pl),mu_l,sigma_l,FALSE),0)</f>
        <v>0.1679765784040359</v>
      </c>
      <c r="W275" s="91">
        <f>Tabella3[[#This Row],[Lombardy fit]]/y_l_peak</f>
        <v>9.5552291637259761E-5</v>
      </c>
      <c r="X275" s="10">
        <f>Tabella3[[#This Row],[Lombardy fit]]*NOT(ISBLANK(Tabella3[[#This Row],[Lombardy data]]))</f>
        <v>0</v>
      </c>
      <c r="Y275" s="151"/>
      <c r="Z275" s="151"/>
      <c r="AA275" s="151"/>
      <c r="AB275" s="10"/>
      <c r="AC275" s="10">
        <f>Tabella3[[#This Row],[rest of Italy data]]*NOT(ISBLANK(Tabella3[[#This Row],[rest of Italy data]]))</f>
        <v>0</v>
      </c>
      <c r="AD275" s="96" t="e">
        <f>Tabella8[[#This Row],[rest of Italy fit]]</f>
        <v>#VALUE!</v>
      </c>
      <c r="AE275" s="91" t="e">
        <f>Tabella3[[#This Row],[rest of Italy cumul. Fit]]/Ka</f>
        <v>#VALUE!</v>
      </c>
      <c r="AF275" s="91">
        <f>IFERROR(Ka*_xlfn.LOGNORM.DIST((Tabella3[[#This Row],[Day]]-pa),mu_a,sigma_a,FALSE),0)</f>
        <v>6.7550800321809129E-2</v>
      </c>
      <c r="AG275" s="91">
        <f>Tabella3[[#This Row],[rest of Italy fit]]/y_a_peak</f>
        <v>1.9990476350853023E-5</v>
      </c>
      <c r="AH275" s="10">
        <f>Tabella3[[#This Row],[rest of Italy fit]]*NOT(ISBLANK(Tabella3[[#This Row],[rest of Italy data]]))</f>
        <v>0</v>
      </c>
      <c r="AI275" s="151"/>
      <c r="AJ275" s="151"/>
    </row>
    <row r="276" spans="2:36" x14ac:dyDescent="0.3">
      <c r="B276" s="9">
        <v>44099</v>
      </c>
      <c r="C276" s="4">
        <v>269</v>
      </c>
      <c r="D276" s="151"/>
      <c r="E276" s="10"/>
      <c r="F276" s="10">
        <f>Tabella3[[#This Row],[Italy data]]*NOT(ISBLANK(Tabella3[[#This Row],[Italy data]]))</f>
        <v>0</v>
      </c>
      <c r="G276" s="96" t="e">
        <f>Tabella8[[#This Row],[Italy fit]]</f>
        <v>#VALUE!</v>
      </c>
      <c r="H276" s="96" t="e">
        <f>Tabella3[[#This Row],[Italy cumul. Fit]]/Kf</f>
        <v>#VALUE!</v>
      </c>
      <c r="I276" s="96">
        <f>Tabella3[[#This Row],[Lombardy fit]]+Tabella3[[#This Row],[rest of Italy fit]]</f>
        <v>0.22269085262524568</v>
      </c>
      <c r="J276" s="96">
        <f>Tabella3[[#This Row],[Italy (fitted Lombardy + fitted sum of the other regions)]]/(y_l_peak+y_a_peak)</f>
        <v>4.3349496300623876E-5</v>
      </c>
      <c r="K276" s="91">
        <f>IFERROR(Kf*_xlfn.LOGNORM.DIST((Tabella3[[#This Row],[Day]]-D_bk),mu_f,sigma_f,FALSE),0)</f>
        <v>0.1239711959992973</v>
      </c>
      <c r="L276" s="91">
        <f>Tabella3[[#This Row],[Italy fit]]/y_f_peak</f>
        <v>2.4492437190890266E-5</v>
      </c>
      <c r="M276" s="10">
        <f>Tabella3[[#This Row],[Italy (fitted Lombardy + fitted sum of the other regions)]]*NOT(ISBLANK(Tabella3[[#This Row],[Italy data]]))</f>
        <v>0</v>
      </c>
      <c r="N276" s="10">
        <f>Tabella3[[#This Row],[Italy fit]]*NOT(ISBLANK(Tabella3[[#This Row],[Italy data]]))</f>
        <v>0</v>
      </c>
      <c r="O276" s="151"/>
      <c r="P276" s="151"/>
      <c r="Q276" s="151"/>
      <c r="R276" s="10"/>
      <c r="S276" s="10">
        <f>Tabella3[[#This Row],[Lombardy data]]*NOT(ISBLANK(Tabella3[[#This Row],[Lombardy data]]))</f>
        <v>0</v>
      </c>
      <c r="T276" s="96" t="e">
        <f>Tabella8[[#This Row],[Lombardy fit]]</f>
        <v>#VALUE!</v>
      </c>
      <c r="U276" s="91" t="e">
        <f>Tabella3[[#This Row],[Lombardy cumul. Fit]]/Kl</f>
        <v>#VALUE!</v>
      </c>
      <c r="V276" s="91">
        <f>IFERROR(Kl*_xlfn.LOGNORM.DIST((Tabella3[[#This Row],[Day]]-pl),mu_l,sigma_l,FALSE),0)</f>
        <v>0.15925121303004147</v>
      </c>
      <c r="W276" s="91">
        <f>Tabella3[[#This Row],[Lombardy fit]]/y_l_peak</f>
        <v>9.0588929097202623E-5</v>
      </c>
      <c r="X276" s="10">
        <f>Tabella3[[#This Row],[Lombardy fit]]*NOT(ISBLANK(Tabella3[[#This Row],[Lombardy data]]))</f>
        <v>0</v>
      </c>
      <c r="Y276" s="151"/>
      <c r="Z276" s="151"/>
      <c r="AA276" s="151"/>
      <c r="AB276" s="10"/>
      <c r="AC276" s="10">
        <f>Tabella3[[#This Row],[rest of Italy data]]*NOT(ISBLANK(Tabella3[[#This Row],[rest of Italy data]]))</f>
        <v>0</v>
      </c>
      <c r="AD276" s="96" t="e">
        <f>Tabella8[[#This Row],[rest of Italy fit]]</f>
        <v>#VALUE!</v>
      </c>
      <c r="AE276" s="91" t="e">
        <f>Tabella3[[#This Row],[rest of Italy cumul. Fit]]/Ka</f>
        <v>#VALUE!</v>
      </c>
      <c r="AF276" s="91">
        <f>IFERROR(Ka*_xlfn.LOGNORM.DIST((Tabella3[[#This Row],[Day]]-pa),mu_a,sigma_a,FALSE),0)</f>
        <v>6.3439639595204197E-2</v>
      </c>
      <c r="AG276" s="91">
        <f>Tabella3[[#This Row],[rest of Italy fit]]/y_a_peak</f>
        <v>1.8773850331794325E-5</v>
      </c>
      <c r="AH276" s="10">
        <f>Tabella3[[#This Row],[rest of Italy fit]]*NOT(ISBLANK(Tabella3[[#This Row],[rest of Italy data]]))</f>
        <v>0</v>
      </c>
      <c r="AI276" s="151"/>
      <c r="AJ276" s="151"/>
    </row>
    <row r="277" spans="2:36" x14ac:dyDescent="0.3">
      <c r="B277" s="9">
        <v>44100</v>
      </c>
      <c r="C277" s="4">
        <v>270</v>
      </c>
      <c r="D277" s="151"/>
      <c r="E277" s="10"/>
      <c r="F277" s="10">
        <f>Tabella3[[#This Row],[Italy data]]*NOT(ISBLANK(Tabella3[[#This Row],[Italy data]]))</f>
        <v>0</v>
      </c>
      <c r="G277" s="96" t="e">
        <f>Tabella8[[#This Row],[Italy fit]]</f>
        <v>#VALUE!</v>
      </c>
      <c r="H277" s="96" t="e">
        <f>Tabella3[[#This Row],[Italy cumul. Fit]]/Kf</f>
        <v>#VALUE!</v>
      </c>
      <c r="I277" s="96">
        <f>Tabella3[[#This Row],[Lombardy fit]]+Tabella3[[#This Row],[rest of Italy fit]]</f>
        <v>0.21057395489662628</v>
      </c>
      <c r="J277" s="96">
        <f>Tabella3[[#This Row],[Italy (fitted Lombardy + fitted sum of the other regions)]]/(y_l_peak+y_a_peak)</f>
        <v>4.0990794059065001E-5</v>
      </c>
      <c r="K277" s="91">
        <f>IFERROR(Kf*_xlfn.LOGNORM.DIST((Tabella3[[#This Row],[Day]]-D_bk),mu_f,sigma_f,FALSE),0)</f>
        <v>0.11644563150187311</v>
      </c>
      <c r="L277" s="91">
        <f>Tabella3[[#This Row],[Italy fit]]/y_f_peak</f>
        <v>2.3005644921981281E-5</v>
      </c>
      <c r="M277" s="10">
        <f>Tabella3[[#This Row],[Italy (fitted Lombardy + fitted sum of the other regions)]]*NOT(ISBLANK(Tabella3[[#This Row],[Italy data]]))</f>
        <v>0</v>
      </c>
      <c r="N277" s="10">
        <f>Tabella3[[#This Row],[Italy fit]]*NOT(ISBLANK(Tabella3[[#This Row],[Italy data]]))</f>
        <v>0</v>
      </c>
      <c r="O277" s="151"/>
      <c r="P277" s="151"/>
      <c r="Q277" s="151"/>
      <c r="R277" s="10"/>
      <c r="S277" s="10">
        <f>Tabella3[[#This Row],[Lombardy data]]*NOT(ISBLANK(Tabella3[[#This Row],[Lombardy data]]))</f>
        <v>0</v>
      </c>
      <c r="T277" s="96" t="e">
        <f>Tabella8[[#This Row],[Lombardy fit]]</f>
        <v>#VALUE!</v>
      </c>
      <c r="U277" s="91" t="e">
        <f>Tabella3[[#This Row],[Lombardy cumul. Fit]]/Kl</f>
        <v>#VALUE!</v>
      </c>
      <c r="V277" s="91">
        <f>IFERROR(Kl*_xlfn.LOGNORM.DIST((Tabella3[[#This Row],[Day]]-pl),mu_l,sigma_l,FALSE),0)</f>
        <v>0.15098988257272769</v>
      </c>
      <c r="W277" s="91">
        <f>Tabella3[[#This Row],[Lombardy fit]]/y_l_peak</f>
        <v>8.5889529545972939E-5</v>
      </c>
      <c r="X277" s="10">
        <f>Tabella3[[#This Row],[Lombardy fit]]*NOT(ISBLANK(Tabella3[[#This Row],[Lombardy data]]))</f>
        <v>0</v>
      </c>
      <c r="Y277" s="151"/>
      <c r="Z277" s="151"/>
      <c r="AA277" s="151"/>
      <c r="AB277" s="10"/>
      <c r="AC277" s="10">
        <f>Tabella3[[#This Row],[rest of Italy data]]*NOT(ISBLANK(Tabella3[[#This Row],[rest of Italy data]]))</f>
        <v>0</v>
      </c>
      <c r="AD277" s="96" t="e">
        <f>Tabella8[[#This Row],[rest of Italy fit]]</f>
        <v>#VALUE!</v>
      </c>
      <c r="AE277" s="91" t="e">
        <f>Tabella3[[#This Row],[rest of Italy cumul. Fit]]/Ka</f>
        <v>#VALUE!</v>
      </c>
      <c r="AF277" s="91">
        <f>IFERROR(Ka*_xlfn.LOGNORM.DIST((Tabella3[[#This Row],[Day]]-pa),mu_a,sigma_a,FALSE),0)</f>
        <v>5.9584072323898604E-2</v>
      </c>
      <c r="AG277" s="91">
        <f>Tabella3[[#This Row],[rest of Italy fit]]/y_a_peak</f>
        <v>1.7632862719671641E-5</v>
      </c>
      <c r="AH277" s="10">
        <f>Tabella3[[#This Row],[rest of Italy fit]]*NOT(ISBLANK(Tabella3[[#This Row],[rest of Italy data]]))</f>
        <v>0</v>
      </c>
      <c r="AI277" s="151"/>
      <c r="AJ277" s="151"/>
    </row>
    <row r="278" spans="2:36" x14ac:dyDescent="0.3">
      <c r="B278" s="9">
        <v>44101</v>
      </c>
      <c r="C278" s="4">
        <v>271</v>
      </c>
      <c r="D278" s="151"/>
      <c r="E278" s="10"/>
      <c r="F278" s="10">
        <f>Tabella3[[#This Row],[Italy data]]*NOT(ISBLANK(Tabella3[[#This Row],[Italy data]]))</f>
        <v>0</v>
      </c>
      <c r="G278" s="96" t="e">
        <f>Tabella8[[#This Row],[Italy fit]]</f>
        <v>#VALUE!</v>
      </c>
      <c r="H278" s="96" t="e">
        <f>Tabella3[[#This Row],[Italy cumul. Fit]]/Kf</f>
        <v>#VALUE!</v>
      </c>
      <c r="I278" s="96">
        <f>Tabella3[[#This Row],[Lombardy fit]]+Tabella3[[#This Row],[rest of Italy fit]]</f>
        <v>0.1991352567125482</v>
      </c>
      <c r="J278" s="96">
        <f>Tabella3[[#This Row],[Italy (fitted Lombardy + fitted sum of the other regions)]]/(y_l_peak+y_a_peak)</f>
        <v>3.8764111648139461E-5</v>
      </c>
      <c r="K278" s="91">
        <f>IFERROR(Kf*_xlfn.LOGNORM.DIST((Tabella3[[#This Row],[Day]]-D_bk),mu_f,sigma_f,FALSE),0)</f>
        <v>0.10938554386836652</v>
      </c>
      <c r="L278" s="91">
        <f>Tabella3[[#This Row],[Italy fit]]/y_f_peak</f>
        <v>2.1610814844462133E-5</v>
      </c>
      <c r="M278" s="10">
        <f>Tabella3[[#This Row],[Italy (fitted Lombardy + fitted sum of the other regions)]]*NOT(ISBLANK(Tabella3[[#This Row],[Italy data]]))</f>
        <v>0</v>
      </c>
      <c r="N278" s="10">
        <f>Tabella3[[#This Row],[Italy fit]]*NOT(ISBLANK(Tabella3[[#This Row],[Italy data]]))</f>
        <v>0</v>
      </c>
      <c r="O278" s="151"/>
      <c r="P278" s="151"/>
      <c r="Q278" s="151"/>
      <c r="R278" s="10"/>
      <c r="S278" s="10">
        <f>Tabella3[[#This Row],[Lombardy data]]*NOT(ISBLANK(Tabella3[[#This Row],[Lombardy data]]))</f>
        <v>0</v>
      </c>
      <c r="T278" s="96" t="e">
        <f>Tabella8[[#This Row],[Lombardy fit]]</f>
        <v>#VALUE!</v>
      </c>
      <c r="U278" s="91" t="e">
        <f>Tabella3[[#This Row],[Lombardy cumul. Fit]]/Kl</f>
        <v>#VALUE!</v>
      </c>
      <c r="V278" s="91">
        <f>IFERROR(Kl*_xlfn.LOGNORM.DIST((Tabella3[[#This Row],[Day]]-pl),mu_l,sigma_l,FALSE),0)</f>
        <v>0.1431673682122748</v>
      </c>
      <c r="W278" s="91">
        <f>Tabella3[[#This Row],[Lombardy fit]]/y_l_peak</f>
        <v>8.1439747435821993E-5</v>
      </c>
      <c r="X278" s="10">
        <f>Tabella3[[#This Row],[Lombardy fit]]*NOT(ISBLANK(Tabella3[[#This Row],[Lombardy data]]))</f>
        <v>0</v>
      </c>
      <c r="Y278" s="151"/>
      <c r="Z278" s="151"/>
      <c r="AA278" s="151"/>
      <c r="AB278" s="10"/>
      <c r="AC278" s="10">
        <f>Tabella3[[#This Row],[rest of Italy data]]*NOT(ISBLANK(Tabella3[[#This Row],[rest of Italy data]]))</f>
        <v>0</v>
      </c>
      <c r="AD278" s="96" t="e">
        <f>Tabella8[[#This Row],[rest of Italy fit]]</f>
        <v>#VALUE!</v>
      </c>
      <c r="AE278" s="91" t="e">
        <f>Tabella3[[#This Row],[rest of Italy cumul. Fit]]/Ka</f>
        <v>#VALUE!</v>
      </c>
      <c r="AF278" s="91">
        <f>IFERROR(Ka*_xlfn.LOGNORM.DIST((Tabella3[[#This Row],[Day]]-pa),mu_a,sigma_a,FALSE),0)</f>
        <v>5.5967888500273393E-2</v>
      </c>
      <c r="AG278" s="91">
        <f>Tabella3[[#This Row],[rest of Italy fit]]/y_a_peak</f>
        <v>1.6562716446612931E-5</v>
      </c>
      <c r="AH278" s="10">
        <f>Tabella3[[#This Row],[rest of Italy fit]]*NOT(ISBLANK(Tabella3[[#This Row],[rest of Italy data]]))</f>
        <v>0</v>
      </c>
      <c r="AI278" s="151"/>
      <c r="AJ278" s="151"/>
    </row>
    <row r="279" spans="2:36" x14ac:dyDescent="0.3">
      <c r="B279" s="9">
        <v>44102</v>
      </c>
      <c r="C279" s="4">
        <v>272</v>
      </c>
      <c r="D279" s="151"/>
      <c r="E279" s="10"/>
      <c r="F279" s="10">
        <f>Tabella3[[#This Row],[Italy data]]*NOT(ISBLANK(Tabella3[[#This Row],[Italy data]]))</f>
        <v>0</v>
      </c>
      <c r="G279" s="96" t="e">
        <f>Tabella8[[#This Row],[Italy fit]]</f>
        <v>#VALUE!</v>
      </c>
      <c r="H279" s="96" t="e">
        <f>Tabella3[[#This Row],[Italy cumul. Fit]]/Kf</f>
        <v>#VALUE!</v>
      </c>
      <c r="I279" s="96">
        <f>Tabella3[[#This Row],[Lombardy fit]]+Tabella3[[#This Row],[rest of Italy fit]]</f>
        <v>0.18833577394682141</v>
      </c>
      <c r="J279" s="96">
        <f>Tabella3[[#This Row],[Italy (fitted Lombardy + fitted sum of the other regions)]]/(y_l_peak+y_a_peak)</f>
        <v>3.6661860331201212E-5</v>
      </c>
      <c r="K279" s="91">
        <f>IFERROR(Kf*_xlfn.LOGNORM.DIST((Tabella3[[#This Row],[Day]]-D_bk),mu_f,sigma_f,FALSE),0)</f>
        <v>0.10276163972137276</v>
      </c>
      <c r="L279" s="91">
        <f>Tabella3[[#This Row],[Italy fit]]/y_f_peak</f>
        <v>2.0302159596192673E-5</v>
      </c>
      <c r="M279" s="10">
        <f>Tabella3[[#This Row],[Italy (fitted Lombardy + fitted sum of the other regions)]]*NOT(ISBLANK(Tabella3[[#This Row],[Italy data]]))</f>
        <v>0</v>
      </c>
      <c r="N279" s="10">
        <f>Tabella3[[#This Row],[Italy fit]]*NOT(ISBLANK(Tabella3[[#This Row],[Italy data]]))</f>
        <v>0</v>
      </c>
      <c r="O279" s="151"/>
      <c r="P279" s="151"/>
      <c r="Q279" s="151"/>
      <c r="R279" s="10"/>
      <c r="S279" s="10">
        <f>Tabella3[[#This Row],[Lombardy data]]*NOT(ISBLANK(Tabella3[[#This Row],[Lombardy data]]))</f>
        <v>0</v>
      </c>
      <c r="T279" s="96" t="e">
        <f>Tabella8[[#This Row],[Lombardy fit]]</f>
        <v>#VALUE!</v>
      </c>
      <c r="U279" s="91" t="e">
        <f>Tabella3[[#This Row],[Lombardy cumul. Fit]]/Kl</f>
        <v>#VALUE!</v>
      </c>
      <c r="V279" s="91">
        <f>IFERROR(Kl*_xlfn.LOGNORM.DIST((Tabella3[[#This Row],[Day]]-pl),mu_l,sigma_l,FALSE),0)</f>
        <v>0.13575984869846613</v>
      </c>
      <c r="W279" s="91">
        <f>Tabella3[[#This Row],[Lombardy fit]]/y_l_peak</f>
        <v>7.7226032216610627E-5</v>
      </c>
      <c r="X279" s="10">
        <f>Tabella3[[#This Row],[Lombardy fit]]*NOT(ISBLANK(Tabella3[[#This Row],[Lombardy data]]))</f>
        <v>0</v>
      </c>
      <c r="Y279" s="151"/>
      <c r="Z279" s="151"/>
      <c r="AA279" s="151"/>
      <c r="AB279" s="10"/>
      <c r="AC279" s="10">
        <f>Tabella3[[#This Row],[rest of Italy data]]*NOT(ISBLANK(Tabella3[[#This Row],[rest of Italy data]]))</f>
        <v>0</v>
      </c>
      <c r="AD279" s="96" t="e">
        <f>Tabella8[[#This Row],[rest of Italy fit]]</f>
        <v>#VALUE!</v>
      </c>
      <c r="AE279" s="91" t="e">
        <f>Tabella3[[#This Row],[rest of Italy cumul. Fit]]/Ka</f>
        <v>#VALUE!</v>
      </c>
      <c r="AF279" s="91">
        <f>IFERROR(Ka*_xlfn.LOGNORM.DIST((Tabella3[[#This Row],[Day]]-pa),mu_a,sigma_a,FALSE),0)</f>
        <v>5.2575925248355283E-2</v>
      </c>
      <c r="AG279" s="91">
        <f>Tabella3[[#This Row],[rest of Italy fit]]/y_a_peak</f>
        <v>1.5558924325018485E-5</v>
      </c>
      <c r="AH279" s="10">
        <f>Tabella3[[#This Row],[rest of Italy fit]]*NOT(ISBLANK(Tabella3[[#This Row],[rest of Italy data]]))</f>
        <v>0</v>
      </c>
      <c r="AI279" s="151"/>
      <c r="AJ279" s="151"/>
    </row>
    <row r="280" spans="2:36" x14ac:dyDescent="0.3">
      <c r="B280" s="9">
        <v>44103</v>
      </c>
      <c r="C280" s="4">
        <v>273</v>
      </c>
      <c r="D280" s="151"/>
      <c r="E280" s="10"/>
      <c r="F280" s="10">
        <f>Tabella3[[#This Row],[Italy data]]*NOT(ISBLANK(Tabella3[[#This Row],[Italy data]]))</f>
        <v>0</v>
      </c>
      <c r="G280" s="96" t="e">
        <f>Tabella8[[#This Row],[Italy fit]]</f>
        <v>#VALUE!</v>
      </c>
      <c r="H280" s="96" t="e">
        <f>Tabella3[[#This Row],[Italy cumul. Fit]]/Kf</f>
        <v>#VALUE!</v>
      </c>
      <c r="I280" s="96">
        <f>Tabella3[[#This Row],[Lombardy fit]]+Tabella3[[#This Row],[rest of Italy fit]]</f>
        <v>0.17813881961571956</v>
      </c>
      <c r="J280" s="96">
        <f>Tabella3[[#This Row],[Italy (fitted Lombardy + fitted sum of the other regions)]]/(y_l_peak+y_a_peak)</f>
        <v>3.4676898538461556E-5</v>
      </c>
      <c r="K280" s="91">
        <f>IFERROR(Kf*_xlfn.LOGNORM.DIST((Tabella3[[#This Row],[Day]]-D_bk),mu_f,sigma_f,FALSE),0)</f>
        <v>9.6546498292411825E-2</v>
      </c>
      <c r="L280" s="91">
        <f>Tabella3[[#This Row],[Italy fit]]/y_f_peak</f>
        <v>1.9074261778039909E-5</v>
      </c>
      <c r="M280" s="10">
        <f>Tabella3[[#This Row],[Italy (fitted Lombardy + fitted sum of the other regions)]]*NOT(ISBLANK(Tabella3[[#This Row],[Italy data]]))</f>
        <v>0</v>
      </c>
      <c r="N280" s="10">
        <f>Tabella3[[#This Row],[Italy fit]]*NOT(ISBLANK(Tabella3[[#This Row],[Italy data]]))</f>
        <v>0</v>
      </c>
      <c r="O280" s="151"/>
      <c r="P280" s="151"/>
      <c r="Q280" s="151"/>
      <c r="R280" s="10"/>
      <c r="S280" s="10">
        <f>Tabella3[[#This Row],[Lombardy data]]*NOT(ISBLANK(Tabella3[[#This Row],[Lombardy data]]))</f>
        <v>0</v>
      </c>
      <c r="T280" s="96" t="e">
        <f>Tabella8[[#This Row],[Lombardy fit]]</f>
        <v>#VALUE!</v>
      </c>
      <c r="U280" s="91" t="e">
        <f>Tabella3[[#This Row],[Lombardy cumul. Fit]]/Kl</f>
        <v>#VALUE!</v>
      </c>
      <c r="V280" s="91">
        <f>IFERROR(Kl*_xlfn.LOGNORM.DIST((Tabella3[[#This Row],[Day]]-pl),mu_l,sigma_l,FALSE),0)</f>
        <v>0.12874482157130396</v>
      </c>
      <c r="W280" s="91">
        <f>Tabella3[[#This Row],[Lombardy fit]]/y_l_peak</f>
        <v>7.3235583522712327E-5</v>
      </c>
      <c r="X280" s="10">
        <f>Tabella3[[#This Row],[Lombardy fit]]*NOT(ISBLANK(Tabella3[[#This Row],[Lombardy data]]))</f>
        <v>0</v>
      </c>
      <c r="Y280" s="151"/>
      <c r="Z280" s="151"/>
      <c r="AA280" s="151"/>
      <c r="AB280" s="10"/>
      <c r="AC280" s="10">
        <f>Tabella3[[#This Row],[rest of Italy data]]*NOT(ISBLANK(Tabella3[[#This Row],[rest of Italy data]]))</f>
        <v>0</v>
      </c>
      <c r="AD280" s="96" t="e">
        <f>Tabella8[[#This Row],[rest of Italy fit]]</f>
        <v>#VALUE!</v>
      </c>
      <c r="AE280" s="91" t="e">
        <f>Tabella3[[#This Row],[rest of Italy cumul. Fit]]/Ka</f>
        <v>#VALUE!</v>
      </c>
      <c r="AF280" s="91">
        <f>IFERROR(Ka*_xlfn.LOGNORM.DIST((Tabella3[[#This Row],[Day]]-pa),mu_a,sigma_a,FALSE),0)</f>
        <v>4.9393998044415605E-2</v>
      </c>
      <c r="AG280" s="91">
        <f>Tabella3[[#This Row],[rest of Italy fit]]/y_a_peak</f>
        <v>1.4617288693501687E-5</v>
      </c>
      <c r="AH280" s="10">
        <f>Tabella3[[#This Row],[rest of Italy fit]]*NOT(ISBLANK(Tabella3[[#This Row],[rest of Italy data]]))</f>
        <v>0</v>
      </c>
      <c r="AI280" s="151"/>
      <c r="AJ280" s="151"/>
    </row>
    <row r="281" spans="2:36" x14ac:dyDescent="0.3">
      <c r="B281" s="9">
        <v>44104</v>
      </c>
      <c r="C281" s="4">
        <v>274</v>
      </c>
      <c r="D281" s="151"/>
      <c r="E281" s="10"/>
      <c r="F281" s="10">
        <f>Tabella3[[#This Row],[Italy data]]*NOT(ISBLANK(Tabella3[[#This Row],[Italy data]]))</f>
        <v>0</v>
      </c>
      <c r="G281" s="96" t="e">
        <f>Tabella8[[#This Row],[Italy fit]]</f>
        <v>#VALUE!</v>
      </c>
      <c r="H281" s="96" t="e">
        <f>Tabella3[[#This Row],[Italy cumul. Fit]]/Kf</f>
        <v>#VALUE!</v>
      </c>
      <c r="I281" s="96">
        <f>Tabella3[[#This Row],[Lombardy fit]]+Tabella3[[#This Row],[rest of Italy fit]]</f>
        <v>0.1685098654071274</v>
      </c>
      <c r="J281" s="96">
        <f>Tabella3[[#This Row],[Italy (fitted Lombardy + fitted sum of the other regions)]]/(y_l_peak+y_a_peak)</f>
        <v>3.280250491194525E-5</v>
      </c>
      <c r="K281" s="91">
        <f>IFERROR(Kf*_xlfn.LOGNORM.DIST((Tabella3[[#This Row],[Day]]-D_bk),mu_f,sigma_f,FALSE),0)</f>
        <v>9.0714450049629761E-2</v>
      </c>
      <c r="L281" s="91">
        <f>Tabella3[[#This Row],[Italy fit]]/y_f_peak</f>
        <v>1.7922049974893387E-5</v>
      </c>
      <c r="M281" s="10">
        <f>Tabella3[[#This Row],[Italy (fitted Lombardy + fitted sum of the other regions)]]*NOT(ISBLANK(Tabella3[[#This Row],[Italy data]]))</f>
        <v>0</v>
      </c>
      <c r="N281" s="10">
        <f>Tabella3[[#This Row],[Italy fit]]*NOT(ISBLANK(Tabella3[[#This Row],[Italy data]]))</f>
        <v>0</v>
      </c>
      <c r="O281" s="151"/>
      <c r="P281" s="151"/>
      <c r="Q281" s="151"/>
      <c r="R281" s="10"/>
      <c r="S281" s="10">
        <f>Tabella3[[#This Row],[Lombardy data]]*NOT(ISBLANK(Tabella3[[#This Row],[Lombardy data]]))</f>
        <v>0</v>
      </c>
      <c r="T281" s="96" t="e">
        <f>Tabella8[[#This Row],[Lombardy fit]]</f>
        <v>#VALUE!</v>
      </c>
      <c r="U281" s="91" t="e">
        <f>Tabella3[[#This Row],[Lombardy cumul. Fit]]/Kl</f>
        <v>#VALUE!</v>
      </c>
      <c r="V281" s="91">
        <f>IFERROR(Kl*_xlfn.LOGNORM.DIST((Tabella3[[#This Row],[Day]]-pl),mu_l,sigma_l,FALSE),0)</f>
        <v>0.12210102888501577</v>
      </c>
      <c r="W281" s="91">
        <f>Tabella3[[#This Row],[Lombardy fit]]/y_l_peak</f>
        <v>6.945630892163825E-5</v>
      </c>
      <c r="X281" s="10">
        <f>Tabella3[[#This Row],[Lombardy fit]]*NOT(ISBLANK(Tabella3[[#This Row],[Lombardy data]]))</f>
        <v>0</v>
      </c>
      <c r="Y281" s="151"/>
      <c r="Z281" s="151"/>
      <c r="AA281" s="151"/>
      <c r="AB281" s="10"/>
      <c r="AC281" s="10">
        <f>Tabella3[[#This Row],[rest of Italy data]]*NOT(ISBLANK(Tabella3[[#This Row],[rest of Italy data]]))</f>
        <v>0</v>
      </c>
      <c r="AD281" s="96" t="e">
        <f>Tabella8[[#This Row],[rest of Italy fit]]</f>
        <v>#VALUE!</v>
      </c>
      <c r="AE281" s="91" t="e">
        <f>Tabella3[[#This Row],[rest of Italy cumul. Fit]]/Ka</f>
        <v>#VALUE!</v>
      </c>
      <c r="AF281" s="91">
        <f>IFERROR(Ka*_xlfn.LOGNORM.DIST((Tabella3[[#This Row],[Day]]-pa),mu_a,sigma_a,FALSE),0)</f>
        <v>4.6408836522111627E-2</v>
      </c>
      <c r="AG281" s="91">
        <f>Tabella3[[#This Row],[rest of Italy fit]]/y_a_peak</f>
        <v>1.3733882419544814E-5</v>
      </c>
      <c r="AH281" s="10">
        <f>Tabella3[[#This Row],[rest of Italy fit]]*NOT(ISBLANK(Tabella3[[#This Row],[rest of Italy data]]))</f>
        <v>0</v>
      </c>
      <c r="AI281" s="151"/>
      <c r="AJ281" s="151"/>
    </row>
  </sheetData>
  <mergeCells count="14">
    <mergeCell ref="AZ8:AZ17"/>
    <mergeCell ref="B2:F2"/>
    <mergeCell ref="F3:F6"/>
    <mergeCell ref="AO3:AS3"/>
    <mergeCell ref="B4:E4"/>
    <mergeCell ref="B5:E5"/>
    <mergeCell ref="AO4:AS4"/>
    <mergeCell ref="AO5:AS5"/>
    <mergeCell ref="K3:N6"/>
    <mergeCell ref="AO6:AS6"/>
    <mergeCell ref="O5:S5"/>
    <mergeCell ref="O6:S6"/>
    <mergeCell ref="X5:AB5"/>
    <mergeCell ref="X6:AB6"/>
  </mergeCells>
  <phoneticPr fontId="25" type="noConversion"/>
  <conditionalFormatting sqref="K8:K281">
    <cfRule type="top10" dxfId="8" priority="4" rank="1"/>
    <cfRule type="cellIs" dxfId="7" priority="7" operator="lessThan">
      <formula>0.5</formula>
    </cfRule>
  </conditionalFormatting>
  <conditionalFormatting sqref="V8:V95 V97:V281">
    <cfRule type="cellIs" dxfId="6" priority="6" operator="lessThan">
      <formula>0.5</formula>
    </cfRule>
  </conditionalFormatting>
  <conditionalFormatting sqref="AF8:AF281">
    <cfRule type="top10" dxfId="5" priority="1" rank="1"/>
    <cfRule type="cellIs" dxfId="4" priority="5" operator="lessThan">
      <formula>0.5</formula>
    </cfRule>
  </conditionalFormatting>
  <conditionalFormatting sqref="V8:V95 V97:V281">
    <cfRule type="top10" dxfId="3" priority="2" rank="1"/>
  </conditionalFormatting>
  <pageMargins left="0.7" right="0.7" top="0.75" bottom="0.75" header="0.3" footer="0.3"/>
  <pageSetup paperSize="9" orientation="portrait" r:id="rId1"/>
  <drawing r:id="rId2"/>
  <legacyDrawing r:id="rId3"/>
  <tableParts count="5">
    <tablePart r:id="rId4"/>
    <tablePart r:id="rId5"/>
    <tablePart r:id="rId6"/>
    <tablePart r:id="rId7"/>
    <tablePart r:id="rId8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96B48-FDBB-41B9-A563-AC5964F17FDE}">
  <dimension ref="B2:CM185"/>
  <sheetViews>
    <sheetView zoomScale="85" zoomScaleNormal="85" workbookViewId="0">
      <selection activeCell="AB1" sqref="AB1:AB1048576"/>
    </sheetView>
  </sheetViews>
  <sheetFormatPr defaultRowHeight="14.4" x14ac:dyDescent="0.3"/>
  <cols>
    <col min="1" max="1" width="2.77734375" style="123" customWidth="1"/>
    <col min="2" max="2" width="15.109375" style="123" bestFit="1" customWidth="1"/>
    <col min="3" max="3" width="14" style="123" bestFit="1" customWidth="1"/>
    <col min="4" max="4" width="13.44140625" style="123" customWidth="1"/>
    <col min="5" max="6" width="16.33203125" style="123" customWidth="1"/>
    <col min="7" max="7" width="20.109375" style="123" customWidth="1"/>
    <col min="8" max="8" width="19.88671875" style="123" customWidth="1"/>
    <col min="9" max="9" width="19.88671875" style="160" customWidth="1"/>
    <col min="10" max="10" width="19.88671875" style="260" customWidth="1"/>
    <col min="11" max="11" width="19.88671875" style="123" customWidth="1"/>
    <col min="12" max="12" width="19.6640625" style="123" bestFit="1" customWidth="1"/>
    <col min="13" max="13" width="19.6640625" style="123" customWidth="1"/>
    <col min="14" max="14" width="19.6640625" style="160" customWidth="1"/>
    <col min="15" max="15" width="19.6640625" style="178" hidden="1" customWidth="1"/>
    <col min="16" max="16" width="19.6640625" style="160" customWidth="1"/>
    <col min="17" max="17" width="19.6640625" style="178" hidden="1" customWidth="1"/>
    <col min="18" max="19" width="19.6640625" style="260" hidden="1" customWidth="1"/>
    <col min="20" max="20" width="11.33203125" style="260" hidden="1" customWidth="1"/>
    <col min="21" max="22" width="13" style="260" hidden="1" customWidth="1"/>
    <col min="23" max="23" width="13" style="260" customWidth="1"/>
    <col min="24" max="24" width="19.6640625" style="178" customWidth="1"/>
    <col min="25" max="25" width="19.6640625" style="260" customWidth="1"/>
    <col min="26" max="26" width="19.6640625" style="123" customWidth="1"/>
    <col min="27" max="27" width="19.6640625" style="260" customWidth="1"/>
    <col min="28" max="28" width="19.6640625" style="123" customWidth="1"/>
    <col min="29" max="30" width="14" style="123" customWidth="1"/>
    <col min="31" max="31" width="21.88671875" style="123" customWidth="1"/>
    <col min="32" max="32" width="20.33203125" style="123" customWidth="1"/>
    <col min="33" max="33" width="16.109375" style="123" bestFit="1" customWidth="1"/>
    <col min="34" max="34" width="20.6640625" style="123" bestFit="1" customWidth="1"/>
    <col min="35" max="35" width="20.6640625" style="123" customWidth="1"/>
    <col min="36" max="36" width="20.5546875" style="123" customWidth="1"/>
    <col min="37" max="37" width="21.109375" style="123" customWidth="1"/>
    <col min="38" max="38" width="15.44140625" style="160" customWidth="1"/>
    <col min="39" max="39" width="13.44140625" style="123" customWidth="1"/>
    <col min="40" max="41" width="13.44140625" style="160" customWidth="1"/>
    <col min="42" max="42" width="13.44140625" style="178" hidden="1" customWidth="1"/>
    <col min="43" max="47" width="13.44140625" style="260" hidden="1" customWidth="1"/>
    <col min="48" max="48" width="13.44140625" style="260" customWidth="1"/>
    <col min="49" max="49" width="19.5546875" style="123" bestFit="1" customWidth="1"/>
    <col min="50" max="50" width="19.5546875" style="123" customWidth="1"/>
    <col min="51" max="51" width="18.21875" style="123" customWidth="1"/>
    <col min="52" max="53" width="18.6640625" style="123" customWidth="1"/>
    <col min="54" max="54" width="17.44140625" style="123" bestFit="1" customWidth="1"/>
    <col min="55" max="55" width="18.109375" style="123" bestFit="1" customWidth="1"/>
    <col min="56" max="56" width="18.109375" style="123" customWidth="1"/>
    <col min="57" max="57" width="21.88671875" style="123" customWidth="1"/>
    <col min="58" max="58" width="21.109375" style="123" customWidth="1"/>
    <col min="59" max="59" width="16.109375" style="160" customWidth="1"/>
    <col min="60" max="60" width="21.109375" style="123" customWidth="1"/>
    <col min="61" max="61" width="21.109375" style="160" customWidth="1"/>
    <col min="62" max="62" width="17.109375" style="160" customWidth="1"/>
    <col min="63" max="63" width="17.109375" style="178" hidden="1" customWidth="1"/>
    <col min="64" max="68" width="17.109375" style="260" hidden="1" customWidth="1"/>
    <col min="69" max="69" width="17.109375" style="260" customWidth="1"/>
    <col min="70" max="70" width="24" style="123" bestFit="1" customWidth="1"/>
    <col min="71" max="71" width="17.77734375" style="123" customWidth="1"/>
    <col min="72" max="72" width="23.33203125" style="123" customWidth="1"/>
    <col min="73" max="73" width="21.5546875" style="123" customWidth="1"/>
    <col min="74" max="74" width="19.33203125" style="123" customWidth="1"/>
    <col min="75" max="75" width="1.77734375" style="123" customWidth="1"/>
    <col min="76" max="76" width="24.33203125" style="123" hidden="1" customWidth="1"/>
    <col min="77" max="77" width="23.33203125" style="123" hidden="1" customWidth="1"/>
    <col min="78" max="79" width="8.88671875" style="123"/>
    <col min="80" max="80" width="17.88671875" style="123" bestFit="1" customWidth="1"/>
    <col min="81" max="81" width="8.88671875" style="123"/>
    <col min="82" max="82" width="11" style="123" bestFit="1" customWidth="1"/>
    <col min="83" max="89" width="8.88671875" style="123"/>
    <col min="90" max="90" width="9.5546875" style="123" hidden="1" customWidth="1"/>
    <col min="91" max="16384" width="8.88671875" style="123"/>
  </cols>
  <sheetData>
    <row r="2" spans="2:90" ht="24" thickBot="1" x14ac:dyDescent="0.5">
      <c r="B2" s="299" t="s">
        <v>11</v>
      </c>
      <c r="C2" s="299"/>
      <c r="D2" s="299"/>
      <c r="E2" s="299"/>
      <c r="F2" s="299"/>
      <c r="G2" s="299"/>
      <c r="K2" s="160"/>
      <c r="L2" s="160"/>
    </row>
    <row r="3" spans="2:90" ht="17.399999999999999" customHeight="1" thickBot="1" x14ac:dyDescent="0.65">
      <c r="B3" s="11"/>
      <c r="G3" s="303"/>
      <c r="K3" s="160"/>
      <c r="Z3" s="260"/>
      <c r="AB3" s="260"/>
      <c r="AC3" s="260"/>
      <c r="AD3" s="260"/>
      <c r="BY3" s="94"/>
      <c r="BZ3" s="126" t="s">
        <v>0</v>
      </c>
      <c r="CA3" s="300" t="s">
        <v>116</v>
      </c>
      <c r="CB3" s="300"/>
      <c r="CC3" s="300"/>
      <c r="CD3" s="300"/>
      <c r="CE3" s="300"/>
    </row>
    <row r="4" spans="2:90" ht="20.399999999999999" thickBot="1" x14ac:dyDescent="0.45">
      <c r="B4" s="301" t="s">
        <v>310</v>
      </c>
      <c r="C4" s="301"/>
      <c r="D4" s="301"/>
      <c r="E4" s="301"/>
      <c r="F4" s="124"/>
      <c r="G4" s="303"/>
      <c r="I4" s="160">
        <f>I78</f>
        <v>5.0914303420363183</v>
      </c>
      <c r="P4" s="285">
        <f>P78</f>
        <v>0.15815440154444091</v>
      </c>
      <c r="X4" s="178">
        <f>X78</f>
        <v>56.150194644548201</v>
      </c>
      <c r="Z4" s="260">
        <f>Z78</f>
        <v>242.9669035285747</v>
      </c>
      <c r="AB4" s="260"/>
      <c r="AC4" s="260"/>
      <c r="AD4" s="260"/>
      <c r="BY4" s="92"/>
      <c r="BZ4" s="126" t="s">
        <v>307</v>
      </c>
      <c r="CA4" s="300" t="s">
        <v>116</v>
      </c>
      <c r="CB4" s="300"/>
      <c r="CC4" s="300"/>
      <c r="CD4" s="300"/>
      <c r="CE4" s="300"/>
    </row>
    <row r="5" spans="2:90" ht="18.600000000000001" thickTop="1" thickBot="1" x14ac:dyDescent="0.4">
      <c r="B5" s="313" t="s">
        <v>133</v>
      </c>
      <c r="C5" s="313"/>
      <c r="D5" s="313"/>
      <c r="E5" s="313"/>
      <c r="F5" s="125"/>
      <c r="G5" s="303"/>
      <c r="I5" s="193" t="s">
        <v>4366</v>
      </c>
      <c r="J5" s="286"/>
      <c r="M5" s="138">
        <f>'Cumul_cases - LNorm'!H5</f>
        <v>43862.495272685614</v>
      </c>
      <c r="N5" s="138"/>
      <c r="O5" s="138"/>
      <c r="P5" s="138"/>
      <c r="Q5" s="138"/>
      <c r="R5" s="138"/>
      <c r="S5" s="138"/>
      <c r="T5" s="138"/>
      <c r="U5" s="138"/>
      <c r="V5" s="138"/>
      <c r="W5" s="138"/>
      <c r="X5" s="138"/>
      <c r="Y5" s="138"/>
      <c r="Z5" s="260"/>
      <c r="AB5" s="260"/>
      <c r="AC5" s="260"/>
      <c r="AD5" s="260"/>
      <c r="AE5" s="316" t="s">
        <v>372</v>
      </c>
      <c r="AF5" s="316"/>
      <c r="AG5" s="316"/>
      <c r="AH5" s="316"/>
      <c r="AI5" s="316"/>
      <c r="AJ5" s="316"/>
      <c r="AK5" s="168"/>
      <c r="AL5" s="168"/>
      <c r="AM5" s="168"/>
      <c r="AN5" s="168"/>
      <c r="AO5" s="168"/>
      <c r="AP5" s="168"/>
      <c r="AQ5" s="168"/>
      <c r="AR5" s="168"/>
      <c r="AS5" s="168"/>
      <c r="AT5" s="168"/>
      <c r="AU5" s="168"/>
      <c r="AV5" s="168"/>
      <c r="AW5" s="168"/>
      <c r="AX5" s="169">
        <f>'Cumul_cases - LNorm'!R5</f>
        <v>43862.222215734975</v>
      </c>
      <c r="AY5" s="316" t="s">
        <v>372</v>
      </c>
      <c r="AZ5" s="316"/>
      <c r="BA5" s="316"/>
      <c r="BB5" s="316"/>
      <c r="BC5" s="316"/>
      <c r="BD5" s="170"/>
      <c r="BE5" s="168"/>
      <c r="BF5" s="168"/>
      <c r="BG5" s="168"/>
      <c r="BH5" s="168"/>
      <c r="BI5" s="168"/>
      <c r="BJ5" s="168"/>
      <c r="BK5" s="168"/>
      <c r="BL5" s="168"/>
      <c r="BM5" s="168"/>
      <c r="BN5" s="168"/>
      <c r="BO5" s="168"/>
      <c r="BP5" s="168"/>
      <c r="BQ5" s="168"/>
      <c r="BR5" s="168"/>
      <c r="BS5" s="138">
        <f>'Cumul_cases - LNorm'!Y5</f>
        <v>43868.717425443399</v>
      </c>
      <c r="BY5" s="93"/>
      <c r="BZ5" s="126" t="s">
        <v>308</v>
      </c>
      <c r="CA5" s="302" t="s">
        <v>309</v>
      </c>
      <c r="CB5" s="302"/>
      <c r="CC5" s="302"/>
      <c r="CD5" s="302"/>
      <c r="CE5" s="302"/>
    </row>
    <row r="6" spans="2:90" ht="19.2" thickTop="1" thickBot="1" x14ac:dyDescent="0.4">
      <c r="B6" s="289">
        <f ca="1">TODAY()</f>
        <v>43950</v>
      </c>
      <c r="C6" s="131">
        <f ca="1">Oggi-Start_data+1</f>
        <v>120</v>
      </c>
      <c r="D6" s="131">
        <v>0</v>
      </c>
      <c r="E6" s="131">
        <v>80</v>
      </c>
      <c r="F6" s="131"/>
      <c r="G6" s="303"/>
      <c r="I6" s="193">
        <v>2</v>
      </c>
      <c r="J6" s="287"/>
      <c r="K6" s="192" cm="1">
        <f t="array" aca="1" ref="K6" ca="1">INDEX(Tabella34[[Day]:[Lower CI__]],C6,6)</f>
        <v>203639.218913466</v>
      </c>
      <c r="L6" s="133" cm="1">
        <f t="array" aca="1" ref="L6" ca="1">INDEX(Tabella34[[Day]:[Lower CI__]],C6,10)</f>
        <v>-94.820254259269291</v>
      </c>
      <c r="M6" s="139">
        <f>pf</f>
        <v>31.495272685616236</v>
      </c>
      <c r="N6" s="139"/>
      <c r="O6" s="139"/>
      <c r="P6" s="139"/>
      <c r="Q6" s="139"/>
      <c r="R6" s="139"/>
      <c r="S6" s="139"/>
      <c r="T6" s="139"/>
      <c r="U6" s="139"/>
      <c r="V6" s="139"/>
      <c r="W6" s="139"/>
      <c r="X6" s="139"/>
      <c r="Y6" s="139"/>
      <c r="Z6" s="260"/>
      <c r="AB6" s="260"/>
      <c r="AC6" s="260"/>
      <c r="AD6" s="260"/>
      <c r="AE6" s="315" t="s">
        <v>373</v>
      </c>
      <c r="AF6" s="315"/>
      <c r="AG6" s="315"/>
      <c r="AH6" s="315"/>
      <c r="AI6" s="315"/>
      <c r="AJ6" s="315"/>
      <c r="AK6" s="168"/>
      <c r="AL6" s="168"/>
      <c r="AM6" s="171" cm="1">
        <f t="array" aca="1" ref="AM6" ca="1">INDEX(Tabella34[[Day]:[Lower CI__]],C6,19)</f>
        <v>-2.1541413971026793</v>
      </c>
      <c r="AN6" s="194"/>
      <c r="AO6" s="194"/>
      <c r="AP6" s="194"/>
      <c r="AQ6" s="194"/>
      <c r="AR6" s="194"/>
      <c r="AS6" s="194"/>
      <c r="AT6" s="194"/>
      <c r="AU6" s="194"/>
      <c r="AV6" s="194"/>
      <c r="AW6" s="172" cm="1">
        <f t="array" aca="1" ref="AW6" ca="1">INDEX(Tabella34[[Day]:[Lower CI__]],C6,21)</f>
        <v>5.7356632305931785E-2</v>
      </c>
      <c r="AX6" s="173">
        <f>pl</f>
        <v>31.22221573497708</v>
      </c>
      <c r="AY6" s="315" t="s">
        <v>373</v>
      </c>
      <c r="AZ6" s="315"/>
      <c r="BA6" s="315"/>
      <c r="BB6" s="315"/>
      <c r="BC6" s="315"/>
      <c r="BD6" s="174"/>
      <c r="BE6" s="168"/>
      <c r="BF6" s="168"/>
      <c r="BG6" s="168"/>
      <c r="BH6" s="175" cm="1">
        <f t="array" aca="1" ref="BH6" ca="1">INDEX(Tabella34[[Day]:[Lower CI__]],C6,29)</f>
        <v>918.04907513902742</v>
      </c>
      <c r="BI6" s="195"/>
      <c r="BJ6" s="195"/>
      <c r="BK6" s="195"/>
      <c r="BL6" s="195"/>
      <c r="BM6" s="195"/>
      <c r="BN6" s="195"/>
      <c r="BO6" s="195"/>
      <c r="BP6" s="195"/>
      <c r="BQ6" s="195"/>
      <c r="BR6" s="176" cm="1">
        <f t="array" aca="1" ref="BR6" ca="1">INDEX(Tabella34[[Day]:[Lower CI__]],C6,31)</f>
        <v>0</v>
      </c>
      <c r="BS6" s="139">
        <f>pa</f>
        <v>37.717425443399762</v>
      </c>
      <c r="BZ6" s="14" t="s">
        <v>371</v>
      </c>
      <c r="CA6" s="302" t="s">
        <v>370</v>
      </c>
      <c r="CB6" s="302"/>
      <c r="CC6" s="302"/>
      <c r="CD6" s="302"/>
      <c r="CE6" s="302"/>
    </row>
    <row r="7" spans="2:90" ht="43.2" x14ac:dyDescent="0.3">
      <c r="B7" s="4" t="s">
        <v>9</v>
      </c>
      <c r="C7" s="4" t="s">
        <v>10</v>
      </c>
      <c r="D7" s="4" t="s">
        <v>302</v>
      </c>
      <c r="E7" s="4" t="s">
        <v>292</v>
      </c>
      <c r="F7" s="4" t="s">
        <v>4424</v>
      </c>
      <c r="G7" s="143" t="s">
        <v>101</v>
      </c>
      <c r="H7" s="97" t="s">
        <v>300</v>
      </c>
      <c r="I7" s="97" t="s">
        <v>4365</v>
      </c>
      <c r="J7" s="97" t="s">
        <v>4427</v>
      </c>
      <c r="K7" s="97" t="s">
        <v>317</v>
      </c>
      <c r="L7" s="8" t="s">
        <v>4378</v>
      </c>
      <c r="M7" s="97" t="s">
        <v>316</v>
      </c>
      <c r="N7" s="97" t="s">
        <v>4372</v>
      </c>
      <c r="O7" s="97" t="s">
        <v>4405</v>
      </c>
      <c r="P7" s="97" t="s">
        <v>4369</v>
      </c>
      <c r="Q7" s="97" t="s">
        <v>4404</v>
      </c>
      <c r="R7" s="97" t="s">
        <v>4406</v>
      </c>
      <c r="S7" s="97" t="s">
        <v>4407</v>
      </c>
      <c r="T7" s="97" t="s">
        <v>4408</v>
      </c>
      <c r="U7" s="97" t="s">
        <v>4409</v>
      </c>
      <c r="V7" s="97" t="s">
        <v>4410</v>
      </c>
      <c r="W7" s="97" t="s">
        <v>4428</v>
      </c>
      <c r="X7" s="97" t="s">
        <v>4403</v>
      </c>
      <c r="Y7" s="97" t="s">
        <v>4429</v>
      </c>
      <c r="Z7" s="8" t="s">
        <v>4370</v>
      </c>
      <c r="AA7" s="8" t="s">
        <v>4430</v>
      </c>
      <c r="AB7" s="97" t="s">
        <v>318</v>
      </c>
      <c r="AC7" s="97" t="s">
        <v>102</v>
      </c>
      <c r="AD7" s="97" t="s">
        <v>125</v>
      </c>
      <c r="AE7" s="97" t="s">
        <v>7</v>
      </c>
      <c r="AF7" s="97" t="s">
        <v>8</v>
      </c>
      <c r="AG7" s="4" t="s">
        <v>303</v>
      </c>
      <c r="AH7" s="4" t="s">
        <v>294</v>
      </c>
      <c r="AI7" s="4" t="s">
        <v>4425</v>
      </c>
      <c r="AJ7" s="143" t="s">
        <v>103</v>
      </c>
      <c r="AK7" s="97" t="s">
        <v>301</v>
      </c>
      <c r="AL7" s="97" t="s">
        <v>4367</v>
      </c>
      <c r="AM7" s="97" t="s">
        <v>319</v>
      </c>
      <c r="AN7" s="97" t="s">
        <v>4373</v>
      </c>
      <c r="AO7" s="97" t="s">
        <v>4374</v>
      </c>
      <c r="AP7" s="97" t="s">
        <v>4402</v>
      </c>
      <c r="AQ7" s="97" t="s">
        <v>4412</v>
      </c>
      <c r="AR7" s="97" t="s">
        <v>4413</v>
      </c>
      <c r="AS7" s="97" t="s">
        <v>4414</v>
      </c>
      <c r="AT7" s="97" t="s">
        <v>4415</v>
      </c>
      <c r="AU7" s="97" t="s">
        <v>4416</v>
      </c>
      <c r="AV7" s="97" t="s">
        <v>4417</v>
      </c>
      <c r="AW7" s="8" t="s">
        <v>4371</v>
      </c>
      <c r="AX7" s="97" t="s">
        <v>313</v>
      </c>
      <c r="AY7" s="143" t="s">
        <v>126</v>
      </c>
      <c r="AZ7" s="97" t="s">
        <v>296</v>
      </c>
      <c r="BA7" s="97" t="s">
        <v>295</v>
      </c>
      <c r="BB7" s="4" t="s">
        <v>304</v>
      </c>
      <c r="BC7" s="4" t="s">
        <v>297</v>
      </c>
      <c r="BD7" s="4" t="s">
        <v>4426</v>
      </c>
      <c r="BE7" s="143" t="s">
        <v>127</v>
      </c>
      <c r="BF7" s="97" t="s">
        <v>305</v>
      </c>
      <c r="BG7" s="97" t="s">
        <v>4368</v>
      </c>
      <c r="BH7" s="97" t="s">
        <v>320</v>
      </c>
      <c r="BI7" s="97" t="s">
        <v>4376</v>
      </c>
      <c r="BJ7" s="97" t="s">
        <v>4377</v>
      </c>
      <c r="BK7" s="97" t="s">
        <v>4411</v>
      </c>
      <c r="BL7" s="97" t="s">
        <v>4418</v>
      </c>
      <c r="BM7" s="97" t="s">
        <v>4419</v>
      </c>
      <c r="BN7" s="97" t="s">
        <v>4420</v>
      </c>
      <c r="BO7" s="97" t="s">
        <v>4421</v>
      </c>
      <c r="BP7" s="97" t="s">
        <v>4422</v>
      </c>
      <c r="BQ7" s="97" t="s">
        <v>4423</v>
      </c>
      <c r="BR7" s="8" t="s">
        <v>4375</v>
      </c>
      <c r="BS7" s="97" t="s">
        <v>314</v>
      </c>
      <c r="BT7" s="143" t="s">
        <v>128</v>
      </c>
      <c r="BU7" s="97" t="s">
        <v>298</v>
      </c>
      <c r="BV7" s="97" t="s">
        <v>299</v>
      </c>
      <c r="BW7" s="8"/>
      <c r="BX7" s="219" t="s">
        <v>121</v>
      </c>
      <c r="BY7" s="220" t="s">
        <v>117</v>
      </c>
      <c r="BZ7" s="3"/>
      <c r="CL7" s="55" t="s">
        <v>100</v>
      </c>
    </row>
    <row r="8" spans="2:90" x14ac:dyDescent="0.3">
      <c r="B8" s="288">
        <v>43831</v>
      </c>
      <c r="C8" s="4">
        <v>1</v>
      </c>
      <c r="D8" s="161"/>
      <c r="E8" s="164"/>
      <c r="F8" s="164"/>
      <c r="G8" s="162">
        <f>Tabella34[[#This Row],[Italy data]]*NOT(ISBLANK(Tabella34[[#This Row],[Italy data]]))</f>
        <v>0</v>
      </c>
      <c r="H8" s="163">
        <f>Tabella8[[#This Row],[Italy fit]]</f>
        <v>0</v>
      </c>
      <c r="I8" s="163" t="e">
        <f>_xlfn.LOGNORM.INV(alpha*Tabella34[[#This Row],[Italy cumul. Fit]]/Kt,mu_t,sigma_t)-(Tabella34[[#This Row],[Day]]-pt)</f>
        <v>#NUM!</v>
      </c>
      <c r="J8" s="163" t="e">
        <f>Tabella34[[#This Row],[Italy d.t.]]/Italy_dt_at_lockdown</f>
        <v>#NUM!</v>
      </c>
      <c r="K8" s="163">
        <f>Tabella34[[#This Row],[Italy cumul. Fit]]/Kf</f>
        <v>0</v>
      </c>
      <c r="L8" s="166">
        <f>Tabella34[[#This Row],[Lombardy acc. fit]]+Tabella34[[#This Row],[rest of Italy acc. fit]]</f>
        <v>0</v>
      </c>
      <c r="M8" s="163">
        <f>Tabella34[[#This Row],[Italy (fitted Lombardy + fitted sum of the other regions)]]/(y_l_peak+y_a_peak)</f>
        <v>0</v>
      </c>
      <c r="N8" s="163">
        <f>IFERROR(Kt*_xlfn.LOGNORM.DIST((Tabella34[[#This Row],[Day]]-pt),mu_t,sigma_t,FALSE),0)</f>
        <v>0</v>
      </c>
      <c r="O8" s="163" t="e">
        <f>Kt*EXP(-0.5*Tabella34[[#This Row],[x_t]]^2)/(sigma_t*SQRTPI(2)*(Tabella34[[#This Row],[Day]]-D_bk))</f>
        <v>#NUM!</v>
      </c>
      <c r="P8" s="206" t="e">
        <f>Tabella34[[#This Row],[Italy velocity]]/Tabella34[[#This Row],[Italy cumul. Fit]]</f>
        <v>#DIV/0!</v>
      </c>
      <c r="Q8" s="269" t="e">
        <f>(LN(Tabella34[[#This Row],[Day]]-D_bk)-mu_t)/sigma_t</f>
        <v>#NUM!</v>
      </c>
      <c r="R8" s="269" t="e">
        <f>EXP(mu_t+sigma_t*Tabella34[[#This Row],[x_t_alpha©+plus]])-(Tabella34[[#This Row],[Day]]-D_bk)</f>
        <v>#DIV/0!</v>
      </c>
      <c r="S8" s="269" t="e">
        <f>EXP(mu_t+sigma_t*Tabella34[[#This Row],[x_t_alpha©-minus]])-(Tabella34[[#This Row],[Day]]-D_bk)</f>
        <v>#DIV/0!</v>
      </c>
      <c r="T8" s="269" t="e">
        <f>-sigma_t+SQRT(sigma_t^2-2*Tabella34[[#This Row],[c_t]])</f>
        <v>#DIV/0!</v>
      </c>
      <c r="U8" s="269" t="e">
        <f>-sigma_t-SQRT(sigma_t^2-2*Tabella34[[#This Row],[c_t]])</f>
        <v>#DIV/0!</v>
      </c>
      <c r="V8" s="269" t="e">
        <f>mu_t-LN(alpha*Kt/(Tabella34[[#This Row],[Italy velocity]]*sigma_t*SQRTPI(2)))</f>
        <v>#DIV/0!</v>
      </c>
      <c r="W8" s="269" t="e">
        <f>Tabella34[[#This Row],[Italy g.r.]]/Italy_gr_at_lockdown</f>
        <v>#DIV/0!</v>
      </c>
      <c r="X8" s="269" t="e">
        <f>Tabella34[[#This Row],[t_alpha_t+plus]]</f>
        <v>#DIV/0!</v>
      </c>
      <c r="Y8" s="269" t="e">
        <f>Tabella34[[#This Row],[Italy h.t.]]/Italy_ht_at_lockdown</f>
        <v>#DIV/0!</v>
      </c>
      <c r="Z8" s="91">
        <f>IFERROR(-Kf*_xlfn.LOGNORM.DIST((Tabella34[[#This Row],[Day]]-D_bk),mu_f,sigma_f,FALSE)*(1+(LN((Tabella34[[#This Row],[Day]]-D_bk))-mu_f)/sigma_f^2)/(Tabella34[[#This Row],[Day]]-D_bk),0)</f>
        <v>0</v>
      </c>
      <c r="AA8" s="91">
        <f>Tabella34[[#This Row],[Italy acc. fit]]/Itali_acc_at_lockdown</f>
        <v>0</v>
      </c>
      <c r="AB8" s="163">
        <f>Tabella34[[#This Row],[Italy acc. fit]]/y_f_peak</f>
        <v>0</v>
      </c>
      <c r="AC8" s="163">
        <f>Tabella34[[#This Row],[Italy (fitted Lombardy + fitted sum of the other regions)]]*NOT(ISBLANK(Tabella34[[#This Row],[Italy data]]))</f>
        <v>0</v>
      </c>
      <c r="AD8" s="163">
        <f>Tabella34[[#This Row],[Italy acc. fit]]*NOT(ISBLANK(Tabella34[[#This Row],[Italy data]]))</f>
        <v>0</v>
      </c>
      <c r="AE8" s="96">
        <f>Tabella34[[#This Row],[Italy acc. fit]]+CIf</f>
        <v>1013.7630020203177</v>
      </c>
      <c r="AF8" s="96">
        <f>MAX(Tabella34[[#This Row],[Italy acc. fit]]-CIf,0)</f>
        <v>0</v>
      </c>
      <c r="AG8" s="161"/>
      <c r="AH8" s="34"/>
      <c r="AI8" s="34"/>
      <c r="AJ8" s="162">
        <f>Tabella34[[#This Row],[Lombardy data]]*NOT(ISBLANK(Tabella34[[#This Row],[Lombardy data]]))</f>
        <v>0</v>
      </c>
      <c r="AK8" s="167">
        <f>Tabella8[[#This Row],[Lombardy fit]]</f>
        <v>0</v>
      </c>
      <c r="AL8" s="97" t="e">
        <f>_xlfn.LOGNORM.INV(alpha*Tabella34[[#This Row],[Lombardy cumul. Fit]]/Kr,mu_r,sigma_r)-(Tabella34[[#This Row],[Day]]-pr)</f>
        <v>#NUM!</v>
      </c>
      <c r="AM8" s="162">
        <f>Tabella34[[#This Row],[Lombardy cumul. Fit]]/Kl</f>
        <v>0</v>
      </c>
      <c r="AN8" s="163">
        <f>IFERROR(Kr*_xlfn.LOGNORM.DIST((Tabella34[[#This Row],[Day]]-pr),mu_r,sigma_r,FALSE),0)</f>
        <v>0</v>
      </c>
      <c r="AO8" s="206" t="e">
        <f>Tabella34[[#This Row],[Lombardy velocity]]/Tabella34[[#This Row],[Lombardy cumul. Fit]]</f>
        <v>#DIV/0!</v>
      </c>
      <c r="AP8" s="261" t="e">
        <f>(LN(Tabella34[[#This Row],[Day]]-pr)-mu_r)/sigma_r</f>
        <v>#NUM!</v>
      </c>
      <c r="AQ8" s="269" t="e">
        <f>EXP(mu_r+sigma_r*Tabella34[[#This Row],[x_r_alpha©+plus]])-(Tabella34[[#This Row],[Day]]-pr)</f>
        <v>#DIV/0!</v>
      </c>
      <c r="AR8" s="269" t="e">
        <f>EXP(mu_r+sigma_r*Tabella34[[#This Row],[x_r_alpha©-minus]])-(Tabella34[[#This Row],[Day]]-pr)</f>
        <v>#DIV/0!</v>
      </c>
      <c r="AS8" s="269" t="e">
        <f>-sigma_r+SQRT(sigma_r^2-2*Tabella34[[#This Row],[c_r]])</f>
        <v>#DIV/0!</v>
      </c>
      <c r="AT8" s="269" t="e">
        <f>-sigma_r-SQRT(sigma_r^2-2*Tabella34[[#This Row],[c_r]])</f>
        <v>#DIV/0!</v>
      </c>
      <c r="AU8" s="269" t="e">
        <f>mu_r-LN(alpha*Kr/(Tabella34[[#This Row],[Lombardy velocity]]*sigma_r*SQRTPI(2)))</f>
        <v>#DIV/0!</v>
      </c>
      <c r="AV8" s="269" t="e">
        <f>Tabella34[[#This Row],[t_alpha_r+plus]]</f>
        <v>#DIV/0!</v>
      </c>
      <c r="AW8" s="91">
        <f>IFERROR(-Kl*_xlfn.LOGNORM.DIST((Tabella34[[#This Row],[Day]]-pl),mu_l,sigma_l,FALSE)*(1+(LN((Tabella34[[#This Row],[Day]]-pl))-mu_l)/sigma_l^2)/(Tabella34[[#This Row],[Day]]-pl),0)</f>
        <v>0</v>
      </c>
      <c r="AX8" s="163">
        <f>Tabella34[[#This Row],[Lombardy acc. fit]]/y_l_peak</f>
        <v>0</v>
      </c>
      <c r="AY8" s="163">
        <f>Tabella34[[#This Row],[Lombardy acc. fit]]*NOT(ISBLANK(Tabella34[[#This Row],[Lombardy data]]))</f>
        <v>0</v>
      </c>
      <c r="AZ8" s="96">
        <f>Tabella34[[#This Row],[Lombardy acc. fit]]+CIl</f>
        <v>748.95537180362362</v>
      </c>
      <c r="BA8" s="96">
        <f>MAX(Tabella34[[#This Row],[Lombardy acc. fit]]-CIl,0)</f>
        <v>0</v>
      </c>
      <c r="BB8" s="161"/>
      <c r="BC8" s="34"/>
      <c r="BD8" s="34"/>
      <c r="BE8" s="162">
        <f>Tabella34[[#This Row],[rest of Italy data]]*NOT(ISBLANK(Tabella34[[#This Row],[rest of Italy data]]))</f>
        <v>0</v>
      </c>
      <c r="BF8" s="211">
        <f>Tabella8[[#This Row],[rest of Italy fit]]</f>
        <v>0</v>
      </c>
      <c r="BG8" s="97" t="e">
        <f>_xlfn.LOGNORM.INV(alpha*Tabella34[[#This Row],[rest of Italy cumul. Fit]]/Ko,mu_o,sigma_o)-(Tabella34[[#This Row],[Day]]-po)</f>
        <v>#NUM!</v>
      </c>
      <c r="BH8" s="163">
        <f>Tabella34[[#This Row],[rest of Italy cumul. Fit]]/Ka</f>
        <v>0</v>
      </c>
      <c r="BI8" s="163">
        <f>IFERROR(Ko*_xlfn.LOGNORM.DIST((Tabella34[[#This Row],[Day]]-po),mu_o,sigma_o,FALSE),0)</f>
        <v>0</v>
      </c>
      <c r="BJ8" s="206" t="e">
        <f>Tabella34[[#This Row],[rest of Italy velocity]]/Tabella34[[#This Row],[rest of Italy cumul. Fit]]</f>
        <v>#DIV/0!</v>
      </c>
      <c r="BK8" s="261" t="e">
        <f>(LN(Tabella34[[#This Row],[Day]]-po)-mu_o)/sigma_o</f>
        <v>#NUM!</v>
      </c>
      <c r="BL8" s="269" t="e">
        <f>EXP(mu_o+sigma_o*Tabella34[[#This Row],[x_o_alpha©+plus]])-(Tabella34[[#This Row],[Day]]-po)</f>
        <v>#DIV/0!</v>
      </c>
      <c r="BM8" s="269" t="e">
        <f>EXP(mu_o+sigma_o*Tabella34[[#This Row],[x_o_alpha©-minus]])-(Tabella34[[#This Row],[Day]]-po)</f>
        <v>#DIV/0!</v>
      </c>
      <c r="BN8" s="269" t="e">
        <f>-sigma_o+SQRT(sigma_o^2-2*Tabella34[[#This Row],[c_o]])</f>
        <v>#DIV/0!</v>
      </c>
      <c r="BO8" s="269" t="e">
        <f>-sigma_o-SQRT(sigma_o^2-2*Tabella34[[#This Row],[c_o]])</f>
        <v>#DIV/0!</v>
      </c>
      <c r="BP8" s="269" t="e">
        <f>mu_o-LN(alpha*Ko/(Tabella34[[#This Row],[rest of Italy velocity]]*sigma_o*SQRTPI(2)))</f>
        <v>#DIV/0!</v>
      </c>
      <c r="BQ8" s="269" t="e">
        <f>Tabella34[[#This Row],[t_alpha_o+plus]]</f>
        <v>#DIV/0!</v>
      </c>
      <c r="BR8" s="91">
        <f>IFERROR(-Ka*_xlfn.LOGNORM.DIST((Tabella34[[#This Row],[Day]]-pa),mu_a,sigma_a,FALSE)*(1+(LN((Tabella34[[#This Row],[Day]]-pa))-mu_a)/sigma_a^2)/(Tabella34[[#This Row],[Day]]-pa),0)</f>
        <v>0</v>
      </c>
      <c r="BS8" s="163">
        <f>Tabella34[[#This Row],[rest of Italy acc. fit]]/y_a_peak</f>
        <v>0</v>
      </c>
      <c r="BT8" s="162">
        <f>Tabella34[[#This Row],[rest of Italy acc. fit]]*NOT(ISBLANK(Tabella34[[#This Row],[rest of Italy data]]))</f>
        <v>0</v>
      </c>
      <c r="BU8" s="96">
        <f>Tabella34[[#This Row],[rest of Italy acc. fit]]+CIa</f>
        <v>694.65203586359735</v>
      </c>
      <c r="BV8" s="96">
        <f>MAX(Tabella34[[#This Row],[rest of Italy acc. fit]]-CIa,0)</f>
        <v>0</v>
      </c>
      <c r="BW8" s="8"/>
      <c r="BX8" s="221"/>
      <c r="BY8" s="222"/>
      <c r="BZ8" s="3"/>
      <c r="CL8" s="310" t="s">
        <v>132</v>
      </c>
    </row>
    <row r="9" spans="2:90" x14ac:dyDescent="0.3">
      <c r="B9" s="288">
        <v>43832</v>
      </c>
      <c r="C9" s="4">
        <v>2</v>
      </c>
      <c r="D9" s="161"/>
      <c r="E9" s="164"/>
      <c r="F9" s="164"/>
      <c r="G9" s="162">
        <f>Tabella34[[#This Row],[Italy data]]*NOT(ISBLANK(Tabella34[[#This Row],[Italy data]]))</f>
        <v>0</v>
      </c>
      <c r="H9" s="163">
        <f>Tabella8[[#This Row],[Italy fit]]</f>
        <v>0</v>
      </c>
      <c r="I9" s="163" t="e">
        <f>_xlfn.LOGNORM.INV(alpha*Tabella34[[#This Row],[Italy cumul. Fit]]/Kt,mu_t,sigma_t)-(Tabella34[[#This Row],[Day]]-pt)</f>
        <v>#NUM!</v>
      </c>
      <c r="J9" s="163" t="e">
        <f>Tabella34[[#This Row],[Italy d.t.]]/Italy_dt_at_lockdown</f>
        <v>#NUM!</v>
      </c>
      <c r="K9" s="163">
        <f>Tabella34[[#This Row],[Italy cumul. Fit]]/Kf</f>
        <v>0</v>
      </c>
      <c r="L9" s="166">
        <f>Tabella34[[#This Row],[Lombardy acc. fit]]+Tabella34[[#This Row],[rest of Italy acc. fit]]</f>
        <v>0</v>
      </c>
      <c r="M9" s="163">
        <f>Tabella34[[#This Row],[Italy (fitted Lombardy + fitted sum of the other regions)]]/(y_l_peak+y_a_peak)</f>
        <v>0</v>
      </c>
      <c r="N9" s="163">
        <f>IFERROR(Kt*_xlfn.LOGNORM.DIST((Tabella34[[#This Row],[Day]]-pt),mu_t,sigma_t,FALSE),0)</f>
        <v>0</v>
      </c>
      <c r="O9" s="163" t="e">
        <f>Kt*EXP(-0.5*Tabella34[[#This Row],[x_t]]^2)/(sigma_t*SQRTPI(2)*(Tabella34[[#This Row],[Day]]-D_bk))</f>
        <v>#NUM!</v>
      </c>
      <c r="P9" s="206" t="e">
        <f>Tabella34[[#This Row],[Italy velocity]]/Tabella34[[#This Row],[Italy cumul. Fit]]</f>
        <v>#DIV/0!</v>
      </c>
      <c r="Q9" s="269" t="e">
        <f>(LN(Tabella34[[#This Row],[Day]]-D_bk)-mu_t)/sigma_t</f>
        <v>#NUM!</v>
      </c>
      <c r="R9" s="269" t="e">
        <f>EXP(mu_t+sigma_t*Tabella34[[#This Row],[x_t_alpha©+plus]])-(Tabella34[[#This Row],[Day]]-D_bk)</f>
        <v>#DIV/0!</v>
      </c>
      <c r="S9" s="269" t="e">
        <f>EXP(mu_t+sigma_t*Tabella34[[#This Row],[x_t_alpha©-minus]])-(Tabella34[[#This Row],[Day]]-D_bk)</f>
        <v>#DIV/0!</v>
      </c>
      <c r="T9" s="269" t="e">
        <f>-sigma_t+SQRT(sigma_t^2-2*Tabella34[[#This Row],[c_t]])</f>
        <v>#DIV/0!</v>
      </c>
      <c r="U9" s="269" t="e">
        <f>-sigma_t-SQRT(sigma_t^2-2*Tabella34[[#This Row],[c_t]])</f>
        <v>#DIV/0!</v>
      </c>
      <c r="V9" s="269" t="e">
        <f>mu_t-LN(alpha*Kt/(Tabella34[[#This Row],[Italy velocity]]*sigma_t*SQRTPI(2)))</f>
        <v>#DIV/0!</v>
      </c>
      <c r="W9" s="269" t="e">
        <f>Tabella34[[#This Row],[Italy g.r.]]/Italy_gr_at_lockdown</f>
        <v>#DIV/0!</v>
      </c>
      <c r="X9" s="269" t="e">
        <f>Tabella34[[#This Row],[t_alpha_t+plus]]</f>
        <v>#DIV/0!</v>
      </c>
      <c r="Y9" s="269" t="e">
        <f>Tabella34[[#This Row],[Italy h.t.]]/Italy_ht_at_lockdown</f>
        <v>#DIV/0!</v>
      </c>
      <c r="Z9" s="91">
        <f>IFERROR(-Kf*_xlfn.LOGNORM.DIST((Tabella34[[#This Row],[Day]]-D_bk),mu_f,sigma_f,FALSE)*(1+(LN((Tabella34[[#This Row],[Day]]-D_bk))-mu_f)/sigma_f^2)/(Tabella34[[#This Row],[Day]]-D_bk),0)</f>
        <v>0</v>
      </c>
      <c r="AA9" s="91">
        <f>Tabella34[[#This Row],[Italy acc. fit]]/Itali_acc_at_lockdown</f>
        <v>0</v>
      </c>
      <c r="AB9" s="163">
        <f>Tabella34[[#This Row],[Italy acc. fit]]/y_f_peak</f>
        <v>0</v>
      </c>
      <c r="AC9" s="163">
        <f>Tabella34[[#This Row],[Italy (fitted Lombardy + fitted sum of the other regions)]]*NOT(ISBLANK(Tabella34[[#This Row],[Italy data]]))</f>
        <v>0</v>
      </c>
      <c r="AD9" s="163">
        <f>Tabella34[[#This Row],[Italy acc. fit]]*NOT(ISBLANK(Tabella34[[#This Row],[Italy data]]))</f>
        <v>0</v>
      </c>
      <c r="AE9" s="96">
        <f>Tabella34[[#This Row],[Italy acc. fit]]+CIf</f>
        <v>1013.7630020203177</v>
      </c>
      <c r="AF9" s="96">
        <f>MAX(Tabella34[[#This Row],[Italy acc. fit]]-CIf,0)</f>
        <v>0</v>
      </c>
      <c r="AG9" s="161"/>
      <c r="AH9" s="34"/>
      <c r="AI9" s="34"/>
      <c r="AJ9" s="162">
        <f>Tabella34[[#This Row],[Lombardy data]]*NOT(ISBLANK(Tabella34[[#This Row],[Lombardy data]]))</f>
        <v>0</v>
      </c>
      <c r="AK9" s="167">
        <f>Tabella8[[#This Row],[Lombardy fit]]</f>
        <v>0</v>
      </c>
      <c r="AL9" s="163" t="e">
        <f>_xlfn.LOGNORM.INV(alpha*Tabella34[[#This Row],[Lombardy cumul. Fit]]/Kr,mu_r,sigma_r)-(Tabella34[[#This Row],[Day]]-pr)</f>
        <v>#NUM!</v>
      </c>
      <c r="AM9" s="162">
        <f>Tabella34[[#This Row],[Lombardy cumul. Fit]]/Kl</f>
        <v>0</v>
      </c>
      <c r="AN9" s="163">
        <f>IFERROR(Kr*_xlfn.LOGNORM.DIST((Tabella34[[#This Row],[Day]]-pr),mu_r,sigma_r,FALSE),0)</f>
        <v>0</v>
      </c>
      <c r="AO9" s="206" t="e">
        <f>Tabella34[[#This Row],[Lombardy velocity]]/Tabella34[[#This Row],[Lombardy cumul. Fit]]</f>
        <v>#DIV/0!</v>
      </c>
      <c r="AP9" s="261" t="e">
        <f>(LN(Tabella34[[#This Row],[Day]]-pr)-mu_r)/sigma_r</f>
        <v>#NUM!</v>
      </c>
      <c r="AQ9" s="269" t="e">
        <f>EXP(mu_r+sigma_r*Tabella34[[#This Row],[x_r_alpha©+plus]])-(Tabella34[[#This Row],[Day]]-pr)</f>
        <v>#DIV/0!</v>
      </c>
      <c r="AR9" s="269" t="e">
        <f>EXP(mu_r+sigma_r*Tabella34[[#This Row],[x_r_alpha©-minus]])-(Tabella34[[#This Row],[Day]]-pr)</f>
        <v>#DIV/0!</v>
      </c>
      <c r="AS9" s="269" t="e">
        <f>-sigma_r+SQRT(sigma_r^2-2*Tabella34[[#This Row],[c_r]])</f>
        <v>#DIV/0!</v>
      </c>
      <c r="AT9" s="269" t="e">
        <f>-sigma_r-SQRT(sigma_r^2-2*Tabella34[[#This Row],[c_r]])</f>
        <v>#DIV/0!</v>
      </c>
      <c r="AU9" s="269" t="e">
        <f>mu_r-LN(alpha*Kr/(Tabella34[[#This Row],[Lombardy velocity]]*sigma_r*SQRTPI(2)))</f>
        <v>#DIV/0!</v>
      </c>
      <c r="AV9" s="269" t="e">
        <f>Tabella34[[#This Row],[t_alpha_r+plus]]</f>
        <v>#DIV/0!</v>
      </c>
      <c r="AW9" s="91">
        <f>IFERROR(-Kl*_xlfn.LOGNORM.DIST((Tabella34[[#This Row],[Day]]-pl),mu_l,sigma_l,FALSE)*(1+(LN((Tabella34[[#This Row],[Day]]-pl))-mu_l)/sigma_l^2)/(Tabella34[[#This Row],[Day]]-pl),0)</f>
        <v>0</v>
      </c>
      <c r="AX9" s="163">
        <f>Tabella34[[#This Row],[Lombardy acc. fit]]/y_l_peak</f>
        <v>0</v>
      </c>
      <c r="AY9" s="163">
        <f>Tabella34[[#This Row],[Lombardy acc. fit]]*NOT(ISBLANK(Tabella34[[#This Row],[Lombardy data]]))</f>
        <v>0</v>
      </c>
      <c r="AZ9" s="96">
        <f>Tabella34[[#This Row],[Lombardy acc. fit]]+CIl</f>
        <v>748.95537180362362</v>
      </c>
      <c r="BA9" s="96">
        <f>MAX(Tabella34[[#This Row],[Lombardy acc. fit]]-CIl,0)</f>
        <v>0</v>
      </c>
      <c r="BB9" s="161"/>
      <c r="BC9" s="34"/>
      <c r="BD9" s="34"/>
      <c r="BE9" s="162">
        <f>Tabella34[[#This Row],[rest of Italy data]]*NOT(ISBLANK(Tabella34[[#This Row],[rest of Italy data]]))</f>
        <v>0</v>
      </c>
      <c r="BF9" s="211">
        <f>Tabella8[[#This Row],[rest of Italy fit]]</f>
        <v>0</v>
      </c>
      <c r="BG9" s="163" t="e">
        <f>_xlfn.LOGNORM.INV(alpha*Tabella34[[#This Row],[rest of Italy cumul. Fit]]/Ko,mu_o,sigma_o)-(Tabella34[[#This Row],[Day]]-po)</f>
        <v>#NUM!</v>
      </c>
      <c r="BH9" s="163">
        <f>Tabella34[[#This Row],[rest of Italy cumul. Fit]]/Ka</f>
        <v>0</v>
      </c>
      <c r="BI9" s="163">
        <f>IFERROR(Ko*_xlfn.LOGNORM.DIST((Tabella34[[#This Row],[Day]]-po),mu_o,sigma_o,FALSE),0)</f>
        <v>0</v>
      </c>
      <c r="BJ9" s="206" t="e">
        <f>Tabella34[[#This Row],[rest of Italy velocity]]/Tabella34[[#This Row],[rest of Italy cumul. Fit]]</f>
        <v>#DIV/0!</v>
      </c>
      <c r="BK9" s="261" t="e">
        <f>(LN(Tabella34[[#This Row],[Day]]-po)-mu_o)/sigma_o</f>
        <v>#NUM!</v>
      </c>
      <c r="BL9" s="269" t="e">
        <f>EXP(mu_o+sigma_o*Tabella34[[#This Row],[x_o_alpha©+plus]])-(Tabella34[[#This Row],[Day]]-po)</f>
        <v>#DIV/0!</v>
      </c>
      <c r="BM9" s="269" t="e">
        <f>EXP(mu_o+sigma_o*Tabella34[[#This Row],[x_o_alpha©-minus]])-(Tabella34[[#This Row],[Day]]-po)</f>
        <v>#DIV/0!</v>
      </c>
      <c r="BN9" s="269" t="e">
        <f>-sigma_o+SQRT(sigma_o^2-2*Tabella34[[#This Row],[c_o]])</f>
        <v>#DIV/0!</v>
      </c>
      <c r="BO9" s="269" t="e">
        <f>-sigma_o-SQRT(sigma_o^2-2*Tabella34[[#This Row],[c_o]])</f>
        <v>#DIV/0!</v>
      </c>
      <c r="BP9" s="269" t="e">
        <f>mu_o-LN(alpha*Ko/(Tabella34[[#This Row],[rest of Italy velocity]]*sigma_o*SQRTPI(2)))</f>
        <v>#DIV/0!</v>
      </c>
      <c r="BQ9" s="269" t="e">
        <f>Tabella34[[#This Row],[t_alpha_o+plus]]</f>
        <v>#DIV/0!</v>
      </c>
      <c r="BR9" s="91">
        <f>IFERROR(-Ka*_xlfn.LOGNORM.DIST((Tabella34[[#This Row],[Day]]-pa),mu_a,sigma_a,FALSE)*(1+(LN((Tabella34[[#This Row],[Day]]-pa))-mu_a)/sigma_a^2)/(Tabella34[[#This Row],[Day]]-pa),0)</f>
        <v>0</v>
      </c>
      <c r="BS9" s="163">
        <f>Tabella34[[#This Row],[rest of Italy acc. fit]]/y_a_peak</f>
        <v>0</v>
      </c>
      <c r="BT9" s="162">
        <f>Tabella34[[#This Row],[rest of Italy acc. fit]]*NOT(ISBLANK(Tabella34[[#This Row],[rest of Italy data]]))</f>
        <v>0</v>
      </c>
      <c r="BU9" s="96">
        <f>Tabella34[[#This Row],[rest of Italy acc. fit]]+CIa</f>
        <v>694.65203586359735</v>
      </c>
      <c r="BV9" s="96">
        <f>MAX(Tabella34[[#This Row],[rest of Italy acc. fit]]-CIa,0)</f>
        <v>0</v>
      </c>
      <c r="BW9" s="8"/>
      <c r="BX9" s="223"/>
      <c r="BY9" s="224"/>
      <c r="BZ9" s="3"/>
      <c r="CL9" s="311"/>
    </row>
    <row r="10" spans="2:90" x14ac:dyDescent="0.3">
      <c r="B10" s="288">
        <v>43833</v>
      </c>
      <c r="C10" s="4">
        <v>3</v>
      </c>
      <c r="D10" s="161"/>
      <c r="E10" s="164"/>
      <c r="F10" s="164"/>
      <c r="G10" s="162">
        <f>Tabella34[[#This Row],[Italy data]]*NOT(ISBLANK(Tabella34[[#This Row],[Italy data]]))</f>
        <v>0</v>
      </c>
      <c r="H10" s="163">
        <f>Tabella8[[#This Row],[Italy fit]]</f>
        <v>0</v>
      </c>
      <c r="I10" s="163" t="e">
        <f>_xlfn.LOGNORM.INV(alpha*Tabella34[[#This Row],[Italy cumul. Fit]]/Kt,mu_t,sigma_t)-(Tabella34[[#This Row],[Day]]-pt)</f>
        <v>#NUM!</v>
      </c>
      <c r="J10" s="163" t="e">
        <f>Tabella34[[#This Row],[Italy d.t.]]/Italy_dt_at_lockdown</f>
        <v>#NUM!</v>
      </c>
      <c r="K10" s="163">
        <f>Tabella34[[#This Row],[Italy cumul. Fit]]/Kf</f>
        <v>0</v>
      </c>
      <c r="L10" s="166">
        <f>Tabella34[[#This Row],[Lombardy acc. fit]]+Tabella34[[#This Row],[rest of Italy acc. fit]]</f>
        <v>0</v>
      </c>
      <c r="M10" s="163">
        <f>Tabella34[[#This Row],[Italy (fitted Lombardy + fitted sum of the other regions)]]/(y_l_peak+y_a_peak)</f>
        <v>0</v>
      </c>
      <c r="N10" s="163">
        <f>IFERROR(Kt*_xlfn.LOGNORM.DIST((Tabella34[[#This Row],[Day]]-pt),mu_t,sigma_t,FALSE),0)</f>
        <v>0</v>
      </c>
      <c r="O10" s="163" t="e">
        <f>Kt*EXP(-0.5*Tabella34[[#This Row],[x_t]]^2)/(sigma_t*SQRTPI(2)*(Tabella34[[#This Row],[Day]]-D_bk))</f>
        <v>#NUM!</v>
      </c>
      <c r="P10" s="206" t="e">
        <f>Tabella34[[#This Row],[Italy velocity]]/Tabella34[[#This Row],[Italy cumul. Fit]]</f>
        <v>#DIV/0!</v>
      </c>
      <c r="Q10" s="269" t="e">
        <f>(LN(Tabella34[[#This Row],[Day]]-D_bk)-mu_t)/sigma_t</f>
        <v>#NUM!</v>
      </c>
      <c r="R10" s="269" t="e">
        <f>EXP(mu_t+sigma_t*Tabella34[[#This Row],[x_t_alpha©+plus]])-(Tabella34[[#This Row],[Day]]-D_bk)</f>
        <v>#DIV/0!</v>
      </c>
      <c r="S10" s="269" t="e">
        <f>EXP(mu_t+sigma_t*Tabella34[[#This Row],[x_t_alpha©-minus]])-(Tabella34[[#This Row],[Day]]-D_bk)</f>
        <v>#DIV/0!</v>
      </c>
      <c r="T10" s="269" t="e">
        <f>-sigma_t+SQRT(sigma_t^2-2*Tabella34[[#This Row],[c_t]])</f>
        <v>#DIV/0!</v>
      </c>
      <c r="U10" s="269" t="e">
        <f>-sigma_t-SQRT(sigma_t^2-2*Tabella34[[#This Row],[c_t]])</f>
        <v>#DIV/0!</v>
      </c>
      <c r="V10" s="269" t="e">
        <f>mu_t-LN(alpha*Kt/(Tabella34[[#This Row],[Italy velocity]]*sigma_t*SQRTPI(2)))</f>
        <v>#DIV/0!</v>
      </c>
      <c r="W10" s="269" t="e">
        <f>Tabella34[[#This Row],[Italy g.r.]]/Italy_gr_at_lockdown</f>
        <v>#DIV/0!</v>
      </c>
      <c r="X10" s="269" t="e">
        <f>Tabella34[[#This Row],[t_alpha_t+plus]]</f>
        <v>#DIV/0!</v>
      </c>
      <c r="Y10" s="269" t="e">
        <f>Tabella34[[#This Row],[Italy h.t.]]/Italy_ht_at_lockdown</f>
        <v>#DIV/0!</v>
      </c>
      <c r="Z10" s="91">
        <f>IFERROR(-Kf*_xlfn.LOGNORM.DIST((Tabella34[[#This Row],[Day]]-D_bk),mu_f,sigma_f,FALSE)*(1+(LN((Tabella34[[#This Row],[Day]]-D_bk))-mu_f)/sigma_f^2)/(Tabella34[[#This Row],[Day]]-D_bk),0)</f>
        <v>0</v>
      </c>
      <c r="AA10" s="91">
        <f>Tabella34[[#This Row],[Italy acc. fit]]/Itali_acc_at_lockdown</f>
        <v>0</v>
      </c>
      <c r="AB10" s="163">
        <f>Tabella34[[#This Row],[Italy acc. fit]]/y_f_peak</f>
        <v>0</v>
      </c>
      <c r="AC10" s="163">
        <f>Tabella34[[#This Row],[Italy (fitted Lombardy + fitted sum of the other regions)]]*NOT(ISBLANK(Tabella34[[#This Row],[Italy data]]))</f>
        <v>0</v>
      </c>
      <c r="AD10" s="163">
        <f>Tabella34[[#This Row],[Italy acc. fit]]*NOT(ISBLANK(Tabella34[[#This Row],[Italy data]]))</f>
        <v>0</v>
      </c>
      <c r="AE10" s="96">
        <f>Tabella34[[#This Row],[Italy acc. fit]]+CIf</f>
        <v>1013.7630020203177</v>
      </c>
      <c r="AF10" s="96">
        <f>MAX(Tabella34[[#This Row],[Italy acc. fit]]-CIf,0)</f>
        <v>0</v>
      </c>
      <c r="AG10" s="161"/>
      <c r="AH10" s="34"/>
      <c r="AI10" s="34"/>
      <c r="AJ10" s="162">
        <f>Tabella34[[#This Row],[Lombardy data]]*NOT(ISBLANK(Tabella34[[#This Row],[Lombardy data]]))</f>
        <v>0</v>
      </c>
      <c r="AK10" s="167">
        <f>Tabella8[[#This Row],[Lombardy fit]]</f>
        <v>0</v>
      </c>
      <c r="AL10" s="163" t="e">
        <f>_xlfn.LOGNORM.INV(alpha*Tabella34[[#This Row],[Lombardy cumul. Fit]]/Kr,mu_r,sigma_r)-(Tabella34[[#This Row],[Day]]-pr)</f>
        <v>#NUM!</v>
      </c>
      <c r="AM10" s="162">
        <f>Tabella34[[#This Row],[Lombardy cumul. Fit]]/Kl</f>
        <v>0</v>
      </c>
      <c r="AN10" s="163">
        <f>IFERROR(Kr*_xlfn.LOGNORM.DIST((Tabella34[[#This Row],[Day]]-pr),mu_r,sigma_r,FALSE),0)</f>
        <v>0</v>
      </c>
      <c r="AO10" s="206" t="e">
        <f>Tabella34[[#This Row],[Lombardy velocity]]/Tabella34[[#This Row],[Lombardy cumul. Fit]]</f>
        <v>#DIV/0!</v>
      </c>
      <c r="AP10" s="261" t="e">
        <f>(LN(Tabella34[[#This Row],[Day]]-pr)-mu_r)/sigma_r</f>
        <v>#NUM!</v>
      </c>
      <c r="AQ10" s="269" t="e">
        <f>EXP(mu_r+sigma_r*Tabella34[[#This Row],[x_r_alpha©+plus]])-(Tabella34[[#This Row],[Day]]-pr)</f>
        <v>#DIV/0!</v>
      </c>
      <c r="AR10" s="269" t="e">
        <f>EXP(mu_r+sigma_r*Tabella34[[#This Row],[x_r_alpha©-minus]])-(Tabella34[[#This Row],[Day]]-pr)</f>
        <v>#DIV/0!</v>
      </c>
      <c r="AS10" s="269" t="e">
        <f>-sigma_r+SQRT(sigma_r^2-2*Tabella34[[#This Row],[c_r]])</f>
        <v>#DIV/0!</v>
      </c>
      <c r="AT10" s="269" t="e">
        <f>-sigma_r-SQRT(sigma_r^2-2*Tabella34[[#This Row],[c_r]])</f>
        <v>#DIV/0!</v>
      </c>
      <c r="AU10" s="269" t="e">
        <f>mu_r-LN(alpha*Kr/(Tabella34[[#This Row],[Lombardy velocity]]*sigma_r*SQRTPI(2)))</f>
        <v>#DIV/0!</v>
      </c>
      <c r="AV10" s="269" t="e">
        <f>Tabella34[[#This Row],[t_alpha_r+plus]]</f>
        <v>#DIV/0!</v>
      </c>
      <c r="AW10" s="91">
        <f>IFERROR(-Kl*_xlfn.LOGNORM.DIST((Tabella34[[#This Row],[Day]]-pl),mu_l,sigma_l,FALSE)*(1+(LN((Tabella34[[#This Row],[Day]]-pl))-mu_l)/sigma_l^2)/(Tabella34[[#This Row],[Day]]-pl),0)</f>
        <v>0</v>
      </c>
      <c r="AX10" s="163">
        <f>Tabella34[[#This Row],[Lombardy acc. fit]]/y_l_peak</f>
        <v>0</v>
      </c>
      <c r="AY10" s="163">
        <f>Tabella34[[#This Row],[Lombardy acc. fit]]*NOT(ISBLANK(Tabella34[[#This Row],[Lombardy data]]))</f>
        <v>0</v>
      </c>
      <c r="AZ10" s="96">
        <f>Tabella34[[#This Row],[Lombardy acc. fit]]+CIl</f>
        <v>748.95537180362362</v>
      </c>
      <c r="BA10" s="96">
        <f>MAX(Tabella34[[#This Row],[Lombardy acc. fit]]-CIl,0)</f>
        <v>0</v>
      </c>
      <c r="BB10" s="161"/>
      <c r="BC10" s="34"/>
      <c r="BD10" s="34"/>
      <c r="BE10" s="162">
        <f>Tabella34[[#This Row],[rest of Italy data]]*NOT(ISBLANK(Tabella34[[#This Row],[rest of Italy data]]))</f>
        <v>0</v>
      </c>
      <c r="BF10" s="211">
        <f>Tabella8[[#This Row],[rest of Italy fit]]</f>
        <v>0</v>
      </c>
      <c r="BG10" s="163" t="e">
        <f>_xlfn.LOGNORM.INV(alpha*Tabella34[[#This Row],[rest of Italy cumul. Fit]]/Ko,mu_o,sigma_o)-(Tabella34[[#This Row],[Day]]-po)</f>
        <v>#NUM!</v>
      </c>
      <c r="BH10" s="163">
        <f>Tabella34[[#This Row],[rest of Italy cumul. Fit]]/Ka</f>
        <v>0</v>
      </c>
      <c r="BI10" s="163">
        <f>IFERROR(Ko*_xlfn.LOGNORM.DIST((Tabella34[[#This Row],[Day]]-po),mu_o,sigma_o,FALSE),0)</f>
        <v>0</v>
      </c>
      <c r="BJ10" s="206" t="e">
        <f>Tabella34[[#This Row],[rest of Italy velocity]]/Tabella34[[#This Row],[rest of Italy cumul. Fit]]</f>
        <v>#DIV/0!</v>
      </c>
      <c r="BK10" s="261" t="e">
        <f>(LN(Tabella34[[#This Row],[Day]]-po)-mu_o)/sigma_o</f>
        <v>#NUM!</v>
      </c>
      <c r="BL10" s="269" t="e">
        <f>EXP(mu_o+sigma_o*Tabella34[[#This Row],[x_o_alpha©+plus]])-(Tabella34[[#This Row],[Day]]-po)</f>
        <v>#DIV/0!</v>
      </c>
      <c r="BM10" s="269" t="e">
        <f>EXP(mu_o+sigma_o*Tabella34[[#This Row],[x_o_alpha©-minus]])-(Tabella34[[#This Row],[Day]]-po)</f>
        <v>#DIV/0!</v>
      </c>
      <c r="BN10" s="269" t="e">
        <f>-sigma_o+SQRT(sigma_o^2-2*Tabella34[[#This Row],[c_o]])</f>
        <v>#DIV/0!</v>
      </c>
      <c r="BO10" s="269" t="e">
        <f>-sigma_o-SQRT(sigma_o^2-2*Tabella34[[#This Row],[c_o]])</f>
        <v>#DIV/0!</v>
      </c>
      <c r="BP10" s="269" t="e">
        <f>mu_o-LN(alpha*Ko/(Tabella34[[#This Row],[rest of Italy velocity]]*sigma_o*SQRTPI(2)))</f>
        <v>#DIV/0!</v>
      </c>
      <c r="BQ10" s="269" t="e">
        <f>Tabella34[[#This Row],[t_alpha_o+plus]]</f>
        <v>#DIV/0!</v>
      </c>
      <c r="BR10" s="91">
        <f>IFERROR(-Ka*_xlfn.LOGNORM.DIST((Tabella34[[#This Row],[Day]]-pa),mu_a,sigma_a,FALSE)*(1+(LN((Tabella34[[#This Row],[Day]]-pa))-mu_a)/sigma_a^2)/(Tabella34[[#This Row],[Day]]-pa),0)</f>
        <v>0</v>
      </c>
      <c r="BS10" s="163">
        <f>Tabella34[[#This Row],[rest of Italy acc. fit]]/y_a_peak</f>
        <v>0</v>
      </c>
      <c r="BT10" s="162">
        <f>Tabella34[[#This Row],[rest of Italy acc. fit]]*NOT(ISBLANK(Tabella34[[#This Row],[rest of Italy data]]))</f>
        <v>0</v>
      </c>
      <c r="BU10" s="96">
        <f>Tabella34[[#This Row],[rest of Italy acc. fit]]+CIa</f>
        <v>694.65203586359735</v>
      </c>
      <c r="BV10" s="96">
        <f>MAX(Tabella34[[#This Row],[rest of Italy acc. fit]]-CIa,0)</f>
        <v>0</v>
      </c>
      <c r="BW10" s="8"/>
      <c r="BX10" s="221"/>
      <c r="BY10" s="224"/>
      <c r="BZ10" s="3"/>
      <c r="CL10" s="311"/>
    </row>
    <row r="11" spans="2:90" x14ac:dyDescent="0.3">
      <c r="B11" s="288">
        <v>43834</v>
      </c>
      <c r="C11" s="4">
        <v>4</v>
      </c>
      <c r="D11" s="161"/>
      <c r="E11" s="164"/>
      <c r="F11" s="164"/>
      <c r="G11" s="162">
        <f>Tabella34[[#This Row],[Italy data]]*NOT(ISBLANK(Tabella34[[#This Row],[Italy data]]))</f>
        <v>0</v>
      </c>
      <c r="H11" s="163">
        <f>Tabella8[[#This Row],[Italy fit]]</f>
        <v>0</v>
      </c>
      <c r="I11" s="163" t="e">
        <f>_xlfn.LOGNORM.INV(alpha*Tabella34[[#This Row],[Italy cumul. Fit]]/Kt,mu_t,sigma_t)-(Tabella34[[#This Row],[Day]]-pt)</f>
        <v>#NUM!</v>
      </c>
      <c r="J11" s="163" t="e">
        <f>Tabella34[[#This Row],[Italy d.t.]]/Italy_dt_at_lockdown</f>
        <v>#NUM!</v>
      </c>
      <c r="K11" s="163">
        <f>Tabella34[[#This Row],[Italy cumul. Fit]]/Kf</f>
        <v>0</v>
      </c>
      <c r="L11" s="166">
        <f>Tabella34[[#This Row],[Lombardy acc. fit]]+Tabella34[[#This Row],[rest of Italy acc. fit]]</f>
        <v>0</v>
      </c>
      <c r="M11" s="163">
        <f>Tabella34[[#This Row],[Italy (fitted Lombardy + fitted sum of the other regions)]]/(y_l_peak+y_a_peak)</f>
        <v>0</v>
      </c>
      <c r="N11" s="163">
        <f>IFERROR(Kt*_xlfn.LOGNORM.DIST((Tabella34[[#This Row],[Day]]-pt),mu_t,sigma_t,FALSE),0)</f>
        <v>0</v>
      </c>
      <c r="O11" s="163" t="e">
        <f>Kt*EXP(-0.5*Tabella34[[#This Row],[x_t]]^2)/(sigma_t*SQRTPI(2)*(Tabella34[[#This Row],[Day]]-D_bk))</f>
        <v>#NUM!</v>
      </c>
      <c r="P11" s="206" t="e">
        <f>Tabella34[[#This Row],[Italy velocity]]/Tabella34[[#This Row],[Italy cumul. Fit]]</f>
        <v>#DIV/0!</v>
      </c>
      <c r="Q11" s="269" t="e">
        <f>(LN(Tabella34[[#This Row],[Day]]-D_bk)-mu_t)/sigma_t</f>
        <v>#NUM!</v>
      </c>
      <c r="R11" s="269" t="e">
        <f>EXP(mu_t+sigma_t*Tabella34[[#This Row],[x_t_alpha©+plus]])-(Tabella34[[#This Row],[Day]]-D_bk)</f>
        <v>#DIV/0!</v>
      </c>
      <c r="S11" s="269" t="e">
        <f>EXP(mu_t+sigma_t*Tabella34[[#This Row],[x_t_alpha©-minus]])-(Tabella34[[#This Row],[Day]]-D_bk)</f>
        <v>#DIV/0!</v>
      </c>
      <c r="T11" s="269" t="e">
        <f>-sigma_t+SQRT(sigma_t^2-2*Tabella34[[#This Row],[c_t]])</f>
        <v>#DIV/0!</v>
      </c>
      <c r="U11" s="269" t="e">
        <f>-sigma_t-SQRT(sigma_t^2-2*Tabella34[[#This Row],[c_t]])</f>
        <v>#DIV/0!</v>
      </c>
      <c r="V11" s="269" t="e">
        <f>mu_t-LN(alpha*Kt/(Tabella34[[#This Row],[Italy velocity]]*sigma_t*SQRTPI(2)))</f>
        <v>#DIV/0!</v>
      </c>
      <c r="W11" s="269" t="e">
        <f>Tabella34[[#This Row],[Italy g.r.]]/Italy_gr_at_lockdown</f>
        <v>#DIV/0!</v>
      </c>
      <c r="X11" s="269" t="e">
        <f>Tabella34[[#This Row],[t_alpha_t+plus]]</f>
        <v>#DIV/0!</v>
      </c>
      <c r="Y11" s="269" t="e">
        <f>Tabella34[[#This Row],[Italy h.t.]]/Italy_ht_at_lockdown</f>
        <v>#DIV/0!</v>
      </c>
      <c r="Z11" s="91">
        <f>IFERROR(-Kf*_xlfn.LOGNORM.DIST((Tabella34[[#This Row],[Day]]-D_bk),mu_f,sigma_f,FALSE)*(1+(LN((Tabella34[[#This Row],[Day]]-D_bk))-mu_f)/sigma_f^2)/(Tabella34[[#This Row],[Day]]-D_bk),0)</f>
        <v>0</v>
      </c>
      <c r="AA11" s="91">
        <f>Tabella34[[#This Row],[Italy acc. fit]]/Itali_acc_at_lockdown</f>
        <v>0</v>
      </c>
      <c r="AB11" s="163">
        <f>Tabella34[[#This Row],[Italy acc. fit]]/y_f_peak</f>
        <v>0</v>
      </c>
      <c r="AC11" s="163">
        <f>Tabella34[[#This Row],[Italy (fitted Lombardy + fitted sum of the other regions)]]*NOT(ISBLANK(Tabella34[[#This Row],[Italy data]]))</f>
        <v>0</v>
      </c>
      <c r="AD11" s="163">
        <f>Tabella34[[#This Row],[Italy acc. fit]]*NOT(ISBLANK(Tabella34[[#This Row],[Italy data]]))</f>
        <v>0</v>
      </c>
      <c r="AE11" s="96">
        <f>Tabella34[[#This Row],[Italy acc. fit]]+CIf</f>
        <v>1013.7630020203177</v>
      </c>
      <c r="AF11" s="96">
        <f>MAX(Tabella34[[#This Row],[Italy acc. fit]]-CIf,0)</f>
        <v>0</v>
      </c>
      <c r="AG11" s="161"/>
      <c r="AH11" s="34"/>
      <c r="AI11" s="34"/>
      <c r="AJ11" s="162">
        <f>Tabella34[[#This Row],[Lombardy data]]*NOT(ISBLANK(Tabella34[[#This Row],[Lombardy data]]))</f>
        <v>0</v>
      </c>
      <c r="AK11" s="167">
        <f>Tabella8[[#This Row],[Lombardy fit]]</f>
        <v>0</v>
      </c>
      <c r="AL11" s="163" t="e">
        <f>_xlfn.LOGNORM.INV(alpha*Tabella34[[#This Row],[Lombardy cumul. Fit]]/Kr,mu_r,sigma_r)-(Tabella34[[#This Row],[Day]]-pr)</f>
        <v>#NUM!</v>
      </c>
      <c r="AM11" s="162">
        <f>Tabella34[[#This Row],[Lombardy cumul. Fit]]/Kl</f>
        <v>0</v>
      </c>
      <c r="AN11" s="163">
        <f>IFERROR(Kr*_xlfn.LOGNORM.DIST((Tabella34[[#This Row],[Day]]-pr),mu_r,sigma_r,FALSE),0)</f>
        <v>0</v>
      </c>
      <c r="AO11" s="206" t="e">
        <f>Tabella34[[#This Row],[Lombardy velocity]]/Tabella34[[#This Row],[Lombardy cumul. Fit]]</f>
        <v>#DIV/0!</v>
      </c>
      <c r="AP11" s="261" t="e">
        <f>(LN(Tabella34[[#This Row],[Day]]-pr)-mu_r)/sigma_r</f>
        <v>#NUM!</v>
      </c>
      <c r="AQ11" s="269" t="e">
        <f>EXP(mu_r+sigma_r*Tabella34[[#This Row],[x_r_alpha©+plus]])-(Tabella34[[#This Row],[Day]]-pr)</f>
        <v>#DIV/0!</v>
      </c>
      <c r="AR11" s="269" t="e">
        <f>EXP(mu_r+sigma_r*Tabella34[[#This Row],[x_r_alpha©-minus]])-(Tabella34[[#This Row],[Day]]-pr)</f>
        <v>#DIV/0!</v>
      </c>
      <c r="AS11" s="269" t="e">
        <f>-sigma_r+SQRT(sigma_r^2-2*Tabella34[[#This Row],[c_r]])</f>
        <v>#DIV/0!</v>
      </c>
      <c r="AT11" s="269" t="e">
        <f>-sigma_r-SQRT(sigma_r^2-2*Tabella34[[#This Row],[c_r]])</f>
        <v>#DIV/0!</v>
      </c>
      <c r="AU11" s="269" t="e">
        <f>mu_r-LN(alpha*Kr/(Tabella34[[#This Row],[Lombardy velocity]]*sigma_r*SQRTPI(2)))</f>
        <v>#DIV/0!</v>
      </c>
      <c r="AV11" s="269" t="e">
        <f>Tabella34[[#This Row],[t_alpha_r+plus]]</f>
        <v>#DIV/0!</v>
      </c>
      <c r="AW11" s="91">
        <f>IFERROR(-Kl*_xlfn.LOGNORM.DIST((Tabella34[[#This Row],[Day]]-pl),mu_l,sigma_l,FALSE)*(1+(LN((Tabella34[[#This Row],[Day]]-pl))-mu_l)/sigma_l^2)/(Tabella34[[#This Row],[Day]]-pl),0)</f>
        <v>0</v>
      </c>
      <c r="AX11" s="163">
        <f>Tabella34[[#This Row],[Lombardy acc. fit]]/y_l_peak</f>
        <v>0</v>
      </c>
      <c r="AY11" s="163">
        <f>Tabella34[[#This Row],[Lombardy acc. fit]]*NOT(ISBLANK(Tabella34[[#This Row],[Lombardy data]]))</f>
        <v>0</v>
      </c>
      <c r="AZ11" s="96">
        <f>Tabella34[[#This Row],[Lombardy acc. fit]]+CIl</f>
        <v>748.95537180362362</v>
      </c>
      <c r="BA11" s="96">
        <f>MAX(Tabella34[[#This Row],[Lombardy acc. fit]]-CIl,0)</f>
        <v>0</v>
      </c>
      <c r="BB11" s="161"/>
      <c r="BC11" s="34"/>
      <c r="BD11" s="34"/>
      <c r="BE11" s="162">
        <f>Tabella34[[#This Row],[rest of Italy data]]*NOT(ISBLANK(Tabella34[[#This Row],[rest of Italy data]]))</f>
        <v>0</v>
      </c>
      <c r="BF11" s="211">
        <f>Tabella8[[#This Row],[rest of Italy fit]]</f>
        <v>0</v>
      </c>
      <c r="BG11" s="163" t="e">
        <f>_xlfn.LOGNORM.INV(alpha*Tabella34[[#This Row],[rest of Italy cumul. Fit]]/Ko,mu_o,sigma_o)-(Tabella34[[#This Row],[Day]]-po)</f>
        <v>#NUM!</v>
      </c>
      <c r="BH11" s="163">
        <f>Tabella34[[#This Row],[rest of Italy cumul. Fit]]/Ka</f>
        <v>0</v>
      </c>
      <c r="BI11" s="163">
        <f>IFERROR(Ko*_xlfn.LOGNORM.DIST((Tabella34[[#This Row],[Day]]-po),mu_o,sigma_o,FALSE),0)</f>
        <v>0</v>
      </c>
      <c r="BJ11" s="206" t="e">
        <f>Tabella34[[#This Row],[rest of Italy velocity]]/Tabella34[[#This Row],[rest of Italy cumul. Fit]]</f>
        <v>#DIV/0!</v>
      </c>
      <c r="BK11" s="261" t="e">
        <f>(LN(Tabella34[[#This Row],[Day]]-po)-mu_o)/sigma_o</f>
        <v>#NUM!</v>
      </c>
      <c r="BL11" s="269" t="e">
        <f>EXP(mu_o+sigma_o*Tabella34[[#This Row],[x_o_alpha©+plus]])-(Tabella34[[#This Row],[Day]]-po)</f>
        <v>#DIV/0!</v>
      </c>
      <c r="BM11" s="269" t="e">
        <f>EXP(mu_o+sigma_o*Tabella34[[#This Row],[x_o_alpha©-minus]])-(Tabella34[[#This Row],[Day]]-po)</f>
        <v>#DIV/0!</v>
      </c>
      <c r="BN11" s="269" t="e">
        <f>-sigma_o+SQRT(sigma_o^2-2*Tabella34[[#This Row],[c_o]])</f>
        <v>#DIV/0!</v>
      </c>
      <c r="BO11" s="269" t="e">
        <f>-sigma_o-SQRT(sigma_o^2-2*Tabella34[[#This Row],[c_o]])</f>
        <v>#DIV/0!</v>
      </c>
      <c r="BP11" s="269" t="e">
        <f>mu_o-LN(alpha*Ko/(Tabella34[[#This Row],[rest of Italy velocity]]*sigma_o*SQRTPI(2)))</f>
        <v>#DIV/0!</v>
      </c>
      <c r="BQ11" s="269" t="e">
        <f>Tabella34[[#This Row],[t_alpha_o+plus]]</f>
        <v>#DIV/0!</v>
      </c>
      <c r="BR11" s="91">
        <f>IFERROR(-Ka*_xlfn.LOGNORM.DIST((Tabella34[[#This Row],[Day]]-pa),mu_a,sigma_a,FALSE)*(1+(LN((Tabella34[[#This Row],[Day]]-pa))-mu_a)/sigma_a^2)/(Tabella34[[#This Row],[Day]]-pa),0)</f>
        <v>0</v>
      </c>
      <c r="BS11" s="163">
        <f>Tabella34[[#This Row],[rest of Italy acc. fit]]/y_a_peak</f>
        <v>0</v>
      </c>
      <c r="BT11" s="162">
        <f>Tabella34[[#This Row],[rest of Italy acc. fit]]*NOT(ISBLANK(Tabella34[[#This Row],[rest of Italy data]]))</f>
        <v>0</v>
      </c>
      <c r="BU11" s="96">
        <f>Tabella34[[#This Row],[rest of Italy acc. fit]]+CIa</f>
        <v>694.65203586359735</v>
      </c>
      <c r="BV11" s="96">
        <f>MAX(Tabella34[[#This Row],[rest of Italy acc. fit]]-CIa,0)</f>
        <v>0</v>
      </c>
      <c r="BW11" s="8"/>
      <c r="BX11" s="225" t="s">
        <v>1</v>
      </c>
      <c r="BY11" s="226">
        <f>AVERAGE(Tabella34[Italy data])</f>
        <v>2077.3711340206187</v>
      </c>
      <c r="BZ11" s="3"/>
      <c r="CL11" s="311"/>
    </row>
    <row r="12" spans="2:90" x14ac:dyDescent="0.3">
      <c r="B12" s="288">
        <v>43835</v>
      </c>
      <c r="C12" s="4">
        <v>5</v>
      </c>
      <c r="D12" s="161"/>
      <c r="E12" s="164"/>
      <c r="F12" s="164"/>
      <c r="G12" s="162">
        <f>Tabella34[[#This Row],[Italy data]]*NOT(ISBLANK(Tabella34[[#This Row],[Italy data]]))</f>
        <v>0</v>
      </c>
      <c r="H12" s="163">
        <f>Tabella8[[#This Row],[Italy fit]]</f>
        <v>0</v>
      </c>
      <c r="I12" s="163" t="e">
        <f>_xlfn.LOGNORM.INV(alpha*Tabella34[[#This Row],[Italy cumul. Fit]]/Kt,mu_t,sigma_t)-(Tabella34[[#This Row],[Day]]-pt)</f>
        <v>#NUM!</v>
      </c>
      <c r="J12" s="163" t="e">
        <f>Tabella34[[#This Row],[Italy d.t.]]/Italy_dt_at_lockdown</f>
        <v>#NUM!</v>
      </c>
      <c r="K12" s="163">
        <f>Tabella34[[#This Row],[Italy cumul. Fit]]/Kf</f>
        <v>0</v>
      </c>
      <c r="L12" s="166">
        <f>Tabella34[[#This Row],[Lombardy acc. fit]]+Tabella34[[#This Row],[rest of Italy acc. fit]]</f>
        <v>0</v>
      </c>
      <c r="M12" s="163">
        <f>Tabella34[[#This Row],[Italy (fitted Lombardy + fitted sum of the other regions)]]/(y_l_peak+y_a_peak)</f>
        <v>0</v>
      </c>
      <c r="N12" s="163">
        <f>IFERROR(Kt*_xlfn.LOGNORM.DIST((Tabella34[[#This Row],[Day]]-pt),mu_t,sigma_t,FALSE),0)</f>
        <v>0</v>
      </c>
      <c r="O12" s="163" t="e">
        <f>Kt*EXP(-0.5*Tabella34[[#This Row],[x_t]]^2)/(sigma_t*SQRTPI(2)*(Tabella34[[#This Row],[Day]]-D_bk))</f>
        <v>#NUM!</v>
      </c>
      <c r="P12" s="206" t="e">
        <f>Tabella34[[#This Row],[Italy velocity]]/Tabella34[[#This Row],[Italy cumul. Fit]]</f>
        <v>#DIV/0!</v>
      </c>
      <c r="Q12" s="269" t="e">
        <f>(LN(Tabella34[[#This Row],[Day]]-D_bk)-mu_t)/sigma_t</f>
        <v>#NUM!</v>
      </c>
      <c r="R12" s="269" t="e">
        <f>EXP(mu_t+sigma_t*Tabella34[[#This Row],[x_t_alpha©+plus]])-(Tabella34[[#This Row],[Day]]-D_bk)</f>
        <v>#DIV/0!</v>
      </c>
      <c r="S12" s="269" t="e">
        <f>EXP(mu_t+sigma_t*Tabella34[[#This Row],[x_t_alpha©-minus]])-(Tabella34[[#This Row],[Day]]-D_bk)</f>
        <v>#DIV/0!</v>
      </c>
      <c r="T12" s="269" t="e">
        <f>-sigma_t+SQRT(sigma_t^2-2*Tabella34[[#This Row],[c_t]])</f>
        <v>#DIV/0!</v>
      </c>
      <c r="U12" s="269" t="e">
        <f>-sigma_t-SQRT(sigma_t^2-2*Tabella34[[#This Row],[c_t]])</f>
        <v>#DIV/0!</v>
      </c>
      <c r="V12" s="269" t="e">
        <f>mu_t-LN(alpha*Kt/(Tabella34[[#This Row],[Italy velocity]]*sigma_t*SQRTPI(2)))</f>
        <v>#DIV/0!</v>
      </c>
      <c r="W12" s="269" t="e">
        <f>Tabella34[[#This Row],[Italy g.r.]]/Italy_gr_at_lockdown</f>
        <v>#DIV/0!</v>
      </c>
      <c r="X12" s="269" t="e">
        <f>Tabella34[[#This Row],[t_alpha_t+plus]]</f>
        <v>#DIV/0!</v>
      </c>
      <c r="Y12" s="269" t="e">
        <f>Tabella34[[#This Row],[Italy h.t.]]/Italy_ht_at_lockdown</f>
        <v>#DIV/0!</v>
      </c>
      <c r="Z12" s="91">
        <f>IFERROR(-Kf*_xlfn.LOGNORM.DIST((Tabella34[[#This Row],[Day]]-D_bk),mu_f,sigma_f,FALSE)*(1+(LN((Tabella34[[#This Row],[Day]]-D_bk))-mu_f)/sigma_f^2)/(Tabella34[[#This Row],[Day]]-D_bk),0)</f>
        <v>0</v>
      </c>
      <c r="AA12" s="91">
        <f>Tabella34[[#This Row],[Italy acc. fit]]/Itali_acc_at_lockdown</f>
        <v>0</v>
      </c>
      <c r="AB12" s="163">
        <f>Tabella34[[#This Row],[Italy acc. fit]]/y_f_peak</f>
        <v>0</v>
      </c>
      <c r="AC12" s="163">
        <f>Tabella34[[#This Row],[Italy (fitted Lombardy + fitted sum of the other regions)]]*NOT(ISBLANK(Tabella34[[#This Row],[Italy data]]))</f>
        <v>0</v>
      </c>
      <c r="AD12" s="163">
        <f>Tabella34[[#This Row],[Italy acc. fit]]*NOT(ISBLANK(Tabella34[[#This Row],[Italy data]]))</f>
        <v>0</v>
      </c>
      <c r="AE12" s="96">
        <f>Tabella34[[#This Row],[Italy acc. fit]]+CIf</f>
        <v>1013.7630020203177</v>
      </c>
      <c r="AF12" s="96">
        <f>MAX(Tabella34[[#This Row],[Italy acc. fit]]-CIf,0)</f>
        <v>0</v>
      </c>
      <c r="AG12" s="161"/>
      <c r="AH12" s="34"/>
      <c r="AI12" s="34"/>
      <c r="AJ12" s="162">
        <f>Tabella34[[#This Row],[Lombardy data]]*NOT(ISBLANK(Tabella34[[#This Row],[Lombardy data]]))</f>
        <v>0</v>
      </c>
      <c r="AK12" s="167">
        <f>Tabella8[[#This Row],[Lombardy fit]]</f>
        <v>0</v>
      </c>
      <c r="AL12" s="163" t="e">
        <f>_xlfn.LOGNORM.INV(alpha*Tabella34[[#This Row],[Lombardy cumul. Fit]]/Kr,mu_r,sigma_r)-(Tabella34[[#This Row],[Day]]-pr)</f>
        <v>#NUM!</v>
      </c>
      <c r="AM12" s="162">
        <f>Tabella34[[#This Row],[Lombardy cumul. Fit]]/Kl</f>
        <v>0</v>
      </c>
      <c r="AN12" s="163">
        <f>IFERROR(Kr*_xlfn.LOGNORM.DIST((Tabella34[[#This Row],[Day]]-pr),mu_r,sigma_r,FALSE),0)</f>
        <v>0</v>
      </c>
      <c r="AO12" s="206" t="e">
        <f>Tabella34[[#This Row],[Lombardy velocity]]/Tabella34[[#This Row],[Lombardy cumul. Fit]]</f>
        <v>#DIV/0!</v>
      </c>
      <c r="AP12" s="261" t="e">
        <f>(LN(Tabella34[[#This Row],[Day]]-pr)-mu_r)/sigma_r</f>
        <v>#NUM!</v>
      </c>
      <c r="AQ12" s="269" t="e">
        <f>EXP(mu_r+sigma_r*Tabella34[[#This Row],[x_r_alpha©+plus]])-(Tabella34[[#This Row],[Day]]-pr)</f>
        <v>#DIV/0!</v>
      </c>
      <c r="AR12" s="269" t="e">
        <f>EXP(mu_r+sigma_r*Tabella34[[#This Row],[x_r_alpha©-minus]])-(Tabella34[[#This Row],[Day]]-pr)</f>
        <v>#DIV/0!</v>
      </c>
      <c r="AS12" s="269" t="e">
        <f>-sigma_r+SQRT(sigma_r^2-2*Tabella34[[#This Row],[c_r]])</f>
        <v>#DIV/0!</v>
      </c>
      <c r="AT12" s="269" t="e">
        <f>-sigma_r-SQRT(sigma_r^2-2*Tabella34[[#This Row],[c_r]])</f>
        <v>#DIV/0!</v>
      </c>
      <c r="AU12" s="269" t="e">
        <f>mu_r-LN(alpha*Kr/(Tabella34[[#This Row],[Lombardy velocity]]*sigma_r*SQRTPI(2)))</f>
        <v>#DIV/0!</v>
      </c>
      <c r="AV12" s="269" t="e">
        <f>Tabella34[[#This Row],[t_alpha_r+plus]]</f>
        <v>#DIV/0!</v>
      </c>
      <c r="AW12" s="91">
        <f>IFERROR(-Kl*_xlfn.LOGNORM.DIST((Tabella34[[#This Row],[Day]]-pl),mu_l,sigma_l,FALSE)*(1+(LN((Tabella34[[#This Row],[Day]]-pl))-mu_l)/sigma_l^2)/(Tabella34[[#This Row],[Day]]-pl),0)</f>
        <v>0</v>
      </c>
      <c r="AX12" s="163">
        <f>Tabella34[[#This Row],[Lombardy acc. fit]]/y_l_peak</f>
        <v>0</v>
      </c>
      <c r="AY12" s="163">
        <f>Tabella34[[#This Row],[Lombardy acc. fit]]*NOT(ISBLANK(Tabella34[[#This Row],[Lombardy data]]))</f>
        <v>0</v>
      </c>
      <c r="AZ12" s="96">
        <f>Tabella34[[#This Row],[Lombardy acc. fit]]+CIl</f>
        <v>748.95537180362362</v>
      </c>
      <c r="BA12" s="96">
        <f>MAX(Tabella34[[#This Row],[Lombardy acc. fit]]-CIl,0)</f>
        <v>0</v>
      </c>
      <c r="BB12" s="161"/>
      <c r="BC12" s="34"/>
      <c r="BD12" s="34"/>
      <c r="BE12" s="162">
        <f>Tabella34[[#This Row],[rest of Italy data]]*NOT(ISBLANK(Tabella34[[#This Row],[rest of Italy data]]))</f>
        <v>0</v>
      </c>
      <c r="BF12" s="211">
        <f>Tabella8[[#This Row],[rest of Italy fit]]</f>
        <v>0</v>
      </c>
      <c r="BG12" s="163" t="e">
        <f>_xlfn.LOGNORM.INV(alpha*Tabella34[[#This Row],[rest of Italy cumul. Fit]]/Ko,mu_o,sigma_o)-(Tabella34[[#This Row],[Day]]-po)</f>
        <v>#NUM!</v>
      </c>
      <c r="BH12" s="163">
        <f>Tabella34[[#This Row],[rest of Italy cumul. Fit]]/Ka</f>
        <v>0</v>
      </c>
      <c r="BI12" s="163">
        <f>IFERROR(Ko*_xlfn.LOGNORM.DIST((Tabella34[[#This Row],[Day]]-po),mu_o,sigma_o,FALSE),0)</f>
        <v>0</v>
      </c>
      <c r="BJ12" s="206" t="e">
        <f>Tabella34[[#This Row],[rest of Italy velocity]]/Tabella34[[#This Row],[rest of Italy cumul. Fit]]</f>
        <v>#DIV/0!</v>
      </c>
      <c r="BK12" s="261" t="e">
        <f>(LN(Tabella34[[#This Row],[Day]]-po)-mu_o)/sigma_o</f>
        <v>#NUM!</v>
      </c>
      <c r="BL12" s="269" t="e">
        <f>EXP(mu_o+sigma_o*Tabella34[[#This Row],[x_o_alpha©+plus]])-(Tabella34[[#This Row],[Day]]-po)</f>
        <v>#DIV/0!</v>
      </c>
      <c r="BM12" s="269" t="e">
        <f>EXP(mu_o+sigma_o*Tabella34[[#This Row],[x_o_alpha©-minus]])-(Tabella34[[#This Row],[Day]]-po)</f>
        <v>#DIV/0!</v>
      </c>
      <c r="BN12" s="269" t="e">
        <f>-sigma_o+SQRT(sigma_o^2-2*Tabella34[[#This Row],[c_o]])</f>
        <v>#DIV/0!</v>
      </c>
      <c r="BO12" s="269" t="e">
        <f>-sigma_o-SQRT(sigma_o^2-2*Tabella34[[#This Row],[c_o]])</f>
        <v>#DIV/0!</v>
      </c>
      <c r="BP12" s="269" t="e">
        <f>mu_o-LN(alpha*Ko/(Tabella34[[#This Row],[rest of Italy velocity]]*sigma_o*SQRTPI(2)))</f>
        <v>#DIV/0!</v>
      </c>
      <c r="BQ12" s="269" t="e">
        <f>Tabella34[[#This Row],[t_alpha_o+plus]]</f>
        <v>#DIV/0!</v>
      </c>
      <c r="BR12" s="91">
        <f>IFERROR(-Ka*_xlfn.LOGNORM.DIST((Tabella34[[#This Row],[Day]]-pa),mu_a,sigma_a,FALSE)*(1+(LN((Tabella34[[#This Row],[Day]]-pa))-mu_a)/sigma_a^2)/(Tabella34[[#This Row],[Day]]-pa),0)</f>
        <v>0</v>
      </c>
      <c r="BS12" s="163">
        <f>Tabella34[[#This Row],[rest of Italy acc. fit]]/y_a_peak</f>
        <v>0</v>
      </c>
      <c r="BT12" s="162">
        <f>Tabella34[[#This Row],[rest of Italy acc. fit]]*NOT(ISBLANK(Tabella34[[#This Row],[rest of Italy data]]))</f>
        <v>0</v>
      </c>
      <c r="BU12" s="96">
        <f>Tabella34[[#This Row],[rest of Italy acc. fit]]+CIa</f>
        <v>694.65203586359735</v>
      </c>
      <c r="BV12" s="96">
        <f>MAX(Tabella34[[#This Row],[rest of Italy acc. fit]]-CIa,0)</f>
        <v>0</v>
      </c>
      <c r="BW12" s="1"/>
      <c r="BX12" s="225" t="s">
        <v>2</v>
      </c>
      <c r="BY12" s="227">
        <f>COUNT(Tabella34[Italy data])-COUNT(BY8:BY10)</f>
        <v>97</v>
      </c>
      <c r="CL12" s="311"/>
    </row>
    <row r="13" spans="2:90" x14ac:dyDescent="0.3">
      <c r="B13" s="288">
        <v>43836</v>
      </c>
      <c r="C13" s="4">
        <v>6</v>
      </c>
      <c r="D13" s="161"/>
      <c r="E13" s="164"/>
      <c r="F13" s="164"/>
      <c r="G13" s="162">
        <f>Tabella34[[#This Row],[Italy data]]*NOT(ISBLANK(Tabella34[[#This Row],[Italy data]]))</f>
        <v>0</v>
      </c>
      <c r="H13" s="163">
        <f>Tabella8[[#This Row],[Italy fit]]</f>
        <v>0</v>
      </c>
      <c r="I13" s="163" t="e">
        <f>_xlfn.LOGNORM.INV(alpha*Tabella34[[#This Row],[Italy cumul. Fit]]/Kt,mu_t,sigma_t)-(Tabella34[[#This Row],[Day]]-pt)</f>
        <v>#NUM!</v>
      </c>
      <c r="J13" s="163" t="e">
        <f>Tabella34[[#This Row],[Italy d.t.]]/Italy_dt_at_lockdown</f>
        <v>#NUM!</v>
      </c>
      <c r="K13" s="163">
        <f>Tabella34[[#This Row],[Italy cumul. Fit]]/Kf</f>
        <v>0</v>
      </c>
      <c r="L13" s="166">
        <f>Tabella34[[#This Row],[Lombardy acc. fit]]+Tabella34[[#This Row],[rest of Italy acc. fit]]</f>
        <v>0</v>
      </c>
      <c r="M13" s="163">
        <f>Tabella34[[#This Row],[Italy (fitted Lombardy + fitted sum of the other regions)]]/(y_l_peak+y_a_peak)</f>
        <v>0</v>
      </c>
      <c r="N13" s="163">
        <f>IFERROR(Kt*_xlfn.LOGNORM.DIST((Tabella34[[#This Row],[Day]]-pt),mu_t,sigma_t,FALSE),0)</f>
        <v>0</v>
      </c>
      <c r="O13" s="163" t="e">
        <f>Kt*EXP(-0.5*Tabella34[[#This Row],[x_t]]^2)/(sigma_t*SQRTPI(2)*(Tabella34[[#This Row],[Day]]-D_bk))</f>
        <v>#NUM!</v>
      </c>
      <c r="P13" s="206" t="e">
        <f>Tabella34[[#This Row],[Italy velocity]]/Tabella34[[#This Row],[Italy cumul. Fit]]</f>
        <v>#DIV/0!</v>
      </c>
      <c r="Q13" s="269" t="e">
        <f>(LN(Tabella34[[#This Row],[Day]]-D_bk)-mu_t)/sigma_t</f>
        <v>#NUM!</v>
      </c>
      <c r="R13" s="269" t="e">
        <f>EXP(mu_t+sigma_t*Tabella34[[#This Row],[x_t_alpha©+plus]])-(Tabella34[[#This Row],[Day]]-D_bk)</f>
        <v>#DIV/0!</v>
      </c>
      <c r="S13" s="269" t="e">
        <f>EXP(mu_t+sigma_t*Tabella34[[#This Row],[x_t_alpha©-minus]])-(Tabella34[[#This Row],[Day]]-D_bk)</f>
        <v>#DIV/0!</v>
      </c>
      <c r="T13" s="269" t="e">
        <f>-sigma_t+SQRT(sigma_t^2-2*Tabella34[[#This Row],[c_t]])</f>
        <v>#DIV/0!</v>
      </c>
      <c r="U13" s="269" t="e">
        <f>-sigma_t-SQRT(sigma_t^2-2*Tabella34[[#This Row],[c_t]])</f>
        <v>#DIV/0!</v>
      </c>
      <c r="V13" s="269" t="e">
        <f>mu_t-LN(alpha*Kt/(Tabella34[[#This Row],[Italy velocity]]*sigma_t*SQRTPI(2)))</f>
        <v>#DIV/0!</v>
      </c>
      <c r="W13" s="269" t="e">
        <f>Tabella34[[#This Row],[Italy g.r.]]/Italy_gr_at_lockdown</f>
        <v>#DIV/0!</v>
      </c>
      <c r="X13" s="269" t="e">
        <f>Tabella34[[#This Row],[t_alpha_t+plus]]</f>
        <v>#DIV/0!</v>
      </c>
      <c r="Y13" s="269" t="e">
        <f>Tabella34[[#This Row],[Italy h.t.]]/Italy_ht_at_lockdown</f>
        <v>#DIV/0!</v>
      </c>
      <c r="Z13" s="91">
        <f>IFERROR(-Kf*_xlfn.LOGNORM.DIST((Tabella34[[#This Row],[Day]]-D_bk),mu_f,sigma_f,FALSE)*(1+(LN((Tabella34[[#This Row],[Day]]-D_bk))-mu_f)/sigma_f^2)/(Tabella34[[#This Row],[Day]]-D_bk),0)</f>
        <v>0</v>
      </c>
      <c r="AA13" s="91">
        <f>Tabella34[[#This Row],[Italy acc. fit]]/Itali_acc_at_lockdown</f>
        <v>0</v>
      </c>
      <c r="AB13" s="163">
        <f>Tabella34[[#This Row],[Italy acc. fit]]/y_f_peak</f>
        <v>0</v>
      </c>
      <c r="AC13" s="163">
        <f>Tabella34[[#This Row],[Italy (fitted Lombardy + fitted sum of the other regions)]]*NOT(ISBLANK(Tabella34[[#This Row],[Italy data]]))</f>
        <v>0</v>
      </c>
      <c r="AD13" s="163">
        <f>Tabella34[[#This Row],[Italy acc. fit]]*NOT(ISBLANK(Tabella34[[#This Row],[Italy data]]))</f>
        <v>0</v>
      </c>
      <c r="AE13" s="96">
        <f>Tabella34[[#This Row],[Italy acc. fit]]+CIf</f>
        <v>1013.7630020203177</v>
      </c>
      <c r="AF13" s="96">
        <f>MAX(Tabella34[[#This Row],[Italy acc. fit]]-CIf,0)</f>
        <v>0</v>
      </c>
      <c r="AG13" s="161"/>
      <c r="AH13" s="34"/>
      <c r="AI13" s="34"/>
      <c r="AJ13" s="162">
        <f>Tabella34[[#This Row],[Lombardy data]]*NOT(ISBLANK(Tabella34[[#This Row],[Lombardy data]]))</f>
        <v>0</v>
      </c>
      <c r="AK13" s="167">
        <f>Tabella8[[#This Row],[Lombardy fit]]</f>
        <v>0</v>
      </c>
      <c r="AL13" s="163" t="e">
        <f>_xlfn.LOGNORM.INV(alpha*Tabella34[[#This Row],[Lombardy cumul. Fit]]/Kr,mu_r,sigma_r)-(Tabella34[[#This Row],[Day]]-pr)</f>
        <v>#NUM!</v>
      </c>
      <c r="AM13" s="162">
        <f>Tabella34[[#This Row],[Lombardy cumul. Fit]]/Kl</f>
        <v>0</v>
      </c>
      <c r="AN13" s="163">
        <f>IFERROR(Kr*_xlfn.LOGNORM.DIST((Tabella34[[#This Row],[Day]]-pr),mu_r,sigma_r,FALSE),0)</f>
        <v>0</v>
      </c>
      <c r="AO13" s="206" t="e">
        <f>Tabella34[[#This Row],[Lombardy velocity]]/Tabella34[[#This Row],[Lombardy cumul. Fit]]</f>
        <v>#DIV/0!</v>
      </c>
      <c r="AP13" s="261" t="e">
        <f>(LN(Tabella34[[#This Row],[Day]]-pr)-mu_r)/sigma_r</f>
        <v>#NUM!</v>
      </c>
      <c r="AQ13" s="269" t="e">
        <f>EXP(mu_r+sigma_r*Tabella34[[#This Row],[x_r_alpha©+plus]])-(Tabella34[[#This Row],[Day]]-pr)</f>
        <v>#DIV/0!</v>
      </c>
      <c r="AR13" s="269" t="e">
        <f>EXP(mu_r+sigma_r*Tabella34[[#This Row],[x_r_alpha©-minus]])-(Tabella34[[#This Row],[Day]]-pr)</f>
        <v>#DIV/0!</v>
      </c>
      <c r="AS13" s="269" t="e">
        <f>-sigma_r+SQRT(sigma_r^2-2*Tabella34[[#This Row],[c_r]])</f>
        <v>#DIV/0!</v>
      </c>
      <c r="AT13" s="269" t="e">
        <f>-sigma_r-SQRT(sigma_r^2-2*Tabella34[[#This Row],[c_r]])</f>
        <v>#DIV/0!</v>
      </c>
      <c r="AU13" s="269" t="e">
        <f>mu_r-LN(alpha*Kr/(Tabella34[[#This Row],[Lombardy velocity]]*sigma_r*SQRTPI(2)))</f>
        <v>#DIV/0!</v>
      </c>
      <c r="AV13" s="269" t="e">
        <f>Tabella34[[#This Row],[t_alpha_r+plus]]</f>
        <v>#DIV/0!</v>
      </c>
      <c r="AW13" s="91">
        <f>IFERROR(-Kl*_xlfn.LOGNORM.DIST((Tabella34[[#This Row],[Day]]-pl),mu_l,sigma_l,FALSE)*(1+(LN((Tabella34[[#This Row],[Day]]-pl))-mu_l)/sigma_l^2)/(Tabella34[[#This Row],[Day]]-pl),0)</f>
        <v>0</v>
      </c>
      <c r="AX13" s="163">
        <f>Tabella34[[#This Row],[Lombardy acc. fit]]/y_l_peak</f>
        <v>0</v>
      </c>
      <c r="AY13" s="163">
        <f>Tabella34[[#This Row],[Lombardy acc. fit]]*NOT(ISBLANK(Tabella34[[#This Row],[Lombardy data]]))</f>
        <v>0</v>
      </c>
      <c r="AZ13" s="96">
        <f>Tabella34[[#This Row],[Lombardy acc. fit]]+CIl</f>
        <v>748.95537180362362</v>
      </c>
      <c r="BA13" s="96">
        <f>MAX(Tabella34[[#This Row],[Lombardy acc. fit]]-CIl,0)</f>
        <v>0</v>
      </c>
      <c r="BB13" s="161"/>
      <c r="BC13" s="34"/>
      <c r="BD13" s="34"/>
      <c r="BE13" s="162">
        <f>Tabella34[[#This Row],[rest of Italy data]]*NOT(ISBLANK(Tabella34[[#This Row],[rest of Italy data]]))</f>
        <v>0</v>
      </c>
      <c r="BF13" s="211">
        <f>Tabella8[[#This Row],[rest of Italy fit]]</f>
        <v>0</v>
      </c>
      <c r="BG13" s="163" t="e">
        <f>_xlfn.LOGNORM.INV(alpha*Tabella34[[#This Row],[rest of Italy cumul. Fit]]/Ko,mu_o,sigma_o)-(Tabella34[[#This Row],[Day]]-po)</f>
        <v>#NUM!</v>
      </c>
      <c r="BH13" s="163">
        <f>Tabella34[[#This Row],[rest of Italy cumul. Fit]]/Ka</f>
        <v>0</v>
      </c>
      <c r="BI13" s="163">
        <f>IFERROR(Ko*_xlfn.LOGNORM.DIST((Tabella34[[#This Row],[Day]]-po),mu_o,sigma_o,FALSE),0)</f>
        <v>0</v>
      </c>
      <c r="BJ13" s="206" t="e">
        <f>Tabella34[[#This Row],[rest of Italy velocity]]/Tabella34[[#This Row],[rest of Italy cumul. Fit]]</f>
        <v>#DIV/0!</v>
      </c>
      <c r="BK13" s="261" t="e">
        <f>(LN(Tabella34[[#This Row],[Day]]-po)-mu_o)/sigma_o</f>
        <v>#NUM!</v>
      </c>
      <c r="BL13" s="269" t="e">
        <f>EXP(mu_o+sigma_o*Tabella34[[#This Row],[x_o_alpha©+plus]])-(Tabella34[[#This Row],[Day]]-po)</f>
        <v>#DIV/0!</v>
      </c>
      <c r="BM13" s="269" t="e">
        <f>EXP(mu_o+sigma_o*Tabella34[[#This Row],[x_o_alpha©-minus]])-(Tabella34[[#This Row],[Day]]-po)</f>
        <v>#DIV/0!</v>
      </c>
      <c r="BN13" s="269" t="e">
        <f>-sigma_o+SQRT(sigma_o^2-2*Tabella34[[#This Row],[c_o]])</f>
        <v>#DIV/0!</v>
      </c>
      <c r="BO13" s="269" t="e">
        <f>-sigma_o-SQRT(sigma_o^2-2*Tabella34[[#This Row],[c_o]])</f>
        <v>#DIV/0!</v>
      </c>
      <c r="BP13" s="269" t="e">
        <f>mu_o-LN(alpha*Ko/(Tabella34[[#This Row],[rest of Italy velocity]]*sigma_o*SQRTPI(2)))</f>
        <v>#DIV/0!</v>
      </c>
      <c r="BQ13" s="269" t="e">
        <f>Tabella34[[#This Row],[t_alpha_o+plus]]</f>
        <v>#DIV/0!</v>
      </c>
      <c r="BR13" s="91">
        <f>IFERROR(-Ka*_xlfn.LOGNORM.DIST((Tabella34[[#This Row],[Day]]-pa),mu_a,sigma_a,FALSE)*(1+(LN((Tabella34[[#This Row],[Day]]-pa))-mu_a)/sigma_a^2)/(Tabella34[[#This Row],[Day]]-pa),0)</f>
        <v>0</v>
      </c>
      <c r="BS13" s="163">
        <f>Tabella34[[#This Row],[rest of Italy acc. fit]]/y_a_peak</f>
        <v>0</v>
      </c>
      <c r="BT13" s="162">
        <f>Tabella34[[#This Row],[rest of Italy acc. fit]]*NOT(ISBLANK(Tabella34[[#This Row],[rest of Italy data]]))</f>
        <v>0</v>
      </c>
      <c r="BU13" s="96">
        <f>Tabella34[[#This Row],[rest of Italy acc. fit]]+CIa</f>
        <v>694.65203586359735</v>
      </c>
      <c r="BV13" s="96">
        <f>MAX(Tabella34[[#This Row],[rest of Italy acc. fit]]-CIa,0)</f>
        <v>0</v>
      </c>
      <c r="BW13" s="1"/>
      <c r="BX13" s="225" t="s">
        <v>3</v>
      </c>
      <c r="BY13" s="226" cm="1">
        <f t="array" ref="BY13">SQRT(SUM((Tabella34[Colonna1]-Tabella34[Colonna2])^2)/dfw)</f>
        <v>2917.5211965607787</v>
      </c>
      <c r="CL13" s="311"/>
    </row>
    <row r="14" spans="2:90" ht="16.2" x14ac:dyDescent="0.3">
      <c r="B14" s="288">
        <v>43837</v>
      </c>
      <c r="C14" s="4">
        <v>7</v>
      </c>
      <c r="D14" s="161"/>
      <c r="E14" s="164"/>
      <c r="F14" s="164"/>
      <c r="G14" s="162">
        <f>Tabella34[[#This Row],[Italy data]]*NOT(ISBLANK(Tabella34[[#This Row],[Italy data]]))</f>
        <v>0</v>
      </c>
      <c r="H14" s="163">
        <f>Tabella8[[#This Row],[Italy fit]]</f>
        <v>0</v>
      </c>
      <c r="I14" s="163" t="e">
        <f>_xlfn.LOGNORM.INV(alpha*Tabella34[[#This Row],[Italy cumul. Fit]]/Kt,mu_t,sigma_t)-(Tabella34[[#This Row],[Day]]-pt)</f>
        <v>#NUM!</v>
      </c>
      <c r="J14" s="163" t="e">
        <f>Tabella34[[#This Row],[Italy d.t.]]/Italy_dt_at_lockdown</f>
        <v>#NUM!</v>
      </c>
      <c r="K14" s="163">
        <f>Tabella34[[#This Row],[Italy cumul. Fit]]/Kf</f>
        <v>0</v>
      </c>
      <c r="L14" s="166">
        <f>Tabella34[[#This Row],[Lombardy acc. fit]]+Tabella34[[#This Row],[rest of Italy acc. fit]]</f>
        <v>0</v>
      </c>
      <c r="M14" s="163">
        <f>Tabella34[[#This Row],[Italy (fitted Lombardy + fitted sum of the other regions)]]/(y_l_peak+y_a_peak)</f>
        <v>0</v>
      </c>
      <c r="N14" s="163">
        <f>IFERROR(Kt*_xlfn.LOGNORM.DIST((Tabella34[[#This Row],[Day]]-pt),mu_t,sigma_t,FALSE),0)</f>
        <v>0</v>
      </c>
      <c r="O14" s="163" t="e">
        <f>Kt*EXP(-0.5*Tabella34[[#This Row],[x_t]]^2)/(sigma_t*SQRTPI(2)*(Tabella34[[#This Row],[Day]]-D_bk))</f>
        <v>#NUM!</v>
      </c>
      <c r="P14" s="206" t="e">
        <f>Tabella34[[#This Row],[Italy velocity]]/Tabella34[[#This Row],[Italy cumul. Fit]]</f>
        <v>#DIV/0!</v>
      </c>
      <c r="Q14" s="269" t="e">
        <f>(LN(Tabella34[[#This Row],[Day]]-D_bk)-mu_t)/sigma_t</f>
        <v>#NUM!</v>
      </c>
      <c r="R14" s="269" t="e">
        <f>EXP(mu_t+sigma_t*Tabella34[[#This Row],[x_t_alpha©+plus]])-(Tabella34[[#This Row],[Day]]-D_bk)</f>
        <v>#DIV/0!</v>
      </c>
      <c r="S14" s="269" t="e">
        <f>EXP(mu_t+sigma_t*Tabella34[[#This Row],[x_t_alpha©-minus]])-(Tabella34[[#This Row],[Day]]-D_bk)</f>
        <v>#DIV/0!</v>
      </c>
      <c r="T14" s="269" t="e">
        <f>-sigma_t+SQRT(sigma_t^2-2*Tabella34[[#This Row],[c_t]])</f>
        <v>#DIV/0!</v>
      </c>
      <c r="U14" s="269" t="e">
        <f>-sigma_t-SQRT(sigma_t^2-2*Tabella34[[#This Row],[c_t]])</f>
        <v>#DIV/0!</v>
      </c>
      <c r="V14" s="269" t="e">
        <f>mu_t-LN(alpha*Kt/(Tabella34[[#This Row],[Italy velocity]]*sigma_t*SQRTPI(2)))</f>
        <v>#DIV/0!</v>
      </c>
      <c r="W14" s="269" t="e">
        <f>Tabella34[[#This Row],[Italy g.r.]]/Italy_gr_at_lockdown</f>
        <v>#DIV/0!</v>
      </c>
      <c r="X14" s="269" t="e">
        <f>Tabella34[[#This Row],[t_alpha_t+plus]]</f>
        <v>#DIV/0!</v>
      </c>
      <c r="Y14" s="269" t="e">
        <f>Tabella34[[#This Row],[Italy h.t.]]/Italy_ht_at_lockdown</f>
        <v>#DIV/0!</v>
      </c>
      <c r="Z14" s="91">
        <f>IFERROR(-Kf*_xlfn.LOGNORM.DIST((Tabella34[[#This Row],[Day]]-D_bk),mu_f,sigma_f,FALSE)*(1+(LN((Tabella34[[#This Row],[Day]]-D_bk))-mu_f)/sigma_f^2)/(Tabella34[[#This Row],[Day]]-D_bk),0)</f>
        <v>0</v>
      </c>
      <c r="AA14" s="91">
        <f>Tabella34[[#This Row],[Italy acc. fit]]/Itali_acc_at_lockdown</f>
        <v>0</v>
      </c>
      <c r="AB14" s="163">
        <f>Tabella34[[#This Row],[Italy acc. fit]]/y_f_peak</f>
        <v>0</v>
      </c>
      <c r="AC14" s="163">
        <f>Tabella34[[#This Row],[Italy (fitted Lombardy + fitted sum of the other regions)]]*NOT(ISBLANK(Tabella34[[#This Row],[Italy data]]))</f>
        <v>0</v>
      </c>
      <c r="AD14" s="163">
        <f>Tabella34[[#This Row],[Italy acc. fit]]*NOT(ISBLANK(Tabella34[[#This Row],[Italy data]]))</f>
        <v>0</v>
      </c>
      <c r="AE14" s="96">
        <f>Tabella34[[#This Row],[Italy acc. fit]]+CIf</f>
        <v>1013.7630020203177</v>
      </c>
      <c r="AF14" s="96">
        <f>MAX(Tabella34[[#This Row],[Italy acc. fit]]-CIf,0)</f>
        <v>0</v>
      </c>
      <c r="AG14" s="161"/>
      <c r="AH14" s="34"/>
      <c r="AI14" s="34"/>
      <c r="AJ14" s="162">
        <f>Tabella34[[#This Row],[Lombardy data]]*NOT(ISBLANK(Tabella34[[#This Row],[Lombardy data]]))</f>
        <v>0</v>
      </c>
      <c r="AK14" s="167">
        <f>Tabella8[[#This Row],[Lombardy fit]]</f>
        <v>0</v>
      </c>
      <c r="AL14" s="163" t="e">
        <f>_xlfn.LOGNORM.INV(alpha*Tabella34[[#This Row],[Lombardy cumul. Fit]]/Kr,mu_r,sigma_r)-(Tabella34[[#This Row],[Day]]-pr)</f>
        <v>#NUM!</v>
      </c>
      <c r="AM14" s="162">
        <f>Tabella34[[#This Row],[Lombardy cumul. Fit]]/Kl</f>
        <v>0</v>
      </c>
      <c r="AN14" s="163">
        <f>IFERROR(Kr*_xlfn.LOGNORM.DIST((Tabella34[[#This Row],[Day]]-pr),mu_r,sigma_r,FALSE),0)</f>
        <v>0</v>
      </c>
      <c r="AO14" s="206" t="e">
        <f>Tabella34[[#This Row],[Lombardy velocity]]/Tabella34[[#This Row],[Lombardy cumul. Fit]]</f>
        <v>#DIV/0!</v>
      </c>
      <c r="AP14" s="261" t="e">
        <f>(LN(Tabella34[[#This Row],[Day]]-pr)-mu_r)/sigma_r</f>
        <v>#NUM!</v>
      </c>
      <c r="AQ14" s="269" t="e">
        <f>EXP(mu_r+sigma_r*Tabella34[[#This Row],[x_r_alpha©+plus]])-(Tabella34[[#This Row],[Day]]-pr)</f>
        <v>#DIV/0!</v>
      </c>
      <c r="AR14" s="269" t="e">
        <f>EXP(mu_r+sigma_r*Tabella34[[#This Row],[x_r_alpha©-minus]])-(Tabella34[[#This Row],[Day]]-pr)</f>
        <v>#DIV/0!</v>
      </c>
      <c r="AS14" s="269" t="e">
        <f>-sigma_r+SQRT(sigma_r^2-2*Tabella34[[#This Row],[c_r]])</f>
        <v>#DIV/0!</v>
      </c>
      <c r="AT14" s="269" t="e">
        <f>-sigma_r-SQRT(sigma_r^2-2*Tabella34[[#This Row],[c_r]])</f>
        <v>#DIV/0!</v>
      </c>
      <c r="AU14" s="269" t="e">
        <f>mu_r-LN(alpha*Kr/(Tabella34[[#This Row],[Lombardy velocity]]*sigma_r*SQRTPI(2)))</f>
        <v>#DIV/0!</v>
      </c>
      <c r="AV14" s="269" t="e">
        <f>Tabella34[[#This Row],[t_alpha_r+plus]]</f>
        <v>#DIV/0!</v>
      </c>
      <c r="AW14" s="91">
        <f>IFERROR(-Kl*_xlfn.LOGNORM.DIST((Tabella34[[#This Row],[Day]]-pl),mu_l,sigma_l,FALSE)*(1+(LN((Tabella34[[#This Row],[Day]]-pl))-mu_l)/sigma_l^2)/(Tabella34[[#This Row],[Day]]-pl),0)</f>
        <v>0</v>
      </c>
      <c r="AX14" s="163">
        <f>Tabella34[[#This Row],[Lombardy acc. fit]]/y_l_peak</f>
        <v>0</v>
      </c>
      <c r="AY14" s="163">
        <f>Tabella34[[#This Row],[Lombardy acc. fit]]*NOT(ISBLANK(Tabella34[[#This Row],[Lombardy data]]))</f>
        <v>0</v>
      </c>
      <c r="AZ14" s="96">
        <f>Tabella34[[#This Row],[Lombardy acc. fit]]+CIl</f>
        <v>748.95537180362362</v>
      </c>
      <c r="BA14" s="96">
        <f>MAX(Tabella34[[#This Row],[Lombardy acc. fit]]-CIl,0)</f>
        <v>0</v>
      </c>
      <c r="BB14" s="161"/>
      <c r="BC14" s="34"/>
      <c r="BD14" s="34"/>
      <c r="BE14" s="162">
        <f>Tabella34[[#This Row],[rest of Italy data]]*NOT(ISBLANK(Tabella34[[#This Row],[rest of Italy data]]))</f>
        <v>0</v>
      </c>
      <c r="BF14" s="211">
        <f>Tabella8[[#This Row],[rest of Italy fit]]</f>
        <v>0</v>
      </c>
      <c r="BG14" s="163" t="e">
        <f>_xlfn.LOGNORM.INV(alpha*Tabella34[[#This Row],[rest of Italy cumul. Fit]]/Ko,mu_o,sigma_o)-(Tabella34[[#This Row],[Day]]-po)</f>
        <v>#NUM!</v>
      </c>
      <c r="BH14" s="163">
        <f>Tabella34[[#This Row],[rest of Italy cumul. Fit]]/Ka</f>
        <v>0</v>
      </c>
      <c r="BI14" s="163">
        <f>IFERROR(Ko*_xlfn.LOGNORM.DIST((Tabella34[[#This Row],[Day]]-po),mu_o,sigma_o,FALSE),0)</f>
        <v>0</v>
      </c>
      <c r="BJ14" s="206" t="e">
        <f>Tabella34[[#This Row],[rest of Italy velocity]]/Tabella34[[#This Row],[rest of Italy cumul. Fit]]</f>
        <v>#DIV/0!</v>
      </c>
      <c r="BK14" s="261" t="e">
        <f>(LN(Tabella34[[#This Row],[Day]]-po)-mu_o)/sigma_o</f>
        <v>#NUM!</v>
      </c>
      <c r="BL14" s="269" t="e">
        <f>EXP(mu_o+sigma_o*Tabella34[[#This Row],[x_o_alpha©+plus]])-(Tabella34[[#This Row],[Day]]-po)</f>
        <v>#DIV/0!</v>
      </c>
      <c r="BM14" s="269" t="e">
        <f>EXP(mu_o+sigma_o*Tabella34[[#This Row],[x_o_alpha©-minus]])-(Tabella34[[#This Row],[Day]]-po)</f>
        <v>#DIV/0!</v>
      </c>
      <c r="BN14" s="269" t="e">
        <f>-sigma_o+SQRT(sigma_o^2-2*Tabella34[[#This Row],[c_o]])</f>
        <v>#DIV/0!</v>
      </c>
      <c r="BO14" s="269" t="e">
        <f>-sigma_o-SQRT(sigma_o^2-2*Tabella34[[#This Row],[c_o]])</f>
        <v>#DIV/0!</v>
      </c>
      <c r="BP14" s="269" t="e">
        <f>mu_o-LN(alpha*Ko/(Tabella34[[#This Row],[rest of Italy velocity]]*sigma_o*SQRTPI(2)))</f>
        <v>#DIV/0!</v>
      </c>
      <c r="BQ14" s="269" t="e">
        <f>Tabella34[[#This Row],[t_alpha_o+plus]]</f>
        <v>#DIV/0!</v>
      </c>
      <c r="BR14" s="91">
        <f>IFERROR(-Ka*_xlfn.LOGNORM.DIST((Tabella34[[#This Row],[Day]]-pa),mu_a,sigma_a,FALSE)*(1+(LN((Tabella34[[#This Row],[Day]]-pa))-mu_a)/sigma_a^2)/(Tabella34[[#This Row],[Day]]-pa),0)</f>
        <v>0</v>
      </c>
      <c r="BS14" s="163">
        <f>Tabella34[[#This Row],[rest of Italy acc. fit]]/y_a_peak</f>
        <v>0</v>
      </c>
      <c r="BT14" s="162">
        <f>Tabella34[[#This Row],[rest of Italy acc. fit]]*NOT(ISBLANK(Tabella34[[#This Row],[rest of Italy data]]))</f>
        <v>0</v>
      </c>
      <c r="BU14" s="96">
        <f>Tabella34[[#This Row],[rest of Italy acc. fit]]+CIa</f>
        <v>694.65203586359735</v>
      </c>
      <c r="BV14" s="96">
        <f>MAX(Tabella34[[#This Row],[rest of Italy acc. fit]]-CIa,0)</f>
        <v>0</v>
      </c>
      <c r="BW14" s="1"/>
      <c r="BX14" s="225" t="s">
        <v>4379</v>
      </c>
      <c r="BY14" s="228" cm="1">
        <f t="array" ref="BY14">1-SUM((Tabella34[Colonna1]-Tabella34[Colonna2])^2)/SUM((Tabella34[Colonna1]-Mean_of_yw)^2)</f>
        <v>-9.3587958193813492E-2</v>
      </c>
      <c r="CL14" s="311"/>
    </row>
    <row r="15" spans="2:90" x14ac:dyDescent="0.3">
      <c r="B15" s="288">
        <v>43838</v>
      </c>
      <c r="C15" s="4">
        <v>8</v>
      </c>
      <c r="D15" s="161"/>
      <c r="E15" s="164"/>
      <c r="F15" s="164"/>
      <c r="G15" s="162">
        <f>Tabella34[[#This Row],[Italy data]]*NOT(ISBLANK(Tabella34[[#This Row],[Italy data]]))</f>
        <v>0</v>
      </c>
      <c r="H15" s="163">
        <f>Tabella8[[#This Row],[Italy fit]]</f>
        <v>0</v>
      </c>
      <c r="I15" s="163" t="e">
        <f>_xlfn.LOGNORM.INV(alpha*Tabella34[[#This Row],[Italy cumul. Fit]]/Kt,mu_t,sigma_t)-(Tabella34[[#This Row],[Day]]-pt)</f>
        <v>#NUM!</v>
      </c>
      <c r="J15" s="163" t="e">
        <f>Tabella34[[#This Row],[Italy d.t.]]/Italy_dt_at_lockdown</f>
        <v>#NUM!</v>
      </c>
      <c r="K15" s="163">
        <f>Tabella34[[#This Row],[Italy cumul. Fit]]/Kf</f>
        <v>0</v>
      </c>
      <c r="L15" s="166">
        <f>Tabella34[[#This Row],[Lombardy acc. fit]]+Tabella34[[#This Row],[rest of Italy acc. fit]]</f>
        <v>0</v>
      </c>
      <c r="M15" s="163">
        <f>Tabella34[[#This Row],[Italy (fitted Lombardy + fitted sum of the other regions)]]/(y_l_peak+y_a_peak)</f>
        <v>0</v>
      </c>
      <c r="N15" s="163">
        <f>IFERROR(Kt*_xlfn.LOGNORM.DIST((Tabella34[[#This Row],[Day]]-pt),mu_t,sigma_t,FALSE),0)</f>
        <v>0</v>
      </c>
      <c r="O15" s="163" t="e">
        <f>Kt*EXP(-0.5*Tabella34[[#This Row],[x_t]]^2)/(sigma_t*SQRTPI(2)*(Tabella34[[#This Row],[Day]]-D_bk))</f>
        <v>#NUM!</v>
      </c>
      <c r="P15" s="206" t="e">
        <f>Tabella34[[#This Row],[Italy velocity]]/Tabella34[[#This Row],[Italy cumul. Fit]]</f>
        <v>#DIV/0!</v>
      </c>
      <c r="Q15" s="269" t="e">
        <f>(LN(Tabella34[[#This Row],[Day]]-D_bk)-mu_t)/sigma_t</f>
        <v>#NUM!</v>
      </c>
      <c r="R15" s="269" t="e">
        <f>EXP(mu_t+sigma_t*Tabella34[[#This Row],[x_t_alpha©+plus]])-(Tabella34[[#This Row],[Day]]-D_bk)</f>
        <v>#DIV/0!</v>
      </c>
      <c r="S15" s="269" t="e">
        <f>EXP(mu_t+sigma_t*Tabella34[[#This Row],[x_t_alpha©-minus]])-(Tabella34[[#This Row],[Day]]-D_bk)</f>
        <v>#DIV/0!</v>
      </c>
      <c r="T15" s="269" t="e">
        <f>-sigma_t+SQRT(sigma_t^2-2*Tabella34[[#This Row],[c_t]])</f>
        <v>#DIV/0!</v>
      </c>
      <c r="U15" s="269" t="e">
        <f>-sigma_t-SQRT(sigma_t^2-2*Tabella34[[#This Row],[c_t]])</f>
        <v>#DIV/0!</v>
      </c>
      <c r="V15" s="269" t="e">
        <f>mu_t-LN(alpha*Kt/(Tabella34[[#This Row],[Italy velocity]]*sigma_t*SQRTPI(2)))</f>
        <v>#DIV/0!</v>
      </c>
      <c r="W15" s="269" t="e">
        <f>Tabella34[[#This Row],[Italy g.r.]]/Italy_gr_at_lockdown</f>
        <v>#DIV/0!</v>
      </c>
      <c r="X15" s="269" t="e">
        <f>Tabella34[[#This Row],[t_alpha_t+plus]]</f>
        <v>#DIV/0!</v>
      </c>
      <c r="Y15" s="269" t="e">
        <f>Tabella34[[#This Row],[Italy h.t.]]/Italy_ht_at_lockdown</f>
        <v>#DIV/0!</v>
      </c>
      <c r="Z15" s="91">
        <f>IFERROR(-Kf*_xlfn.LOGNORM.DIST((Tabella34[[#This Row],[Day]]-D_bk),mu_f,sigma_f,FALSE)*(1+(LN((Tabella34[[#This Row],[Day]]-D_bk))-mu_f)/sigma_f^2)/(Tabella34[[#This Row],[Day]]-D_bk),0)</f>
        <v>0</v>
      </c>
      <c r="AA15" s="91">
        <f>Tabella34[[#This Row],[Italy acc. fit]]/Itali_acc_at_lockdown</f>
        <v>0</v>
      </c>
      <c r="AB15" s="163">
        <f>Tabella34[[#This Row],[Italy acc. fit]]/y_f_peak</f>
        <v>0</v>
      </c>
      <c r="AC15" s="163">
        <f>Tabella34[[#This Row],[Italy (fitted Lombardy + fitted sum of the other regions)]]*NOT(ISBLANK(Tabella34[[#This Row],[Italy data]]))</f>
        <v>0</v>
      </c>
      <c r="AD15" s="163">
        <f>Tabella34[[#This Row],[Italy acc. fit]]*NOT(ISBLANK(Tabella34[[#This Row],[Italy data]]))</f>
        <v>0</v>
      </c>
      <c r="AE15" s="96">
        <f>Tabella34[[#This Row],[Italy acc. fit]]+CIf</f>
        <v>1013.7630020203177</v>
      </c>
      <c r="AF15" s="96">
        <f>MAX(Tabella34[[#This Row],[Italy acc. fit]]-CIf,0)</f>
        <v>0</v>
      </c>
      <c r="AG15" s="161"/>
      <c r="AH15" s="34"/>
      <c r="AI15" s="34"/>
      <c r="AJ15" s="162">
        <f>Tabella34[[#This Row],[Lombardy data]]*NOT(ISBLANK(Tabella34[[#This Row],[Lombardy data]]))</f>
        <v>0</v>
      </c>
      <c r="AK15" s="167">
        <f>Tabella8[[#This Row],[Lombardy fit]]</f>
        <v>0</v>
      </c>
      <c r="AL15" s="163" t="e">
        <f>_xlfn.LOGNORM.INV(alpha*Tabella34[[#This Row],[Lombardy cumul. Fit]]/Kr,mu_r,sigma_r)-(Tabella34[[#This Row],[Day]]-pr)</f>
        <v>#NUM!</v>
      </c>
      <c r="AM15" s="162">
        <f>Tabella34[[#This Row],[Lombardy cumul. Fit]]/Kl</f>
        <v>0</v>
      </c>
      <c r="AN15" s="163">
        <f>IFERROR(Kr*_xlfn.LOGNORM.DIST((Tabella34[[#This Row],[Day]]-pr),mu_r,sigma_r,FALSE),0)</f>
        <v>0</v>
      </c>
      <c r="AO15" s="206" t="e">
        <f>Tabella34[[#This Row],[Lombardy velocity]]/Tabella34[[#This Row],[Lombardy cumul. Fit]]</f>
        <v>#DIV/0!</v>
      </c>
      <c r="AP15" s="261" t="e">
        <f>(LN(Tabella34[[#This Row],[Day]]-pr)-mu_r)/sigma_r</f>
        <v>#NUM!</v>
      </c>
      <c r="AQ15" s="269" t="e">
        <f>EXP(mu_r+sigma_r*Tabella34[[#This Row],[x_r_alpha©+plus]])-(Tabella34[[#This Row],[Day]]-pr)</f>
        <v>#DIV/0!</v>
      </c>
      <c r="AR15" s="269" t="e">
        <f>EXP(mu_r+sigma_r*Tabella34[[#This Row],[x_r_alpha©-minus]])-(Tabella34[[#This Row],[Day]]-pr)</f>
        <v>#DIV/0!</v>
      </c>
      <c r="AS15" s="269" t="e">
        <f>-sigma_r+SQRT(sigma_r^2-2*Tabella34[[#This Row],[c_r]])</f>
        <v>#DIV/0!</v>
      </c>
      <c r="AT15" s="269" t="e">
        <f>-sigma_r-SQRT(sigma_r^2-2*Tabella34[[#This Row],[c_r]])</f>
        <v>#DIV/0!</v>
      </c>
      <c r="AU15" s="269" t="e">
        <f>mu_r-LN(alpha*Kr/(Tabella34[[#This Row],[Lombardy velocity]]*sigma_r*SQRTPI(2)))</f>
        <v>#DIV/0!</v>
      </c>
      <c r="AV15" s="269" t="e">
        <f>Tabella34[[#This Row],[t_alpha_r+plus]]</f>
        <v>#DIV/0!</v>
      </c>
      <c r="AW15" s="91">
        <f>IFERROR(-Kl*_xlfn.LOGNORM.DIST((Tabella34[[#This Row],[Day]]-pl),mu_l,sigma_l,FALSE)*(1+(LN((Tabella34[[#This Row],[Day]]-pl))-mu_l)/sigma_l^2)/(Tabella34[[#This Row],[Day]]-pl),0)</f>
        <v>0</v>
      </c>
      <c r="AX15" s="163">
        <f>Tabella34[[#This Row],[Lombardy acc. fit]]/y_l_peak</f>
        <v>0</v>
      </c>
      <c r="AY15" s="163">
        <f>Tabella34[[#This Row],[Lombardy acc. fit]]*NOT(ISBLANK(Tabella34[[#This Row],[Lombardy data]]))</f>
        <v>0</v>
      </c>
      <c r="AZ15" s="96">
        <f>Tabella34[[#This Row],[Lombardy acc. fit]]+CIl</f>
        <v>748.95537180362362</v>
      </c>
      <c r="BA15" s="96">
        <f>MAX(Tabella34[[#This Row],[Lombardy acc. fit]]-CIl,0)</f>
        <v>0</v>
      </c>
      <c r="BB15" s="161"/>
      <c r="BC15" s="34"/>
      <c r="BD15" s="34"/>
      <c r="BE15" s="162">
        <f>Tabella34[[#This Row],[rest of Italy data]]*NOT(ISBLANK(Tabella34[[#This Row],[rest of Italy data]]))</f>
        <v>0</v>
      </c>
      <c r="BF15" s="211">
        <f>Tabella8[[#This Row],[rest of Italy fit]]</f>
        <v>0</v>
      </c>
      <c r="BG15" s="163" t="e">
        <f>_xlfn.LOGNORM.INV(alpha*Tabella34[[#This Row],[rest of Italy cumul. Fit]]/Ko,mu_o,sigma_o)-(Tabella34[[#This Row],[Day]]-po)</f>
        <v>#NUM!</v>
      </c>
      <c r="BH15" s="163">
        <f>Tabella34[[#This Row],[rest of Italy cumul. Fit]]/Ka</f>
        <v>0</v>
      </c>
      <c r="BI15" s="163">
        <f>IFERROR(Ko*_xlfn.LOGNORM.DIST((Tabella34[[#This Row],[Day]]-po),mu_o,sigma_o,FALSE),0)</f>
        <v>0</v>
      </c>
      <c r="BJ15" s="206" t="e">
        <f>Tabella34[[#This Row],[rest of Italy velocity]]/Tabella34[[#This Row],[rest of Italy cumul. Fit]]</f>
        <v>#DIV/0!</v>
      </c>
      <c r="BK15" s="261" t="e">
        <f>(LN(Tabella34[[#This Row],[Day]]-po)-mu_o)/sigma_o</f>
        <v>#NUM!</v>
      </c>
      <c r="BL15" s="269" t="e">
        <f>EXP(mu_o+sigma_o*Tabella34[[#This Row],[x_o_alpha©+plus]])-(Tabella34[[#This Row],[Day]]-po)</f>
        <v>#DIV/0!</v>
      </c>
      <c r="BM15" s="269" t="e">
        <f>EXP(mu_o+sigma_o*Tabella34[[#This Row],[x_o_alpha©-minus]])-(Tabella34[[#This Row],[Day]]-po)</f>
        <v>#DIV/0!</v>
      </c>
      <c r="BN15" s="269" t="e">
        <f>-sigma_o+SQRT(sigma_o^2-2*Tabella34[[#This Row],[c_o]])</f>
        <v>#DIV/0!</v>
      </c>
      <c r="BO15" s="269" t="e">
        <f>-sigma_o-SQRT(sigma_o^2-2*Tabella34[[#This Row],[c_o]])</f>
        <v>#DIV/0!</v>
      </c>
      <c r="BP15" s="269" t="e">
        <f>mu_o-LN(alpha*Ko/(Tabella34[[#This Row],[rest of Italy velocity]]*sigma_o*SQRTPI(2)))</f>
        <v>#DIV/0!</v>
      </c>
      <c r="BQ15" s="269" t="e">
        <f>Tabella34[[#This Row],[t_alpha_o+plus]]</f>
        <v>#DIV/0!</v>
      </c>
      <c r="BR15" s="91">
        <f>IFERROR(-Ka*_xlfn.LOGNORM.DIST((Tabella34[[#This Row],[Day]]-pa),mu_a,sigma_a,FALSE)*(1+(LN((Tabella34[[#This Row],[Day]]-pa))-mu_a)/sigma_a^2)/(Tabella34[[#This Row],[Day]]-pa),0)</f>
        <v>0</v>
      </c>
      <c r="BS15" s="163">
        <f>Tabella34[[#This Row],[rest of Italy acc. fit]]/y_a_peak</f>
        <v>0</v>
      </c>
      <c r="BT15" s="162">
        <f>Tabella34[[#This Row],[rest of Italy acc. fit]]*NOT(ISBLANK(Tabella34[[#This Row],[rest of Italy data]]))</f>
        <v>0</v>
      </c>
      <c r="BU15" s="96">
        <f>Tabella34[[#This Row],[rest of Italy acc. fit]]+CIa</f>
        <v>694.65203586359735</v>
      </c>
      <c r="BV15" s="96">
        <f>MAX(Tabella34[[#This Row],[rest of Italy acc. fit]]-CIa,0)</f>
        <v>0</v>
      </c>
      <c r="BW15" s="1"/>
      <c r="BX15" s="225" t="s">
        <v>5</v>
      </c>
      <c r="BY15" s="228">
        <f>TINV(0.05,dfw)</f>
        <v>1.9847231860139838</v>
      </c>
      <c r="CL15" s="311"/>
    </row>
    <row r="16" spans="2:90" x14ac:dyDescent="0.3">
      <c r="B16" s="288">
        <v>43839</v>
      </c>
      <c r="C16" s="4">
        <v>9</v>
      </c>
      <c r="D16" s="161"/>
      <c r="E16" s="164"/>
      <c r="F16" s="164"/>
      <c r="G16" s="162">
        <f>Tabella34[[#This Row],[Italy data]]*NOT(ISBLANK(Tabella34[[#This Row],[Italy data]]))</f>
        <v>0</v>
      </c>
      <c r="H16" s="163">
        <f>Tabella8[[#This Row],[Italy fit]]</f>
        <v>0</v>
      </c>
      <c r="I16" s="163" t="e">
        <f>_xlfn.LOGNORM.INV(alpha*Tabella34[[#This Row],[Italy cumul. Fit]]/Kt,mu_t,sigma_t)-(Tabella34[[#This Row],[Day]]-pt)</f>
        <v>#NUM!</v>
      </c>
      <c r="J16" s="163" t="e">
        <f>Tabella34[[#This Row],[Italy d.t.]]/Italy_dt_at_lockdown</f>
        <v>#NUM!</v>
      </c>
      <c r="K16" s="163">
        <f>Tabella34[[#This Row],[Italy cumul. Fit]]/Kf</f>
        <v>0</v>
      </c>
      <c r="L16" s="166">
        <f>Tabella34[[#This Row],[Lombardy acc. fit]]+Tabella34[[#This Row],[rest of Italy acc. fit]]</f>
        <v>0</v>
      </c>
      <c r="M16" s="163">
        <f>Tabella34[[#This Row],[Italy (fitted Lombardy + fitted sum of the other regions)]]/(y_l_peak+y_a_peak)</f>
        <v>0</v>
      </c>
      <c r="N16" s="163">
        <f>IFERROR(Kt*_xlfn.LOGNORM.DIST((Tabella34[[#This Row],[Day]]-pt),mu_t,sigma_t,FALSE),0)</f>
        <v>0</v>
      </c>
      <c r="O16" s="163" t="e">
        <f>Kt*EXP(-0.5*Tabella34[[#This Row],[x_t]]^2)/(sigma_t*SQRTPI(2)*(Tabella34[[#This Row],[Day]]-D_bk))</f>
        <v>#NUM!</v>
      </c>
      <c r="P16" s="206" t="e">
        <f>Tabella34[[#This Row],[Italy velocity]]/Tabella34[[#This Row],[Italy cumul. Fit]]</f>
        <v>#DIV/0!</v>
      </c>
      <c r="Q16" s="269" t="e">
        <f>(LN(Tabella34[[#This Row],[Day]]-D_bk)-mu_t)/sigma_t</f>
        <v>#NUM!</v>
      </c>
      <c r="R16" s="269" t="e">
        <f>EXP(mu_t+sigma_t*Tabella34[[#This Row],[x_t_alpha©+plus]])-(Tabella34[[#This Row],[Day]]-D_bk)</f>
        <v>#DIV/0!</v>
      </c>
      <c r="S16" s="269" t="e">
        <f>EXP(mu_t+sigma_t*Tabella34[[#This Row],[x_t_alpha©-minus]])-(Tabella34[[#This Row],[Day]]-D_bk)</f>
        <v>#DIV/0!</v>
      </c>
      <c r="T16" s="269" t="e">
        <f>-sigma_t+SQRT(sigma_t^2-2*Tabella34[[#This Row],[c_t]])</f>
        <v>#DIV/0!</v>
      </c>
      <c r="U16" s="269" t="e">
        <f>-sigma_t-SQRT(sigma_t^2-2*Tabella34[[#This Row],[c_t]])</f>
        <v>#DIV/0!</v>
      </c>
      <c r="V16" s="269" t="e">
        <f>mu_t-LN(alpha*Kt/(Tabella34[[#This Row],[Italy velocity]]*sigma_t*SQRTPI(2)))</f>
        <v>#DIV/0!</v>
      </c>
      <c r="W16" s="269" t="e">
        <f>Tabella34[[#This Row],[Italy g.r.]]/Italy_gr_at_lockdown</f>
        <v>#DIV/0!</v>
      </c>
      <c r="X16" s="269" t="e">
        <f>Tabella34[[#This Row],[t_alpha_t+plus]]</f>
        <v>#DIV/0!</v>
      </c>
      <c r="Y16" s="269" t="e">
        <f>Tabella34[[#This Row],[Italy h.t.]]/Italy_ht_at_lockdown</f>
        <v>#DIV/0!</v>
      </c>
      <c r="Z16" s="91">
        <f>IFERROR(-Kf*_xlfn.LOGNORM.DIST((Tabella34[[#This Row],[Day]]-D_bk),mu_f,sigma_f,FALSE)*(1+(LN((Tabella34[[#This Row],[Day]]-D_bk))-mu_f)/sigma_f^2)/(Tabella34[[#This Row],[Day]]-D_bk),0)</f>
        <v>0</v>
      </c>
      <c r="AA16" s="91">
        <f>Tabella34[[#This Row],[Italy acc. fit]]/Itali_acc_at_lockdown</f>
        <v>0</v>
      </c>
      <c r="AB16" s="163">
        <f>Tabella34[[#This Row],[Italy acc. fit]]/y_f_peak</f>
        <v>0</v>
      </c>
      <c r="AC16" s="163">
        <f>Tabella34[[#This Row],[Italy (fitted Lombardy + fitted sum of the other regions)]]*NOT(ISBLANK(Tabella34[[#This Row],[Italy data]]))</f>
        <v>0</v>
      </c>
      <c r="AD16" s="163">
        <f>Tabella34[[#This Row],[Italy acc. fit]]*NOT(ISBLANK(Tabella34[[#This Row],[Italy data]]))</f>
        <v>0</v>
      </c>
      <c r="AE16" s="96">
        <f>Tabella34[[#This Row],[Italy acc. fit]]+CIf</f>
        <v>1013.7630020203177</v>
      </c>
      <c r="AF16" s="96">
        <f>MAX(Tabella34[[#This Row],[Italy acc. fit]]-CIf,0)</f>
        <v>0</v>
      </c>
      <c r="AG16" s="161"/>
      <c r="AH16" s="34"/>
      <c r="AI16" s="34"/>
      <c r="AJ16" s="162">
        <f>Tabella34[[#This Row],[Lombardy data]]*NOT(ISBLANK(Tabella34[[#This Row],[Lombardy data]]))</f>
        <v>0</v>
      </c>
      <c r="AK16" s="167">
        <f>Tabella8[[#This Row],[Lombardy fit]]</f>
        <v>0</v>
      </c>
      <c r="AL16" s="163" t="e">
        <f>_xlfn.LOGNORM.INV(alpha*Tabella34[[#This Row],[Lombardy cumul. Fit]]/Kr,mu_r,sigma_r)-(Tabella34[[#This Row],[Day]]-pr)</f>
        <v>#NUM!</v>
      </c>
      <c r="AM16" s="162">
        <f>Tabella34[[#This Row],[Lombardy cumul. Fit]]/Kl</f>
        <v>0</v>
      </c>
      <c r="AN16" s="163">
        <f>IFERROR(Kr*_xlfn.LOGNORM.DIST((Tabella34[[#This Row],[Day]]-pr),mu_r,sigma_r,FALSE),0)</f>
        <v>0</v>
      </c>
      <c r="AO16" s="206" t="e">
        <f>Tabella34[[#This Row],[Lombardy velocity]]/Tabella34[[#This Row],[Lombardy cumul. Fit]]</f>
        <v>#DIV/0!</v>
      </c>
      <c r="AP16" s="261" t="e">
        <f>(LN(Tabella34[[#This Row],[Day]]-pr)-mu_r)/sigma_r</f>
        <v>#NUM!</v>
      </c>
      <c r="AQ16" s="269" t="e">
        <f>EXP(mu_r+sigma_r*Tabella34[[#This Row],[x_r_alpha©+plus]])-(Tabella34[[#This Row],[Day]]-pr)</f>
        <v>#DIV/0!</v>
      </c>
      <c r="AR16" s="269" t="e">
        <f>EXP(mu_r+sigma_r*Tabella34[[#This Row],[x_r_alpha©-minus]])-(Tabella34[[#This Row],[Day]]-pr)</f>
        <v>#DIV/0!</v>
      </c>
      <c r="AS16" s="269" t="e">
        <f>-sigma_r+SQRT(sigma_r^2-2*Tabella34[[#This Row],[c_r]])</f>
        <v>#DIV/0!</v>
      </c>
      <c r="AT16" s="269" t="e">
        <f>-sigma_r-SQRT(sigma_r^2-2*Tabella34[[#This Row],[c_r]])</f>
        <v>#DIV/0!</v>
      </c>
      <c r="AU16" s="269" t="e">
        <f>mu_r-LN(alpha*Kr/(Tabella34[[#This Row],[Lombardy velocity]]*sigma_r*SQRTPI(2)))</f>
        <v>#DIV/0!</v>
      </c>
      <c r="AV16" s="269" t="e">
        <f>Tabella34[[#This Row],[t_alpha_r+plus]]</f>
        <v>#DIV/0!</v>
      </c>
      <c r="AW16" s="91">
        <f>IFERROR(-Kl*_xlfn.LOGNORM.DIST((Tabella34[[#This Row],[Day]]-pl),mu_l,sigma_l,FALSE)*(1+(LN((Tabella34[[#This Row],[Day]]-pl))-mu_l)/sigma_l^2)/(Tabella34[[#This Row],[Day]]-pl),0)</f>
        <v>0</v>
      </c>
      <c r="AX16" s="163">
        <f>Tabella34[[#This Row],[Lombardy acc. fit]]/y_l_peak</f>
        <v>0</v>
      </c>
      <c r="AY16" s="163">
        <f>Tabella34[[#This Row],[Lombardy acc. fit]]*NOT(ISBLANK(Tabella34[[#This Row],[Lombardy data]]))</f>
        <v>0</v>
      </c>
      <c r="AZ16" s="96">
        <f>Tabella34[[#This Row],[Lombardy acc. fit]]+CIl</f>
        <v>748.95537180362362</v>
      </c>
      <c r="BA16" s="96">
        <f>MAX(Tabella34[[#This Row],[Lombardy acc. fit]]-CIl,0)</f>
        <v>0</v>
      </c>
      <c r="BB16" s="161"/>
      <c r="BC16" s="34"/>
      <c r="BD16" s="34"/>
      <c r="BE16" s="162">
        <f>Tabella34[[#This Row],[rest of Italy data]]*NOT(ISBLANK(Tabella34[[#This Row],[rest of Italy data]]))</f>
        <v>0</v>
      </c>
      <c r="BF16" s="211">
        <f>Tabella8[[#This Row],[rest of Italy fit]]</f>
        <v>0</v>
      </c>
      <c r="BG16" s="163" t="e">
        <f>_xlfn.LOGNORM.INV(alpha*Tabella34[[#This Row],[rest of Italy cumul. Fit]]/Ko,mu_o,sigma_o)-(Tabella34[[#This Row],[Day]]-po)</f>
        <v>#NUM!</v>
      </c>
      <c r="BH16" s="163">
        <f>Tabella34[[#This Row],[rest of Italy cumul. Fit]]/Ka</f>
        <v>0</v>
      </c>
      <c r="BI16" s="163">
        <f>IFERROR(Ko*_xlfn.LOGNORM.DIST((Tabella34[[#This Row],[Day]]-po),mu_o,sigma_o,FALSE),0)</f>
        <v>0</v>
      </c>
      <c r="BJ16" s="206" t="e">
        <f>Tabella34[[#This Row],[rest of Italy velocity]]/Tabella34[[#This Row],[rest of Italy cumul. Fit]]</f>
        <v>#DIV/0!</v>
      </c>
      <c r="BK16" s="261" t="e">
        <f>(LN(Tabella34[[#This Row],[Day]]-po)-mu_o)/sigma_o</f>
        <v>#NUM!</v>
      </c>
      <c r="BL16" s="269" t="e">
        <f>EXP(mu_o+sigma_o*Tabella34[[#This Row],[x_o_alpha©+plus]])-(Tabella34[[#This Row],[Day]]-po)</f>
        <v>#DIV/0!</v>
      </c>
      <c r="BM16" s="269" t="e">
        <f>EXP(mu_o+sigma_o*Tabella34[[#This Row],[x_o_alpha©-minus]])-(Tabella34[[#This Row],[Day]]-po)</f>
        <v>#DIV/0!</v>
      </c>
      <c r="BN16" s="269" t="e">
        <f>-sigma_o+SQRT(sigma_o^2-2*Tabella34[[#This Row],[c_o]])</f>
        <v>#DIV/0!</v>
      </c>
      <c r="BO16" s="269" t="e">
        <f>-sigma_o-SQRT(sigma_o^2-2*Tabella34[[#This Row],[c_o]])</f>
        <v>#DIV/0!</v>
      </c>
      <c r="BP16" s="269" t="e">
        <f>mu_o-LN(alpha*Ko/(Tabella34[[#This Row],[rest of Italy velocity]]*sigma_o*SQRTPI(2)))</f>
        <v>#DIV/0!</v>
      </c>
      <c r="BQ16" s="269" t="e">
        <f>Tabella34[[#This Row],[t_alpha_o+plus]]</f>
        <v>#DIV/0!</v>
      </c>
      <c r="BR16" s="91">
        <f>IFERROR(-Ka*_xlfn.LOGNORM.DIST((Tabella34[[#This Row],[Day]]-pa),mu_a,sigma_a,FALSE)*(1+(LN((Tabella34[[#This Row],[Day]]-pa))-mu_a)/sigma_a^2)/(Tabella34[[#This Row],[Day]]-pa),0)</f>
        <v>0</v>
      </c>
      <c r="BS16" s="163">
        <f>Tabella34[[#This Row],[rest of Italy acc. fit]]/y_a_peak</f>
        <v>0</v>
      </c>
      <c r="BT16" s="162">
        <f>Tabella34[[#This Row],[rest of Italy acc. fit]]*NOT(ISBLANK(Tabella34[[#This Row],[rest of Italy data]]))</f>
        <v>0</v>
      </c>
      <c r="BU16" s="96">
        <f>Tabella34[[#This Row],[rest of Italy acc. fit]]+CIa</f>
        <v>694.65203586359735</v>
      </c>
      <c r="BV16" s="96">
        <f>MAX(Tabella34[[#This Row],[rest of Italy acc. fit]]-CIa,0)</f>
        <v>0</v>
      </c>
      <c r="BW16" s="1"/>
      <c r="BX16" s="225" t="s">
        <v>6</v>
      </c>
      <c r="BY16" s="226">
        <f>Critical_tw*SE_of_yw</f>
        <v>983.23597010697779</v>
      </c>
      <c r="CL16" s="311"/>
    </row>
    <row r="17" spans="2:90" ht="15" thickBot="1" x14ac:dyDescent="0.35">
      <c r="B17" s="288">
        <v>43840</v>
      </c>
      <c r="C17" s="4">
        <v>10</v>
      </c>
      <c r="D17" s="161"/>
      <c r="E17" s="164"/>
      <c r="F17" s="164"/>
      <c r="G17" s="162">
        <f>Tabella34[[#This Row],[Italy data]]*NOT(ISBLANK(Tabella34[[#This Row],[Italy data]]))</f>
        <v>0</v>
      </c>
      <c r="H17" s="163">
        <f>Tabella8[[#This Row],[Italy fit]]</f>
        <v>0</v>
      </c>
      <c r="I17" s="163" t="e">
        <f>_xlfn.LOGNORM.INV(alpha*Tabella34[[#This Row],[Italy cumul. Fit]]/Kt,mu_t,sigma_t)-(Tabella34[[#This Row],[Day]]-pt)</f>
        <v>#NUM!</v>
      </c>
      <c r="J17" s="163" t="e">
        <f>Tabella34[[#This Row],[Italy d.t.]]/Italy_dt_at_lockdown</f>
        <v>#NUM!</v>
      </c>
      <c r="K17" s="163">
        <f>Tabella34[[#This Row],[Italy cumul. Fit]]/Kf</f>
        <v>0</v>
      </c>
      <c r="L17" s="166">
        <f>Tabella34[[#This Row],[Lombardy acc. fit]]+Tabella34[[#This Row],[rest of Italy acc. fit]]</f>
        <v>0</v>
      </c>
      <c r="M17" s="163">
        <f>Tabella34[[#This Row],[Italy (fitted Lombardy + fitted sum of the other regions)]]/(y_l_peak+y_a_peak)</f>
        <v>0</v>
      </c>
      <c r="N17" s="163">
        <f>IFERROR(Kt*_xlfn.LOGNORM.DIST((Tabella34[[#This Row],[Day]]-pt),mu_t,sigma_t,FALSE),0)</f>
        <v>0</v>
      </c>
      <c r="O17" s="163" t="e">
        <f>Kt*EXP(-0.5*Tabella34[[#This Row],[x_t]]^2)/(sigma_t*SQRTPI(2)*(Tabella34[[#This Row],[Day]]-D_bk))</f>
        <v>#NUM!</v>
      </c>
      <c r="P17" s="206" t="e">
        <f>Tabella34[[#This Row],[Italy velocity]]/Tabella34[[#This Row],[Italy cumul. Fit]]</f>
        <v>#DIV/0!</v>
      </c>
      <c r="Q17" s="269" t="e">
        <f>(LN(Tabella34[[#This Row],[Day]]-D_bk)-mu_t)/sigma_t</f>
        <v>#NUM!</v>
      </c>
      <c r="R17" s="269" t="e">
        <f>EXP(mu_t+sigma_t*Tabella34[[#This Row],[x_t_alpha©+plus]])-(Tabella34[[#This Row],[Day]]-D_bk)</f>
        <v>#DIV/0!</v>
      </c>
      <c r="S17" s="269" t="e">
        <f>EXP(mu_t+sigma_t*Tabella34[[#This Row],[x_t_alpha©-minus]])-(Tabella34[[#This Row],[Day]]-D_bk)</f>
        <v>#DIV/0!</v>
      </c>
      <c r="T17" s="269" t="e">
        <f>-sigma_t+SQRT(sigma_t^2-2*Tabella34[[#This Row],[c_t]])</f>
        <v>#DIV/0!</v>
      </c>
      <c r="U17" s="269" t="e">
        <f>-sigma_t-SQRT(sigma_t^2-2*Tabella34[[#This Row],[c_t]])</f>
        <v>#DIV/0!</v>
      </c>
      <c r="V17" s="269" t="e">
        <f>mu_t-LN(alpha*Kt/(Tabella34[[#This Row],[Italy velocity]]*sigma_t*SQRTPI(2)))</f>
        <v>#DIV/0!</v>
      </c>
      <c r="W17" s="269" t="e">
        <f>Tabella34[[#This Row],[Italy g.r.]]/Italy_gr_at_lockdown</f>
        <v>#DIV/0!</v>
      </c>
      <c r="X17" s="269" t="e">
        <f>Tabella34[[#This Row],[t_alpha_t+plus]]</f>
        <v>#DIV/0!</v>
      </c>
      <c r="Y17" s="269" t="e">
        <f>Tabella34[[#This Row],[Italy h.t.]]/Italy_ht_at_lockdown</f>
        <v>#DIV/0!</v>
      </c>
      <c r="Z17" s="91">
        <f>IFERROR(-Kf*_xlfn.LOGNORM.DIST((Tabella34[[#This Row],[Day]]-D_bk),mu_f,sigma_f,FALSE)*(1+(LN((Tabella34[[#This Row],[Day]]-D_bk))-mu_f)/sigma_f^2)/(Tabella34[[#This Row],[Day]]-D_bk),0)</f>
        <v>0</v>
      </c>
      <c r="AA17" s="91">
        <f>Tabella34[[#This Row],[Italy acc. fit]]/Itali_acc_at_lockdown</f>
        <v>0</v>
      </c>
      <c r="AB17" s="163">
        <f>Tabella34[[#This Row],[Italy acc. fit]]/y_f_peak</f>
        <v>0</v>
      </c>
      <c r="AC17" s="163">
        <f>Tabella34[[#This Row],[Italy (fitted Lombardy + fitted sum of the other regions)]]*NOT(ISBLANK(Tabella34[[#This Row],[Italy data]]))</f>
        <v>0</v>
      </c>
      <c r="AD17" s="163">
        <f>Tabella34[[#This Row],[Italy acc. fit]]*NOT(ISBLANK(Tabella34[[#This Row],[Italy data]]))</f>
        <v>0</v>
      </c>
      <c r="AE17" s="96">
        <f>Tabella34[[#This Row],[Italy acc. fit]]+CIf</f>
        <v>1013.7630020203177</v>
      </c>
      <c r="AF17" s="96">
        <f>MAX(Tabella34[[#This Row],[Italy acc. fit]]-CIf,0)</f>
        <v>0</v>
      </c>
      <c r="AG17" s="161"/>
      <c r="AH17" s="34"/>
      <c r="AI17" s="34"/>
      <c r="AJ17" s="162">
        <f>Tabella34[[#This Row],[Lombardy data]]*NOT(ISBLANK(Tabella34[[#This Row],[Lombardy data]]))</f>
        <v>0</v>
      </c>
      <c r="AK17" s="167">
        <f>Tabella8[[#This Row],[Lombardy fit]]</f>
        <v>0</v>
      </c>
      <c r="AL17" s="163" t="e">
        <f>_xlfn.LOGNORM.INV(alpha*Tabella34[[#This Row],[Lombardy cumul. Fit]]/Kr,mu_r,sigma_r)-(Tabella34[[#This Row],[Day]]-pr)</f>
        <v>#NUM!</v>
      </c>
      <c r="AM17" s="162">
        <f>Tabella34[[#This Row],[Lombardy cumul. Fit]]/Kl</f>
        <v>0</v>
      </c>
      <c r="AN17" s="163">
        <f>IFERROR(Kr*_xlfn.LOGNORM.DIST((Tabella34[[#This Row],[Day]]-pr),mu_r,sigma_r,FALSE),0)</f>
        <v>0</v>
      </c>
      <c r="AO17" s="206" t="e">
        <f>Tabella34[[#This Row],[Lombardy velocity]]/Tabella34[[#This Row],[Lombardy cumul. Fit]]</f>
        <v>#DIV/0!</v>
      </c>
      <c r="AP17" s="261" t="e">
        <f>(LN(Tabella34[[#This Row],[Day]]-pr)-mu_r)/sigma_r</f>
        <v>#NUM!</v>
      </c>
      <c r="AQ17" s="269" t="e">
        <f>EXP(mu_r+sigma_r*Tabella34[[#This Row],[x_r_alpha©+plus]])-(Tabella34[[#This Row],[Day]]-pr)</f>
        <v>#DIV/0!</v>
      </c>
      <c r="AR17" s="269" t="e">
        <f>EXP(mu_r+sigma_r*Tabella34[[#This Row],[x_r_alpha©-minus]])-(Tabella34[[#This Row],[Day]]-pr)</f>
        <v>#DIV/0!</v>
      </c>
      <c r="AS17" s="269" t="e">
        <f>-sigma_r+SQRT(sigma_r^2-2*Tabella34[[#This Row],[c_r]])</f>
        <v>#DIV/0!</v>
      </c>
      <c r="AT17" s="269" t="e">
        <f>-sigma_r-SQRT(sigma_r^2-2*Tabella34[[#This Row],[c_r]])</f>
        <v>#DIV/0!</v>
      </c>
      <c r="AU17" s="269" t="e">
        <f>mu_r-LN(alpha*Kr/(Tabella34[[#This Row],[Lombardy velocity]]*sigma_r*SQRTPI(2)))</f>
        <v>#DIV/0!</v>
      </c>
      <c r="AV17" s="269" t="e">
        <f>Tabella34[[#This Row],[t_alpha_r+plus]]</f>
        <v>#DIV/0!</v>
      </c>
      <c r="AW17" s="91">
        <f>IFERROR(-Kl*_xlfn.LOGNORM.DIST((Tabella34[[#This Row],[Day]]-pl),mu_l,sigma_l,FALSE)*(1+(LN((Tabella34[[#This Row],[Day]]-pl))-mu_l)/sigma_l^2)/(Tabella34[[#This Row],[Day]]-pl),0)</f>
        <v>0</v>
      </c>
      <c r="AX17" s="163">
        <f>Tabella34[[#This Row],[Lombardy acc. fit]]/y_l_peak</f>
        <v>0</v>
      </c>
      <c r="AY17" s="163">
        <f>Tabella34[[#This Row],[Lombardy acc. fit]]*NOT(ISBLANK(Tabella34[[#This Row],[Lombardy data]]))</f>
        <v>0</v>
      </c>
      <c r="AZ17" s="96">
        <f>Tabella34[[#This Row],[Lombardy acc. fit]]+CIl</f>
        <v>748.95537180362362</v>
      </c>
      <c r="BA17" s="96">
        <f>MAX(Tabella34[[#This Row],[Lombardy acc. fit]]-CIl,0)</f>
        <v>0</v>
      </c>
      <c r="BB17" s="161"/>
      <c r="BC17" s="34"/>
      <c r="BD17" s="34"/>
      <c r="BE17" s="162">
        <f>Tabella34[[#This Row],[rest of Italy data]]*NOT(ISBLANK(Tabella34[[#This Row],[rest of Italy data]]))</f>
        <v>0</v>
      </c>
      <c r="BF17" s="211">
        <f>Tabella8[[#This Row],[rest of Italy fit]]</f>
        <v>0</v>
      </c>
      <c r="BG17" s="163" t="e">
        <f>_xlfn.LOGNORM.INV(alpha*Tabella34[[#This Row],[rest of Italy cumul. Fit]]/Ko,mu_o,sigma_o)-(Tabella34[[#This Row],[Day]]-po)</f>
        <v>#NUM!</v>
      </c>
      <c r="BH17" s="163">
        <f>Tabella34[[#This Row],[rest of Italy cumul. Fit]]/Ka</f>
        <v>0</v>
      </c>
      <c r="BI17" s="163">
        <f>IFERROR(Ko*_xlfn.LOGNORM.DIST((Tabella34[[#This Row],[Day]]-po),mu_o,sigma_o,FALSE),0)</f>
        <v>0</v>
      </c>
      <c r="BJ17" s="206" t="e">
        <f>Tabella34[[#This Row],[rest of Italy velocity]]/Tabella34[[#This Row],[rest of Italy cumul. Fit]]</f>
        <v>#DIV/0!</v>
      </c>
      <c r="BK17" s="261" t="e">
        <f>(LN(Tabella34[[#This Row],[Day]]-po)-mu_o)/sigma_o</f>
        <v>#NUM!</v>
      </c>
      <c r="BL17" s="269" t="e">
        <f>EXP(mu_o+sigma_o*Tabella34[[#This Row],[x_o_alpha©+plus]])-(Tabella34[[#This Row],[Day]]-po)</f>
        <v>#DIV/0!</v>
      </c>
      <c r="BM17" s="269" t="e">
        <f>EXP(mu_o+sigma_o*Tabella34[[#This Row],[x_o_alpha©-minus]])-(Tabella34[[#This Row],[Day]]-po)</f>
        <v>#DIV/0!</v>
      </c>
      <c r="BN17" s="269" t="e">
        <f>-sigma_o+SQRT(sigma_o^2-2*Tabella34[[#This Row],[c_o]])</f>
        <v>#DIV/0!</v>
      </c>
      <c r="BO17" s="269" t="e">
        <f>-sigma_o-SQRT(sigma_o^2-2*Tabella34[[#This Row],[c_o]])</f>
        <v>#DIV/0!</v>
      </c>
      <c r="BP17" s="269" t="e">
        <f>mu_o-LN(alpha*Ko/(Tabella34[[#This Row],[rest of Italy velocity]]*sigma_o*SQRTPI(2)))</f>
        <v>#DIV/0!</v>
      </c>
      <c r="BQ17" s="269" t="e">
        <f>Tabella34[[#This Row],[t_alpha_o+plus]]</f>
        <v>#DIV/0!</v>
      </c>
      <c r="BR17" s="91">
        <f>IFERROR(-Ka*_xlfn.LOGNORM.DIST((Tabella34[[#This Row],[Day]]-pa),mu_a,sigma_a,FALSE)*(1+(LN((Tabella34[[#This Row],[Day]]-pa))-mu_a)/sigma_a^2)/(Tabella34[[#This Row],[Day]]-pa),0)</f>
        <v>0</v>
      </c>
      <c r="BS17" s="163">
        <f>Tabella34[[#This Row],[rest of Italy acc. fit]]/y_a_peak</f>
        <v>0</v>
      </c>
      <c r="BT17" s="162">
        <f>Tabella34[[#This Row],[rest of Italy acc. fit]]*NOT(ISBLANK(Tabella34[[#This Row],[rest of Italy data]]))</f>
        <v>0</v>
      </c>
      <c r="BU17" s="96">
        <f>Tabella34[[#This Row],[rest of Italy acc. fit]]+CIa</f>
        <v>694.65203586359735</v>
      </c>
      <c r="BV17" s="96">
        <f>MAX(Tabella34[[#This Row],[rest of Italy acc. fit]]-CIa,0)</f>
        <v>0</v>
      </c>
      <c r="BW17" s="1"/>
      <c r="BX17" s="229" t="s">
        <v>99</v>
      </c>
      <c r="BY17" s="230">
        <f>MAX(Tabella34[Italy (fitted Lombardy + fitted sum of the other regions)])</f>
        <v>248.95467679850617</v>
      </c>
      <c r="CL17" s="311"/>
    </row>
    <row r="18" spans="2:90" x14ac:dyDescent="0.3">
      <c r="B18" s="288">
        <v>43841</v>
      </c>
      <c r="C18" s="4">
        <v>11</v>
      </c>
      <c r="D18" s="161"/>
      <c r="E18" s="164"/>
      <c r="F18" s="164"/>
      <c r="G18" s="162">
        <f>Tabella34[[#This Row],[Italy data]]*NOT(ISBLANK(Tabella34[[#This Row],[Italy data]]))</f>
        <v>0</v>
      </c>
      <c r="H18" s="163">
        <f>Tabella8[[#This Row],[Italy fit]]</f>
        <v>0</v>
      </c>
      <c r="I18" s="163" t="e">
        <f>_xlfn.LOGNORM.INV(alpha*Tabella34[[#This Row],[Italy cumul. Fit]]/Kt,mu_t,sigma_t)-(Tabella34[[#This Row],[Day]]-pt)</f>
        <v>#NUM!</v>
      </c>
      <c r="J18" s="163" t="e">
        <f>Tabella34[[#This Row],[Italy d.t.]]/Italy_dt_at_lockdown</f>
        <v>#NUM!</v>
      </c>
      <c r="K18" s="163">
        <f>Tabella34[[#This Row],[Italy cumul. Fit]]/Kf</f>
        <v>0</v>
      </c>
      <c r="L18" s="166">
        <f>Tabella34[[#This Row],[Lombardy acc. fit]]+Tabella34[[#This Row],[rest of Italy acc. fit]]</f>
        <v>0</v>
      </c>
      <c r="M18" s="163">
        <f>Tabella34[[#This Row],[Italy (fitted Lombardy + fitted sum of the other regions)]]/(y_l_peak+y_a_peak)</f>
        <v>0</v>
      </c>
      <c r="N18" s="163">
        <f>IFERROR(Kt*_xlfn.LOGNORM.DIST((Tabella34[[#This Row],[Day]]-pt),mu_t,sigma_t,FALSE),0)</f>
        <v>0</v>
      </c>
      <c r="O18" s="163" t="e">
        <f>Kt*EXP(-0.5*Tabella34[[#This Row],[x_t]]^2)/(sigma_t*SQRTPI(2)*(Tabella34[[#This Row],[Day]]-D_bk))</f>
        <v>#NUM!</v>
      </c>
      <c r="P18" s="206" t="e">
        <f>Tabella34[[#This Row],[Italy velocity]]/Tabella34[[#This Row],[Italy cumul. Fit]]</f>
        <v>#DIV/0!</v>
      </c>
      <c r="Q18" s="269" t="e">
        <f>(LN(Tabella34[[#This Row],[Day]]-D_bk)-mu_t)/sigma_t</f>
        <v>#NUM!</v>
      </c>
      <c r="R18" s="269" t="e">
        <f>EXP(mu_t+sigma_t*Tabella34[[#This Row],[x_t_alpha©+plus]])-(Tabella34[[#This Row],[Day]]-D_bk)</f>
        <v>#DIV/0!</v>
      </c>
      <c r="S18" s="269" t="e">
        <f>EXP(mu_t+sigma_t*Tabella34[[#This Row],[x_t_alpha©-minus]])-(Tabella34[[#This Row],[Day]]-D_bk)</f>
        <v>#DIV/0!</v>
      </c>
      <c r="T18" s="269" t="e">
        <f>-sigma_t+SQRT(sigma_t^2-2*Tabella34[[#This Row],[c_t]])</f>
        <v>#DIV/0!</v>
      </c>
      <c r="U18" s="269" t="e">
        <f>-sigma_t-SQRT(sigma_t^2-2*Tabella34[[#This Row],[c_t]])</f>
        <v>#DIV/0!</v>
      </c>
      <c r="V18" s="269" t="e">
        <f>mu_t-LN(alpha*Kt/(Tabella34[[#This Row],[Italy velocity]]*sigma_t*SQRTPI(2)))</f>
        <v>#DIV/0!</v>
      </c>
      <c r="W18" s="269" t="e">
        <f>Tabella34[[#This Row],[Italy g.r.]]/Italy_gr_at_lockdown</f>
        <v>#DIV/0!</v>
      </c>
      <c r="X18" s="269" t="e">
        <f>Tabella34[[#This Row],[t_alpha_t+plus]]</f>
        <v>#DIV/0!</v>
      </c>
      <c r="Y18" s="269" t="e">
        <f>Tabella34[[#This Row],[Italy h.t.]]/Italy_ht_at_lockdown</f>
        <v>#DIV/0!</v>
      </c>
      <c r="Z18" s="91">
        <f>IFERROR(-Kf*_xlfn.LOGNORM.DIST((Tabella34[[#This Row],[Day]]-D_bk),mu_f,sigma_f,FALSE)*(1+(LN((Tabella34[[#This Row],[Day]]-D_bk))-mu_f)/sigma_f^2)/(Tabella34[[#This Row],[Day]]-D_bk),0)</f>
        <v>0</v>
      </c>
      <c r="AA18" s="91">
        <f>Tabella34[[#This Row],[Italy acc. fit]]/Itali_acc_at_lockdown</f>
        <v>0</v>
      </c>
      <c r="AB18" s="163">
        <f>Tabella34[[#This Row],[Italy acc. fit]]/y_f_peak</f>
        <v>0</v>
      </c>
      <c r="AC18" s="163">
        <f>Tabella34[[#This Row],[Italy (fitted Lombardy + fitted sum of the other regions)]]*NOT(ISBLANK(Tabella34[[#This Row],[Italy data]]))</f>
        <v>0</v>
      </c>
      <c r="AD18" s="163">
        <f>Tabella34[[#This Row],[Italy acc. fit]]*NOT(ISBLANK(Tabella34[[#This Row],[Italy data]]))</f>
        <v>0</v>
      </c>
      <c r="AE18" s="96">
        <f>Tabella34[[#This Row],[Italy acc. fit]]+CIf</f>
        <v>1013.7630020203177</v>
      </c>
      <c r="AF18" s="96">
        <f>MAX(Tabella34[[#This Row],[Italy acc. fit]]-CIf,0)</f>
        <v>0</v>
      </c>
      <c r="AG18" s="161"/>
      <c r="AH18" s="34"/>
      <c r="AI18" s="34"/>
      <c r="AJ18" s="162">
        <f>Tabella34[[#This Row],[Lombardy data]]*NOT(ISBLANK(Tabella34[[#This Row],[Lombardy data]]))</f>
        <v>0</v>
      </c>
      <c r="AK18" s="167">
        <f>Tabella8[[#This Row],[Lombardy fit]]</f>
        <v>0</v>
      </c>
      <c r="AL18" s="163" t="e">
        <f>_xlfn.LOGNORM.INV(alpha*Tabella34[[#This Row],[Lombardy cumul. Fit]]/Kr,mu_r,sigma_r)-(Tabella34[[#This Row],[Day]]-pr)</f>
        <v>#NUM!</v>
      </c>
      <c r="AM18" s="162">
        <f>Tabella34[[#This Row],[Lombardy cumul. Fit]]/Kl</f>
        <v>0</v>
      </c>
      <c r="AN18" s="163">
        <f>IFERROR(Kr*_xlfn.LOGNORM.DIST((Tabella34[[#This Row],[Day]]-pr),mu_r,sigma_r,FALSE),0)</f>
        <v>0</v>
      </c>
      <c r="AO18" s="206" t="e">
        <f>Tabella34[[#This Row],[Lombardy velocity]]/Tabella34[[#This Row],[Lombardy cumul. Fit]]</f>
        <v>#DIV/0!</v>
      </c>
      <c r="AP18" s="261" t="e">
        <f>(LN(Tabella34[[#This Row],[Day]]-pr)-mu_r)/sigma_r</f>
        <v>#NUM!</v>
      </c>
      <c r="AQ18" s="269" t="e">
        <f>EXP(mu_r+sigma_r*Tabella34[[#This Row],[x_r_alpha©+plus]])-(Tabella34[[#This Row],[Day]]-pr)</f>
        <v>#DIV/0!</v>
      </c>
      <c r="AR18" s="269" t="e">
        <f>EXP(mu_r+sigma_r*Tabella34[[#This Row],[x_r_alpha©-minus]])-(Tabella34[[#This Row],[Day]]-pr)</f>
        <v>#DIV/0!</v>
      </c>
      <c r="AS18" s="269" t="e">
        <f>-sigma_r+SQRT(sigma_r^2-2*Tabella34[[#This Row],[c_r]])</f>
        <v>#DIV/0!</v>
      </c>
      <c r="AT18" s="269" t="e">
        <f>-sigma_r-SQRT(sigma_r^2-2*Tabella34[[#This Row],[c_r]])</f>
        <v>#DIV/0!</v>
      </c>
      <c r="AU18" s="269" t="e">
        <f>mu_r-LN(alpha*Kr/(Tabella34[[#This Row],[Lombardy velocity]]*sigma_r*SQRTPI(2)))</f>
        <v>#DIV/0!</v>
      </c>
      <c r="AV18" s="269" t="e">
        <f>Tabella34[[#This Row],[t_alpha_r+plus]]</f>
        <v>#DIV/0!</v>
      </c>
      <c r="AW18" s="91">
        <f>IFERROR(-Kl*_xlfn.LOGNORM.DIST((Tabella34[[#This Row],[Day]]-pl),mu_l,sigma_l,FALSE)*(1+(LN((Tabella34[[#This Row],[Day]]-pl))-mu_l)/sigma_l^2)/(Tabella34[[#This Row],[Day]]-pl),0)</f>
        <v>0</v>
      </c>
      <c r="AX18" s="163">
        <f>Tabella34[[#This Row],[Lombardy acc. fit]]/y_l_peak</f>
        <v>0</v>
      </c>
      <c r="AY18" s="163">
        <f>Tabella34[[#This Row],[Lombardy acc. fit]]*NOT(ISBLANK(Tabella34[[#This Row],[Lombardy data]]))</f>
        <v>0</v>
      </c>
      <c r="AZ18" s="96">
        <f>Tabella34[[#This Row],[Lombardy acc. fit]]+CIl</f>
        <v>748.95537180362362</v>
      </c>
      <c r="BA18" s="96">
        <f>MAX(Tabella34[[#This Row],[Lombardy acc. fit]]-CIl,0)</f>
        <v>0</v>
      </c>
      <c r="BB18" s="161"/>
      <c r="BC18" s="34"/>
      <c r="BD18" s="34"/>
      <c r="BE18" s="162">
        <f>Tabella34[[#This Row],[rest of Italy data]]*NOT(ISBLANK(Tabella34[[#This Row],[rest of Italy data]]))</f>
        <v>0</v>
      </c>
      <c r="BF18" s="211">
        <f>Tabella8[[#This Row],[rest of Italy fit]]</f>
        <v>0</v>
      </c>
      <c r="BG18" s="163" t="e">
        <f>_xlfn.LOGNORM.INV(alpha*Tabella34[[#This Row],[rest of Italy cumul. Fit]]/Ko,mu_o,sigma_o)-(Tabella34[[#This Row],[Day]]-po)</f>
        <v>#NUM!</v>
      </c>
      <c r="BH18" s="163">
        <f>Tabella34[[#This Row],[rest of Italy cumul. Fit]]/Ka</f>
        <v>0</v>
      </c>
      <c r="BI18" s="163">
        <f>IFERROR(Ko*_xlfn.LOGNORM.DIST((Tabella34[[#This Row],[Day]]-po),mu_o,sigma_o,FALSE),0)</f>
        <v>0</v>
      </c>
      <c r="BJ18" s="206" t="e">
        <f>Tabella34[[#This Row],[rest of Italy velocity]]/Tabella34[[#This Row],[rest of Italy cumul. Fit]]</f>
        <v>#DIV/0!</v>
      </c>
      <c r="BK18" s="261" t="e">
        <f>(LN(Tabella34[[#This Row],[Day]]-po)-mu_o)/sigma_o</f>
        <v>#NUM!</v>
      </c>
      <c r="BL18" s="269" t="e">
        <f>EXP(mu_o+sigma_o*Tabella34[[#This Row],[x_o_alpha©+plus]])-(Tabella34[[#This Row],[Day]]-po)</f>
        <v>#DIV/0!</v>
      </c>
      <c r="BM18" s="269" t="e">
        <f>EXP(mu_o+sigma_o*Tabella34[[#This Row],[x_o_alpha©-minus]])-(Tabella34[[#This Row],[Day]]-po)</f>
        <v>#DIV/0!</v>
      </c>
      <c r="BN18" s="269" t="e">
        <f>-sigma_o+SQRT(sigma_o^2-2*Tabella34[[#This Row],[c_o]])</f>
        <v>#DIV/0!</v>
      </c>
      <c r="BO18" s="269" t="e">
        <f>-sigma_o-SQRT(sigma_o^2-2*Tabella34[[#This Row],[c_o]])</f>
        <v>#DIV/0!</v>
      </c>
      <c r="BP18" s="269" t="e">
        <f>mu_o-LN(alpha*Ko/(Tabella34[[#This Row],[rest of Italy velocity]]*sigma_o*SQRTPI(2)))</f>
        <v>#DIV/0!</v>
      </c>
      <c r="BQ18" s="269" t="e">
        <f>Tabella34[[#This Row],[t_alpha_o+plus]]</f>
        <v>#DIV/0!</v>
      </c>
      <c r="BR18" s="91">
        <f>IFERROR(-Ka*_xlfn.LOGNORM.DIST((Tabella34[[#This Row],[Day]]-pa),mu_a,sigma_a,FALSE)*(1+(LN((Tabella34[[#This Row],[Day]]-pa))-mu_a)/sigma_a^2)/(Tabella34[[#This Row],[Day]]-pa),0)</f>
        <v>0</v>
      </c>
      <c r="BS18" s="163">
        <f>Tabella34[[#This Row],[rest of Italy acc. fit]]/y_a_peak</f>
        <v>0</v>
      </c>
      <c r="BT18" s="162">
        <f>Tabella34[[#This Row],[rest of Italy acc. fit]]*NOT(ISBLANK(Tabella34[[#This Row],[rest of Italy data]]))</f>
        <v>0</v>
      </c>
      <c r="BU18" s="96">
        <f>Tabella34[[#This Row],[rest of Italy acc. fit]]+CIa</f>
        <v>694.65203586359735</v>
      </c>
      <c r="BV18" s="96">
        <f>MAX(Tabella34[[#This Row],[rest of Italy acc. fit]]-CIa,0)</f>
        <v>0</v>
      </c>
      <c r="BW18" s="1"/>
      <c r="BX18" s="229" t="s">
        <v>129</v>
      </c>
      <c r="BY18" s="231" t="e">
        <f>_xlfn.XLOOKUP(Peak_w,Tabella34[Italy (fitted Lombardy + fitted sum of the other regions)],Tabella34[Date])</f>
        <v>#N/A</v>
      </c>
      <c r="CL18" s="144">
        <f>MAX($BY$26)</f>
        <v>0.37063676447221616</v>
      </c>
    </row>
    <row r="19" spans="2:90" x14ac:dyDescent="0.3">
      <c r="B19" s="288">
        <v>43842</v>
      </c>
      <c r="C19" s="4">
        <v>12</v>
      </c>
      <c r="D19" s="161"/>
      <c r="E19" s="164"/>
      <c r="F19" s="164"/>
      <c r="G19" s="162">
        <f>Tabella34[[#This Row],[Italy data]]*NOT(ISBLANK(Tabella34[[#This Row],[Italy data]]))</f>
        <v>0</v>
      </c>
      <c r="H19" s="163">
        <f>Tabella8[[#This Row],[Italy fit]]</f>
        <v>0</v>
      </c>
      <c r="I19" s="163" t="e">
        <f>_xlfn.LOGNORM.INV(alpha*Tabella34[[#This Row],[Italy cumul. Fit]]/Kt,mu_t,sigma_t)-(Tabella34[[#This Row],[Day]]-pt)</f>
        <v>#NUM!</v>
      </c>
      <c r="J19" s="163" t="e">
        <f>Tabella34[[#This Row],[Italy d.t.]]/Italy_dt_at_lockdown</f>
        <v>#NUM!</v>
      </c>
      <c r="K19" s="163">
        <f>Tabella34[[#This Row],[Italy cumul. Fit]]/Kf</f>
        <v>0</v>
      </c>
      <c r="L19" s="166">
        <f>Tabella34[[#This Row],[Lombardy acc. fit]]+Tabella34[[#This Row],[rest of Italy acc. fit]]</f>
        <v>0</v>
      </c>
      <c r="M19" s="163">
        <f>Tabella34[[#This Row],[Italy (fitted Lombardy + fitted sum of the other regions)]]/(y_l_peak+y_a_peak)</f>
        <v>0</v>
      </c>
      <c r="N19" s="163">
        <f>IFERROR(Kt*_xlfn.LOGNORM.DIST((Tabella34[[#This Row],[Day]]-pt),mu_t,sigma_t,FALSE),0)</f>
        <v>0</v>
      </c>
      <c r="O19" s="163" t="e">
        <f>Kt*EXP(-0.5*Tabella34[[#This Row],[x_t]]^2)/(sigma_t*SQRTPI(2)*(Tabella34[[#This Row],[Day]]-D_bk))</f>
        <v>#NUM!</v>
      </c>
      <c r="P19" s="206" t="e">
        <f>Tabella34[[#This Row],[Italy velocity]]/Tabella34[[#This Row],[Italy cumul. Fit]]</f>
        <v>#DIV/0!</v>
      </c>
      <c r="Q19" s="269" t="e">
        <f>(LN(Tabella34[[#This Row],[Day]]-D_bk)-mu_t)/sigma_t</f>
        <v>#NUM!</v>
      </c>
      <c r="R19" s="269" t="e">
        <f>EXP(mu_t+sigma_t*Tabella34[[#This Row],[x_t_alpha©+plus]])-(Tabella34[[#This Row],[Day]]-D_bk)</f>
        <v>#DIV/0!</v>
      </c>
      <c r="S19" s="269" t="e">
        <f>EXP(mu_t+sigma_t*Tabella34[[#This Row],[x_t_alpha©-minus]])-(Tabella34[[#This Row],[Day]]-D_bk)</f>
        <v>#DIV/0!</v>
      </c>
      <c r="T19" s="269" t="e">
        <f>-sigma_t+SQRT(sigma_t^2-2*Tabella34[[#This Row],[c_t]])</f>
        <v>#DIV/0!</v>
      </c>
      <c r="U19" s="269" t="e">
        <f>-sigma_t-SQRT(sigma_t^2-2*Tabella34[[#This Row],[c_t]])</f>
        <v>#DIV/0!</v>
      </c>
      <c r="V19" s="269" t="e">
        <f>mu_t-LN(alpha*Kt/(Tabella34[[#This Row],[Italy velocity]]*sigma_t*SQRTPI(2)))</f>
        <v>#DIV/0!</v>
      </c>
      <c r="W19" s="269" t="e">
        <f>Tabella34[[#This Row],[Italy g.r.]]/Italy_gr_at_lockdown</f>
        <v>#DIV/0!</v>
      </c>
      <c r="X19" s="269" t="e">
        <f>Tabella34[[#This Row],[t_alpha_t+plus]]</f>
        <v>#DIV/0!</v>
      </c>
      <c r="Y19" s="269" t="e">
        <f>Tabella34[[#This Row],[Italy h.t.]]/Italy_ht_at_lockdown</f>
        <v>#DIV/0!</v>
      </c>
      <c r="Z19" s="91">
        <f>IFERROR(-Kf*_xlfn.LOGNORM.DIST((Tabella34[[#This Row],[Day]]-D_bk),mu_f,sigma_f,FALSE)*(1+(LN((Tabella34[[#This Row],[Day]]-D_bk))-mu_f)/sigma_f^2)/(Tabella34[[#This Row],[Day]]-D_bk),0)</f>
        <v>0</v>
      </c>
      <c r="AA19" s="91">
        <f>Tabella34[[#This Row],[Italy acc. fit]]/Itali_acc_at_lockdown</f>
        <v>0</v>
      </c>
      <c r="AB19" s="163">
        <f>Tabella34[[#This Row],[Italy acc. fit]]/y_f_peak</f>
        <v>0</v>
      </c>
      <c r="AC19" s="163">
        <f>Tabella34[[#This Row],[Italy (fitted Lombardy + fitted sum of the other regions)]]*NOT(ISBLANK(Tabella34[[#This Row],[Italy data]]))</f>
        <v>0</v>
      </c>
      <c r="AD19" s="163">
        <f>Tabella34[[#This Row],[Italy acc. fit]]*NOT(ISBLANK(Tabella34[[#This Row],[Italy data]]))</f>
        <v>0</v>
      </c>
      <c r="AE19" s="96">
        <f>Tabella34[[#This Row],[Italy acc. fit]]+CIf</f>
        <v>1013.7630020203177</v>
      </c>
      <c r="AF19" s="96">
        <f>MAX(Tabella34[[#This Row],[Italy acc. fit]]-CIf,0)</f>
        <v>0</v>
      </c>
      <c r="AG19" s="161"/>
      <c r="AH19" s="34"/>
      <c r="AI19" s="34"/>
      <c r="AJ19" s="162">
        <f>Tabella34[[#This Row],[Lombardy data]]*NOT(ISBLANK(Tabella34[[#This Row],[Lombardy data]]))</f>
        <v>0</v>
      </c>
      <c r="AK19" s="167">
        <f>Tabella8[[#This Row],[Lombardy fit]]</f>
        <v>0</v>
      </c>
      <c r="AL19" s="163" t="e">
        <f>_xlfn.LOGNORM.INV(alpha*Tabella34[[#This Row],[Lombardy cumul. Fit]]/Kr,mu_r,sigma_r)-(Tabella34[[#This Row],[Day]]-pr)</f>
        <v>#NUM!</v>
      </c>
      <c r="AM19" s="162">
        <f>Tabella34[[#This Row],[Lombardy cumul. Fit]]/Kl</f>
        <v>0</v>
      </c>
      <c r="AN19" s="163">
        <f>IFERROR(Kr*_xlfn.LOGNORM.DIST((Tabella34[[#This Row],[Day]]-pr),mu_r,sigma_r,FALSE),0)</f>
        <v>0</v>
      </c>
      <c r="AO19" s="206" t="e">
        <f>Tabella34[[#This Row],[Lombardy velocity]]/Tabella34[[#This Row],[Lombardy cumul. Fit]]</f>
        <v>#DIV/0!</v>
      </c>
      <c r="AP19" s="261" t="e">
        <f>(LN(Tabella34[[#This Row],[Day]]-pr)-mu_r)/sigma_r</f>
        <v>#NUM!</v>
      </c>
      <c r="AQ19" s="269" t="e">
        <f>EXP(mu_r+sigma_r*Tabella34[[#This Row],[x_r_alpha©+plus]])-(Tabella34[[#This Row],[Day]]-pr)</f>
        <v>#DIV/0!</v>
      </c>
      <c r="AR19" s="269" t="e">
        <f>EXP(mu_r+sigma_r*Tabella34[[#This Row],[x_r_alpha©-minus]])-(Tabella34[[#This Row],[Day]]-pr)</f>
        <v>#DIV/0!</v>
      </c>
      <c r="AS19" s="269" t="e">
        <f>-sigma_r+SQRT(sigma_r^2-2*Tabella34[[#This Row],[c_r]])</f>
        <v>#DIV/0!</v>
      </c>
      <c r="AT19" s="269" t="e">
        <f>-sigma_r-SQRT(sigma_r^2-2*Tabella34[[#This Row],[c_r]])</f>
        <v>#DIV/0!</v>
      </c>
      <c r="AU19" s="269" t="e">
        <f>mu_r-LN(alpha*Kr/(Tabella34[[#This Row],[Lombardy velocity]]*sigma_r*SQRTPI(2)))</f>
        <v>#DIV/0!</v>
      </c>
      <c r="AV19" s="269" t="e">
        <f>Tabella34[[#This Row],[t_alpha_r+plus]]</f>
        <v>#DIV/0!</v>
      </c>
      <c r="AW19" s="91">
        <f>IFERROR(-Kl*_xlfn.LOGNORM.DIST((Tabella34[[#This Row],[Day]]-pl),mu_l,sigma_l,FALSE)*(1+(LN((Tabella34[[#This Row],[Day]]-pl))-mu_l)/sigma_l^2)/(Tabella34[[#This Row],[Day]]-pl),0)</f>
        <v>0</v>
      </c>
      <c r="AX19" s="163">
        <f>Tabella34[[#This Row],[Lombardy acc. fit]]/y_l_peak</f>
        <v>0</v>
      </c>
      <c r="AY19" s="163">
        <f>Tabella34[[#This Row],[Lombardy acc. fit]]*NOT(ISBLANK(Tabella34[[#This Row],[Lombardy data]]))</f>
        <v>0</v>
      </c>
      <c r="AZ19" s="96">
        <f>Tabella34[[#This Row],[Lombardy acc. fit]]+CIl</f>
        <v>748.95537180362362</v>
      </c>
      <c r="BA19" s="96">
        <f>MAX(Tabella34[[#This Row],[Lombardy acc. fit]]-CIl,0)</f>
        <v>0</v>
      </c>
      <c r="BB19" s="161"/>
      <c r="BC19" s="34"/>
      <c r="BD19" s="34"/>
      <c r="BE19" s="162">
        <f>Tabella34[[#This Row],[rest of Italy data]]*NOT(ISBLANK(Tabella34[[#This Row],[rest of Italy data]]))</f>
        <v>0</v>
      </c>
      <c r="BF19" s="211">
        <f>Tabella8[[#This Row],[rest of Italy fit]]</f>
        <v>0</v>
      </c>
      <c r="BG19" s="163" t="e">
        <f>_xlfn.LOGNORM.INV(alpha*Tabella34[[#This Row],[rest of Italy cumul. Fit]]/Ko,mu_o,sigma_o)-(Tabella34[[#This Row],[Day]]-po)</f>
        <v>#NUM!</v>
      </c>
      <c r="BH19" s="163">
        <f>Tabella34[[#This Row],[rest of Italy cumul. Fit]]/Ka</f>
        <v>0</v>
      </c>
      <c r="BI19" s="163">
        <f>IFERROR(Ko*_xlfn.LOGNORM.DIST((Tabella34[[#This Row],[Day]]-po),mu_o,sigma_o,FALSE),0)</f>
        <v>0</v>
      </c>
      <c r="BJ19" s="206" t="e">
        <f>Tabella34[[#This Row],[rest of Italy velocity]]/Tabella34[[#This Row],[rest of Italy cumul. Fit]]</f>
        <v>#DIV/0!</v>
      </c>
      <c r="BK19" s="261" t="e">
        <f>(LN(Tabella34[[#This Row],[Day]]-po)-mu_o)/sigma_o</f>
        <v>#NUM!</v>
      </c>
      <c r="BL19" s="269" t="e">
        <f>EXP(mu_o+sigma_o*Tabella34[[#This Row],[x_o_alpha©+plus]])-(Tabella34[[#This Row],[Day]]-po)</f>
        <v>#DIV/0!</v>
      </c>
      <c r="BM19" s="269" t="e">
        <f>EXP(mu_o+sigma_o*Tabella34[[#This Row],[x_o_alpha©-minus]])-(Tabella34[[#This Row],[Day]]-po)</f>
        <v>#DIV/0!</v>
      </c>
      <c r="BN19" s="269" t="e">
        <f>-sigma_o+SQRT(sigma_o^2-2*Tabella34[[#This Row],[c_o]])</f>
        <v>#DIV/0!</v>
      </c>
      <c r="BO19" s="269" t="e">
        <f>-sigma_o-SQRT(sigma_o^2-2*Tabella34[[#This Row],[c_o]])</f>
        <v>#DIV/0!</v>
      </c>
      <c r="BP19" s="269" t="e">
        <f>mu_o-LN(alpha*Ko/(Tabella34[[#This Row],[rest of Italy velocity]]*sigma_o*SQRTPI(2)))</f>
        <v>#DIV/0!</v>
      </c>
      <c r="BQ19" s="269" t="e">
        <f>Tabella34[[#This Row],[t_alpha_o+plus]]</f>
        <v>#DIV/0!</v>
      </c>
      <c r="BR19" s="91">
        <f>IFERROR(-Ka*_xlfn.LOGNORM.DIST((Tabella34[[#This Row],[Day]]-pa),mu_a,sigma_a,FALSE)*(1+(LN((Tabella34[[#This Row],[Day]]-pa))-mu_a)/sigma_a^2)/(Tabella34[[#This Row],[Day]]-pa),0)</f>
        <v>0</v>
      </c>
      <c r="BS19" s="163">
        <f>Tabella34[[#This Row],[rest of Italy acc. fit]]/y_a_peak</f>
        <v>0</v>
      </c>
      <c r="BT19" s="162">
        <f>Tabella34[[#This Row],[rest of Italy acc. fit]]*NOT(ISBLANK(Tabella34[[#This Row],[rest of Italy data]]))</f>
        <v>0</v>
      </c>
      <c r="BU19" s="96">
        <f>Tabella34[[#This Row],[rest of Italy acc. fit]]+CIa</f>
        <v>694.65203586359735</v>
      </c>
      <c r="BV19" s="96">
        <f>MAX(Tabella34[[#This Row],[rest of Italy acc. fit]]-CIa,0)</f>
        <v>0</v>
      </c>
      <c r="BW19" s="1"/>
      <c r="BX19" s="232" t="s">
        <v>78</v>
      </c>
      <c r="BY19" s="233" t="s">
        <v>118</v>
      </c>
      <c r="CL19" s="60">
        <f>COUNT($BY$20,$BY$21,$BY$22,$BY$31)</f>
        <v>4</v>
      </c>
    </row>
    <row r="20" spans="2:90" x14ac:dyDescent="0.3">
      <c r="B20" s="288">
        <v>43843</v>
      </c>
      <c r="C20" s="4">
        <v>13</v>
      </c>
      <c r="D20" s="161"/>
      <c r="E20" s="164"/>
      <c r="F20" s="164"/>
      <c r="G20" s="162">
        <f>Tabella34[[#This Row],[Italy data]]*NOT(ISBLANK(Tabella34[[#This Row],[Italy data]]))</f>
        <v>0</v>
      </c>
      <c r="H20" s="163">
        <f>Tabella8[[#This Row],[Italy fit]]</f>
        <v>0</v>
      </c>
      <c r="I20" s="163" t="e">
        <f>_xlfn.LOGNORM.INV(alpha*Tabella34[[#This Row],[Italy cumul. Fit]]/Kt,mu_t,sigma_t)-(Tabella34[[#This Row],[Day]]-pt)</f>
        <v>#NUM!</v>
      </c>
      <c r="J20" s="163" t="e">
        <f>Tabella34[[#This Row],[Italy d.t.]]/Italy_dt_at_lockdown</f>
        <v>#NUM!</v>
      </c>
      <c r="K20" s="163">
        <f>Tabella34[[#This Row],[Italy cumul. Fit]]/Kf</f>
        <v>0</v>
      </c>
      <c r="L20" s="166">
        <f>Tabella34[[#This Row],[Lombardy acc. fit]]+Tabella34[[#This Row],[rest of Italy acc. fit]]</f>
        <v>0</v>
      </c>
      <c r="M20" s="163">
        <f>Tabella34[[#This Row],[Italy (fitted Lombardy + fitted sum of the other regions)]]/(y_l_peak+y_a_peak)</f>
        <v>0</v>
      </c>
      <c r="N20" s="163">
        <f>IFERROR(Kt*_xlfn.LOGNORM.DIST((Tabella34[[#This Row],[Day]]-pt),mu_t,sigma_t,FALSE),0)</f>
        <v>0</v>
      </c>
      <c r="O20" s="163" t="e">
        <f>Kt*EXP(-0.5*Tabella34[[#This Row],[x_t]]^2)/(sigma_t*SQRTPI(2)*(Tabella34[[#This Row],[Day]]-D_bk))</f>
        <v>#NUM!</v>
      </c>
      <c r="P20" s="206" t="e">
        <f>Tabella34[[#This Row],[Italy velocity]]/Tabella34[[#This Row],[Italy cumul. Fit]]</f>
        <v>#DIV/0!</v>
      </c>
      <c r="Q20" s="269" t="e">
        <f>(LN(Tabella34[[#This Row],[Day]]-D_bk)-mu_t)/sigma_t</f>
        <v>#NUM!</v>
      </c>
      <c r="R20" s="269" t="e">
        <f>EXP(mu_t+sigma_t*Tabella34[[#This Row],[x_t_alpha©+plus]])-(Tabella34[[#This Row],[Day]]-D_bk)</f>
        <v>#DIV/0!</v>
      </c>
      <c r="S20" s="269" t="e">
        <f>EXP(mu_t+sigma_t*Tabella34[[#This Row],[x_t_alpha©-minus]])-(Tabella34[[#This Row],[Day]]-D_bk)</f>
        <v>#DIV/0!</v>
      </c>
      <c r="T20" s="269" t="e">
        <f>-sigma_t+SQRT(sigma_t^2-2*Tabella34[[#This Row],[c_t]])</f>
        <v>#DIV/0!</v>
      </c>
      <c r="U20" s="269" t="e">
        <f>-sigma_t-SQRT(sigma_t^2-2*Tabella34[[#This Row],[c_t]])</f>
        <v>#DIV/0!</v>
      </c>
      <c r="V20" s="269" t="e">
        <f>mu_t-LN(alpha*Kt/(Tabella34[[#This Row],[Italy velocity]]*sigma_t*SQRTPI(2)))</f>
        <v>#DIV/0!</v>
      </c>
      <c r="W20" s="269" t="e">
        <f>Tabella34[[#This Row],[Italy g.r.]]/Italy_gr_at_lockdown</f>
        <v>#DIV/0!</v>
      </c>
      <c r="X20" s="269" t="e">
        <f>Tabella34[[#This Row],[t_alpha_t+plus]]</f>
        <v>#DIV/0!</v>
      </c>
      <c r="Y20" s="269" t="e">
        <f>Tabella34[[#This Row],[Italy h.t.]]/Italy_ht_at_lockdown</f>
        <v>#DIV/0!</v>
      </c>
      <c r="Z20" s="91">
        <f>IFERROR(-Kf*_xlfn.LOGNORM.DIST((Tabella34[[#This Row],[Day]]-D_bk),mu_f,sigma_f,FALSE)*(1+(LN((Tabella34[[#This Row],[Day]]-D_bk))-mu_f)/sigma_f^2)/(Tabella34[[#This Row],[Day]]-D_bk),0)</f>
        <v>0</v>
      </c>
      <c r="AA20" s="91">
        <f>Tabella34[[#This Row],[Italy acc. fit]]/Itali_acc_at_lockdown</f>
        <v>0</v>
      </c>
      <c r="AB20" s="163">
        <f>Tabella34[[#This Row],[Italy acc. fit]]/y_f_peak</f>
        <v>0</v>
      </c>
      <c r="AC20" s="163">
        <f>Tabella34[[#This Row],[Italy (fitted Lombardy + fitted sum of the other regions)]]*NOT(ISBLANK(Tabella34[[#This Row],[Italy data]]))</f>
        <v>0</v>
      </c>
      <c r="AD20" s="163">
        <f>Tabella34[[#This Row],[Italy acc. fit]]*NOT(ISBLANK(Tabella34[[#This Row],[Italy data]]))</f>
        <v>0</v>
      </c>
      <c r="AE20" s="96">
        <f>Tabella34[[#This Row],[Italy acc. fit]]+CIf</f>
        <v>1013.7630020203177</v>
      </c>
      <c r="AF20" s="96">
        <f>MAX(Tabella34[[#This Row],[Italy acc. fit]]-CIf,0)</f>
        <v>0</v>
      </c>
      <c r="AG20" s="161"/>
      <c r="AH20" s="34"/>
      <c r="AI20" s="34"/>
      <c r="AJ20" s="162">
        <f>Tabella34[[#This Row],[Lombardy data]]*NOT(ISBLANK(Tabella34[[#This Row],[Lombardy data]]))</f>
        <v>0</v>
      </c>
      <c r="AK20" s="167">
        <f>Tabella8[[#This Row],[Lombardy fit]]</f>
        <v>0</v>
      </c>
      <c r="AL20" s="163" t="e">
        <f>_xlfn.LOGNORM.INV(alpha*Tabella34[[#This Row],[Lombardy cumul. Fit]]/Kr,mu_r,sigma_r)-(Tabella34[[#This Row],[Day]]-pr)</f>
        <v>#NUM!</v>
      </c>
      <c r="AM20" s="162">
        <f>Tabella34[[#This Row],[Lombardy cumul. Fit]]/Kl</f>
        <v>0</v>
      </c>
      <c r="AN20" s="163">
        <f>IFERROR(Kr*_xlfn.LOGNORM.DIST((Tabella34[[#This Row],[Day]]-pr),mu_r,sigma_r,FALSE),0)</f>
        <v>0</v>
      </c>
      <c r="AO20" s="206" t="e">
        <f>Tabella34[[#This Row],[Lombardy velocity]]/Tabella34[[#This Row],[Lombardy cumul. Fit]]</f>
        <v>#DIV/0!</v>
      </c>
      <c r="AP20" s="261" t="e">
        <f>(LN(Tabella34[[#This Row],[Day]]-pr)-mu_r)/sigma_r</f>
        <v>#NUM!</v>
      </c>
      <c r="AQ20" s="269" t="e">
        <f>EXP(mu_r+sigma_r*Tabella34[[#This Row],[x_r_alpha©+plus]])-(Tabella34[[#This Row],[Day]]-pr)</f>
        <v>#DIV/0!</v>
      </c>
      <c r="AR20" s="269" t="e">
        <f>EXP(mu_r+sigma_r*Tabella34[[#This Row],[x_r_alpha©-minus]])-(Tabella34[[#This Row],[Day]]-pr)</f>
        <v>#DIV/0!</v>
      </c>
      <c r="AS20" s="269" t="e">
        <f>-sigma_r+SQRT(sigma_r^2-2*Tabella34[[#This Row],[c_r]])</f>
        <v>#DIV/0!</v>
      </c>
      <c r="AT20" s="269" t="e">
        <f>-sigma_r-SQRT(sigma_r^2-2*Tabella34[[#This Row],[c_r]])</f>
        <v>#DIV/0!</v>
      </c>
      <c r="AU20" s="269" t="e">
        <f>mu_r-LN(alpha*Kr/(Tabella34[[#This Row],[Lombardy velocity]]*sigma_r*SQRTPI(2)))</f>
        <v>#DIV/0!</v>
      </c>
      <c r="AV20" s="269" t="e">
        <f>Tabella34[[#This Row],[t_alpha_r+plus]]</f>
        <v>#DIV/0!</v>
      </c>
      <c r="AW20" s="91">
        <f>IFERROR(-Kl*_xlfn.LOGNORM.DIST((Tabella34[[#This Row],[Day]]-pl),mu_l,sigma_l,FALSE)*(1+(LN((Tabella34[[#This Row],[Day]]-pl))-mu_l)/sigma_l^2)/(Tabella34[[#This Row],[Day]]-pl),0)</f>
        <v>0</v>
      </c>
      <c r="AX20" s="163">
        <f>Tabella34[[#This Row],[Lombardy acc. fit]]/y_l_peak</f>
        <v>0</v>
      </c>
      <c r="AY20" s="163">
        <f>Tabella34[[#This Row],[Lombardy acc. fit]]*NOT(ISBLANK(Tabella34[[#This Row],[Lombardy data]]))</f>
        <v>0</v>
      </c>
      <c r="AZ20" s="96">
        <f>Tabella34[[#This Row],[Lombardy acc. fit]]+CIl</f>
        <v>748.95537180362362</v>
      </c>
      <c r="BA20" s="96">
        <f>MAX(Tabella34[[#This Row],[Lombardy acc. fit]]-CIl,0)</f>
        <v>0</v>
      </c>
      <c r="BB20" s="161"/>
      <c r="BC20" s="34"/>
      <c r="BD20" s="34"/>
      <c r="BE20" s="162">
        <f>Tabella34[[#This Row],[rest of Italy data]]*NOT(ISBLANK(Tabella34[[#This Row],[rest of Italy data]]))</f>
        <v>0</v>
      </c>
      <c r="BF20" s="211">
        <f>Tabella8[[#This Row],[rest of Italy fit]]</f>
        <v>0</v>
      </c>
      <c r="BG20" s="163" t="e">
        <f>_xlfn.LOGNORM.INV(alpha*Tabella34[[#This Row],[rest of Italy cumul. Fit]]/Ko,mu_o,sigma_o)-(Tabella34[[#This Row],[Day]]-po)</f>
        <v>#NUM!</v>
      </c>
      <c r="BH20" s="163">
        <f>Tabella34[[#This Row],[rest of Italy cumul. Fit]]/Ka</f>
        <v>0</v>
      </c>
      <c r="BI20" s="163">
        <f>IFERROR(Ko*_xlfn.LOGNORM.DIST((Tabella34[[#This Row],[Day]]-po),mu_o,sigma_o,FALSE),0)</f>
        <v>0</v>
      </c>
      <c r="BJ20" s="206" t="e">
        <f>Tabella34[[#This Row],[rest of Italy velocity]]/Tabella34[[#This Row],[rest of Italy cumul. Fit]]</f>
        <v>#DIV/0!</v>
      </c>
      <c r="BK20" s="261" t="e">
        <f>(LN(Tabella34[[#This Row],[Day]]-po)-mu_o)/sigma_o</f>
        <v>#NUM!</v>
      </c>
      <c r="BL20" s="269" t="e">
        <f>EXP(mu_o+sigma_o*Tabella34[[#This Row],[x_o_alpha©+plus]])-(Tabella34[[#This Row],[Day]]-po)</f>
        <v>#DIV/0!</v>
      </c>
      <c r="BM20" s="269" t="e">
        <f>EXP(mu_o+sigma_o*Tabella34[[#This Row],[x_o_alpha©-minus]])-(Tabella34[[#This Row],[Day]]-po)</f>
        <v>#DIV/0!</v>
      </c>
      <c r="BN20" s="269" t="e">
        <f>-sigma_o+SQRT(sigma_o^2-2*Tabella34[[#This Row],[c_o]])</f>
        <v>#DIV/0!</v>
      </c>
      <c r="BO20" s="269" t="e">
        <f>-sigma_o-SQRT(sigma_o^2-2*Tabella34[[#This Row],[c_o]])</f>
        <v>#DIV/0!</v>
      </c>
      <c r="BP20" s="269" t="e">
        <f>mu_o-LN(alpha*Ko/(Tabella34[[#This Row],[rest of Italy velocity]]*sigma_o*SQRTPI(2)))</f>
        <v>#DIV/0!</v>
      </c>
      <c r="BQ20" s="269" t="e">
        <f>Tabella34[[#This Row],[t_alpha_o+plus]]</f>
        <v>#DIV/0!</v>
      </c>
      <c r="BR20" s="91">
        <f>IFERROR(-Ka*_xlfn.LOGNORM.DIST((Tabella34[[#This Row],[Day]]-pa),mu_a,sigma_a,FALSE)*(1+(LN((Tabella34[[#This Row],[Day]]-pa))-mu_a)/sigma_a^2)/(Tabella34[[#This Row],[Day]]-pa),0)</f>
        <v>0</v>
      </c>
      <c r="BS20" s="163">
        <f>Tabella34[[#This Row],[rest of Italy acc. fit]]/y_a_peak</f>
        <v>0</v>
      </c>
      <c r="BT20" s="162">
        <f>Tabella34[[#This Row],[rest of Italy acc. fit]]*NOT(ISBLANK(Tabella34[[#This Row],[rest of Italy data]]))</f>
        <v>0</v>
      </c>
      <c r="BU20" s="96">
        <f>Tabella34[[#This Row],[rest of Italy acc. fit]]+CIa</f>
        <v>694.65203586359735</v>
      </c>
      <c r="BV20" s="96">
        <f>MAX(Tabella34[[#This Row],[rest of Italy acc. fit]]-CIa,0)</f>
        <v>0</v>
      </c>
      <c r="BW20" s="1"/>
      <c r="BX20" s="234" t="s">
        <v>0</v>
      </c>
      <c r="BY20" s="235">
        <f>Kr</f>
        <v>87000</v>
      </c>
      <c r="CL20" s="60" t="b">
        <f>pl&lt;=0</f>
        <v>0</v>
      </c>
    </row>
    <row r="21" spans="2:90" x14ac:dyDescent="0.3">
      <c r="B21" s="288">
        <v>43844</v>
      </c>
      <c r="C21" s="4">
        <v>14</v>
      </c>
      <c r="D21" s="161"/>
      <c r="E21" s="164"/>
      <c r="F21" s="164"/>
      <c r="G21" s="162">
        <f>Tabella34[[#This Row],[Italy data]]*NOT(ISBLANK(Tabella34[[#This Row],[Italy data]]))</f>
        <v>0</v>
      </c>
      <c r="H21" s="163">
        <f>Tabella8[[#This Row],[Italy fit]]</f>
        <v>0</v>
      </c>
      <c r="I21" s="163" t="e">
        <f>_xlfn.LOGNORM.INV(alpha*Tabella34[[#This Row],[Italy cumul. Fit]]/Kt,mu_t,sigma_t)-(Tabella34[[#This Row],[Day]]-pt)</f>
        <v>#NUM!</v>
      </c>
      <c r="J21" s="163" t="e">
        <f>Tabella34[[#This Row],[Italy d.t.]]/Italy_dt_at_lockdown</f>
        <v>#NUM!</v>
      </c>
      <c r="K21" s="163">
        <f>Tabella34[[#This Row],[Italy cumul. Fit]]/Kf</f>
        <v>0</v>
      </c>
      <c r="L21" s="166">
        <f>Tabella34[[#This Row],[Lombardy acc. fit]]+Tabella34[[#This Row],[rest of Italy acc. fit]]</f>
        <v>0</v>
      </c>
      <c r="M21" s="163">
        <f>Tabella34[[#This Row],[Italy (fitted Lombardy + fitted sum of the other regions)]]/(y_l_peak+y_a_peak)</f>
        <v>0</v>
      </c>
      <c r="N21" s="163">
        <f>IFERROR(Kt*_xlfn.LOGNORM.DIST((Tabella34[[#This Row],[Day]]-pt),mu_t,sigma_t,FALSE),0)</f>
        <v>0</v>
      </c>
      <c r="O21" s="163" t="e">
        <f>Kt*EXP(-0.5*Tabella34[[#This Row],[x_t]]^2)/(sigma_t*SQRTPI(2)*(Tabella34[[#This Row],[Day]]-D_bk))</f>
        <v>#NUM!</v>
      </c>
      <c r="P21" s="206" t="e">
        <f>Tabella34[[#This Row],[Italy velocity]]/Tabella34[[#This Row],[Italy cumul. Fit]]</f>
        <v>#DIV/0!</v>
      </c>
      <c r="Q21" s="269" t="e">
        <f>(LN(Tabella34[[#This Row],[Day]]-D_bk)-mu_t)/sigma_t</f>
        <v>#NUM!</v>
      </c>
      <c r="R21" s="269" t="e">
        <f>EXP(mu_t+sigma_t*Tabella34[[#This Row],[x_t_alpha©+plus]])-(Tabella34[[#This Row],[Day]]-D_bk)</f>
        <v>#DIV/0!</v>
      </c>
      <c r="S21" s="269" t="e">
        <f>EXP(mu_t+sigma_t*Tabella34[[#This Row],[x_t_alpha©-minus]])-(Tabella34[[#This Row],[Day]]-D_bk)</f>
        <v>#DIV/0!</v>
      </c>
      <c r="T21" s="269" t="e">
        <f>-sigma_t+SQRT(sigma_t^2-2*Tabella34[[#This Row],[c_t]])</f>
        <v>#DIV/0!</v>
      </c>
      <c r="U21" s="269" t="e">
        <f>-sigma_t-SQRT(sigma_t^2-2*Tabella34[[#This Row],[c_t]])</f>
        <v>#DIV/0!</v>
      </c>
      <c r="V21" s="269" t="e">
        <f>mu_t-LN(alpha*Kt/(Tabella34[[#This Row],[Italy velocity]]*sigma_t*SQRTPI(2)))</f>
        <v>#DIV/0!</v>
      </c>
      <c r="W21" s="269" t="e">
        <f>Tabella34[[#This Row],[Italy g.r.]]/Italy_gr_at_lockdown</f>
        <v>#DIV/0!</v>
      </c>
      <c r="X21" s="269" t="e">
        <f>Tabella34[[#This Row],[t_alpha_t+plus]]</f>
        <v>#DIV/0!</v>
      </c>
      <c r="Y21" s="269" t="e">
        <f>Tabella34[[#This Row],[Italy h.t.]]/Italy_ht_at_lockdown</f>
        <v>#DIV/0!</v>
      </c>
      <c r="Z21" s="91">
        <f>IFERROR(-Kf*_xlfn.LOGNORM.DIST((Tabella34[[#This Row],[Day]]-D_bk),mu_f,sigma_f,FALSE)*(1+(LN((Tabella34[[#This Row],[Day]]-D_bk))-mu_f)/sigma_f^2)/(Tabella34[[#This Row],[Day]]-D_bk),0)</f>
        <v>0</v>
      </c>
      <c r="AA21" s="91">
        <f>Tabella34[[#This Row],[Italy acc. fit]]/Itali_acc_at_lockdown</f>
        <v>0</v>
      </c>
      <c r="AB21" s="163">
        <f>Tabella34[[#This Row],[Italy acc. fit]]/y_f_peak</f>
        <v>0</v>
      </c>
      <c r="AC21" s="163">
        <f>Tabella34[[#This Row],[Italy (fitted Lombardy + fitted sum of the other regions)]]*NOT(ISBLANK(Tabella34[[#This Row],[Italy data]]))</f>
        <v>0</v>
      </c>
      <c r="AD21" s="163">
        <f>Tabella34[[#This Row],[Italy acc. fit]]*NOT(ISBLANK(Tabella34[[#This Row],[Italy data]]))</f>
        <v>0</v>
      </c>
      <c r="AE21" s="96">
        <f>Tabella34[[#This Row],[Italy acc. fit]]+CIf</f>
        <v>1013.7630020203177</v>
      </c>
      <c r="AF21" s="96">
        <f>MAX(Tabella34[[#This Row],[Italy acc. fit]]-CIf,0)</f>
        <v>0</v>
      </c>
      <c r="AG21" s="161"/>
      <c r="AH21" s="34"/>
      <c r="AI21" s="34"/>
      <c r="AJ21" s="162">
        <f>Tabella34[[#This Row],[Lombardy data]]*NOT(ISBLANK(Tabella34[[#This Row],[Lombardy data]]))</f>
        <v>0</v>
      </c>
      <c r="AK21" s="167">
        <f>Tabella8[[#This Row],[Lombardy fit]]</f>
        <v>0</v>
      </c>
      <c r="AL21" s="163" t="e">
        <f>_xlfn.LOGNORM.INV(alpha*Tabella34[[#This Row],[Lombardy cumul. Fit]]/Kr,mu_r,sigma_r)-(Tabella34[[#This Row],[Day]]-pr)</f>
        <v>#NUM!</v>
      </c>
      <c r="AM21" s="162">
        <f>Tabella34[[#This Row],[Lombardy cumul. Fit]]/Kl</f>
        <v>0</v>
      </c>
      <c r="AN21" s="163">
        <f>IFERROR(Kr*_xlfn.LOGNORM.DIST((Tabella34[[#This Row],[Day]]-pr),mu_r,sigma_r,FALSE),0)</f>
        <v>0</v>
      </c>
      <c r="AO21" s="206" t="e">
        <f>Tabella34[[#This Row],[Lombardy velocity]]/Tabella34[[#This Row],[Lombardy cumul. Fit]]</f>
        <v>#DIV/0!</v>
      </c>
      <c r="AP21" s="261" t="e">
        <f>(LN(Tabella34[[#This Row],[Day]]-pr)-mu_r)/sigma_r</f>
        <v>#NUM!</v>
      </c>
      <c r="AQ21" s="269" t="e">
        <f>EXP(mu_r+sigma_r*Tabella34[[#This Row],[x_r_alpha©+plus]])-(Tabella34[[#This Row],[Day]]-pr)</f>
        <v>#DIV/0!</v>
      </c>
      <c r="AR21" s="269" t="e">
        <f>EXP(mu_r+sigma_r*Tabella34[[#This Row],[x_r_alpha©-minus]])-(Tabella34[[#This Row],[Day]]-pr)</f>
        <v>#DIV/0!</v>
      </c>
      <c r="AS21" s="269" t="e">
        <f>-sigma_r+SQRT(sigma_r^2-2*Tabella34[[#This Row],[c_r]])</f>
        <v>#DIV/0!</v>
      </c>
      <c r="AT21" s="269" t="e">
        <f>-sigma_r-SQRT(sigma_r^2-2*Tabella34[[#This Row],[c_r]])</f>
        <v>#DIV/0!</v>
      </c>
      <c r="AU21" s="269" t="e">
        <f>mu_r-LN(alpha*Kr/(Tabella34[[#This Row],[Lombardy velocity]]*sigma_r*SQRTPI(2)))</f>
        <v>#DIV/0!</v>
      </c>
      <c r="AV21" s="269" t="e">
        <f>Tabella34[[#This Row],[t_alpha_r+plus]]</f>
        <v>#DIV/0!</v>
      </c>
      <c r="AW21" s="91">
        <f>IFERROR(-Kl*_xlfn.LOGNORM.DIST((Tabella34[[#This Row],[Day]]-pl),mu_l,sigma_l,FALSE)*(1+(LN((Tabella34[[#This Row],[Day]]-pl))-mu_l)/sigma_l^2)/(Tabella34[[#This Row],[Day]]-pl),0)</f>
        <v>0</v>
      </c>
      <c r="AX21" s="163">
        <f>Tabella34[[#This Row],[Lombardy acc. fit]]/y_l_peak</f>
        <v>0</v>
      </c>
      <c r="AY21" s="163">
        <f>Tabella34[[#This Row],[Lombardy acc. fit]]*NOT(ISBLANK(Tabella34[[#This Row],[Lombardy data]]))</f>
        <v>0</v>
      </c>
      <c r="AZ21" s="96">
        <f>Tabella34[[#This Row],[Lombardy acc. fit]]+CIl</f>
        <v>748.95537180362362</v>
      </c>
      <c r="BA21" s="96">
        <f>MAX(Tabella34[[#This Row],[Lombardy acc. fit]]-CIl,0)</f>
        <v>0</v>
      </c>
      <c r="BB21" s="161"/>
      <c r="BC21" s="34"/>
      <c r="BD21" s="34"/>
      <c r="BE21" s="162">
        <f>Tabella34[[#This Row],[rest of Italy data]]*NOT(ISBLANK(Tabella34[[#This Row],[rest of Italy data]]))</f>
        <v>0</v>
      </c>
      <c r="BF21" s="211">
        <f>Tabella8[[#This Row],[rest of Italy fit]]</f>
        <v>0</v>
      </c>
      <c r="BG21" s="163" t="e">
        <f>_xlfn.LOGNORM.INV(alpha*Tabella34[[#This Row],[rest of Italy cumul. Fit]]/Ko,mu_o,sigma_o)-(Tabella34[[#This Row],[Day]]-po)</f>
        <v>#NUM!</v>
      </c>
      <c r="BH21" s="163">
        <f>Tabella34[[#This Row],[rest of Italy cumul. Fit]]/Ka</f>
        <v>0</v>
      </c>
      <c r="BI21" s="163">
        <f>IFERROR(Ko*_xlfn.LOGNORM.DIST((Tabella34[[#This Row],[Day]]-po),mu_o,sigma_o,FALSE),0)</f>
        <v>0</v>
      </c>
      <c r="BJ21" s="206" t="e">
        <f>Tabella34[[#This Row],[rest of Italy velocity]]/Tabella34[[#This Row],[rest of Italy cumul. Fit]]</f>
        <v>#DIV/0!</v>
      </c>
      <c r="BK21" s="261" t="e">
        <f>(LN(Tabella34[[#This Row],[Day]]-po)-mu_o)/sigma_o</f>
        <v>#NUM!</v>
      </c>
      <c r="BL21" s="269" t="e">
        <f>EXP(mu_o+sigma_o*Tabella34[[#This Row],[x_o_alpha©+plus]])-(Tabella34[[#This Row],[Day]]-po)</f>
        <v>#DIV/0!</v>
      </c>
      <c r="BM21" s="269" t="e">
        <f>EXP(mu_o+sigma_o*Tabella34[[#This Row],[x_o_alpha©-minus]])-(Tabella34[[#This Row],[Day]]-po)</f>
        <v>#DIV/0!</v>
      </c>
      <c r="BN21" s="269" t="e">
        <f>-sigma_o+SQRT(sigma_o^2-2*Tabella34[[#This Row],[c_o]])</f>
        <v>#DIV/0!</v>
      </c>
      <c r="BO21" s="269" t="e">
        <f>-sigma_o-SQRT(sigma_o^2-2*Tabella34[[#This Row],[c_o]])</f>
        <v>#DIV/0!</v>
      </c>
      <c r="BP21" s="269" t="e">
        <f>mu_o-LN(alpha*Ko/(Tabella34[[#This Row],[rest of Italy velocity]]*sigma_o*SQRTPI(2)))</f>
        <v>#DIV/0!</v>
      </c>
      <c r="BQ21" s="269" t="e">
        <f>Tabella34[[#This Row],[t_alpha_o+plus]]</f>
        <v>#DIV/0!</v>
      </c>
      <c r="BR21" s="91">
        <f>IFERROR(-Ka*_xlfn.LOGNORM.DIST((Tabella34[[#This Row],[Day]]-pa),mu_a,sigma_a,FALSE)*(1+(LN((Tabella34[[#This Row],[Day]]-pa))-mu_a)/sigma_a^2)/(Tabella34[[#This Row],[Day]]-pa),0)</f>
        <v>0</v>
      </c>
      <c r="BS21" s="163">
        <f>Tabella34[[#This Row],[rest of Italy acc. fit]]/y_a_peak</f>
        <v>0</v>
      </c>
      <c r="BT21" s="162">
        <f>Tabella34[[#This Row],[rest of Italy acc. fit]]*NOT(ISBLANK(Tabella34[[#This Row],[rest of Italy data]]))</f>
        <v>0</v>
      </c>
      <c r="BU21" s="96">
        <f>Tabella34[[#This Row],[rest of Italy acc. fit]]+CIa</f>
        <v>694.65203586359735</v>
      </c>
      <c r="BV21" s="96">
        <f>MAX(Tabella34[[#This Row],[rest of Italy acc. fit]]-CIa,0)</f>
        <v>0</v>
      </c>
      <c r="BW21" s="1"/>
      <c r="BX21" s="236" t="s">
        <v>307</v>
      </c>
      <c r="BY21" s="237">
        <f>mu_r</f>
        <v>4.1183177467413179</v>
      </c>
      <c r="CL21" s="60" t="b">
        <f>sigma_l&gt;=0.000001</f>
        <v>1</v>
      </c>
    </row>
    <row r="22" spans="2:90" x14ac:dyDescent="0.3">
      <c r="B22" s="288">
        <v>43845</v>
      </c>
      <c r="C22" s="4">
        <v>15</v>
      </c>
      <c r="D22" s="161"/>
      <c r="E22" s="164"/>
      <c r="F22" s="164"/>
      <c r="G22" s="162">
        <f>Tabella34[[#This Row],[Italy data]]*NOT(ISBLANK(Tabella34[[#This Row],[Italy data]]))</f>
        <v>0</v>
      </c>
      <c r="H22" s="163">
        <f>Tabella8[[#This Row],[Italy fit]]</f>
        <v>0</v>
      </c>
      <c r="I22" s="163" t="e">
        <f>_xlfn.LOGNORM.INV(alpha*Tabella34[[#This Row],[Italy cumul. Fit]]/Kt,mu_t,sigma_t)-(Tabella34[[#This Row],[Day]]-pt)</f>
        <v>#NUM!</v>
      </c>
      <c r="J22" s="163" t="e">
        <f>Tabella34[[#This Row],[Italy d.t.]]/Italy_dt_at_lockdown</f>
        <v>#NUM!</v>
      </c>
      <c r="K22" s="163">
        <f>Tabella34[[#This Row],[Italy cumul. Fit]]/Kf</f>
        <v>0</v>
      </c>
      <c r="L22" s="166">
        <f>Tabella34[[#This Row],[Lombardy acc. fit]]+Tabella34[[#This Row],[rest of Italy acc. fit]]</f>
        <v>0</v>
      </c>
      <c r="M22" s="163">
        <f>Tabella34[[#This Row],[Italy (fitted Lombardy + fitted sum of the other regions)]]/(y_l_peak+y_a_peak)</f>
        <v>0</v>
      </c>
      <c r="N22" s="163">
        <f>IFERROR(Kt*_xlfn.LOGNORM.DIST((Tabella34[[#This Row],[Day]]-pt),mu_t,sigma_t,FALSE),0)</f>
        <v>0</v>
      </c>
      <c r="O22" s="163" t="e">
        <f>Kt*EXP(-0.5*Tabella34[[#This Row],[x_t]]^2)/(sigma_t*SQRTPI(2)*(Tabella34[[#This Row],[Day]]-D_bk))</f>
        <v>#NUM!</v>
      </c>
      <c r="P22" s="206" t="e">
        <f>Tabella34[[#This Row],[Italy velocity]]/Tabella34[[#This Row],[Italy cumul. Fit]]</f>
        <v>#DIV/0!</v>
      </c>
      <c r="Q22" s="269" t="e">
        <f>(LN(Tabella34[[#This Row],[Day]]-D_bk)-mu_t)/sigma_t</f>
        <v>#NUM!</v>
      </c>
      <c r="R22" s="269" t="e">
        <f>EXP(mu_t+sigma_t*Tabella34[[#This Row],[x_t_alpha©+plus]])-(Tabella34[[#This Row],[Day]]-D_bk)</f>
        <v>#DIV/0!</v>
      </c>
      <c r="S22" s="269" t="e">
        <f>EXP(mu_t+sigma_t*Tabella34[[#This Row],[x_t_alpha©-minus]])-(Tabella34[[#This Row],[Day]]-D_bk)</f>
        <v>#DIV/0!</v>
      </c>
      <c r="T22" s="269" t="e">
        <f>-sigma_t+SQRT(sigma_t^2-2*Tabella34[[#This Row],[c_t]])</f>
        <v>#DIV/0!</v>
      </c>
      <c r="U22" s="269" t="e">
        <f>-sigma_t-SQRT(sigma_t^2-2*Tabella34[[#This Row],[c_t]])</f>
        <v>#DIV/0!</v>
      </c>
      <c r="V22" s="269" t="e">
        <f>mu_t-LN(alpha*Kt/(Tabella34[[#This Row],[Italy velocity]]*sigma_t*SQRTPI(2)))</f>
        <v>#DIV/0!</v>
      </c>
      <c r="W22" s="269" t="e">
        <f>Tabella34[[#This Row],[Italy g.r.]]/Italy_gr_at_lockdown</f>
        <v>#DIV/0!</v>
      </c>
      <c r="X22" s="269" t="e">
        <f>Tabella34[[#This Row],[t_alpha_t+plus]]</f>
        <v>#DIV/0!</v>
      </c>
      <c r="Y22" s="269" t="e">
        <f>Tabella34[[#This Row],[Italy h.t.]]/Italy_ht_at_lockdown</f>
        <v>#DIV/0!</v>
      </c>
      <c r="Z22" s="91">
        <f>IFERROR(-Kf*_xlfn.LOGNORM.DIST((Tabella34[[#This Row],[Day]]-D_bk),mu_f,sigma_f,FALSE)*(1+(LN((Tabella34[[#This Row],[Day]]-D_bk))-mu_f)/sigma_f^2)/(Tabella34[[#This Row],[Day]]-D_bk),0)</f>
        <v>0</v>
      </c>
      <c r="AA22" s="91">
        <f>Tabella34[[#This Row],[Italy acc. fit]]/Itali_acc_at_lockdown</f>
        <v>0</v>
      </c>
      <c r="AB22" s="163">
        <f>Tabella34[[#This Row],[Italy acc. fit]]/y_f_peak</f>
        <v>0</v>
      </c>
      <c r="AC22" s="163">
        <f>Tabella34[[#This Row],[Italy (fitted Lombardy + fitted sum of the other regions)]]*NOT(ISBLANK(Tabella34[[#This Row],[Italy data]]))</f>
        <v>0</v>
      </c>
      <c r="AD22" s="163">
        <f>Tabella34[[#This Row],[Italy acc. fit]]*NOT(ISBLANK(Tabella34[[#This Row],[Italy data]]))</f>
        <v>0</v>
      </c>
      <c r="AE22" s="96">
        <f>Tabella34[[#This Row],[Italy acc. fit]]+CIf</f>
        <v>1013.7630020203177</v>
      </c>
      <c r="AF22" s="96">
        <f>MAX(Tabella34[[#This Row],[Italy acc. fit]]-CIf,0)</f>
        <v>0</v>
      </c>
      <c r="AG22" s="161"/>
      <c r="AH22" s="34"/>
      <c r="AI22" s="34"/>
      <c r="AJ22" s="162">
        <f>Tabella34[[#This Row],[Lombardy data]]*NOT(ISBLANK(Tabella34[[#This Row],[Lombardy data]]))</f>
        <v>0</v>
      </c>
      <c r="AK22" s="167">
        <f>Tabella8[[#This Row],[Lombardy fit]]</f>
        <v>0</v>
      </c>
      <c r="AL22" s="163" t="e">
        <f>_xlfn.LOGNORM.INV(alpha*Tabella34[[#This Row],[Lombardy cumul. Fit]]/Kr,mu_r,sigma_r)-(Tabella34[[#This Row],[Day]]-pr)</f>
        <v>#NUM!</v>
      </c>
      <c r="AM22" s="162">
        <f>Tabella34[[#This Row],[Lombardy cumul. Fit]]/Kl</f>
        <v>0</v>
      </c>
      <c r="AN22" s="163">
        <f>IFERROR(Kr*_xlfn.LOGNORM.DIST((Tabella34[[#This Row],[Day]]-pr),mu_r,sigma_r,FALSE),0)</f>
        <v>0</v>
      </c>
      <c r="AO22" s="206" t="e">
        <f>Tabella34[[#This Row],[Lombardy velocity]]/Tabella34[[#This Row],[Lombardy cumul. Fit]]</f>
        <v>#DIV/0!</v>
      </c>
      <c r="AP22" s="261" t="e">
        <f>(LN(Tabella34[[#This Row],[Day]]-pr)-mu_r)/sigma_r</f>
        <v>#NUM!</v>
      </c>
      <c r="AQ22" s="269" t="e">
        <f>EXP(mu_r+sigma_r*Tabella34[[#This Row],[x_r_alpha©+plus]])-(Tabella34[[#This Row],[Day]]-pr)</f>
        <v>#DIV/0!</v>
      </c>
      <c r="AR22" s="269" t="e">
        <f>EXP(mu_r+sigma_r*Tabella34[[#This Row],[x_r_alpha©-minus]])-(Tabella34[[#This Row],[Day]]-pr)</f>
        <v>#DIV/0!</v>
      </c>
      <c r="AS22" s="269" t="e">
        <f>-sigma_r+SQRT(sigma_r^2-2*Tabella34[[#This Row],[c_r]])</f>
        <v>#DIV/0!</v>
      </c>
      <c r="AT22" s="269" t="e">
        <f>-sigma_r-SQRT(sigma_r^2-2*Tabella34[[#This Row],[c_r]])</f>
        <v>#DIV/0!</v>
      </c>
      <c r="AU22" s="269" t="e">
        <f>mu_r-LN(alpha*Kr/(Tabella34[[#This Row],[Lombardy velocity]]*sigma_r*SQRTPI(2)))</f>
        <v>#DIV/0!</v>
      </c>
      <c r="AV22" s="269" t="e">
        <f>Tabella34[[#This Row],[t_alpha_r+plus]]</f>
        <v>#DIV/0!</v>
      </c>
      <c r="AW22" s="91">
        <f>IFERROR(-Kl*_xlfn.LOGNORM.DIST((Tabella34[[#This Row],[Day]]-pl),mu_l,sigma_l,FALSE)*(1+(LN((Tabella34[[#This Row],[Day]]-pl))-mu_l)/sigma_l^2)/(Tabella34[[#This Row],[Day]]-pl),0)</f>
        <v>0</v>
      </c>
      <c r="AX22" s="163">
        <f>Tabella34[[#This Row],[Lombardy acc. fit]]/y_l_peak</f>
        <v>0</v>
      </c>
      <c r="AY22" s="163">
        <f>Tabella34[[#This Row],[Lombardy acc. fit]]*NOT(ISBLANK(Tabella34[[#This Row],[Lombardy data]]))</f>
        <v>0</v>
      </c>
      <c r="AZ22" s="96">
        <f>Tabella34[[#This Row],[Lombardy acc. fit]]+CIl</f>
        <v>748.95537180362362</v>
      </c>
      <c r="BA22" s="96">
        <f>MAX(Tabella34[[#This Row],[Lombardy acc. fit]]-CIl,0)</f>
        <v>0</v>
      </c>
      <c r="BB22" s="161"/>
      <c r="BC22" s="34"/>
      <c r="BD22" s="34"/>
      <c r="BE22" s="162">
        <f>Tabella34[[#This Row],[rest of Italy data]]*NOT(ISBLANK(Tabella34[[#This Row],[rest of Italy data]]))</f>
        <v>0</v>
      </c>
      <c r="BF22" s="211">
        <f>Tabella8[[#This Row],[rest of Italy fit]]</f>
        <v>0</v>
      </c>
      <c r="BG22" s="163" t="e">
        <f>_xlfn.LOGNORM.INV(alpha*Tabella34[[#This Row],[rest of Italy cumul. Fit]]/Ko,mu_o,sigma_o)-(Tabella34[[#This Row],[Day]]-po)</f>
        <v>#NUM!</v>
      </c>
      <c r="BH22" s="163">
        <f>Tabella34[[#This Row],[rest of Italy cumul. Fit]]/Ka</f>
        <v>0</v>
      </c>
      <c r="BI22" s="163">
        <f>IFERROR(Ko*_xlfn.LOGNORM.DIST((Tabella34[[#This Row],[Day]]-po),mu_o,sigma_o,FALSE),0)</f>
        <v>0</v>
      </c>
      <c r="BJ22" s="206" t="e">
        <f>Tabella34[[#This Row],[rest of Italy velocity]]/Tabella34[[#This Row],[rest of Italy cumul. Fit]]</f>
        <v>#DIV/0!</v>
      </c>
      <c r="BK22" s="261" t="e">
        <f>(LN(Tabella34[[#This Row],[Day]]-po)-mu_o)/sigma_o</f>
        <v>#NUM!</v>
      </c>
      <c r="BL22" s="269" t="e">
        <f>EXP(mu_o+sigma_o*Tabella34[[#This Row],[x_o_alpha©+plus]])-(Tabella34[[#This Row],[Day]]-po)</f>
        <v>#DIV/0!</v>
      </c>
      <c r="BM22" s="269" t="e">
        <f>EXP(mu_o+sigma_o*Tabella34[[#This Row],[x_o_alpha©-minus]])-(Tabella34[[#This Row],[Day]]-po)</f>
        <v>#DIV/0!</v>
      </c>
      <c r="BN22" s="269" t="e">
        <f>-sigma_o+SQRT(sigma_o^2-2*Tabella34[[#This Row],[c_o]])</f>
        <v>#DIV/0!</v>
      </c>
      <c r="BO22" s="269" t="e">
        <f>-sigma_o-SQRT(sigma_o^2-2*Tabella34[[#This Row],[c_o]])</f>
        <v>#DIV/0!</v>
      </c>
      <c r="BP22" s="269" t="e">
        <f>mu_o-LN(alpha*Ko/(Tabella34[[#This Row],[rest of Italy velocity]]*sigma_o*SQRTPI(2)))</f>
        <v>#DIV/0!</v>
      </c>
      <c r="BQ22" s="269" t="e">
        <f>Tabella34[[#This Row],[t_alpha_o+plus]]</f>
        <v>#DIV/0!</v>
      </c>
      <c r="BR22" s="91">
        <f>IFERROR(-Ka*_xlfn.LOGNORM.DIST((Tabella34[[#This Row],[Day]]-pa),mu_a,sigma_a,FALSE)*(1+(LN((Tabella34[[#This Row],[Day]]-pa))-mu_a)/sigma_a^2)/(Tabella34[[#This Row],[Day]]-pa),0)</f>
        <v>0</v>
      </c>
      <c r="BS22" s="163">
        <f>Tabella34[[#This Row],[rest of Italy acc. fit]]/y_a_peak</f>
        <v>0</v>
      </c>
      <c r="BT22" s="162">
        <f>Tabella34[[#This Row],[rest of Italy acc. fit]]*NOT(ISBLANK(Tabella34[[#This Row],[rest of Italy data]]))</f>
        <v>0</v>
      </c>
      <c r="BU22" s="96">
        <f>Tabella34[[#This Row],[rest of Italy acc. fit]]+CIa</f>
        <v>694.65203586359735</v>
      </c>
      <c r="BV22" s="96">
        <f>MAX(Tabella34[[#This Row],[rest of Italy acc. fit]]-CIa,0)</f>
        <v>0</v>
      </c>
      <c r="BW22" s="1"/>
      <c r="BX22" s="234" t="s">
        <v>308</v>
      </c>
      <c r="BY22" s="237">
        <f>sigma_r</f>
        <v>0.3404272985968646</v>
      </c>
      <c r="CL22" s="60">
        <f>{32767;32767;0.000001;0.01;FALSE;FALSE;FALSE;1;2;1;0.0001;TRUE}</f>
        <v>32767</v>
      </c>
    </row>
    <row r="23" spans="2:90" x14ac:dyDescent="0.3">
      <c r="B23" s="288">
        <v>43846</v>
      </c>
      <c r="C23" s="4">
        <v>16</v>
      </c>
      <c r="D23" s="161"/>
      <c r="E23" s="164"/>
      <c r="F23" s="164"/>
      <c r="G23" s="162">
        <f>Tabella34[[#This Row],[Italy data]]*NOT(ISBLANK(Tabella34[[#This Row],[Italy data]]))</f>
        <v>0</v>
      </c>
      <c r="H23" s="163">
        <f>Tabella8[[#This Row],[Italy fit]]</f>
        <v>0</v>
      </c>
      <c r="I23" s="163" t="e">
        <f>_xlfn.LOGNORM.INV(alpha*Tabella34[[#This Row],[Italy cumul. Fit]]/Kt,mu_t,sigma_t)-(Tabella34[[#This Row],[Day]]-pt)</f>
        <v>#NUM!</v>
      </c>
      <c r="J23" s="163" t="e">
        <f>Tabella34[[#This Row],[Italy d.t.]]/Italy_dt_at_lockdown</f>
        <v>#NUM!</v>
      </c>
      <c r="K23" s="163">
        <f>Tabella34[[#This Row],[Italy cumul. Fit]]/Kf</f>
        <v>0</v>
      </c>
      <c r="L23" s="166">
        <f>Tabella34[[#This Row],[Lombardy acc. fit]]+Tabella34[[#This Row],[rest of Italy acc. fit]]</f>
        <v>0</v>
      </c>
      <c r="M23" s="163">
        <f>Tabella34[[#This Row],[Italy (fitted Lombardy + fitted sum of the other regions)]]/(y_l_peak+y_a_peak)</f>
        <v>0</v>
      </c>
      <c r="N23" s="163">
        <f>IFERROR(Kt*_xlfn.LOGNORM.DIST((Tabella34[[#This Row],[Day]]-pt),mu_t,sigma_t,FALSE),0)</f>
        <v>0</v>
      </c>
      <c r="O23" s="163" t="e">
        <f>Kt*EXP(-0.5*Tabella34[[#This Row],[x_t]]^2)/(sigma_t*SQRTPI(2)*(Tabella34[[#This Row],[Day]]-D_bk))</f>
        <v>#NUM!</v>
      </c>
      <c r="P23" s="206" t="e">
        <f>Tabella34[[#This Row],[Italy velocity]]/Tabella34[[#This Row],[Italy cumul. Fit]]</f>
        <v>#DIV/0!</v>
      </c>
      <c r="Q23" s="269" t="e">
        <f>(LN(Tabella34[[#This Row],[Day]]-D_bk)-mu_t)/sigma_t</f>
        <v>#NUM!</v>
      </c>
      <c r="R23" s="269" t="e">
        <f>EXP(mu_t+sigma_t*Tabella34[[#This Row],[x_t_alpha©+plus]])-(Tabella34[[#This Row],[Day]]-D_bk)</f>
        <v>#DIV/0!</v>
      </c>
      <c r="S23" s="269" t="e">
        <f>EXP(mu_t+sigma_t*Tabella34[[#This Row],[x_t_alpha©-minus]])-(Tabella34[[#This Row],[Day]]-D_bk)</f>
        <v>#DIV/0!</v>
      </c>
      <c r="T23" s="269" t="e">
        <f>-sigma_t+SQRT(sigma_t^2-2*Tabella34[[#This Row],[c_t]])</f>
        <v>#DIV/0!</v>
      </c>
      <c r="U23" s="269" t="e">
        <f>-sigma_t-SQRT(sigma_t^2-2*Tabella34[[#This Row],[c_t]])</f>
        <v>#DIV/0!</v>
      </c>
      <c r="V23" s="269" t="e">
        <f>mu_t-LN(alpha*Kt/(Tabella34[[#This Row],[Italy velocity]]*sigma_t*SQRTPI(2)))</f>
        <v>#DIV/0!</v>
      </c>
      <c r="W23" s="269" t="e">
        <f>Tabella34[[#This Row],[Italy g.r.]]/Italy_gr_at_lockdown</f>
        <v>#DIV/0!</v>
      </c>
      <c r="X23" s="269" t="e">
        <f>Tabella34[[#This Row],[t_alpha_t+plus]]</f>
        <v>#DIV/0!</v>
      </c>
      <c r="Y23" s="269" t="e">
        <f>Tabella34[[#This Row],[Italy h.t.]]/Italy_ht_at_lockdown</f>
        <v>#DIV/0!</v>
      </c>
      <c r="Z23" s="91">
        <f>IFERROR(-Kf*_xlfn.LOGNORM.DIST((Tabella34[[#This Row],[Day]]-D_bk),mu_f,sigma_f,FALSE)*(1+(LN((Tabella34[[#This Row],[Day]]-D_bk))-mu_f)/sigma_f^2)/(Tabella34[[#This Row],[Day]]-D_bk),0)</f>
        <v>0</v>
      </c>
      <c r="AA23" s="91">
        <f>Tabella34[[#This Row],[Italy acc. fit]]/Itali_acc_at_lockdown</f>
        <v>0</v>
      </c>
      <c r="AB23" s="163">
        <f>Tabella34[[#This Row],[Italy acc. fit]]/y_f_peak</f>
        <v>0</v>
      </c>
      <c r="AC23" s="163">
        <f>Tabella34[[#This Row],[Italy (fitted Lombardy + fitted sum of the other regions)]]*NOT(ISBLANK(Tabella34[[#This Row],[Italy data]]))</f>
        <v>0</v>
      </c>
      <c r="AD23" s="163">
        <f>Tabella34[[#This Row],[Italy acc. fit]]*NOT(ISBLANK(Tabella34[[#This Row],[Italy data]]))</f>
        <v>0</v>
      </c>
      <c r="AE23" s="96">
        <f>Tabella34[[#This Row],[Italy acc. fit]]+CIf</f>
        <v>1013.7630020203177</v>
      </c>
      <c r="AF23" s="96">
        <f>MAX(Tabella34[[#This Row],[Italy acc. fit]]-CIf,0)</f>
        <v>0</v>
      </c>
      <c r="AG23" s="161"/>
      <c r="AH23" s="34"/>
      <c r="AI23" s="34"/>
      <c r="AJ23" s="162">
        <f>Tabella34[[#This Row],[Lombardy data]]*NOT(ISBLANK(Tabella34[[#This Row],[Lombardy data]]))</f>
        <v>0</v>
      </c>
      <c r="AK23" s="167">
        <f>Tabella8[[#This Row],[Lombardy fit]]</f>
        <v>0</v>
      </c>
      <c r="AL23" s="163" t="e">
        <f>_xlfn.LOGNORM.INV(alpha*Tabella34[[#This Row],[Lombardy cumul. Fit]]/Kr,mu_r,sigma_r)-(Tabella34[[#This Row],[Day]]-pr)</f>
        <v>#NUM!</v>
      </c>
      <c r="AM23" s="162">
        <f>Tabella34[[#This Row],[Lombardy cumul. Fit]]/Kl</f>
        <v>0</v>
      </c>
      <c r="AN23" s="163">
        <f>IFERROR(Kr*_xlfn.LOGNORM.DIST((Tabella34[[#This Row],[Day]]-pr),mu_r,sigma_r,FALSE),0)</f>
        <v>0</v>
      </c>
      <c r="AO23" s="206" t="e">
        <f>Tabella34[[#This Row],[Lombardy velocity]]/Tabella34[[#This Row],[Lombardy cumul. Fit]]</f>
        <v>#DIV/0!</v>
      </c>
      <c r="AP23" s="261" t="e">
        <f>(LN(Tabella34[[#This Row],[Day]]-pr)-mu_r)/sigma_r</f>
        <v>#NUM!</v>
      </c>
      <c r="AQ23" s="269" t="e">
        <f>EXP(mu_r+sigma_r*Tabella34[[#This Row],[x_r_alpha©+plus]])-(Tabella34[[#This Row],[Day]]-pr)</f>
        <v>#DIV/0!</v>
      </c>
      <c r="AR23" s="269" t="e">
        <f>EXP(mu_r+sigma_r*Tabella34[[#This Row],[x_r_alpha©-minus]])-(Tabella34[[#This Row],[Day]]-pr)</f>
        <v>#DIV/0!</v>
      </c>
      <c r="AS23" s="269" t="e">
        <f>-sigma_r+SQRT(sigma_r^2-2*Tabella34[[#This Row],[c_r]])</f>
        <v>#DIV/0!</v>
      </c>
      <c r="AT23" s="269" t="e">
        <f>-sigma_r-SQRT(sigma_r^2-2*Tabella34[[#This Row],[c_r]])</f>
        <v>#DIV/0!</v>
      </c>
      <c r="AU23" s="269" t="e">
        <f>mu_r-LN(alpha*Kr/(Tabella34[[#This Row],[Lombardy velocity]]*sigma_r*SQRTPI(2)))</f>
        <v>#DIV/0!</v>
      </c>
      <c r="AV23" s="269" t="e">
        <f>Tabella34[[#This Row],[t_alpha_r+plus]]</f>
        <v>#DIV/0!</v>
      </c>
      <c r="AW23" s="91">
        <f>IFERROR(-Kl*_xlfn.LOGNORM.DIST((Tabella34[[#This Row],[Day]]-pl),mu_l,sigma_l,FALSE)*(1+(LN((Tabella34[[#This Row],[Day]]-pl))-mu_l)/sigma_l^2)/(Tabella34[[#This Row],[Day]]-pl),0)</f>
        <v>0</v>
      </c>
      <c r="AX23" s="163">
        <f>Tabella34[[#This Row],[Lombardy acc. fit]]/y_l_peak</f>
        <v>0</v>
      </c>
      <c r="AY23" s="163">
        <f>Tabella34[[#This Row],[Lombardy acc. fit]]*NOT(ISBLANK(Tabella34[[#This Row],[Lombardy data]]))</f>
        <v>0</v>
      </c>
      <c r="AZ23" s="96">
        <f>Tabella34[[#This Row],[Lombardy acc. fit]]+CIl</f>
        <v>748.95537180362362</v>
      </c>
      <c r="BA23" s="96">
        <f>MAX(Tabella34[[#This Row],[Lombardy acc. fit]]-CIl,0)</f>
        <v>0</v>
      </c>
      <c r="BB23" s="161"/>
      <c r="BC23" s="34"/>
      <c r="BD23" s="34"/>
      <c r="BE23" s="162">
        <f>Tabella34[[#This Row],[rest of Italy data]]*NOT(ISBLANK(Tabella34[[#This Row],[rest of Italy data]]))</f>
        <v>0</v>
      </c>
      <c r="BF23" s="211">
        <f>Tabella8[[#This Row],[rest of Italy fit]]</f>
        <v>0</v>
      </c>
      <c r="BG23" s="163" t="e">
        <f>_xlfn.LOGNORM.INV(alpha*Tabella34[[#This Row],[rest of Italy cumul. Fit]]/Ko,mu_o,sigma_o)-(Tabella34[[#This Row],[Day]]-po)</f>
        <v>#NUM!</v>
      </c>
      <c r="BH23" s="163">
        <f>Tabella34[[#This Row],[rest of Italy cumul. Fit]]/Ka</f>
        <v>0</v>
      </c>
      <c r="BI23" s="163">
        <f>IFERROR(Ko*_xlfn.LOGNORM.DIST((Tabella34[[#This Row],[Day]]-po),mu_o,sigma_o,FALSE),0)</f>
        <v>0</v>
      </c>
      <c r="BJ23" s="206" t="e">
        <f>Tabella34[[#This Row],[rest of Italy velocity]]/Tabella34[[#This Row],[rest of Italy cumul. Fit]]</f>
        <v>#DIV/0!</v>
      </c>
      <c r="BK23" s="261" t="e">
        <f>(LN(Tabella34[[#This Row],[Day]]-po)-mu_o)/sigma_o</f>
        <v>#NUM!</v>
      </c>
      <c r="BL23" s="269" t="e">
        <f>EXP(mu_o+sigma_o*Tabella34[[#This Row],[x_o_alpha©+plus]])-(Tabella34[[#This Row],[Day]]-po)</f>
        <v>#DIV/0!</v>
      </c>
      <c r="BM23" s="269" t="e">
        <f>EXP(mu_o+sigma_o*Tabella34[[#This Row],[x_o_alpha©-minus]])-(Tabella34[[#This Row],[Day]]-po)</f>
        <v>#DIV/0!</v>
      </c>
      <c r="BN23" s="269" t="e">
        <f>-sigma_o+SQRT(sigma_o^2-2*Tabella34[[#This Row],[c_o]])</f>
        <v>#DIV/0!</v>
      </c>
      <c r="BO23" s="269" t="e">
        <f>-sigma_o-SQRT(sigma_o^2-2*Tabella34[[#This Row],[c_o]])</f>
        <v>#DIV/0!</v>
      </c>
      <c r="BP23" s="269" t="e">
        <f>mu_o-LN(alpha*Ko/(Tabella34[[#This Row],[rest of Italy velocity]]*sigma_o*SQRTPI(2)))</f>
        <v>#DIV/0!</v>
      </c>
      <c r="BQ23" s="269" t="e">
        <f>Tabella34[[#This Row],[t_alpha_o+plus]]</f>
        <v>#DIV/0!</v>
      </c>
      <c r="BR23" s="91">
        <f>IFERROR(-Ka*_xlfn.LOGNORM.DIST((Tabella34[[#This Row],[Day]]-pa),mu_a,sigma_a,FALSE)*(1+(LN((Tabella34[[#This Row],[Day]]-pa))-mu_a)/sigma_a^2)/(Tabella34[[#This Row],[Day]]-pa),0)</f>
        <v>0</v>
      </c>
      <c r="BS23" s="163">
        <f>Tabella34[[#This Row],[rest of Italy acc. fit]]/y_a_peak</f>
        <v>0</v>
      </c>
      <c r="BT23" s="162">
        <f>Tabella34[[#This Row],[rest of Italy acc. fit]]*NOT(ISBLANK(Tabella34[[#This Row],[rest of Italy data]]))</f>
        <v>0</v>
      </c>
      <c r="BU23" s="96">
        <f>Tabella34[[#This Row],[rest of Italy acc. fit]]+CIa</f>
        <v>694.65203586359735</v>
      </c>
      <c r="BV23" s="96">
        <f>MAX(Tabella34[[#This Row],[rest of Italy acc. fit]]-CIa,0)</f>
        <v>0</v>
      </c>
      <c r="BW23" s="1"/>
      <c r="BX23" s="238" t="s">
        <v>1</v>
      </c>
      <c r="BY23" s="239">
        <f>AVERAGE(Tabella34[Lombardy data])</f>
        <v>1159</v>
      </c>
      <c r="CL23" s="60">
        <f>{0;0;1;200;0;FALSE;FALSE;0.075;0;0;FALSE;30}</f>
        <v>0</v>
      </c>
    </row>
    <row r="24" spans="2:90" x14ac:dyDescent="0.3">
      <c r="B24" s="288">
        <v>43847</v>
      </c>
      <c r="C24" s="4">
        <v>17</v>
      </c>
      <c r="D24" s="161"/>
      <c r="E24" s="164"/>
      <c r="F24" s="164"/>
      <c r="G24" s="162">
        <f>Tabella34[[#This Row],[Italy data]]*NOT(ISBLANK(Tabella34[[#This Row],[Italy data]]))</f>
        <v>0</v>
      </c>
      <c r="H24" s="163">
        <f>Tabella8[[#This Row],[Italy fit]]</f>
        <v>0</v>
      </c>
      <c r="I24" s="163" t="e">
        <f>_xlfn.LOGNORM.INV(alpha*Tabella34[[#This Row],[Italy cumul. Fit]]/Kt,mu_t,sigma_t)-(Tabella34[[#This Row],[Day]]-pt)</f>
        <v>#NUM!</v>
      </c>
      <c r="J24" s="163" t="e">
        <f>Tabella34[[#This Row],[Italy d.t.]]/Italy_dt_at_lockdown</f>
        <v>#NUM!</v>
      </c>
      <c r="K24" s="163">
        <f>Tabella34[[#This Row],[Italy cumul. Fit]]/Kf</f>
        <v>0</v>
      </c>
      <c r="L24" s="166">
        <f>Tabella34[[#This Row],[Lombardy acc. fit]]+Tabella34[[#This Row],[rest of Italy acc. fit]]</f>
        <v>0</v>
      </c>
      <c r="M24" s="163">
        <f>Tabella34[[#This Row],[Italy (fitted Lombardy + fitted sum of the other regions)]]/(y_l_peak+y_a_peak)</f>
        <v>0</v>
      </c>
      <c r="N24" s="163">
        <f>IFERROR(Kt*_xlfn.LOGNORM.DIST((Tabella34[[#This Row],[Day]]-pt),mu_t,sigma_t,FALSE),0)</f>
        <v>0</v>
      </c>
      <c r="O24" s="163" t="e">
        <f>Kt*EXP(-0.5*Tabella34[[#This Row],[x_t]]^2)/(sigma_t*SQRTPI(2)*(Tabella34[[#This Row],[Day]]-D_bk))</f>
        <v>#NUM!</v>
      </c>
      <c r="P24" s="206" t="e">
        <f>Tabella34[[#This Row],[Italy velocity]]/Tabella34[[#This Row],[Italy cumul. Fit]]</f>
        <v>#DIV/0!</v>
      </c>
      <c r="Q24" s="269" t="e">
        <f>(LN(Tabella34[[#This Row],[Day]]-D_bk)-mu_t)/sigma_t</f>
        <v>#NUM!</v>
      </c>
      <c r="R24" s="269" t="e">
        <f>EXP(mu_t+sigma_t*Tabella34[[#This Row],[x_t_alpha©+plus]])-(Tabella34[[#This Row],[Day]]-D_bk)</f>
        <v>#DIV/0!</v>
      </c>
      <c r="S24" s="269" t="e">
        <f>EXP(mu_t+sigma_t*Tabella34[[#This Row],[x_t_alpha©-minus]])-(Tabella34[[#This Row],[Day]]-D_bk)</f>
        <v>#DIV/0!</v>
      </c>
      <c r="T24" s="269" t="e">
        <f>-sigma_t+SQRT(sigma_t^2-2*Tabella34[[#This Row],[c_t]])</f>
        <v>#DIV/0!</v>
      </c>
      <c r="U24" s="269" t="e">
        <f>-sigma_t-SQRT(sigma_t^2-2*Tabella34[[#This Row],[c_t]])</f>
        <v>#DIV/0!</v>
      </c>
      <c r="V24" s="269" t="e">
        <f>mu_t-LN(alpha*Kt/(Tabella34[[#This Row],[Italy velocity]]*sigma_t*SQRTPI(2)))</f>
        <v>#DIV/0!</v>
      </c>
      <c r="W24" s="269" t="e">
        <f>Tabella34[[#This Row],[Italy g.r.]]/Italy_gr_at_lockdown</f>
        <v>#DIV/0!</v>
      </c>
      <c r="X24" s="269" t="e">
        <f>Tabella34[[#This Row],[t_alpha_t+plus]]</f>
        <v>#DIV/0!</v>
      </c>
      <c r="Y24" s="269" t="e">
        <f>Tabella34[[#This Row],[Italy h.t.]]/Italy_ht_at_lockdown</f>
        <v>#DIV/0!</v>
      </c>
      <c r="Z24" s="91">
        <f>IFERROR(-Kf*_xlfn.LOGNORM.DIST((Tabella34[[#This Row],[Day]]-D_bk),mu_f,sigma_f,FALSE)*(1+(LN((Tabella34[[#This Row],[Day]]-D_bk))-mu_f)/sigma_f^2)/(Tabella34[[#This Row],[Day]]-D_bk),0)</f>
        <v>0</v>
      </c>
      <c r="AA24" s="91">
        <f>Tabella34[[#This Row],[Italy acc. fit]]/Itali_acc_at_lockdown</f>
        <v>0</v>
      </c>
      <c r="AB24" s="163">
        <f>Tabella34[[#This Row],[Italy acc. fit]]/y_f_peak</f>
        <v>0</v>
      </c>
      <c r="AC24" s="163">
        <f>Tabella34[[#This Row],[Italy (fitted Lombardy + fitted sum of the other regions)]]*NOT(ISBLANK(Tabella34[[#This Row],[Italy data]]))</f>
        <v>0</v>
      </c>
      <c r="AD24" s="163">
        <f>Tabella34[[#This Row],[Italy acc. fit]]*NOT(ISBLANK(Tabella34[[#This Row],[Italy data]]))</f>
        <v>0</v>
      </c>
      <c r="AE24" s="96">
        <f>Tabella34[[#This Row],[Italy acc. fit]]+CIf</f>
        <v>1013.7630020203177</v>
      </c>
      <c r="AF24" s="96">
        <f>MAX(Tabella34[[#This Row],[Italy acc. fit]]-CIf,0)</f>
        <v>0</v>
      </c>
      <c r="AG24" s="161"/>
      <c r="AH24" s="34"/>
      <c r="AI24" s="34"/>
      <c r="AJ24" s="162">
        <f>Tabella34[[#This Row],[Lombardy data]]*NOT(ISBLANK(Tabella34[[#This Row],[Lombardy data]]))</f>
        <v>0</v>
      </c>
      <c r="AK24" s="167">
        <f>Tabella8[[#This Row],[Lombardy fit]]</f>
        <v>0</v>
      </c>
      <c r="AL24" s="163" t="e">
        <f>_xlfn.LOGNORM.INV(alpha*Tabella34[[#This Row],[Lombardy cumul. Fit]]/Kr,mu_r,sigma_r)-(Tabella34[[#This Row],[Day]]-pr)</f>
        <v>#NUM!</v>
      </c>
      <c r="AM24" s="162">
        <f>Tabella34[[#This Row],[Lombardy cumul. Fit]]/Kl</f>
        <v>0</v>
      </c>
      <c r="AN24" s="163">
        <f>IFERROR(Kr*_xlfn.LOGNORM.DIST((Tabella34[[#This Row],[Day]]-pr),mu_r,sigma_r,FALSE),0)</f>
        <v>0</v>
      </c>
      <c r="AO24" s="206" t="e">
        <f>Tabella34[[#This Row],[Lombardy velocity]]/Tabella34[[#This Row],[Lombardy cumul. Fit]]</f>
        <v>#DIV/0!</v>
      </c>
      <c r="AP24" s="261" t="e">
        <f>(LN(Tabella34[[#This Row],[Day]]-pr)-mu_r)/sigma_r</f>
        <v>#NUM!</v>
      </c>
      <c r="AQ24" s="269" t="e">
        <f>EXP(mu_r+sigma_r*Tabella34[[#This Row],[x_r_alpha©+plus]])-(Tabella34[[#This Row],[Day]]-pr)</f>
        <v>#DIV/0!</v>
      </c>
      <c r="AR24" s="269" t="e">
        <f>EXP(mu_r+sigma_r*Tabella34[[#This Row],[x_r_alpha©-minus]])-(Tabella34[[#This Row],[Day]]-pr)</f>
        <v>#DIV/0!</v>
      </c>
      <c r="AS24" s="269" t="e">
        <f>-sigma_r+SQRT(sigma_r^2-2*Tabella34[[#This Row],[c_r]])</f>
        <v>#DIV/0!</v>
      </c>
      <c r="AT24" s="269" t="e">
        <f>-sigma_r-SQRT(sigma_r^2-2*Tabella34[[#This Row],[c_r]])</f>
        <v>#DIV/0!</v>
      </c>
      <c r="AU24" s="269" t="e">
        <f>mu_r-LN(alpha*Kr/(Tabella34[[#This Row],[Lombardy velocity]]*sigma_r*SQRTPI(2)))</f>
        <v>#DIV/0!</v>
      </c>
      <c r="AV24" s="269" t="e">
        <f>Tabella34[[#This Row],[t_alpha_r+plus]]</f>
        <v>#DIV/0!</v>
      </c>
      <c r="AW24" s="91">
        <f>IFERROR(-Kl*_xlfn.LOGNORM.DIST((Tabella34[[#This Row],[Day]]-pl),mu_l,sigma_l,FALSE)*(1+(LN((Tabella34[[#This Row],[Day]]-pl))-mu_l)/sigma_l^2)/(Tabella34[[#This Row],[Day]]-pl),0)</f>
        <v>0</v>
      </c>
      <c r="AX24" s="163">
        <f>Tabella34[[#This Row],[Lombardy acc. fit]]/y_l_peak</f>
        <v>0</v>
      </c>
      <c r="AY24" s="163">
        <f>Tabella34[[#This Row],[Lombardy acc. fit]]*NOT(ISBLANK(Tabella34[[#This Row],[Lombardy data]]))</f>
        <v>0</v>
      </c>
      <c r="AZ24" s="96">
        <f>Tabella34[[#This Row],[Lombardy acc. fit]]+CIl</f>
        <v>748.95537180362362</v>
      </c>
      <c r="BA24" s="96">
        <f>MAX(Tabella34[[#This Row],[Lombardy acc. fit]]-CIl,0)</f>
        <v>0</v>
      </c>
      <c r="BB24" s="161"/>
      <c r="BC24" s="34"/>
      <c r="BD24" s="34"/>
      <c r="BE24" s="162">
        <f>Tabella34[[#This Row],[rest of Italy data]]*NOT(ISBLANK(Tabella34[[#This Row],[rest of Italy data]]))</f>
        <v>0</v>
      </c>
      <c r="BF24" s="211">
        <f>Tabella8[[#This Row],[rest of Italy fit]]</f>
        <v>0</v>
      </c>
      <c r="BG24" s="163" t="e">
        <f>_xlfn.LOGNORM.INV(alpha*Tabella34[[#This Row],[rest of Italy cumul. Fit]]/Ko,mu_o,sigma_o)-(Tabella34[[#This Row],[Day]]-po)</f>
        <v>#NUM!</v>
      </c>
      <c r="BH24" s="163">
        <f>Tabella34[[#This Row],[rest of Italy cumul. Fit]]/Ka</f>
        <v>0</v>
      </c>
      <c r="BI24" s="163">
        <f>IFERROR(Ko*_xlfn.LOGNORM.DIST((Tabella34[[#This Row],[Day]]-po),mu_o,sigma_o,FALSE),0)</f>
        <v>0</v>
      </c>
      <c r="BJ24" s="206" t="e">
        <f>Tabella34[[#This Row],[rest of Italy velocity]]/Tabella34[[#This Row],[rest of Italy cumul. Fit]]</f>
        <v>#DIV/0!</v>
      </c>
      <c r="BK24" s="261" t="e">
        <f>(LN(Tabella34[[#This Row],[Day]]-po)-mu_o)/sigma_o</f>
        <v>#NUM!</v>
      </c>
      <c r="BL24" s="269" t="e">
        <f>EXP(mu_o+sigma_o*Tabella34[[#This Row],[x_o_alpha©+plus]])-(Tabella34[[#This Row],[Day]]-po)</f>
        <v>#DIV/0!</v>
      </c>
      <c r="BM24" s="269" t="e">
        <f>EXP(mu_o+sigma_o*Tabella34[[#This Row],[x_o_alpha©-minus]])-(Tabella34[[#This Row],[Day]]-po)</f>
        <v>#DIV/0!</v>
      </c>
      <c r="BN24" s="269" t="e">
        <f>-sigma_o+SQRT(sigma_o^2-2*Tabella34[[#This Row],[c_o]])</f>
        <v>#DIV/0!</v>
      </c>
      <c r="BO24" s="269" t="e">
        <f>-sigma_o-SQRT(sigma_o^2-2*Tabella34[[#This Row],[c_o]])</f>
        <v>#DIV/0!</v>
      </c>
      <c r="BP24" s="269" t="e">
        <f>mu_o-LN(alpha*Ko/(Tabella34[[#This Row],[rest of Italy velocity]]*sigma_o*SQRTPI(2)))</f>
        <v>#DIV/0!</v>
      </c>
      <c r="BQ24" s="269" t="e">
        <f>Tabella34[[#This Row],[t_alpha_o+plus]]</f>
        <v>#DIV/0!</v>
      </c>
      <c r="BR24" s="91">
        <f>IFERROR(-Ka*_xlfn.LOGNORM.DIST((Tabella34[[#This Row],[Day]]-pa),mu_a,sigma_a,FALSE)*(1+(LN((Tabella34[[#This Row],[Day]]-pa))-mu_a)/sigma_a^2)/(Tabella34[[#This Row],[Day]]-pa),0)</f>
        <v>0</v>
      </c>
      <c r="BS24" s="163">
        <f>Tabella34[[#This Row],[rest of Italy acc. fit]]/y_a_peak</f>
        <v>0</v>
      </c>
      <c r="BT24" s="162">
        <f>Tabella34[[#This Row],[rest of Italy acc. fit]]*NOT(ISBLANK(Tabella34[[#This Row],[rest of Italy data]]))</f>
        <v>0</v>
      </c>
      <c r="BU24" s="96">
        <f>Tabella34[[#This Row],[rest of Italy acc. fit]]+CIa</f>
        <v>694.65203586359735</v>
      </c>
      <c r="BV24" s="96">
        <f>MAX(Tabella34[[#This Row],[rest of Italy acc. fit]]-CIa,0)</f>
        <v>0</v>
      </c>
      <c r="BW24" s="1"/>
      <c r="BX24" s="238" t="s">
        <v>2</v>
      </c>
      <c r="BY24" s="240">
        <f>COUNT(Tabella34[Lombardy data])-COUNT(BY20:BY22)</f>
        <v>61</v>
      </c>
      <c r="CL24" s="60"/>
    </row>
    <row r="25" spans="2:90" x14ac:dyDescent="0.3">
      <c r="B25" s="288">
        <v>43848</v>
      </c>
      <c r="C25" s="4">
        <v>18</v>
      </c>
      <c r="D25" s="161"/>
      <c r="E25" s="164"/>
      <c r="F25" s="164"/>
      <c r="G25" s="162">
        <f>Tabella34[[#This Row],[Italy data]]*NOT(ISBLANK(Tabella34[[#This Row],[Italy data]]))</f>
        <v>0</v>
      </c>
      <c r="H25" s="163">
        <f>Tabella8[[#This Row],[Italy fit]]</f>
        <v>0</v>
      </c>
      <c r="I25" s="163" t="e">
        <f>_xlfn.LOGNORM.INV(alpha*Tabella34[[#This Row],[Italy cumul. Fit]]/Kt,mu_t,sigma_t)-(Tabella34[[#This Row],[Day]]-pt)</f>
        <v>#NUM!</v>
      </c>
      <c r="J25" s="163" t="e">
        <f>Tabella34[[#This Row],[Italy d.t.]]/Italy_dt_at_lockdown</f>
        <v>#NUM!</v>
      </c>
      <c r="K25" s="163">
        <f>Tabella34[[#This Row],[Italy cumul. Fit]]/Kf</f>
        <v>0</v>
      </c>
      <c r="L25" s="166">
        <f>Tabella34[[#This Row],[Lombardy acc. fit]]+Tabella34[[#This Row],[rest of Italy acc. fit]]</f>
        <v>0</v>
      </c>
      <c r="M25" s="163">
        <f>Tabella34[[#This Row],[Italy (fitted Lombardy + fitted sum of the other regions)]]/(y_l_peak+y_a_peak)</f>
        <v>0</v>
      </c>
      <c r="N25" s="163">
        <f>IFERROR(Kt*_xlfn.LOGNORM.DIST((Tabella34[[#This Row],[Day]]-pt),mu_t,sigma_t,FALSE),0)</f>
        <v>0</v>
      </c>
      <c r="O25" s="163" t="e">
        <f>Kt*EXP(-0.5*Tabella34[[#This Row],[x_t]]^2)/(sigma_t*SQRTPI(2)*(Tabella34[[#This Row],[Day]]-D_bk))</f>
        <v>#NUM!</v>
      </c>
      <c r="P25" s="206" t="e">
        <f>Tabella34[[#This Row],[Italy velocity]]/Tabella34[[#This Row],[Italy cumul. Fit]]</f>
        <v>#DIV/0!</v>
      </c>
      <c r="Q25" s="269" t="e">
        <f>(LN(Tabella34[[#This Row],[Day]]-D_bk)-mu_t)/sigma_t</f>
        <v>#NUM!</v>
      </c>
      <c r="R25" s="269" t="e">
        <f>EXP(mu_t+sigma_t*Tabella34[[#This Row],[x_t_alpha©+plus]])-(Tabella34[[#This Row],[Day]]-D_bk)</f>
        <v>#DIV/0!</v>
      </c>
      <c r="S25" s="269" t="e">
        <f>EXP(mu_t+sigma_t*Tabella34[[#This Row],[x_t_alpha©-minus]])-(Tabella34[[#This Row],[Day]]-D_bk)</f>
        <v>#DIV/0!</v>
      </c>
      <c r="T25" s="269" t="e">
        <f>-sigma_t+SQRT(sigma_t^2-2*Tabella34[[#This Row],[c_t]])</f>
        <v>#DIV/0!</v>
      </c>
      <c r="U25" s="269" t="e">
        <f>-sigma_t-SQRT(sigma_t^2-2*Tabella34[[#This Row],[c_t]])</f>
        <v>#DIV/0!</v>
      </c>
      <c r="V25" s="269" t="e">
        <f>mu_t-LN(alpha*Kt/(Tabella34[[#This Row],[Italy velocity]]*sigma_t*SQRTPI(2)))</f>
        <v>#DIV/0!</v>
      </c>
      <c r="W25" s="269" t="e">
        <f>Tabella34[[#This Row],[Italy g.r.]]/Italy_gr_at_lockdown</f>
        <v>#DIV/0!</v>
      </c>
      <c r="X25" s="269" t="e">
        <f>Tabella34[[#This Row],[t_alpha_t+plus]]</f>
        <v>#DIV/0!</v>
      </c>
      <c r="Y25" s="269" t="e">
        <f>Tabella34[[#This Row],[Italy h.t.]]/Italy_ht_at_lockdown</f>
        <v>#DIV/0!</v>
      </c>
      <c r="Z25" s="91">
        <f>IFERROR(-Kf*_xlfn.LOGNORM.DIST((Tabella34[[#This Row],[Day]]-D_bk),mu_f,sigma_f,FALSE)*(1+(LN((Tabella34[[#This Row],[Day]]-D_bk))-mu_f)/sigma_f^2)/(Tabella34[[#This Row],[Day]]-D_bk),0)</f>
        <v>0</v>
      </c>
      <c r="AA25" s="91">
        <f>Tabella34[[#This Row],[Italy acc. fit]]/Itali_acc_at_lockdown</f>
        <v>0</v>
      </c>
      <c r="AB25" s="163">
        <f>Tabella34[[#This Row],[Italy acc. fit]]/y_f_peak</f>
        <v>0</v>
      </c>
      <c r="AC25" s="163">
        <f>Tabella34[[#This Row],[Italy (fitted Lombardy + fitted sum of the other regions)]]*NOT(ISBLANK(Tabella34[[#This Row],[Italy data]]))</f>
        <v>0</v>
      </c>
      <c r="AD25" s="163">
        <f>Tabella34[[#This Row],[Italy acc. fit]]*NOT(ISBLANK(Tabella34[[#This Row],[Italy data]]))</f>
        <v>0</v>
      </c>
      <c r="AE25" s="96">
        <f>Tabella34[[#This Row],[Italy acc. fit]]+CIf</f>
        <v>1013.7630020203177</v>
      </c>
      <c r="AF25" s="96">
        <f>MAX(Tabella34[[#This Row],[Italy acc. fit]]-CIf,0)</f>
        <v>0</v>
      </c>
      <c r="AG25" s="161"/>
      <c r="AH25" s="34"/>
      <c r="AI25" s="34"/>
      <c r="AJ25" s="162">
        <f>Tabella34[[#This Row],[Lombardy data]]*NOT(ISBLANK(Tabella34[[#This Row],[Lombardy data]]))</f>
        <v>0</v>
      </c>
      <c r="AK25" s="167">
        <f>Tabella8[[#This Row],[Lombardy fit]]</f>
        <v>0</v>
      </c>
      <c r="AL25" s="163" t="e">
        <f>_xlfn.LOGNORM.INV(alpha*Tabella34[[#This Row],[Lombardy cumul. Fit]]/Kr,mu_r,sigma_r)-(Tabella34[[#This Row],[Day]]-pr)</f>
        <v>#NUM!</v>
      </c>
      <c r="AM25" s="162">
        <f>Tabella34[[#This Row],[Lombardy cumul. Fit]]/Kl</f>
        <v>0</v>
      </c>
      <c r="AN25" s="163">
        <f>IFERROR(Kr*_xlfn.LOGNORM.DIST((Tabella34[[#This Row],[Day]]-pr),mu_r,sigma_r,FALSE),0)</f>
        <v>0</v>
      </c>
      <c r="AO25" s="206" t="e">
        <f>Tabella34[[#This Row],[Lombardy velocity]]/Tabella34[[#This Row],[Lombardy cumul. Fit]]</f>
        <v>#DIV/0!</v>
      </c>
      <c r="AP25" s="261" t="e">
        <f>(LN(Tabella34[[#This Row],[Day]]-pr)-mu_r)/sigma_r</f>
        <v>#NUM!</v>
      </c>
      <c r="AQ25" s="269" t="e">
        <f>EXP(mu_r+sigma_r*Tabella34[[#This Row],[x_r_alpha©+plus]])-(Tabella34[[#This Row],[Day]]-pr)</f>
        <v>#DIV/0!</v>
      </c>
      <c r="AR25" s="269" t="e">
        <f>EXP(mu_r+sigma_r*Tabella34[[#This Row],[x_r_alpha©-minus]])-(Tabella34[[#This Row],[Day]]-pr)</f>
        <v>#DIV/0!</v>
      </c>
      <c r="AS25" s="269" t="e">
        <f>-sigma_r+SQRT(sigma_r^2-2*Tabella34[[#This Row],[c_r]])</f>
        <v>#DIV/0!</v>
      </c>
      <c r="AT25" s="269" t="e">
        <f>-sigma_r-SQRT(sigma_r^2-2*Tabella34[[#This Row],[c_r]])</f>
        <v>#DIV/0!</v>
      </c>
      <c r="AU25" s="269" t="e">
        <f>mu_r-LN(alpha*Kr/(Tabella34[[#This Row],[Lombardy velocity]]*sigma_r*SQRTPI(2)))</f>
        <v>#DIV/0!</v>
      </c>
      <c r="AV25" s="269" t="e">
        <f>Tabella34[[#This Row],[t_alpha_r+plus]]</f>
        <v>#DIV/0!</v>
      </c>
      <c r="AW25" s="91">
        <f>IFERROR(-Kl*_xlfn.LOGNORM.DIST((Tabella34[[#This Row],[Day]]-pl),mu_l,sigma_l,FALSE)*(1+(LN((Tabella34[[#This Row],[Day]]-pl))-mu_l)/sigma_l^2)/(Tabella34[[#This Row],[Day]]-pl),0)</f>
        <v>0</v>
      </c>
      <c r="AX25" s="163">
        <f>Tabella34[[#This Row],[Lombardy acc. fit]]/y_l_peak</f>
        <v>0</v>
      </c>
      <c r="AY25" s="163">
        <f>Tabella34[[#This Row],[Lombardy acc. fit]]*NOT(ISBLANK(Tabella34[[#This Row],[Lombardy data]]))</f>
        <v>0</v>
      </c>
      <c r="AZ25" s="96">
        <f>Tabella34[[#This Row],[Lombardy acc. fit]]+CIl</f>
        <v>748.95537180362362</v>
      </c>
      <c r="BA25" s="96">
        <f>MAX(Tabella34[[#This Row],[Lombardy acc. fit]]-CIl,0)</f>
        <v>0</v>
      </c>
      <c r="BB25" s="161"/>
      <c r="BC25" s="34"/>
      <c r="BD25" s="34"/>
      <c r="BE25" s="162">
        <f>Tabella34[[#This Row],[rest of Italy data]]*NOT(ISBLANK(Tabella34[[#This Row],[rest of Italy data]]))</f>
        <v>0</v>
      </c>
      <c r="BF25" s="211">
        <f>Tabella8[[#This Row],[rest of Italy fit]]</f>
        <v>0</v>
      </c>
      <c r="BG25" s="163" t="e">
        <f>_xlfn.LOGNORM.INV(alpha*Tabella34[[#This Row],[rest of Italy cumul. Fit]]/Ko,mu_o,sigma_o)-(Tabella34[[#This Row],[Day]]-po)</f>
        <v>#NUM!</v>
      </c>
      <c r="BH25" s="163">
        <f>Tabella34[[#This Row],[rest of Italy cumul. Fit]]/Ka</f>
        <v>0</v>
      </c>
      <c r="BI25" s="163">
        <f>IFERROR(Ko*_xlfn.LOGNORM.DIST((Tabella34[[#This Row],[Day]]-po),mu_o,sigma_o,FALSE),0)</f>
        <v>0</v>
      </c>
      <c r="BJ25" s="206" t="e">
        <f>Tabella34[[#This Row],[rest of Italy velocity]]/Tabella34[[#This Row],[rest of Italy cumul. Fit]]</f>
        <v>#DIV/0!</v>
      </c>
      <c r="BK25" s="261" t="e">
        <f>(LN(Tabella34[[#This Row],[Day]]-po)-mu_o)/sigma_o</f>
        <v>#NUM!</v>
      </c>
      <c r="BL25" s="269" t="e">
        <f>EXP(mu_o+sigma_o*Tabella34[[#This Row],[x_o_alpha©+plus]])-(Tabella34[[#This Row],[Day]]-po)</f>
        <v>#DIV/0!</v>
      </c>
      <c r="BM25" s="269" t="e">
        <f>EXP(mu_o+sigma_o*Tabella34[[#This Row],[x_o_alpha©-minus]])-(Tabella34[[#This Row],[Day]]-po)</f>
        <v>#DIV/0!</v>
      </c>
      <c r="BN25" s="269" t="e">
        <f>-sigma_o+SQRT(sigma_o^2-2*Tabella34[[#This Row],[c_o]])</f>
        <v>#DIV/0!</v>
      </c>
      <c r="BO25" s="269" t="e">
        <f>-sigma_o-SQRT(sigma_o^2-2*Tabella34[[#This Row],[c_o]])</f>
        <v>#DIV/0!</v>
      </c>
      <c r="BP25" s="269" t="e">
        <f>mu_o-LN(alpha*Ko/(Tabella34[[#This Row],[rest of Italy velocity]]*sigma_o*SQRTPI(2)))</f>
        <v>#DIV/0!</v>
      </c>
      <c r="BQ25" s="269" t="e">
        <f>Tabella34[[#This Row],[t_alpha_o+plus]]</f>
        <v>#DIV/0!</v>
      </c>
      <c r="BR25" s="91">
        <f>IFERROR(-Ka*_xlfn.LOGNORM.DIST((Tabella34[[#This Row],[Day]]-pa),mu_a,sigma_a,FALSE)*(1+(LN((Tabella34[[#This Row],[Day]]-pa))-mu_a)/sigma_a^2)/(Tabella34[[#This Row],[Day]]-pa),0)</f>
        <v>0</v>
      </c>
      <c r="BS25" s="163">
        <f>Tabella34[[#This Row],[rest of Italy acc. fit]]/y_a_peak</f>
        <v>0</v>
      </c>
      <c r="BT25" s="162">
        <f>Tabella34[[#This Row],[rest of Italy acc. fit]]*NOT(ISBLANK(Tabella34[[#This Row],[rest of Italy data]]))</f>
        <v>0</v>
      </c>
      <c r="BU25" s="96">
        <f>Tabella34[[#This Row],[rest of Italy acc. fit]]+CIa</f>
        <v>694.65203586359735</v>
      </c>
      <c r="BV25" s="96">
        <f>MAX(Tabella34[[#This Row],[rest of Italy acc. fit]]-CIa,0)</f>
        <v>0</v>
      </c>
      <c r="BW25" s="1"/>
      <c r="BX25" s="238" t="s">
        <v>3</v>
      </c>
      <c r="BY25" s="239" cm="1">
        <f t="array" ref="BY25">SQRT(SUM((Tabella34[Colonna3]-Tabella34[Colonna32])^2)/dfl)</f>
        <v>1358.0497708530359</v>
      </c>
      <c r="CL25" s="60"/>
    </row>
    <row r="26" spans="2:90" ht="16.2" x14ac:dyDescent="0.3">
      <c r="B26" s="288">
        <v>43849</v>
      </c>
      <c r="C26" s="4">
        <v>19</v>
      </c>
      <c r="D26" s="161"/>
      <c r="E26" s="164"/>
      <c r="F26" s="164"/>
      <c r="G26" s="162">
        <f>Tabella34[[#This Row],[Italy data]]*NOT(ISBLANK(Tabella34[[#This Row],[Italy data]]))</f>
        <v>0</v>
      </c>
      <c r="H26" s="163">
        <f>Tabella8[[#This Row],[Italy fit]]</f>
        <v>0</v>
      </c>
      <c r="I26" s="163" t="e">
        <f>_xlfn.LOGNORM.INV(alpha*Tabella34[[#This Row],[Italy cumul. Fit]]/Kt,mu_t,sigma_t)-(Tabella34[[#This Row],[Day]]-pt)</f>
        <v>#NUM!</v>
      </c>
      <c r="J26" s="163" t="e">
        <f>Tabella34[[#This Row],[Italy d.t.]]/Italy_dt_at_lockdown</f>
        <v>#NUM!</v>
      </c>
      <c r="K26" s="163">
        <f>Tabella34[[#This Row],[Italy cumul. Fit]]/Kf</f>
        <v>0</v>
      </c>
      <c r="L26" s="166">
        <f>Tabella34[[#This Row],[Lombardy acc. fit]]+Tabella34[[#This Row],[rest of Italy acc. fit]]</f>
        <v>0</v>
      </c>
      <c r="M26" s="163">
        <f>Tabella34[[#This Row],[Italy (fitted Lombardy + fitted sum of the other regions)]]/(y_l_peak+y_a_peak)</f>
        <v>0</v>
      </c>
      <c r="N26" s="163">
        <f>IFERROR(Kt*_xlfn.LOGNORM.DIST((Tabella34[[#This Row],[Day]]-pt),mu_t,sigma_t,FALSE),0)</f>
        <v>0</v>
      </c>
      <c r="O26" s="163" t="e">
        <f>Kt*EXP(-0.5*Tabella34[[#This Row],[x_t]]^2)/(sigma_t*SQRTPI(2)*(Tabella34[[#This Row],[Day]]-D_bk))</f>
        <v>#NUM!</v>
      </c>
      <c r="P26" s="206" t="e">
        <f>Tabella34[[#This Row],[Italy velocity]]/Tabella34[[#This Row],[Italy cumul. Fit]]</f>
        <v>#DIV/0!</v>
      </c>
      <c r="Q26" s="269" t="e">
        <f>(LN(Tabella34[[#This Row],[Day]]-D_bk)-mu_t)/sigma_t</f>
        <v>#NUM!</v>
      </c>
      <c r="R26" s="269" t="e">
        <f>EXP(mu_t+sigma_t*Tabella34[[#This Row],[x_t_alpha©+plus]])-(Tabella34[[#This Row],[Day]]-D_bk)</f>
        <v>#DIV/0!</v>
      </c>
      <c r="S26" s="269" t="e">
        <f>EXP(mu_t+sigma_t*Tabella34[[#This Row],[x_t_alpha©-minus]])-(Tabella34[[#This Row],[Day]]-D_bk)</f>
        <v>#DIV/0!</v>
      </c>
      <c r="T26" s="269" t="e">
        <f>-sigma_t+SQRT(sigma_t^2-2*Tabella34[[#This Row],[c_t]])</f>
        <v>#DIV/0!</v>
      </c>
      <c r="U26" s="269" t="e">
        <f>-sigma_t-SQRT(sigma_t^2-2*Tabella34[[#This Row],[c_t]])</f>
        <v>#DIV/0!</v>
      </c>
      <c r="V26" s="269" t="e">
        <f>mu_t-LN(alpha*Kt/(Tabella34[[#This Row],[Italy velocity]]*sigma_t*SQRTPI(2)))</f>
        <v>#DIV/0!</v>
      </c>
      <c r="W26" s="269" t="e">
        <f>Tabella34[[#This Row],[Italy g.r.]]/Italy_gr_at_lockdown</f>
        <v>#DIV/0!</v>
      </c>
      <c r="X26" s="269" t="e">
        <f>Tabella34[[#This Row],[t_alpha_t+plus]]</f>
        <v>#DIV/0!</v>
      </c>
      <c r="Y26" s="269" t="e">
        <f>Tabella34[[#This Row],[Italy h.t.]]/Italy_ht_at_lockdown</f>
        <v>#DIV/0!</v>
      </c>
      <c r="Z26" s="91">
        <f>IFERROR(-Kf*_xlfn.LOGNORM.DIST((Tabella34[[#This Row],[Day]]-D_bk),mu_f,sigma_f,FALSE)*(1+(LN((Tabella34[[#This Row],[Day]]-D_bk))-mu_f)/sigma_f^2)/(Tabella34[[#This Row],[Day]]-D_bk),0)</f>
        <v>0</v>
      </c>
      <c r="AA26" s="91">
        <f>Tabella34[[#This Row],[Italy acc. fit]]/Itali_acc_at_lockdown</f>
        <v>0</v>
      </c>
      <c r="AB26" s="163">
        <f>Tabella34[[#This Row],[Italy acc. fit]]/y_f_peak</f>
        <v>0</v>
      </c>
      <c r="AC26" s="163">
        <f>Tabella34[[#This Row],[Italy (fitted Lombardy + fitted sum of the other regions)]]*NOT(ISBLANK(Tabella34[[#This Row],[Italy data]]))</f>
        <v>0</v>
      </c>
      <c r="AD26" s="163">
        <f>Tabella34[[#This Row],[Italy acc. fit]]*NOT(ISBLANK(Tabella34[[#This Row],[Italy data]]))</f>
        <v>0</v>
      </c>
      <c r="AE26" s="96">
        <f>Tabella34[[#This Row],[Italy acc. fit]]+CIf</f>
        <v>1013.7630020203177</v>
      </c>
      <c r="AF26" s="96">
        <f>MAX(Tabella34[[#This Row],[Italy acc. fit]]-CIf,0)</f>
        <v>0</v>
      </c>
      <c r="AG26" s="161"/>
      <c r="AH26" s="34"/>
      <c r="AI26" s="34"/>
      <c r="AJ26" s="162">
        <f>Tabella34[[#This Row],[Lombardy data]]*NOT(ISBLANK(Tabella34[[#This Row],[Lombardy data]]))</f>
        <v>0</v>
      </c>
      <c r="AK26" s="167">
        <f>Tabella8[[#This Row],[Lombardy fit]]</f>
        <v>0</v>
      </c>
      <c r="AL26" s="163" t="e">
        <f>_xlfn.LOGNORM.INV(alpha*Tabella34[[#This Row],[Lombardy cumul. Fit]]/Kr,mu_r,sigma_r)-(Tabella34[[#This Row],[Day]]-pr)</f>
        <v>#NUM!</v>
      </c>
      <c r="AM26" s="162">
        <f>Tabella34[[#This Row],[Lombardy cumul. Fit]]/Kl</f>
        <v>0</v>
      </c>
      <c r="AN26" s="163">
        <f>IFERROR(Kr*_xlfn.LOGNORM.DIST((Tabella34[[#This Row],[Day]]-pr),mu_r,sigma_r,FALSE),0)</f>
        <v>0</v>
      </c>
      <c r="AO26" s="206" t="e">
        <f>Tabella34[[#This Row],[Lombardy velocity]]/Tabella34[[#This Row],[Lombardy cumul. Fit]]</f>
        <v>#DIV/0!</v>
      </c>
      <c r="AP26" s="261" t="e">
        <f>(LN(Tabella34[[#This Row],[Day]]-pr)-mu_r)/sigma_r</f>
        <v>#NUM!</v>
      </c>
      <c r="AQ26" s="269" t="e">
        <f>EXP(mu_r+sigma_r*Tabella34[[#This Row],[x_r_alpha©+plus]])-(Tabella34[[#This Row],[Day]]-pr)</f>
        <v>#DIV/0!</v>
      </c>
      <c r="AR26" s="269" t="e">
        <f>EXP(mu_r+sigma_r*Tabella34[[#This Row],[x_r_alpha©-minus]])-(Tabella34[[#This Row],[Day]]-pr)</f>
        <v>#DIV/0!</v>
      </c>
      <c r="AS26" s="269" t="e">
        <f>-sigma_r+SQRT(sigma_r^2-2*Tabella34[[#This Row],[c_r]])</f>
        <v>#DIV/0!</v>
      </c>
      <c r="AT26" s="269" t="e">
        <f>-sigma_r-SQRT(sigma_r^2-2*Tabella34[[#This Row],[c_r]])</f>
        <v>#DIV/0!</v>
      </c>
      <c r="AU26" s="269" t="e">
        <f>mu_r-LN(alpha*Kr/(Tabella34[[#This Row],[Lombardy velocity]]*sigma_r*SQRTPI(2)))</f>
        <v>#DIV/0!</v>
      </c>
      <c r="AV26" s="269" t="e">
        <f>Tabella34[[#This Row],[t_alpha_r+plus]]</f>
        <v>#DIV/0!</v>
      </c>
      <c r="AW26" s="91">
        <f>IFERROR(-Kl*_xlfn.LOGNORM.DIST((Tabella34[[#This Row],[Day]]-pl),mu_l,sigma_l,FALSE)*(1+(LN((Tabella34[[#This Row],[Day]]-pl))-mu_l)/sigma_l^2)/(Tabella34[[#This Row],[Day]]-pl),0)</f>
        <v>0</v>
      </c>
      <c r="AX26" s="163">
        <f>Tabella34[[#This Row],[Lombardy acc. fit]]/y_l_peak</f>
        <v>0</v>
      </c>
      <c r="AY26" s="163">
        <f>Tabella34[[#This Row],[Lombardy acc. fit]]*NOT(ISBLANK(Tabella34[[#This Row],[Lombardy data]]))</f>
        <v>0</v>
      </c>
      <c r="AZ26" s="96">
        <f>Tabella34[[#This Row],[Lombardy acc. fit]]+CIl</f>
        <v>748.95537180362362</v>
      </c>
      <c r="BA26" s="96">
        <f>MAX(Tabella34[[#This Row],[Lombardy acc. fit]]-CIl,0)</f>
        <v>0</v>
      </c>
      <c r="BB26" s="161"/>
      <c r="BC26" s="34"/>
      <c r="BD26" s="34"/>
      <c r="BE26" s="162">
        <f>Tabella34[[#This Row],[rest of Italy data]]*NOT(ISBLANK(Tabella34[[#This Row],[rest of Italy data]]))</f>
        <v>0</v>
      </c>
      <c r="BF26" s="211">
        <f>Tabella8[[#This Row],[rest of Italy fit]]</f>
        <v>0</v>
      </c>
      <c r="BG26" s="163" t="e">
        <f>_xlfn.LOGNORM.INV(alpha*Tabella34[[#This Row],[rest of Italy cumul. Fit]]/Ko,mu_o,sigma_o)-(Tabella34[[#This Row],[Day]]-po)</f>
        <v>#NUM!</v>
      </c>
      <c r="BH26" s="163">
        <f>Tabella34[[#This Row],[rest of Italy cumul. Fit]]/Ka</f>
        <v>0</v>
      </c>
      <c r="BI26" s="163">
        <f>IFERROR(Ko*_xlfn.LOGNORM.DIST((Tabella34[[#This Row],[Day]]-po),mu_o,sigma_o,FALSE),0)</f>
        <v>0</v>
      </c>
      <c r="BJ26" s="206" t="e">
        <f>Tabella34[[#This Row],[rest of Italy velocity]]/Tabella34[[#This Row],[rest of Italy cumul. Fit]]</f>
        <v>#DIV/0!</v>
      </c>
      <c r="BK26" s="261" t="e">
        <f>(LN(Tabella34[[#This Row],[Day]]-po)-mu_o)/sigma_o</f>
        <v>#NUM!</v>
      </c>
      <c r="BL26" s="269" t="e">
        <f>EXP(mu_o+sigma_o*Tabella34[[#This Row],[x_o_alpha©+plus]])-(Tabella34[[#This Row],[Day]]-po)</f>
        <v>#DIV/0!</v>
      </c>
      <c r="BM26" s="269" t="e">
        <f>EXP(mu_o+sigma_o*Tabella34[[#This Row],[x_o_alpha©-minus]])-(Tabella34[[#This Row],[Day]]-po)</f>
        <v>#DIV/0!</v>
      </c>
      <c r="BN26" s="269" t="e">
        <f>-sigma_o+SQRT(sigma_o^2-2*Tabella34[[#This Row],[c_o]])</f>
        <v>#DIV/0!</v>
      </c>
      <c r="BO26" s="269" t="e">
        <f>-sigma_o-SQRT(sigma_o^2-2*Tabella34[[#This Row],[c_o]])</f>
        <v>#DIV/0!</v>
      </c>
      <c r="BP26" s="269" t="e">
        <f>mu_o-LN(alpha*Ko/(Tabella34[[#This Row],[rest of Italy velocity]]*sigma_o*SQRTPI(2)))</f>
        <v>#DIV/0!</v>
      </c>
      <c r="BQ26" s="269" t="e">
        <f>Tabella34[[#This Row],[t_alpha_o+plus]]</f>
        <v>#DIV/0!</v>
      </c>
      <c r="BR26" s="91">
        <f>IFERROR(-Ka*_xlfn.LOGNORM.DIST((Tabella34[[#This Row],[Day]]-pa),mu_a,sigma_a,FALSE)*(1+(LN((Tabella34[[#This Row],[Day]]-pa))-mu_a)/sigma_a^2)/(Tabella34[[#This Row],[Day]]-pa),0)</f>
        <v>0</v>
      </c>
      <c r="BS26" s="163">
        <f>Tabella34[[#This Row],[rest of Italy acc. fit]]/y_a_peak</f>
        <v>0</v>
      </c>
      <c r="BT26" s="162">
        <f>Tabella34[[#This Row],[rest of Italy acc. fit]]*NOT(ISBLANK(Tabella34[[#This Row],[rest of Italy data]]))</f>
        <v>0</v>
      </c>
      <c r="BU26" s="96">
        <f>Tabella34[[#This Row],[rest of Italy acc. fit]]+CIa</f>
        <v>694.65203586359735</v>
      </c>
      <c r="BV26" s="96">
        <f>MAX(Tabella34[[#This Row],[rest of Italy acc. fit]]-CIa,0)</f>
        <v>0</v>
      </c>
      <c r="BW26" s="1"/>
      <c r="BX26" s="238" t="s">
        <v>4380</v>
      </c>
      <c r="BY26" s="241" cm="1">
        <f t="array" ref="BY26">1-SUM((Tabella34[Colonna3]-Tabella34[Colonna32])^2)/SUM((Tabella34[Colonna3]-Mean_of_yl)^2)</f>
        <v>0.37063676447221616</v>
      </c>
      <c r="CL26" s="60"/>
    </row>
    <row r="27" spans="2:90" ht="15" thickBot="1" x14ac:dyDescent="0.35">
      <c r="B27" s="288">
        <v>43850</v>
      </c>
      <c r="C27" s="4">
        <v>20</v>
      </c>
      <c r="D27" s="161"/>
      <c r="E27" s="164"/>
      <c r="F27" s="164"/>
      <c r="G27" s="162">
        <f>Tabella34[[#This Row],[Italy data]]*NOT(ISBLANK(Tabella34[[#This Row],[Italy data]]))</f>
        <v>0</v>
      </c>
      <c r="H27" s="163">
        <f>Tabella8[[#This Row],[Italy fit]]</f>
        <v>0</v>
      </c>
      <c r="I27" s="163" t="e">
        <f>_xlfn.LOGNORM.INV(alpha*Tabella34[[#This Row],[Italy cumul. Fit]]/Kt,mu_t,sigma_t)-(Tabella34[[#This Row],[Day]]-pt)</f>
        <v>#NUM!</v>
      </c>
      <c r="J27" s="163" t="e">
        <f>Tabella34[[#This Row],[Italy d.t.]]/Italy_dt_at_lockdown</f>
        <v>#NUM!</v>
      </c>
      <c r="K27" s="163">
        <f>Tabella34[[#This Row],[Italy cumul. Fit]]/Kf</f>
        <v>0</v>
      </c>
      <c r="L27" s="166">
        <f>Tabella34[[#This Row],[Lombardy acc. fit]]+Tabella34[[#This Row],[rest of Italy acc. fit]]</f>
        <v>0</v>
      </c>
      <c r="M27" s="163">
        <f>Tabella34[[#This Row],[Italy (fitted Lombardy + fitted sum of the other regions)]]/(y_l_peak+y_a_peak)</f>
        <v>0</v>
      </c>
      <c r="N27" s="163">
        <f>IFERROR(Kt*_xlfn.LOGNORM.DIST((Tabella34[[#This Row],[Day]]-pt),mu_t,sigma_t,FALSE),0)</f>
        <v>0</v>
      </c>
      <c r="O27" s="163" t="e">
        <f>Kt*EXP(-0.5*Tabella34[[#This Row],[x_t]]^2)/(sigma_t*SQRTPI(2)*(Tabella34[[#This Row],[Day]]-D_bk))</f>
        <v>#NUM!</v>
      </c>
      <c r="P27" s="206" t="e">
        <f>Tabella34[[#This Row],[Italy velocity]]/Tabella34[[#This Row],[Italy cumul. Fit]]</f>
        <v>#DIV/0!</v>
      </c>
      <c r="Q27" s="269" t="e">
        <f>(LN(Tabella34[[#This Row],[Day]]-D_bk)-mu_t)/sigma_t</f>
        <v>#NUM!</v>
      </c>
      <c r="R27" s="269" t="e">
        <f>EXP(mu_t+sigma_t*Tabella34[[#This Row],[x_t_alpha©+plus]])-(Tabella34[[#This Row],[Day]]-D_bk)</f>
        <v>#DIV/0!</v>
      </c>
      <c r="S27" s="269" t="e">
        <f>EXP(mu_t+sigma_t*Tabella34[[#This Row],[x_t_alpha©-minus]])-(Tabella34[[#This Row],[Day]]-D_bk)</f>
        <v>#DIV/0!</v>
      </c>
      <c r="T27" s="269" t="e">
        <f>-sigma_t+SQRT(sigma_t^2-2*Tabella34[[#This Row],[c_t]])</f>
        <v>#DIV/0!</v>
      </c>
      <c r="U27" s="269" t="e">
        <f>-sigma_t-SQRT(sigma_t^2-2*Tabella34[[#This Row],[c_t]])</f>
        <v>#DIV/0!</v>
      </c>
      <c r="V27" s="269" t="e">
        <f>mu_t-LN(alpha*Kt/(Tabella34[[#This Row],[Italy velocity]]*sigma_t*SQRTPI(2)))</f>
        <v>#DIV/0!</v>
      </c>
      <c r="W27" s="269" t="e">
        <f>Tabella34[[#This Row],[Italy g.r.]]/Italy_gr_at_lockdown</f>
        <v>#DIV/0!</v>
      </c>
      <c r="X27" s="269" t="e">
        <f>Tabella34[[#This Row],[t_alpha_t+plus]]</f>
        <v>#DIV/0!</v>
      </c>
      <c r="Y27" s="269" t="e">
        <f>Tabella34[[#This Row],[Italy h.t.]]/Italy_ht_at_lockdown</f>
        <v>#DIV/0!</v>
      </c>
      <c r="Z27" s="91">
        <f>IFERROR(-Kf*_xlfn.LOGNORM.DIST((Tabella34[[#This Row],[Day]]-D_bk),mu_f,sigma_f,FALSE)*(1+(LN((Tabella34[[#This Row],[Day]]-D_bk))-mu_f)/sigma_f^2)/(Tabella34[[#This Row],[Day]]-D_bk),0)</f>
        <v>0</v>
      </c>
      <c r="AA27" s="91">
        <f>Tabella34[[#This Row],[Italy acc. fit]]/Itali_acc_at_lockdown</f>
        <v>0</v>
      </c>
      <c r="AB27" s="163">
        <f>Tabella34[[#This Row],[Italy acc. fit]]/y_f_peak</f>
        <v>0</v>
      </c>
      <c r="AC27" s="163">
        <f>Tabella34[[#This Row],[Italy (fitted Lombardy + fitted sum of the other regions)]]*NOT(ISBLANK(Tabella34[[#This Row],[Italy data]]))</f>
        <v>0</v>
      </c>
      <c r="AD27" s="163">
        <f>Tabella34[[#This Row],[Italy acc. fit]]*NOT(ISBLANK(Tabella34[[#This Row],[Italy data]]))</f>
        <v>0</v>
      </c>
      <c r="AE27" s="96">
        <f>Tabella34[[#This Row],[Italy acc. fit]]+CIf</f>
        <v>1013.7630020203177</v>
      </c>
      <c r="AF27" s="96">
        <f>MAX(Tabella34[[#This Row],[Italy acc. fit]]-CIf,0)</f>
        <v>0</v>
      </c>
      <c r="AG27" s="161"/>
      <c r="AH27" s="34"/>
      <c r="AI27" s="34"/>
      <c r="AJ27" s="162">
        <f>Tabella34[[#This Row],[Lombardy data]]*NOT(ISBLANK(Tabella34[[#This Row],[Lombardy data]]))</f>
        <v>0</v>
      </c>
      <c r="AK27" s="167">
        <f>Tabella8[[#This Row],[Lombardy fit]]</f>
        <v>0</v>
      </c>
      <c r="AL27" s="163" t="e">
        <f>_xlfn.LOGNORM.INV(alpha*Tabella34[[#This Row],[Lombardy cumul. Fit]]/Kr,mu_r,sigma_r)-(Tabella34[[#This Row],[Day]]-pr)</f>
        <v>#NUM!</v>
      </c>
      <c r="AM27" s="162">
        <f>Tabella34[[#This Row],[Lombardy cumul. Fit]]/Kl</f>
        <v>0</v>
      </c>
      <c r="AN27" s="163">
        <f>IFERROR(Kr*_xlfn.LOGNORM.DIST((Tabella34[[#This Row],[Day]]-pr),mu_r,sigma_r,FALSE),0)</f>
        <v>0</v>
      </c>
      <c r="AO27" s="206" t="e">
        <f>Tabella34[[#This Row],[Lombardy velocity]]/Tabella34[[#This Row],[Lombardy cumul. Fit]]</f>
        <v>#DIV/0!</v>
      </c>
      <c r="AP27" s="261" t="e">
        <f>(LN(Tabella34[[#This Row],[Day]]-pr)-mu_r)/sigma_r</f>
        <v>#NUM!</v>
      </c>
      <c r="AQ27" s="269" t="e">
        <f>EXP(mu_r+sigma_r*Tabella34[[#This Row],[x_r_alpha©+plus]])-(Tabella34[[#This Row],[Day]]-pr)</f>
        <v>#DIV/0!</v>
      </c>
      <c r="AR27" s="269" t="e">
        <f>EXP(mu_r+sigma_r*Tabella34[[#This Row],[x_r_alpha©-minus]])-(Tabella34[[#This Row],[Day]]-pr)</f>
        <v>#DIV/0!</v>
      </c>
      <c r="AS27" s="269" t="e">
        <f>-sigma_r+SQRT(sigma_r^2-2*Tabella34[[#This Row],[c_r]])</f>
        <v>#DIV/0!</v>
      </c>
      <c r="AT27" s="269" t="e">
        <f>-sigma_r-SQRT(sigma_r^2-2*Tabella34[[#This Row],[c_r]])</f>
        <v>#DIV/0!</v>
      </c>
      <c r="AU27" s="269" t="e">
        <f>mu_r-LN(alpha*Kr/(Tabella34[[#This Row],[Lombardy velocity]]*sigma_r*SQRTPI(2)))</f>
        <v>#DIV/0!</v>
      </c>
      <c r="AV27" s="269" t="e">
        <f>Tabella34[[#This Row],[t_alpha_r+plus]]</f>
        <v>#DIV/0!</v>
      </c>
      <c r="AW27" s="91">
        <f>IFERROR(-Kl*_xlfn.LOGNORM.DIST((Tabella34[[#This Row],[Day]]-pl),mu_l,sigma_l,FALSE)*(1+(LN((Tabella34[[#This Row],[Day]]-pl))-mu_l)/sigma_l^2)/(Tabella34[[#This Row],[Day]]-pl),0)</f>
        <v>0</v>
      </c>
      <c r="AX27" s="163">
        <f>Tabella34[[#This Row],[Lombardy acc. fit]]/y_l_peak</f>
        <v>0</v>
      </c>
      <c r="AY27" s="163">
        <f>Tabella34[[#This Row],[Lombardy acc. fit]]*NOT(ISBLANK(Tabella34[[#This Row],[Lombardy data]]))</f>
        <v>0</v>
      </c>
      <c r="AZ27" s="96">
        <f>Tabella34[[#This Row],[Lombardy acc. fit]]+CIl</f>
        <v>748.95537180362362</v>
      </c>
      <c r="BA27" s="96">
        <f>MAX(Tabella34[[#This Row],[Lombardy acc. fit]]-CIl,0)</f>
        <v>0</v>
      </c>
      <c r="BB27" s="161"/>
      <c r="BC27" s="34"/>
      <c r="BD27" s="34"/>
      <c r="BE27" s="162">
        <f>Tabella34[[#This Row],[rest of Italy data]]*NOT(ISBLANK(Tabella34[[#This Row],[rest of Italy data]]))</f>
        <v>0</v>
      </c>
      <c r="BF27" s="211">
        <f>Tabella8[[#This Row],[rest of Italy fit]]</f>
        <v>0</v>
      </c>
      <c r="BG27" s="163" t="e">
        <f>_xlfn.LOGNORM.INV(alpha*Tabella34[[#This Row],[rest of Italy cumul. Fit]]/Ko,mu_o,sigma_o)-(Tabella34[[#This Row],[Day]]-po)</f>
        <v>#NUM!</v>
      </c>
      <c r="BH27" s="163">
        <f>Tabella34[[#This Row],[rest of Italy cumul. Fit]]/Ka</f>
        <v>0</v>
      </c>
      <c r="BI27" s="163">
        <f>IFERROR(Ko*_xlfn.LOGNORM.DIST((Tabella34[[#This Row],[Day]]-po),mu_o,sigma_o,FALSE),0)</f>
        <v>0</v>
      </c>
      <c r="BJ27" s="206" t="e">
        <f>Tabella34[[#This Row],[rest of Italy velocity]]/Tabella34[[#This Row],[rest of Italy cumul. Fit]]</f>
        <v>#DIV/0!</v>
      </c>
      <c r="BK27" s="261" t="e">
        <f>(LN(Tabella34[[#This Row],[Day]]-po)-mu_o)/sigma_o</f>
        <v>#NUM!</v>
      </c>
      <c r="BL27" s="269" t="e">
        <f>EXP(mu_o+sigma_o*Tabella34[[#This Row],[x_o_alpha©+plus]])-(Tabella34[[#This Row],[Day]]-po)</f>
        <v>#DIV/0!</v>
      </c>
      <c r="BM27" s="269" t="e">
        <f>EXP(mu_o+sigma_o*Tabella34[[#This Row],[x_o_alpha©-minus]])-(Tabella34[[#This Row],[Day]]-po)</f>
        <v>#DIV/0!</v>
      </c>
      <c r="BN27" s="269" t="e">
        <f>-sigma_o+SQRT(sigma_o^2-2*Tabella34[[#This Row],[c_o]])</f>
        <v>#DIV/0!</v>
      </c>
      <c r="BO27" s="269" t="e">
        <f>-sigma_o-SQRT(sigma_o^2-2*Tabella34[[#This Row],[c_o]])</f>
        <v>#DIV/0!</v>
      </c>
      <c r="BP27" s="269" t="e">
        <f>mu_o-LN(alpha*Ko/(Tabella34[[#This Row],[rest of Italy velocity]]*sigma_o*SQRTPI(2)))</f>
        <v>#DIV/0!</v>
      </c>
      <c r="BQ27" s="269" t="e">
        <f>Tabella34[[#This Row],[t_alpha_o+plus]]</f>
        <v>#DIV/0!</v>
      </c>
      <c r="BR27" s="91">
        <f>IFERROR(-Ka*_xlfn.LOGNORM.DIST((Tabella34[[#This Row],[Day]]-pa),mu_a,sigma_a,FALSE)*(1+(LN((Tabella34[[#This Row],[Day]]-pa))-mu_a)/sigma_a^2)/(Tabella34[[#This Row],[Day]]-pa),0)</f>
        <v>0</v>
      </c>
      <c r="BS27" s="163">
        <f>Tabella34[[#This Row],[rest of Italy acc. fit]]/y_a_peak</f>
        <v>0</v>
      </c>
      <c r="BT27" s="162">
        <f>Tabella34[[#This Row],[rest of Italy acc. fit]]*NOT(ISBLANK(Tabella34[[#This Row],[rest of Italy data]]))</f>
        <v>0</v>
      </c>
      <c r="BU27" s="96">
        <f>Tabella34[[#This Row],[rest of Italy acc. fit]]+CIa</f>
        <v>694.65203586359735</v>
      </c>
      <c r="BV27" s="96">
        <f>MAX(Tabella34[[#This Row],[rest of Italy acc. fit]]-CIa,0)</f>
        <v>0</v>
      </c>
      <c r="BW27" s="1"/>
      <c r="BX27" s="238" t="s">
        <v>5</v>
      </c>
      <c r="BY27" s="241">
        <f>TINV(0.05,dfl)</f>
        <v>1.9996235849949404</v>
      </c>
      <c r="CL27" s="145"/>
    </row>
    <row r="28" spans="2:90" x14ac:dyDescent="0.3">
      <c r="B28" s="288">
        <v>43851</v>
      </c>
      <c r="C28" s="4">
        <v>21</v>
      </c>
      <c r="D28" s="161"/>
      <c r="E28" s="164"/>
      <c r="F28" s="164"/>
      <c r="G28" s="162">
        <f>Tabella34[[#This Row],[Italy data]]*NOT(ISBLANK(Tabella34[[#This Row],[Italy data]]))</f>
        <v>0</v>
      </c>
      <c r="H28" s="163">
        <f>Tabella8[[#This Row],[Italy fit]]</f>
        <v>0</v>
      </c>
      <c r="I28" s="163" t="e">
        <f>_xlfn.LOGNORM.INV(alpha*Tabella34[[#This Row],[Italy cumul. Fit]]/Kt,mu_t,sigma_t)-(Tabella34[[#This Row],[Day]]-pt)</f>
        <v>#NUM!</v>
      </c>
      <c r="J28" s="163" t="e">
        <f>Tabella34[[#This Row],[Italy d.t.]]/Italy_dt_at_lockdown</f>
        <v>#NUM!</v>
      </c>
      <c r="K28" s="163">
        <f>Tabella34[[#This Row],[Italy cumul. Fit]]/Kf</f>
        <v>0</v>
      </c>
      <c r="L28" s="166">
        <f>Tabella34[[#This Row],[Lombardy acc. fit]]+Tabella34[[#This Row],[rest of Italy acc. fit]]</f>
        <v>0</v>
      </c>
      <c r="M28" s="163">
        <f>Tabella34[[#This Row],[Italy (fitted Lombardy + fitted sum of the other regions)]]/(y_l_peak+y_a_peak)</f>
        <v>0</v>
      </c>
      <c r="N28" s="163">
        <f>IFERROR(Kt*_xlfn.LOGNORM.DIST((Tabella34[[#This Row],[Day]]-pt),mu_t,sigma_t,FALSE),0)</f>
        <v>0</v>
      </c>
      <c r="O28" s="163" t="e">
        <f>Kt*EXP(-0.5*Tabella34[[#This Row],[x_t]]^2)/(sigma_t*SQRTPI(2)*(Tabella34[[#This Row],[Day]]-D_bk))</f>
        <v>#NUM!</v>
      </c>
      <c r="P28" s="206" t="e">
        <f>Tabella34[[#This Row],[Italy velocity]]/Tabella34[[#This Row],[Italy cumul. Fit]]</f>
        <v>#DIV/0!</v>
      </c>
      <c r="Q28" s="269" t="e">
        <f>(LN(Tabella34[[#This Row],[Day]]-D_bk)-mu_t)/sigma_t</f>
        <v>#NUM!</v>
      </c>
      <c r="R28" s="269" t="e">
        <f>EXP(mu_t+sigma_t*Tabella34[[#This Row],[x_t_alpha©+plus]])-(Tabella34[[#This Row],[Day]]-D_bk)</f>
        <v>#DIV/0!</v>
      </c>
      <c r="S28" s="269" t="e">
        <f>EXP(mu_t+sigma_t*Tabella34[[#This Row],[x_t_alpha©-minus]])-(Tabella34[[#This Row],[Day]]-D_bk)</f>
        <v>#DIV/0!</v>
      </c>
      <c r="T28" s="269" t="e">
        <f>-sigma_t+SQRT(sigma_t^2-2*Tabella34[[#This Row],[c_t]])</f>
        <v>#DIV/0!</v>
      </c>
      <c r="U28" s="269" t="e">
        <f>-sigma_t-SQRT(sigma_t^2-2*Tabella34[[#This Row],[c_t]])</f>
        <v>#DIV/0!</v>
      </c>
      <c r="V28" s="269" t="e">
        <f>mu_t-LN(alpha*Kt/(Tabella34[[#This Row],[Italy velocity]]*sigma_t*SQRTPI(2)))</f>
        <v>#DIV/0!</v>
      </c>
      <c r="W28" s="269" t="e">
        <f>Tabella34[[#This Row],[Italy g.r.]]/Italy_gr_at_lockdown</f>
        <v>#DIV/0!</v>
      </c>
      <c r="X28" s="269" t="e">
        <f>Tabella34[[#This Row],[t_alpha_t+plus]]</f>
        <v>#DIV/0!</v>
      </c>
      <c r="Y28" s="269" t="e">
        <f>Tabella34[[#This Row],[Italy h.t.]]/Italy_ht_at_lockdown</f>
        <v>#DIV/0!</v>
      </c>
      <c r="Z28" s="91">
        <f>IFERROR(-Kf*_xlfn.LOGNORM.DIST((Tabella34[[#This Row],[Day]]-D_bk),mu_f,sigma_f,FALSE)*(1+(LN((Tabella34[[#This Row],[Day]]-D_bk))-mu_f)/sigma_f^2)/(Tabella34[[#This Row],[Day]]-D_bk),0)</f>
        <v>0</v>
      </c>
      <c r="AA28" s="91">
        <f>Tabella34[[#This Row],[Italy acc. fit]]/Itali_acc_at_lockdown</f>
        <v>0</v>
      </c>
      <c r="AB28" s="163">
        <f>Tabella34[[#This Row],[Italy acc. fit]]/y_f_peak</f>
        <v>0</v>
      </c>
      <c r="AC28" s="163">
        <f>Tabella34[[#This Row],[Italy (fitted Lombardy + fitted sum of the other regions)]]*NOT(ISBLANK(Tabella34[[#This Row],[Italy data]]))</f>
        <v>0</v>
      </c>
      <c r="AD28" s="163">
        <f>Tabella34[[#This Row],[Italy acc. fit]]*NOT(ISBLANK(Tabella34[[#This Row],[Italy data]]))</f>
        <v>0</v>
      </c>
      <c r="AE28" s="96">
        <f>Tabella34[[#This Row],[Italy acc. fit]]+CIf</f>
        <v>1013.7630020203177</v>
      </c>
      <c r="AF28" s="96">
        <f>MAX(Tabella34[[#This Row],[Italy acc. fit]]-CIf,0)</f>
        <v>0</v>
      </c>
      <c r="AG28" s="161"/>
      <c r="AH28" s="34"/>
      <c r="AI28" s="34"/>
      <c r="AJ28" s="162">
        <f>Tabella34[[#This Row],[Lombardy data]]*NOT(ISBLANK(Tabella34[[#This Row],[Lombardy data]]))</f>
        <v>0</v>
      </c>
      <c r="AK28" s="167">
        <f>Tabella8[[#This Row],[Lombardy fit]]</f>
        <v>0</v>
      </c>
      <c r="AL28" s="163" t="e">
        <f>_xlfn.LOGNORM.INV(alpha*Tabella34[[#This Row],[Lombardy cumul. Fit]]/Kr,mu_r,sigma_r)-(Tabella34[[#This Row],[Day]]-pr)</f>
        <v>#NUM!</v>
      </c>
      <c r="AM28" s="162">
        <f>Tabella34[[#This Row],[Lombardy cumul. Fit]]/Kl</f>
        <v>0</v>
      </c>
      <c r="AN28" s="163">
        <f>IFERROR(Kr*_xlfn.LOGNORM.DIST((Tabella34[[#This Row],[Day]]-pr),mu_r,sigma_r,FALSE),0)</f>
        <v>0</v>
      </c>
      <c r="AO28" s="206" t="e">
        <f>Tabella34[[#This Row],[Lombardy velocity]]/Tabella34[[#This Row],[Lombardy cumul. Fit]]</f>
        <v>#DIV/0!</v>
      </c>
      <c r="AP28" s="261" t="e">
        <f>(LN(Tabella34[[#This Row],[Day]]-pr)-mu_r)/sigma_r</f>
        <v>#NUM!</v>
      </c>
      <c r="AQ28" s="269" t="e">
        <f>EXP(mu_r+sigma_r*Tabella34[[#This Row],[x_r_alpha©+plus]])-(Tabella34[[#This Row],[Day]]-pr)</f>
        <v>#DIV/0!</v>
      </c>
      <c r="AR28" s="269" t="e">
        <f>EXP(mu_r+sigma_r*Tabella34[[#This Row],[x_r_alpha©-minus]])-(Tabella34[[#This Row],[Day]]-pr)</f>
        <v>#DIV/0!</v>
      </c>
      <c r="AS28" s="269" t="e">
        <f>-sigma_r+SQRT(sigma_r^2-2*Tabella34[[#This Row],[c_r]])</f>
        <v>#DIV/0!</v>
      </c>
      <c r="AT28" s="269" t="e">
        <f>-sigma_r-SQRT(sigma_r^2-2*Tabella34[[#This Row],[c_r]])</f>
        <v>#DIV/0!</v>
      </c>
      <c r="AU28" s="269" t="e">
        <f>mu_r-LN(alpha*Kr/(Tabella34[[#This Row],[Lombardy velocity]]*sigma_r*SQRTPI(2)))</f>
        <v>#DIV/0!</v>
      </c>
      <c r="AV28" s="269" t="e">
        <f>Tabella34[[#This Row],[t_alpha_r+plus]]</f>
        <v>#DIV/0!</v>
      </c>
      <c r="AW28" s="91">
        <f>IFERROR(-Kl*_xlfn.LOGNORM.DIST((Tabella34[[#This Row],[Day]]-pl),mu_l,sigma_l,FALSE)*(1+(LN((Tabella34[[#This Row],[Day]]-pl))-mu_l)/sigma_l^2)/(Tabella34[[#This Row],[Day]]-pl),0)</f>
        <v>0</v>
      </c>
      <c r="AX28" s="163">
        <f>Tabella34[[#This Row],[Lombardy acc. fit]]/y_l_peak</f>
        <v>0</v>
      </c>
      <c r="AY28" s="163">
        <f>Tabella34[[#This Row],[Lombardy acc. fit]]*NOT(ISBLANK(Tabella34[[#This Row],[Lombardy data]]))</f>
        <v>0</v>
      </c>
      <c r="AZ28" s="96">
        <f>Tabella34[[#This Row],[Lombardy acc. fit]]+CIl</f>
        <v>748.95537180362362</v>
      </c>
      <c r="BA28" s="96">
        <f>MAX(Tabella34[[#This Row],[Lombardy acc. fit]]-CIl,0)</f>
        <v>0</v>
      </c>
      <c r="BB28" s="161"/>
      <c r="BC28" s="34"/>
      <c r="BD28" s="34"/>
      <c r="BE28" s="162">
        <f>Tabella34[[#This Row],[rest of Italy data]]*NOT(ISBLANK(Tabella34[[#This Row],[rest of Italy data]]))</f>
        <v>0</v>
      </c>
      <c r="BF28" s="211">
        <f>Tabella8[[#This Row],[rest of Italy fit]]</f>
        <v>0</v>
      </c>
      <c r="BG28" s="163" t="e">
        <f>_xlfn.LOGNORM.INV(alpha*Tabella34[[#This Row],[rest of Italy cumul. Fit]]/Ko,mu_o,sigma_o)-(Tabella34[[#This Row],[Day]]-po)</f>
        <v>#NUM!</v>
      </c>
      <c r="BH28" s="163">
        <f>Tabella34[[#This Row],[rest of Italy cumul. Fit]]/Ka</f>
        <v>0</v>
      </c>
      <c r="BI28" s="163">
        <f>IFERROR(Ko*_xlfn.LOGNORM.DIST((Tabella34[[#This Row],[Day]]-po),mu_o,sigma_o,FALSE),0)</f>
        <v>0</v>
      </c>
      <c r="BJ28" s="206" t="e">
        <f>Tabella34[[#This Row],[rest of Italy velocity]]/Tabella34[[#This Row],[rest of Italy cumul. Fit]]</f>
        <v>#DIV/0!</v>
      </c>
      <c r="BK28" s="261" t="e">
        <f>(LN(Tabella34[[#This Row],[Day]]-po)-mu_o)/sigma_o</f>
        <v>#NUM!</v>
      </c>
      <c r="BL28" s="269" t="e">
        <f>EXP(mu_o+sigma_o*Tabella34[[#This Row],[x_o_alpha©+plus]])-(Tabella34[[#This Row],[Day]]-po)</f>
        <v>#DIV/0!</v>
      </c>
      <c r="BM28" s="269" t="e">
        <f>EXP(mu_o+sigma_o*Tabella34[[#This Row],[x_o_alpha©-minus]])-(Tabella34[[#This Row],[Day]]-po)</f>
        <v>#DIV/0!</v>
      </c>
      <c r="BN28" s="269" t="e">
        <f>-sigma_o+SQRT(sigma_o^2-2*Tabella34[[#This Row],[c_o]])</f>
        <v>#DIV/0!</v>
      </c>
      <c r="BO28" s="269" t="e">
        <f>-sigma_o-SQRT(sigma_o^2-2*Tabella34[[#This Row],[c_o]])</f>
        <v>#DIV/0!</v>
      </c>
      <c r="BP28" s="269" t="e">
        <f>mu_o-LN(alpha*Ko/(Tabella34[[#This Row],[rest of Italy velocity]]*sigma_o*SQRTPI(2)))</f>
        <v>#DIV/0!</v>
      </c>
      <c r="BQ28" s="269" t="e">
        <f>Tabella34[[#This Row],[t_alpha_o+plus]]</f>
        <v>#DIV/0!</v>
      </c>
      <c r="BR28" s="91">
        <f>IFERROR(-Ka*_xlfn.LOGNORM.DIST((Tabella34[[#This Row],[Day]]-pa),mu_a,sigma_a,FALSE)*(1+(LN((Tabella34[[#This Row],[Day]]-pa))-mu_a)/sigma_a^2)/(Tabella34[[#This Row],[Day]]-pa),0)</f>
        <v>0</v>
      </c>
      <c r="BS28" s="163">
        <f>Tabella34[[#This Row],[rest of Italy acc. fit]]/y_a_peak</f>
        <v>0</v>
      </c>
      <c r="BT28" s="162">
        <f>Tabella34[[#This Row],[rest of Italy acc. fit]]*NOT(ISBLANK(Tabella34[[#This Row],[rest of Italy data]]))</f>
        <v>0</v>
      </c>
      <c r="BU28" s="96">
        <f>Tabella34[[#This Row],[rest of Italy acc. fit]]+CIa</f>
        <v>694.65203586359735</v>
      </c>
      <c r="BV28" s="96">
        <f>MAX(Tabella34[[#This Row],[rest of Italy acc. fit]]-CIa,0)</f>
        <v>0</v>
      </c>
      <c r="BW28" s="1"/>
      <c r="BX28" s="238" t="s">
        <v>6</v>
      </c>
      <c r="BY28" s="239">
        <f>Critical_tl*SE_of_yl</f>
        <v>748.95537180362362</v>
      </c>
      <c r="CL28" s="62">
        <f>MAX($BY$39)</f>
        <v>0.36215031683880472</v>
      </c>
    </row>
    <row r="29" spans="2:90" x14ac:dyDescent="0.3">
      <c r="B29" s="288">
        <v>43852</v>
      </c>
      <c r="C29" s="4">
        <v>22</v>
      </c>
      <c r="D29" s="10" t="str">
        <f>Tabella8[[#This Row],[Italy cumulative]]</f>
        <v>0</v>
      </c>
      <c r="E29" s="164"/>
      <c r="F29" s="164"/>
      <c r="G29" s="162">
        <f>Tabella34[[#This Row],[Italy data]]*NOT(ISBLANK(Tabella34[[#This Row],[Italy data]]))</f>
        <v>0</v>
      </c>
      <c r="H29" s="163">
        <f>Tabella8[[#This Row],[Italy fit]]</f>
        <v>0</v>
      </c>
      <c r="I29" s="163" t="e">
        <f>_xlfn.LOGNORM.INV(alpha*Tabella34[[#This Row],[Italy cumul. Fit]]/Kt,mu_t,sigma_t)-(Tabella34[[#This Row],[Day]]-pt)</f>
        <v>#NUM!</v>
      </c>
      <c r="J29" s="163" t="e">
        <f>Tabella34[[#This Row],[Italy d.t.]]/Italy_dt_at_lockdown</f>
        <v>#NUM!</v>
      </c>
      <c r="K29" s="163">
        <f>Tabella34[[#This Row],[Italy cumul. Fit]]/Kf</f>
        <v>0</v>
      </c>
      <c r="L29" s="166">
        <f>Tabella34[[#This Row],[Lombardy acc. fit]]+Tabella34[[#This Row],[rest of Italy acc. fit]]</f>
        <v>0</v>
      </c>
      <c r="M29" s="163">
        <f>Tabella34[[#This Row],[Italy (fitted Lombardy + fitted sum of the other regions)]]/(y_l_peak+y_a_peak)</f>
        <v>0</v>
      </c>
      <c r="N29" s="163">
        <f>IFERROR(Kt*_xlfn.LOGNORM.DIST((Tabella34[[#This Row],[Day]]-pt),mu_t,sigma_t,FALSE),0)</f>
        <v>0</v>
      </c>
      <c r="O29" s="163" t="e">
        <f>Kt*EXP(-0.5*Tabella34[[#This Row],[x_t]]^2)/(sigma_t*SQRTPI(2)*(Tabella34[[#This Row],[Day]]-D_bk))</f>
        <v>#NUM!</v>
      </c>
      <c r="P29" s="206" t="e">
        <f>Tabella34[[#This Row],[Italy velocity]]/Tabella34[[#This Row],[Italy cumul. Fit]]</f>
        <v>#DIV/0!</v>
      </c>
      <c r="Q29" s="269" t="e">
        <f>(LN(Tabella34[[#This Row],[Day]]-D_bk)-mu_t)/sigma_t</f>
        <v>#NUM!</v>
      </c>
      <c r="R29" s="269" t="e">
        <f>EXP(mu_t+sigma_t*Tabella34[[#This Row],[x_t_alpha©+plus]])-(Tabella34[[#This Row],[Day]]-D_bk)</f>
        <v>#DIV/0!</v>
      </c>
      <c r="S29" s="269" t="e">
        <f>EXP(mu_t+sigma_t*Tabella34[[#This Row],[x_t_alpha©-minus]])-(Tabella34[[#This Row],[Day]]-D_bk)</f>
        <v>#DIV/0!</v>
      </c>
      <c r="T29" s="269" t="e">
        <f>-sigma_t+SQRT(sigma_t^2-2*Tabella34[[#This Row],[c_t]])</f>
        <v>#DIV/0!</v>
      </c>
      <c r="U29" s="269" t="e">
        <f>-sigma_t-SQRT(sigma_t^2-2*Tabella34[[#This Row],[c_t]])</f>
        <v>#DIV/0!</v>
      </c>
      <c r="V29" s="269" t="e">
        <f>mu_t-LN(alpha*Kt/(Tabella34[[#This Row],[Italy velocity]]*sigma_t*SQRTPI(2)))</f>
        <v>#DIV/0!</v>
      </c>
      <c r="W29" s="269" t="e">
        <f>Tabella34[[#This Row],[Italy g.r.]]/Italy_gr_at_lockdown</f>
        <v>#DIV/0!</v>
      </c>
      <c r="X29" s="269" t="e">
        <f>Tabella34[[#This Row],[t_alpha_t+plus]]</f>
        <v>#DIV/0!</v>
      </c>
      <c r="Y29" s="269" t="e">
        <f>Tabella34[[#This Row],[Italy h.t.]]/Italy_ht_at_lockdown</f>
        <v>#DIV/0!</v>
      </c>
      <c r="Z29" s="91">
        <f>IFERROR(-Kf*_xlfn.LOGNORM.DIST((Tabella34[[#This Row],[Day]]-D_bk),mu_f,sigma_f,FALSE)*(1+(LN((Tabella34[[#This Row],[Day]]-D_bk))-mu_f)/sigma_f^2)/(Tabella34[[#This Row],[Day]]-D_bk),0)</f>
        <v>0</v>
      </c>
      <c r="AA29" s="91">
        <f>Tabella34[[#This Row],[Italy acc. fit]]/Itali_acc_at_lockdown</f>
        <v>0</v>
      </c>
      <c r="AB29" s="163">
        <f>Tabella34[[#This Row],[Italy acc. fit]]/y_f_peak</f>
        <v>0</v>
      </c>
      <c r="AC29" s="163">
        <f>Tabella34[[#This Row],[Italy (fitted Lombardy + fitted sum of the other regions)]]*NOT(ISBLANK(Tabella34[[#This Row],[Italy data]]))</f>
        <v>0</v>
      </c>
      <c r="AD29" s="163">
        <f>Tabella34[[#This Row],[Italy acc. fit]]*NOT(ISBLANK(Tabella34[[#This Row],[Italy data]]))</f>
        <v>0</v>
      </c>
      <c r="AE29" s="96">
        <f>Tabella34[[#This Row],[Italy acc. fit]]+CIf</f>
        <v>1013.7630020203177</v>
      </c>
      <c r="AF29" s="96">
        <f>MAX(Tabella34[[#This Row],[Italy acc. fit]]-CIf,0)</f>
        <v>0</v>
      </c>
      <c r="AG29" s="161"/>
      <c r="AH29" s="34"/>
      <c r="AI29" s="34"/>
      <c r="AJ29" s="162">
        <f>Tabella34[[#This Row],[Lombardy data]]*NOT(ISBLANK(Tabella34[[#This Row],[Lombardy data]]))</f>
        <v>0</v>
      </c>
      <c r="AK29" s="167">
        <f>Tabella8[[#This Row],[Lombardy fit]]</f>
        <v>0</v>
      </c>
      <c r="AL29" s="163" t="e">
        <f>_xlfn.LOGNORM.INV(alpha*Tabella34[[#This Row],[Lombardy cumul. Fit]]/Kr,mu_r,sigma_r)-(Tabella34[[#This Row],[Day]]-pr)</f>
        <v>#NUM!</v>
      </c>
      <c r="AM29" s="162">
        <f>Tabella34[[#This Row],[Lombardy cumul. Fit]]/Kl</f>
        <v>0</v>
      </c>
      <c r="AN29" s="163">
        <f>IFERROR(Kr*_xlfn.LOGNORM.DIST((Tabella34[[#This Row],[Day]]-pr),mu_r,sigma_r,FALSE),0)</f>
        <v>0</v>
      </c>
      <c r="AO29" s="206" t="e">
        <f>Tabella34[[#This Row],[Lombardy velocity]]/Tabella34[[#This Row],[Lombardy cumul. Fit]]</f>
        <v>#DIV/0!</v>
      </c>
      <c r="AP29" s="261" t="e">
        <f>(LN(Tabella34[[#This Row],[Day]]-pr)-mu_r)/sigma_r</f>
        <v>#NUM!</v>
      </c>
      <c r="AQ29" s="269" t="e">
        <f>EXP(mu_r+sigma_r*Tabella34[[#This Row],[x_r_alpha©+plus]])-(Tabella34[[#This Row],[Day]]-pr)</f>
        <v>#DIV/0!</v>
      </c>
      <c r="AR29" s="269" t="e">
        <f>EXP(mu_r+sigma_r*Tabella34[[#This Row],[x_r_alpha©-minus]])-(Tabella34[[#This Row],[Day]]-pr)</f>
        <v>#DIV/0!</v>
      </c>
      <c r="AS29" s="269" t="e">
        <f>-sigma_r+SQRT(sigma_r^2-2*Tabella34[[#This Row],[c_r]])</f>
        <v>#DIV/0!</v>
      </c>
      <c r="AT29" s="269" t="e">
        <f>-sigma_r-SQRT(sigma_r^2-2*Tabella34[[#This Row],[c_r]])</f>
        <v>#DIV/0!</v>
      </c>
      <c r="AU29" s="269" t="e">
        <f>mu_r-LN(alpha*Kr/(Tabella34[[#This Row],[Lombardy velocity]]*sigma_r*SQRTPI(2)))</f>
        <v>#DIV/0!</v>
      </c>
      <c r="AV29" s="269" t="e">
        <f>Tabella34[[#This Row],[t_alpha_r+plus]]</f>
        <v>#DIV/0!</v>
      </c>
      <c r="AW29" s="91">
        <f>IFERROR(-Kl*_xlfn.LOGNORM.DIST((Tabella34[[#This Row],[Day]]-pl),mu_l,sigma_l,FALSE)*(1+(LN((Tabella34[[#This Row],[Day]]-pl))-mu_l)/sigma_l^2)/(Tabella34[[#This Row],[Day]]-pl),0)</f>
        <v>0</v>
      </c>
      <c r="AX29" s="163">
        <f>Tabella34[[#This Row],[Lombardy acc. fit]]/y_l_peak</f>
        <v>0</v>
      </c>
      <c r="AY29" s="163">
        <f>Tabella34[[#This Row],[Lombardy acc. fit]]*NOT(ISBLANK(Tabella34[[#This Row],[Lombardy data]]))</f>
        <v>0</v>
      </c>
      <c r="AZ29" s="96">
        <f>Tabella34[[#This Row],[Lombardy acc. fit]]+CIl</f>
        <v>748.95537180362362</v>
      </c>
      <c r="BA29" s="96">
        <f>MAX(Tabella34[[#This Row],[Lombardy acc. fit]]-CIl,0)</f>
        <v>0</v>
      </c>
      <c r="BB29" s="161"/>
      <c r="BC29" s="34"/>
      <c r="BD29" s="34"/>
      <c r="BE29" s="162">
        <f>Tabella34[[#This Row],[rest of Italy data]]*NOT(ISBLANK(Tabella34[[#This Row],[rest of Italy data]]))</f>
        <v>0</v>
      </c>
      <c r="BF29" s="211">
        <f>Tabella8[[#This Row],[rest of Italy fit]]</f>
        <v>0</v>
      </c>
      <c r="BG29" s="163" t="e">
        <f>_xlfn.LOGNORM.INV(alpha*Tabella34[[#This Row],[rest of Italy cumul. Fit]]/Ko,mu_o,sigma_o)-(Tabella34[[#This Row],[Day]]-po)</f>
        <v>#NUM!</v>
      </c>
      <c r="BH29" s="163">
        <f>Tabella34[[#This Row],[rest of Italy cumul. Fit]]/Ka</f>
        <v>0</v>
      </c>
      <c r="BI29" s="163">
        <f>IFERROR(Ko*_xlfn.LOGNORM.DIST((Tabella34[[#This Row],[Day]]-po),mu_o,sigma_o,FALSE),0)</f>
        <v>0</v>
      </c>
      <c r="BJ29" s="206" t="e">
        <f>Tabella34[[#This Row],[rest of Italy velocity]]/Tabella34[[#This Row],[rest of Italy cumul. Fit]]</f>
        <v>#DIV/0!</v>
      </c>
      <c r="BK29" s="261" t="e">
        <f>(LN(Tabella34[[#This Row],[Day]]-po)-mu_o)/sigma_o</f>
        <v>#NUM!</v>
      </c>
      <c r="BL29" s="269" t="e">
        <f>EXP(mu_o+sigma_o*Tabella34[[#This Row],[x_o_alpha©+plus]])-(Tabella34[[#This Row],[Day]]-po)</f>
        <v>#DIV/0!</v>
      </c>
      <c r="BM29" s="269" t="e">
        <f>EXP(mu_o+sigma_o*Tabella34[[#This Row],[x_o_alpha©-minus]])-(Tabella34[[#This Row],[Day]]-po)</f>
        <v>#DIV/0!</v>
      </c>
      <c r="BN29" s="269" t="e">
        <f>-sigma_o+SQRT(sigma_o^2-2*Tabella34[[#This Row],[c_o]])</f>
        <v>#DIV/0!</v>
      </c>
      <c r="BO29" s="269" t="e">
        <f>-sigma_o-SQRT(sigma_o^2-2*Tabella34[[#This Row],[c_o]])</f>
        <v>#DIV/0!</v>
      </c>
      <c r="BP29" s="269" t="e">
        <f>mu_o-LN(alpha*Ko/(Tabella34[[#This Row],[rest of Italy velocity]]*sigma_o*SQRTPI(2)))</f>
        <v>#DIV/0!</v>
      </c>
      <c r="BQ29" s="269" t="e">
        <f>Tabella34[[#This Row],[t_alpha_o+plus]]</f>
        <v>#DIV/0!</v>
      </c>
      <c r="BR29" s="91">
        <f>IFERROR(-Ka*_xlfn.LOGNORM.DIST((Tabella34[[#This Row],[Day]]-pa),mu_a,sigma_a,FALSE)*(1+(LN((Tabella34[[#This Row],[Day]]-pa))-mu_a)/sigma_a^2)/(Tabella34[[#This Row],[Day]]-pa),0)</f>
        <v>0</v>
      </c>
      <c r="BS29" s="163">
        <f>Tabella34[[#This Row],[rest of Italy acc. fit]]/y_a_peak</f>
        <v>0</v>
      </c>
      <c r="BT29" s="162">
        <f>Tabella34[[#This Row],[rest of Italy acc. fit]]*NOT(ISBLANK(Tabella34[[#This Row],[rest of Italy data]]))</f>
        <v>0</v>
      </c>
      <c r="BU29" s="96">
        <f>Tabella34[[#This Row],[rest of Italy acc. fit]]+CIa</f>
        <v>694.65203586359735</v>
      </c>
      <c r="BV29" s="96">
        <f>MAX(Tabella34[[#This Row],[rest of Italy acc. fit]]-CIa,0)</f>
        <v>0</v>
      </c>
      <c r="BW29" s="1"/>
      <c r="BX29" s="242" t="s">
        <v>306</v>
      </c>
      <c r="BY29" s="243">
        <f>Kl*_xlfn.LOGNORM.DIST(EXP(mu_l-sigma_l^2),mu_l,sigma_l,FALSE)</f>
        <v>1757.954472109541</v>
      </c>
      <c r="CL29" s="63">
        <f>COUNT($BY$33,$BY$34,$BY$35,$BY$44)</f>
        <v>4</v>
      </c>
    </row>
    <row r="30" spans="2:90" x14ac:dyDescent="0.3">
      <c r="B30" s="288">
        <v>43853</v>
      </c>
      <c r="C30" s="4">
        <v>23</v>
      </c>
      <c r="D30" s="10" t="str">
        <f>Tabella8[[#This Row],[Italy cumulative]]</f>
        <v>0</v>
      </c>
      <c r="E30" s="91">
        <f>(Tabella34[[#This Row],[Italy cumul. Data]]-D29)</f>
        <v>0</v>
      </c>
      <c r="F30" s="164"/>
      <c r="G30" s="162">
        <f>Tabella34[[#This Row],[Italy data]]*NOT(ISBLANK(Tabella34[[#This Row],[Italy data]]))</f>
        <v>0</v>
      </c>
      <c r="H30" s="163">
        <f>Tabella8[[#This Row],[Italy fit]]</f>
        <v>0</v>
      </c>
      <c r="I30" s="163" t="e">
        <f>_xlfn.LOGNORM.INV(alpha*Tabella34[[#This Row],[Italy cumul. Fit]]/Kt,mu_t,sigma_t)-(Tabella34[[#This Row],[Day]]-pt)</f>
        <v>#NUM!</v>
      </c>
      <c r="J30" s="163" t="e">
        <f>Tabella34[[#This Row],[Italy d.t.]]/Italy_dt_at_lockdown</f>
        <v>#NUM!</v>
      </c>
      <c r="K30" s="163">
        <f>Tabella34[[#This Row],[Italy cumul. Fit]]/Kf</f>
        <v>0</v>
      </c>
      <c r="L30" s="166">
        <f>Tabella34[[#This Row],[Lombardy acc. fit]]+Tabella34[[#This Row],[rest of Italy acc. fit]]</f>
        <v>0</v>
      </c>
      <c r="M30" s="163">
        <f>Tabella34[[#This Row],[Italy (fitted Lombardy + fitted sum of the other regions)]]/(y_l_peak+y_a_peak)</f>
        <v>0</v>
      </c>
      <c r="N30" s="163">
        <f>IFERROR(Kt*_xlfn.LOGNORM.DIST((Tabella34[[#This Row],[Day]]-pt),mu_t,sigma_t,FALSE),0)</f>
        <v>0</v>
      </c>
      <c r="O30" s="163" t="e">
        <f>Kt*EXP(-0.5*Tabella34[[#This Row],[x_t]]^2)/(sigma_t*SQRTPI(2)*(Tabella34[[#This Row],[Day]]-D_bk))</f>
        <v>#NUM!</v>
      </c>
      <c r="P30" s="206" t="e">
        <f>Tabella34[[#This Row],[Italy velocity]]/Tabella34[[#This Row],[Italy cumul. Fit]]</f>
        <v>#DIV/0!</v>
      </c>
      <c r="Q30" s="269" t="e">
        <f>(LN(Tabella34[[#This Row],[Day]]-D_bk)-mu_t)/sigma_t</f>
        <v>#NUM!</v>
      </c>
      <c r="R30" s="269" t="e">
        <f>EXP(mu_t+sigma_t*Tabella34[[#This Row],[x_t_alpha©+plus]])-(Tabella34[[#This Row],[Day]]-D_bk)</f>
        <v>#DIV/0!</v>
      </c>
      <c r="S30" s="269" t="e">
        <f>EXP(mu_t+sigma_t*Tabella34[[#This Row],[x_t_alpha©-minus]])-(Tabella34[[#This Row],[Day]]-D_bk)</f>
        <v>#DIV/0!</v>
      </c>
      <c r="T30" s="269" t="e">
        <f>-sigma_t+SQRT(sigma_t^2-2*Tabella34[[#This Row],[c_t]])</f>
        <v>#DIV/0!</v>
      </c>
      <c r="U30" s="269" t="e">
        <f>-sigma_t-SQRT(sigma_t^2-2*Tabella34[[#This Row],[c_t]])</f>
        <v>#DIV/0!</v>
      </c>
      <c r="V30" s="269" t="e">
        <f>mu_t-LN(alpha*Kt/(Tabella34[[#This Row],[Italy velocity]]*sigma_t*SQRTPI(2)))</f>
        <v>#DIV/0!</v>
      </c>
      <c r="W30" s="269" t="e">
        <f>Tabella34[[#This Row],[Italy g.r.]]/Italy_gr_at_lockdown</f>
        <v>#DIV/0!</v>
      </c>
      <c r="X30" s="269" t="e">
        <f>Tabella34[[#This Row],[t_alpha_t+plus]]</f>
        <v>#DIV/0!</v>
      </c>
      <c r="Y30" s="269" t="e">
        <f>Tabella34[[#This Row],[Italy h.t.]]/Italy_ht_at_lockdown</f>
        <v>#DIV/0!</v>
      </c>
      <c r="Z30" s="91">
        <f>IFERROR(-Kf*_xlfn.LOGNORM.DIST((Tabella34[[#This Row],[Day]]-D_bk),mu_f,sigma_f,FALSE)*(1+(LN((Tabella34[[#This Row],[Day]]-D_bk))-mu_f)/sigma_f^2)/(Tabella34[[#This Row],[Day]]-D_bk),0)</f>
        <v>0</v>
      </c>
      <c r="AA30" s="91">
        <f>Tabella34[[#This Row],[Italy acc. fit]]/Itali_acc_at_lockdown</f>
        <v>0</v>
      </c>
      <c r="AB30" s="163">
        <f>Tabella34[[#This Row],[Italy acc. fit]]/y_f_peak</f>
        <v>0</v>
      </c>
      <c r="AC30" s="163">
        <f>Tabella34[[#This Row],[Italy (fitted Lombardy + fitted sum of the other regions)]]*NOT(ISBLANK(Tabella34[[#This Row],[Italy data]]))</f>
        <v>0</v>
      </c>
      <c r="AD30" s="163">
        <f>Tabella34[[#This Row],[Italy acc. fit]]*NOT(ISBLANK(Tabella34[[#This Row],[Italy data]]))</f>
        <v>0</v>
      </c>
      <c r="AE30" s="96">
        <f>Tabella34[[#This Row],[Italy acc. fit]]+CIf</f>
        <v>1013.7630020203177</v>
      </c>
      <c r="AF30" s="96">
        <f>MAX(Tabella34[[#This Row],[Italy acc. fit]]-CIf,0)</f>
        <v>0</v>
      </c>
      <c r="AG30" s="161"/>
      <c r="AH30" s="34"/>
      <c r="AI30" s="34"/>
      <c r="AJ30" s="162">
        <f>Tabella34[[#This Row],[Lombardy data]]*NOT(ISBLANK(Tabella34[[#This Row],[Lombardy data]]))</f>
        <v>0</v>
      </c>
      <c r="AK30" s="167">
        <f>Tabella8[[#This Row],[Lombardy fit]]</f>
        <v>0</v>
      </c>
      <c r="AL30" s="163" t="e">
        <f>_xlfn.LOGNORM.INV(alpha*Tabella34[[#This Row],[Lombardy cumul. Fit]]/Kr,mu_r,sigma_r)-(Tabella34[[#This Row],[Day]]-pr)</f>
        <v>#NUM!</v>
      </c>
      <c r="AM30" s="162">
        <f>Tabella34[[#This Row],[Lombardy cumul. Fit]]/Kl</f>
        <v>0</v>
      </c>
      <c r="AN30" s="163">
        <f>IFERROR(Kr*_xlfn.LOGNORM.DIST((Tabella34[[#This Row],[Day]]-pr),mu_r,sigma_r,FALSE),0)</f>
        <v>0</v>
      </c>
      <c r="AO30" s="206" t="e">
        <f>Tabella34[[#This Row],[Lombardy velocity]]/Tabella34[[#This Row],[Lombardy cumul. Fit]]</f>
        <v>#DIV/0!</v>
      </c>
      <c r="AP30" s="261" t="e">
        <f>(LN(Tabella34[[#This Row],[Day]]-pr)-mu_r)/sigma_r</f>
        <v>#NUM!</v>
      </c>
      <c r="AQ30" s="269" t="e">
        <f>EXP(mu_r+sigma_r*Tabella34[[#This Row],[x_r_alpha©+plus]])-(Tabella34[[#This Row],[Day]]-pr)</f>
        <v>#DIV/0!</v>
      </c>
      <c r="AR30" s="269" t="e">
        <f>EXP(mu_r+sigma_r*Tabella34[[#This Row],[x_r_alpha©-minus]])-(Tabella34[[#This Row],[Day]]-pr)</f>
        <v>#DIV/0!</v>
      </c>
      <c r="AS30" s="269" t="e">
        <f>-sigma_r+SQRT(sigma_r^2-2*Tabella34[[#This Row],[c_r]])</f>
        <v>#DIV/0!</v>
      </c>
      <c r="AT30" s="269" t="e">
        <f>-sigma_r-SQRT(sigma_r^2-2*Tabella34[[#This Row],[c_r]])</f>
        <v>#DIV/0!</v>
      </c>
      <c r="AU30" s="269" t="e">
        <f>mu_r-LN(alpha*Kr/(Tabella34[[#This Row],[Lombardy velocity]]*sigma_r*SQRTPI(2)))</f>
        <v>#DIV/0!</v>
      </c>
      <c r="AV30" s="269" t="e">
        <f>Tabella34[[#This Row],[t_alpha_r+plus]]</f>
        <v>#DIV/0!</v>
      </c>
      <c r="AW30" s="91">
        <f>IFERROR(-Kl*_xlfn.LOGNORM.DIST((Tabella34[[#This Row],[Day]]-pl),mu_l,sigma_l,FALSE)*(1+(LN((Tabella34[[#This Row],[Day]]-pl))-mu_l)/sigma_l^2)/(Tabella34[[#This Row],[Day]]-pl),0)</f>
        <v>0</v>
      </c>
      <c r="AX30" s="163">
        <f>Tabella34[[#This Row],[Lombardy acc. fit]]/y_l_peak</f>
        <v>0</v>
      </c>
      <c r="AY30" s="163">
        <f>Tabella34[[#This Row],[Lombardy acc. fit]]*NOT(ISBLANK(Tabella34[[#This Row],[Lombardy data]]))</f>
        <v>0</v>
      </c>
      <c r="AZ30" s="96">
        <f>Tabella34[[#This Row],[Lombardy acc. fit]]+CIl</f>
        <v>748.95537180362362</v>
      </c>
      <c r="BA30" s="96">
        <f>MAX(Tabella34[[#This Row],[Lombardy acc. fit]]-CIl,0)</f>
        <v>0</v>
      </c>
      <c r="BB30" s="161"/>
      <c r="BC30" s="34"/>
      <c r="BD30" s="34"/>
      <c r="BE30" s="162">
        <f>Tabella34[[#This Row],[rest of Italy data]]*NOT(ISBLANK(Tabella34[[#This Row],[rest of Italy data]]))</f>
        <v>0</v>
      </c>
      <c r="BF30" s="211">
        <f>Tabella8[[#This Row],[rest of Italy fit]]</f>
        <v>0</v>
      </c>
      <c r="BG30" s="163" t="e">
        <f>_xlfn.LOGNORM.INV(alpha*Tabella34[[#This Row],[rest of Italy cumul. Fit]]/Ko,mu_o,sigma_o)-(Tabella34[[#This Row],[Day]]-po)</f>
        <v>#NUM!</v>
      </c>
      <c r="BH30" s="163">
        <f>Tabella34[[#This Row],[rest of Italy cumul. Fit]]/Ka</f>
        <v>0</v>
      </c>
      <c r="BI30" s="163">
        <f>IFERROR(Ko*_xlfn.LOGNORM.DIST((Tabella34[[#This Row],[Day]]-po),mu_o,sigma_o,FALSE),0)</f>
        <v>0</v>
      </c>
      <c r="BJ30" s="206" t="e">
        <f>Tabella34[[#This Row],[rest of Italy velocity]]/Tabella34[[#This Row],[rest of Italy cumul. Fit]]</f>
        <v>#DIV/0!</v>
      </c>
      <c r="BK30" s="261" t="e">
        <f>(LN(Tabella34[[#This Row],[Day]]-po)-mu_o)/sigma_o</f>
        <v>#NUM!</v>
      </c>
      <c r="BL30" s="269" t="e">
        <f>EXP(mu_o+sigma_o*Tabella34[[#This Row],[x_o_alpha©+plus]])-(Tabella34[[#This Row],[Day]]-po)</f>
        <v>#DIV/0!</v>
      </c>
      <c r="BM30" s="269" t="e">
        <f>EXP(mu_o+sigma_o*Tabella34[[#This Row],[x_o_alpha©-minus]])-(Tabella34[[#This Row],[Day]]-po)</f>
        <v>#DIV/0!</v>
      </c>
      <c r="BN30" s="269" t="e">
        <f>-sigma_o+SQRT(sigma_o^2-2*Tabella34[[#This Row],[c_o]])</f>
        <v>#DIV/0!</v>
      </c>
      <c r="BO30" s="269" t="e">
        <f>-sigma_o-SQRT(sigma_o^2-2*Tabella34[[#This Row],[c_o]])</f>
        <v>#DIV/0!</v>
      </c>
      <c r="BP30" s="269" t="e">
        <f>mu_o-LN(alpha*Ko/(Tabella34[[#This Row],[rest of Italy velocity]]*sigma_o*SQRTPI(2)))</f>
        <v>#DIV/0!</v>
      </c>
      <c r="BQ30" s="269" t="e">
        <f>Tabella34[[#This Row],[t_alpha_o+plus]]</f>
        <v>#DIV/0!</v>
      </c>
      <c r="BR30" s="91">
        <f>IFERROR(-Ka*_xlfn.LOGNORM.DIST((Tabella34[[#This Row],[Day]]-pa),mu_a,sigma_a,FALSE)*(1+(LN((Tabella34[[#This Row],[Day]]-pa))-mu_a)/sigma_a^2)/(Tabella34[[#This Row],[Day]]-pa),0)</f>
        <v>0</v>
      </c>
      <c r="BS30" s="163">
        <f>Tabella34[[#This Row],[rest of Italy acc. fit]]/y_a_peak</f>
        <v>0</v>
      </c>
      <c r="BT30" s="162">
        <f>Tabella34[[#This Row],[rest of Italy acc. fit]]*NOT(ISBLANK(Tabella34[[#This Row],[rest of Italy data]]))</f>
        <v>0</v>
      </c>
      <c r="BU30" s="96">
        <f>Tabella34[[#This Row],[rest of Italy acc. fit]]+CIa</f>
        <v>694.65203586359735</v>
      </c>
      <c r="BV30" s="96">
        <f>MAX(Tabella34[[#This Row],[rest of Italy acc. fit]]-CIa,0)</f>
        <v>0</v>
      </c>
      <c r="BW30" s="1"/>
      <c r="BX30" s="242" t="s">
        <v>129</v>
      </c>
      <c r="BY30" s="244">
        <f>_xlfn.XLOOKUP(ROUND(EXP(mu_l-sigma_l^2),0),Tabella34[Day],Tabella34[Date])</f>
        <v>43885</v>
      </c>
      <c r="CL30" s="63" t="b">
        <f>pa&lt;=0</f>
        <v>0</v>
      </c>
    </row>
    <row r="31" spans="2:90" x14ac:dyDescent="0.3">
      <c r="B31" s="288">
        <v>43854</v>
      </c>
      <c r="C31" s="4">
        <v>24</v>
      </c>
      <c r="D31" s="10" t="str">
        <f>Tabella8[[#This Row],[Italy cumulative]]</f>
        <v>0</v>
      </c>
      <c r="E31" s="91">
        <f>(Tabella34[[#This Row],[Italy cumul. Data]]-D30)</f>
        <v>0</v>
      </c>
      <c r="F31" s="91">
        <f>Tabella34[[#This Row],[Italy data]]-E30</f>
        <v>0</v>
      </c>
      <c r="G31" s="162">
        <f>Tabella34[[#This Row],[Italy data]]*NOT(ISBLANK(Tabella34[[#This Row],[Italy data]]))</f>
        <v>0</v>
      </c>
      <c r="H31" s="163">
        <f>Tabella8[[#This Row],[Italy fit]]</f>
        <v>0</v>
      </c>
      <c r="I31" s="163" t="e">
        <f>_xlfn.LOGNORM.INV(alpha*Tabella34[[#This Row],[Italy cumul. Fit]]/Kt,mu_t,sigma_t)-(Tabella34[[#This Row],[Day]]-pt)</f>
        <v>#NUM!</v>
      </c>
      <c r="J31" s="163" t="e">
        <f>Tabella34[[#This Row],[Italy d.t.]]/Italy_dt_at_lockdown</f>
        <v>#NUM!</v>
      </c>
      <c r="K31" s="163">
        <f>Tabella34[[#This Row],[Italy cumul. Fit]]/Kf</f>
        <v>0</v>
      </c>
      <c r="L31" s="166">
        <f>Tabella34[[#This Row],[Lombardy acc. fit]]+Tabella34[[#This Row],[rest of Italy acc. fit]]</f>
        <v>0</v>
      </c>
      <c r="M31" s="163">
        <f>Tabella34[[#This Row],[Italy (fitted Lombardy + fitted sum of the other regions)]]/(y_l_peak+y_a_peak)</f>
        <v>0</v>
      </c>
      <c r="N31" s="163">
        <f>IFERROR(Kt*_xlfn.LOGNORM.DIST((Tabella34[[#This Row],[Day]]-pt),mu_t,sigma_t,FALSE),0)</f>
        <v>0</v>
      </c>
      <c r="O31" s="163" t="e">
        <f>Kt*EXP(-0.5*Tabella34[[#This Row],[x_t]]^2)/(sigma_t*SQRTPI(2)*(Tabella34[[#This Row],[Day]]-D_bk))</f>
        <v>#NUM!</v>
      </c>
      <c r="P31" s="206" t="e">
        <f>Tabella34[[#This Row],[Italy velocity]]/Tabella34[[#This Row],[Italy cumul. Fit]]</f>
        <v>#DIV/0!</v>
      </c>
      <c r="Q31" s="269" t="e">
        <f>(LN(Tabella34[[#This Row],[Day]]-D_bk)-mu_t)/sigma_t</f>
        <v>#NUM!</v>
      </c>
      <c r="R31" s="269" t="e">
        <f>EXP(mu_t+sigma_t*Tabella34[[#This Row],[x_t_alpha©+plus]])-(Tabella34[[#This Row],[Day]]-D_bk)</f>
        <v>#DIV/0!</v>
      </c>
      <c r="S31" s="269" t="e">
        <f>EXP(mu_t+sigma_t*Tabella34[[#This Row],[x_t_alpha©-minus]])-(Tabella34[[#This Row],[Day]]-D_bk)</f>
        <v>#DIV/0!</v>
      </c>
      <c r="T31" s="269" t="e">
        <f>-sigma_t+SQRT(sigma_t^2-2*Tabella34[[#This Row],[c_t]])</f>
        <v>#DIV/0!</v>
      </c>
      <c r="U31" s="269" t="e">
        <f>-sigma_t-SQRT(sigma_t^2-2*Tabella34[[#This Row],[c_t]])</f>
        <v>#DIV/0!</v>
      </c>
      <c r="V31" s="269" t="e">
        <f>mu_t-LN(alpha*Kt/(Tabella34[[#This Row],[Italy velocity]]*sigma_t*SQRTPI(2)))</f>
        <v>#DIV/0!</v>
      </c>
      <c r="W31" s="269" t="e">
        <f>Tabella34[[#This Row],[Italy g.r.]]/Italy_gr_at_lockdown</f>
        <v>#DIV/0!</v>
      </c>
      <c r="X31" s="269" t="e">
        <f>Tabella34[[#This Row],[t_alpha_t+plus]]</f>
        <v>#DIV/0!</v>
      </c>
      <c r="Y31" s="269" t="e">
        <f>Tabella34[[#This Row],[Italy h.t.]]/Italy_ht_at_lockdown</f>
        <v>#DIV/0!</v>
      </c>
      <c r="Z31" s="91">
        <f>IFERROR(-Kf*_xlfn.LOGNORM.DIST((Tabella34[[#This Row],[Day]]-D_bk),mu_f,sigma_f,FALSE)*(1+(LN((Tabella34[[#This Row],[Day]]-D_bk))-mu_f)/sigma_f^2)/(Tabella34[[#This Row],[Day]]-D_bk),0)</f>
        <v>0</v>
      </c>
      <c r="AA31" s="91">
        <f>Tabella34[[#This Row],[Italy acc. fit]]/Itali_acc_at_lockdown</f>
        <v>0</v>
      </c>
      <c r="AB31" s="163">
        <f>Tabella34[[#This Row],[Italy acc. fit]]/y_f_peak</f>
        <v>0</v>
      </c>
      <c r="AC31" s="163">
        <f>Tabella34[[#This Row],[Italy (fitted Lombardy + fitted sum of the other regions)]]*NOT(ISBLANK(Tabella34[[#This Row],[Italy data]]))</f>
        <v>0</v>
      </c>
      <c r="AD31" s="163">
        <f>Tabella34[[#This Row],[Italy acc. fit]]*NOT(ISBLANK(Tabella34[[#This Row],[Italy data]]))</f>
        <v>0</v>
      </c>
      <c r="AE31" s="96">
        <f>Tabella34[[#This Row],[Italy acc. fit]]+CIf</f>
        <v>1013.7630020203177</v>
      </c>
      <c r="AF31" s="96">
        <f>MAX(Tabella34[[#This Row],[Italy acc. fit]]-CIf,0)</f>
        <v>0</v>
      </c>
      <c r="AG31" s="161"/>
      <c r="AH31" s="34"/>
      <c r="AI31" s="34"/>
      <c r="AJ31" s="162">
        <f>Tabella34[[#This Row],[Lombardy data]]*NOT(ISBLANK(Tabella34[[#This Row],[Lombardy data]]))</f>
        <v>0</v>
      </c>
      <c r="AK31" s="167">
        <f>Tabella8[[#This Row],[Lombardy fit]]</f>
        <v>0</v>
      </c>
      <c r="AL31" s="163" t="e">
        <f>_xlfn.LOGNORM.INV(alpha*Tabella34[[#This Row],[Lombardy cumul. Fit]]/Kr,mu_r,sigma_r)-(Tabella34[[#This Row],[Day]]-pr)</f>
        <v>#NUM!</v>
      </c>
      <c r="AM31" s="162">
        <f>Tabella34[[#This Row],[Lombardy cumul. Fit]]/Kl</f>
        <v>0</v>
      </c>
      <c r="AN31" s="163">
        <f>IFERROR(Kr*_xlfn.LOGNORM.DIST((Tabella34[[#This Row],[Day]]-pr),mu_r,sigma_r,FALSE),0)</f>
        <v>0</v>
      </c>
      <c r="AO31" s="206" t="e">
        <f>Tabella34[[#This Row],[Lombardy velocity]]/Tabella34[[#This Row],[Lombardy cumul. Fit]]</f>
        <v>#DIV/0!</v>
      </c>
      <c r="AP31" s="261" t="e">
        <f>(LN(Tabella34[[#This Row],[Day]]-pr)-mu_r)/sigma_r</f>
        <v>#NUM!</v>
      </c>
      <c r="AQ31" s="269" t="e">
        <f>EXP(mu_r+sigma_r*Tabella34[[#This Row],[x_r_alpha©+plus]])-(Tabella34[[#This Row],[Day]]-pr)</f>
        <v>#DIV/0!</v>
      </c>
      <c r="AR31" s="269" t="e">
        <f>EXP(mu_r+sigma_r*Tabella34[[#This Row],[x_r_alpha©-minus]])-(Tabella34[[#This Row],[Day]]-pr)</f>
        <v>#DIV/0!</v>
      </c>
      <c r="AS31" s="269" t="e">
        <f>-sigma_r+SQRT(sigma_r^2-2*Tabella34[[#This Row],[c_r]])</f>
        <v>#DIV/0!</v>
      </c>
      <c r="AT31" s="269" t="e">
        <f>-sigma_r-SQRT(sigma_r^2-2*Tabella34[[#This Row],[c_r]])</f>
        <v>#DIV/0!</v>
      </c>
      <c r="AU31" s="269" t="e">
        <f>mu_r-LN(alpha*Kr/(Tabella34[[#This Row],[Lombardy velocity]]*sigma_r*SQRTPI(2)))</f>
        <v>#DIV/0!</v>
      </c>
      <c r="AV31" s="269" t="e">
        <f>Tabella34[[#This Row],[t_alpha_r+plus]]</f>
        <v>#DIV/0!</v>
      </c>
      <c r="AW31" s="91">
        <f>IFERROR(-Kl*_xlfn.LOGNORM.DIST((Tabella34[[#This Row],[Day]]-pl),mu_l,sigma_l,FALSE)*(1+(LN((Tabella34[[#This Row],[Day]]-pl))-mu_l)/sigma_l^2)/(Tabella34[[#This Row],[Day]]-pl),0)</f>
        <v>0</v>
      </c>
      <c r="AX31" s="163">
        <f>Tabella34[[#This Row],[Lombardy acc. fit]]/y_l_peak</f>
        <v>0</v>
      </c>
      <c r="AY31" s="163">
        <f>Tabella34[[#This Row],[Lombardy acc. fit]]*NOT(ISBLANK(Tabella34[[#This Row],[Lombardy data]]))</f>
        <v>0</v>
      </c>
      <c r="AZ31" s="96">
        <f>Tabella34[[#This Row],[Lombardy acc. fit]]+CIl</f>
        <v>748.95537180362362</v>
      </c>
      <c r="BA31" s="96">
        <f>MAX(Tabella34[[#This Row],[Lombardy acc. fit]]-CIl,0)</f>
        <v>0</v>
      </c>
      <c r="BB31" s="161"/>
      <c r="BC31" s="34"/>
      <c r="BD31" s="34"/>
      <c r="BE31" s="162">
        <f>Tabella34[[#This Row],[rest of Italy data]]*NOT(ISBLANK(Tabella34[[#This Row],[rest of Italy data]]))</f>
        <v>0</v>
      </c>
      <c r="BF31" s="211">
        <f>Tabella8[[#This Row],[rest of Italy fit]]</f>
        <v>0</v>
      </c>
      <c r="BG31" s="163" t="e">
        <f>_xlfn.LOGNORM.INV(alpha*Tabella34[[#This Row],[rest of Italy cumul. Fit]]/Ko,mu_o,sigma_o)-(Tabella34[[#This Row],[Day]]-po)</f>
        <v>#NUM!</v>
      </c>
      <c r="BH31" s="163">
        <f>Tabella34[[#This Row],[rest of Italy cumul. Fit]]/Ka</f>
        <v>0</v>
      </c>
      <c r="BI31" s="163">
        <f>IFERROR(Ko*_xlfn.LOGNORM.DIST((Tabella34[[#This Row],[Day]]-po),mu_o,sigma_o,FALSE),0)</f>
        <v>0</v>
      </c>
      <c r="BJ31" s="206" t="e">
        <f>Tabella34[[#This Row],[rest of Italy velocity]]/Tabella34[[#This Row],[rest of Italy cumul. Fit]]</f>
        <v>#DIV/0!</v>
      </c>
      <c r="BK31" s="261" t="e">
        <f>(LN(Tabella34[[#This Row],[Day]]-po)-mu_o)/sigma_o</f>
        <v>#NUM!</v>
      </c>
      <c r="BL31" s="269" t="e">
        <f>EXP(mu_o+sigma_o*Tabella34[[#This Row],[x_o_alpha©+plus]])-(Tabella34[[#This Row],[Day]]-po)</f>
        <v>#DIV/0!</v>
      </c>
      <c r="BM31" s="269" t="e">
        <f>EXP(mu_o+sigma_o*Tabella34[[#This Row],[x_o_alpha©-minus]])-(Tabella34[[#This Row],[Day]]-po)</f>
        <v>#DIV/0!</v>
      </c>
      <c r="BN31" s="269" t="e">
        <f>-sigma_o+SQRT(sigma_o^2-2*Tabella34[[#This Row],[c_o]])</f>
        <v>#DIV/0!</v>
      </c>
      <c r="BO31" s="269" t="e">
        <f>-sigma_o-SQRT(sigma_o^2-2*Tabella34[[#This Row],[c_o]])</f>
        <v>#DIV/0!</v>
      </c>
      <c r="BP31" s="269" t="e">
        <f>mu_o-LN(alpha*Ko/(Tabella34[[#This Row],[rest of Italy velocity]]*sigma_o*SQRTPI(2)))</f>
        <v>#DIV/0!</v>
      </c>
      <c r="BQ31" s="269" t="e">
        <f>Tabella34[[#This Row],[t_alpha_o+plus]]</f>
        <v>#DIV/0!</v>
      </c>
      <c r="BR31" s="91">
        <f>IFERROR(-Ka*_xlfn.LOGNORM.DIST((Tabella34[[#This Row],[Day]]-pa),mu_a,sigma_a,FALSE)*(1+(LN((Tabella34[[#This Row],[Day]]-pa))-mu_a)/sigma_a^2)/(Tabella34[[#This Row],[Day]]-pa),0)</f>
        <v>0</v>
      </c>
      <c r="BS31" s="163">
        <f>Tabella34[[#This Row],[rest of Italy acc. fit]]/y_a_peak</f>
        <v>0</v>
      </c>
      <c r="BT31" s="162">
        <f>Tabella34[[#This Row],[rest of Italy acc. fit]]*NOT(ISBLANK(Tabella34[[#This Row],[rest of Italy data]]))</f>
        <v>0</v>
      </c>
      <c r="BU31" s="96">
        <f>Tabella34[[#This Row],[rest of Italy acc. fit]]+CIa</f>
        <v>694.65203586359735</v>
      </c>
      <c r="BV31" s="96">
        <f>MAX(Tabella34[[#This Row],[rest of Italy acc. fit]]-CIa,0)</f>
        <v>0</v>
      </c>
      <c r="BW31" s="1"/>
      <c r="BX31" s="245" t="s">
        <v>4364</v>
      </c>
      <c r="BY31" s="246">
        <f>pr</f>
        <v>31.22221573497708</v>
      </c>
      <c r="CL31" s="63" t="b">
        <f>sigma_a&gt;=0.000001</f>
        <v>1</v>
      </c>
    </row>
    <row r="32" spans="2:90" x14ac:dyDescent="0.3">
      <c r="B32" s="288">
        <v>43855</v>
      </c>
      <c r="C32" s="4">
        <v>25</v>
      </c>
      <c r="D32" s="10" t="str">
        <f>Tabella8[[#This Row],[Italy cumulative]]</f>
        <v>0</v>
      </c>
      <c r="E32" s="91">
        <f>(Tabella34[[#This Row],[Italy cumul. Data]]-D31)</f>
        <v>0</v>
      </c>
      <c r="F32" s="91">
        <f>Tabella34[[#This Row],[Italy data]]-E31</f>
        <v>0</v>
      </c>
      <c r="G32" s="162">
        <f>Tabella34[[#This Row],[Italy data]]*NOT(ISBLANK(Tabella34[[#This Row],[Italy data]]))</f>
        <v>0</v>
      </c>
      <c r="H32" s="163">
        <f>Tabella8[[#This Row],[Italy fit]]</f>
        <v>0</v>
      </c>
      <c r="I32" s="163" t="e">
        <f>_xlfn.LOGNORM.INV(alpha*Tabella34[[#This Row],[Italy cumul. Fit]]/Kt,mu_t,sigma_t)-(Tabella34[[#This Row],[Day]]-pt)</f>
        <v>#NUM!</v>
      </c>
      <c r="J32" s="163" t="e">
        <f>Tabella34[[#This Row],[Italy d.t.]]/Italy_dt_at_lockdown</f>
        <v>#NUM!</v>
      </c>
      <c r="K32" s="163">
        <f>Tabella34[[#This Row],[Italy cumul. Fit]]/Kf</f>
        <v>0</v>
      </c>
      <c r="L32" s="166">
        <f>Tabella34[[#This Row],[Lombardy acc. fit]]+Tabella34[[#This Row],[rest of Italy acc. fit]]</f>
        <v>0</v>
      </c>
      <c r="M32" s="163">
        <f>Tabella34[[#This Row],[Italy (fitted Lombardy + fitted sum of the other regions)]]/(y_l_peak+y_a_peak)</f>
        <v>0</v>
      </c>
      <c r="N32" s="163">
        <f>IFERROR(Kt*_xlfn.LOGNORM.DIST((Tabella34[[#This Row],[Day]]-pt),mu_t,sigma_t,FALSE),0)</f>
        <v>0</v>
      </c>
      <c r="O32" s="163" t="e">
        <f>Kt*EXP(-0.5*Tabella34[[#This Row],[x_t]]^2)/(sigma_t*SQRTPI(2)*(Tabella34[[#This Row],[Day]]-D_bk))</f>
        <v>#NUM!</v>
      </c>
      <c r="P32" s="206" t="e">
        <f>Tabella34[[#This Row],[Italy velocity]]/Tabella34[[#This Row],[Italy cumul. Fit]]</f>
        <v>#DIV/0!</v>
      </c>
      <c r="Q32" s="269" t="e">
        <f>(LN(Tabella34[[#This Row],[Day]]-D_bk)-mu_t)/sigma_t</f>
        <v>#NUM!</v>
      </c>
      <c r="R32" s="269" t="e">
        <f>EXP(mu_t+sigma_t*Tabella34[[#This Row],[x_t_alpha©+plus]])-(Tabella34[[#This Row],[Day]]-D_bk)</f>
        <v>#DIV/0!</v>
      </c>
      <c r="S32" s="269" t="e">
        <f>EXP(mu_t+sigma_t*Tabella34[[#This Row],[x_t_alpha©-minus]])-(Tabella34[[#This Row],[Day]]-D_bk)</f>
        <v>#DIV/0!</v>
      </c>
      <c r="T32" s="269" t="e">
        <f>-sigma_t+SQRT(sigma_t^2-2*Tabella34[[#This Row],[c_t]])</f>
        <v>#DIV/0!</v>
      </c>
      <c r="U32" s="269" t="e">
        <f>-sigma_t-SQRT(sigma_t^2-2*Tabella34[[#This Row],[c_t]])</f>
        <v>#DIV/0!</v>
      </c>
      <c r="V32" s="269" t="e">
        <f>mu_t-LN(alpha*Kt/(Tabella34[[#This Row],[Italy velocity]]*sigma_t*SQRTPI(2)))</f>
        <v>#DIV/0!</v>
      </c>
      <c r="W32" s="269" t="e">
        <f>Tabella34[[#This Row],[Italy g.r.]]/Italy_gr_at_lockdown</f>
        <v>#DIV/0!</v>
      </c>
      <c r="X32" s="269" t="e">
        <f>Tabella34[[#This Row],[t_alpha_t+plus]]</f>
        <v>#DIV/0!</v>
      </c>
      <c r="Y32" s="269" t="e">
        <f>Tabella34[[#This Row],[Italy h.t.]]/Italy_ht_at_lockdown</f>
        <v>#DIV/0!</v>
      </c>
      <c r="Z32" s="91">
        <f>IFERROR(-Kf*_xlfn.LOGNORM.DIST((Tabella34[[#This Row],[Day]]-D_bk),mu_f,sigma_f,FALSE)*(1+(LN((Tabella34[[#This Row],[Day]]-D_bk))-mu_f)/sigma_f^2)/(Tabella34[[#This Row],[Day]]-D_bk),0)</f>
        <v>0</v>
      </c>
      <c r="AA32" s="91">
        <f>Tabella34[[#This Row],[Italy acc. fit]]/Itali_acc_at_lockdown</f>
        <v>0</v>
      </c>
      <c r="AB32" s="163">
        <f>Tabella34[[#This Row],[Italy acc. fit]]/y_f_peak</f>
        <v>0</v>
      </c>
      <c r="AC32" s="163">
        <f>Tabella34[[#This Row],[Italy (fitted Lombardy + fitted sum of the other regions)]]*NOT(ISBLANK(Tabella34[[#This Row],[Italy data]]))</f>
        <v>0</v>
      </c>
      <c r="AD32" s="163">
        <f>Tabella34[[#This Row],[Italy acc. fit]]*NOT(ISBLANK(Tabella34[[#This Row],[Italy data]]))</f>
        <v>0</v>
      </c>
      <c r="AE32" s="96">
        <f>Tabella34[[#This Row],[Italy acc. fit]]+CIf</f>
        <v>1013.7630020203177</v>
      </c>
      <c r="AF32" s="96">
        <f>MAX(Tabella34[[#This Row],[Italy acc. fit]]-CIf,0)</f>
        <v>0</v>
      </c>
      <c r="AG32" s="161"/>
      <c r="AH32" s="34"/>
      <c r="AI32" s="34"/>
      <c r="AJ32" s="162">
        <f>Tabella34[[#This Row],[Lombardy data]]*NOT(ISBLANK(Tabella34[[#This Row],[Lombardy data]]))</f>
        <v>0</v>
      </c>
      <c r="AK32" s="167">
        <f>Tabella8[[#This Row],[Lombardy fit]]</f>
        <v>0</v>
      </c>
      <c r="AL32" s="163" t="e">
        <f>_xlfn.LOGNORM.INV(alpha*Tabella34[[#This Row],[Lombardy cumul. Fit]]/Kr,mu_r,sigma_r)-(Tabella34[[#This Row],[Day]]-pr)</f>
        <v>#NUM!</v>
      </c>
      <c r="AM32" s="162">
        <f>Tabella34[[#This Row],[Lombardy cumul. Fit]]/Kl</f>
        <v>0</v>
      </c>
      <c r="AN32" s="163">
        <f>IFERROR(Kr*_xlfn.LOGNORM.DIST((Tabella34[[#This Row],[Day]]-pr),mu_r,sigma_r,FALSE),0)</f>
        <v>0</v>
      </c>
      <c r="AO32" s="206" t="e">
        <f>Tabella34[[#This Row],[Lombardy velocity]]/Tabella34[[#This Row],[Lombardy cumul. Fit]]</f>
        <v>#DIV/0!</v>
      </c>
      <c r="AP32" s="261" t="e">
        <f>(LN(Tabella34[[#This Row],[Day]]-pr)-mu_r)/sigma_r</f>
        <v>#NUM!</v>
      </c>
      <c r="AQ32" s="269" t="e">
        <f>EXP(mu_r+sigma_r*Tabella34[[#This Row],[x_r_alpha©+plus]])-(Tabella34[[#This Row],[Day]]-pr)</f>
        <v>#DIV/0!</v>
      </c>
      <c r="AR32" s="269" t="e">
        <f>EXP(mu_r+sigma_r*Tabella34[[#This Row],[x_r_alpha©-minus]])-(Tabella34[[#This Row],[Day]]-pr)</f>
        <v>#DIV/0!</v>
      </c>
      <c r="AS32" s="269" t="e">
        <f>-sigma_r+SQRT(sigma_r^2-2*Tabella34[[#This Row],[c_r]])</f>
        <v>#DIV/0!</v>
      </c>
      <c r="AT32" s="269" t="e">
        <f>-sigma_r-SQRT(sigma_r^2-2*Tabella34[[#This Row],[c_r]])</f>
        <v>#DIV/0!</v>
      </c>
      <c r="AU32" s="269" t="e">
        <f>mu_r-LN(alpha*Kr/(Tabella34[[#This Row],[Lombardy velocity]]*sigma_r*SQRTPI(2)))</f>
        <v>#DIV/0!</v>
      </c>
      <c r="AV32" s="269" t="e">
        <f>Tabella34[[#This Row],[t_alpha_r+plus]]</f>
        <v>#DIV/0!</v>
      </c>
      <c r="AW32" s="91">
        <f>IFERROR(-Kl*_xlfn.LOGNORM.DIST((Tabella34[[#This Row],[Day]]-pl),mu_l,sigma_l,FALSE)*(1+(LN((Tabella34[[#This Row],[Day]]-pl))-mu_l)/sigma_l^2)/(Tabella34[[#This Row],[Day]]-pl),0)</f>
        <v>0</v>
      </c>
      <c r="AX32" s="163">
        <f>Tabella34[[#This Row],[Lombardy acc. fit]]/y_l_peak</f>
        <v>0</v>
      </c>
      <c r="AY32" s="163">
        <f>Tabella34[[#This Row],[Lombardy acc. fit]]*NOT(ISBLANK(Tabella34[[#This Row],[Lombardy data]]))</f>
        <v>0</v>
      </c>
      <c r="AZ32" s="96">
        <f>Tabella34[[#This Row],[Lombardy acc. fit]]+CIl</f>
        <v>748.95537180362362</v>
      </c>
      <c r="BA32" s="96">
        <f>MAX(Tabella34[[#This Row],[Lombardy acc. fit]]-CIl,0)</f>
        <v>0</v>
      </c>
      <c r="BB32" s="161"/>
      <c r="BC32" s="34"/>
      <c r="BD32" s="34"/>
      <c r="BE32" s="162">
        <f>Tabella34[[#This Row],[rest of Italy data]]*NOT(ISBLANK(Tabella34[[#This Row],[rest of Italy data]]))</f>
        <v>0</v>
      </c>
      <c r="BF32" s="211">
        <f>Tabella8[[#This Row],[rest of Italy fit]]</f>
        <v>0</v>
      </c>
      <c r="BG32" s="163" t="e">
        <f>_xlfn.LOGNORM.INV(alpha*Tabella34[[#This Row],[rest of Italy cumul. Fit]]/Ko,mu_o,sigma_o)-(Tabella34[[#This Row],[Day]]-po)</f>
        <v>#NUM!</v>
      </c>
      <c r="BH32" s="163">
        <f>Tabella34[[#This Row],[rest of Italy cumul. Fit]]/Ka</f>
        <v>0</v>
      </c>
      <c r="BI32" s="163">
        <f>IFERROR(Ko*_xlfn.LOGNORM.DIST((Tabella34[[#This Row],[Day]]-po),mu_o,sigma_o,FALSE),0)</f>
        <v>0</v>
      </c>
      <c r="BJ32" s="206" t="e">
        <f>Tabella34[[#This Row],[rest of Italy velocity]]/Tabella34[[#This Row],[rest of Italy cumul. Fit]]</f>
        <v>#DIV/0!</v>
      </c>
      <c r="BK32" s="261" t="e">
        <f>(LN(Tabella34[[#This Row],[Day]]-po)-mu_o)/sigma_o</f>
        <v>#NUM!</v>
      </c>
      <c r="BL32" s="269" t="e">
        <f>EXP(mu_o+sigma_o*Tabella34[[#This Row],[x_o_alpha©+plus]])-(Tabella34[[#This Row],[Day]]-po)</f>
        <v>#DIV/0!</v>
      </c>
      <c r="BM32" s="269" t="e">
        <f>EXP(mu_o+sigma_o*Tabella34[[#This Row],[x_o_alpha©-minus]])-(Tabella34[[#This Row],[Day]]-po)</f>
        <v>#DIV/0!</v>
      </c>
      <c r="BN32" s="269" t="e">
        <f>-sigma_o+SQRT(sigma_o^2-2*Tabella34[[#This Row],[c_o]])</f>
        <v>#DIV/0!</v>
      </c>
      <c r="BO32" s="269" t="e">
        <f>-sigma_o-SQRT(sigma_o^2-2*Tabella34[[#This Row],[c_o]])</f>
        <v>#DIV/0!</v>
      </c>
      <c r="BP32" s="269" t="e">
        <f>mu_o-LN(alpha*Ko/(Tabella34[[#This Row],[rest of Italy velocity]]*sigma_o*SQRTPI(2)))</f>
        <v>#DIV/0!</v>
      </c>
      <c r="BQ32" s="269" t="e">
        <f>Tabella34[[#This Row],[t_alpha_o+plus]]</f>
        <v>#DIV/0!</v>
      </c>
      <c r="BR32" s="91">
        <f>IFERROR(-Ka*_xlfn.LOGNORM.DIST((Tabella34[[#This Row],[Day]]-pa),mu_a,sigma_a,FALSE)*(1+(LN((Tabella34[[#This Row],[Day]]-pa))-mu_a)/sigma_a^2)/(Tabella34[[#This Row],[Day]]-pa),0)</f>
        <v>0</v>
      </c>
      <c r="BS32" s="163">
        <f>Tabella34[[#This Row],[rest of Italy acc. fit]]/y_a_peak</f>
        <v>0</v>
      </c>
      <c r="BT32" s="162">
        <f>Tabella34[[#This Row],[rest of Italy acc. fit]]*NOT(ISBLANK(Tabella34[[#This Row],[rest of Italy data]]))</f>
        <v>0</v>
      </c>
      <c r="BU32" s="96">
        <f>Tabella34[[#This Row],[rest of Italy acc. fit]]+CIa</f>
        <v>694.65203586359735</v>
      </c>
      <c r="BV32" s="96">
        <f>MAX(Tabella34[[#This Row],[rest of Italy acc. fit]]-CIa,0)</f>
        <v>0</v>
      </c>
      <c r="BW32" s="1"/>
      <c r="BX32" s="247" t="s">
        <v>83</v>
      </c>
      <c r="BY32" s="248" t="s">
        <v>120</v>
      </c>
      <c r="CL32" s="63">
        <f>{32767;32767;0.000001;0.01;FALSE;FALSE;FALSE;1;2;1;0.0001;TRUE}</f>
        <v>32767</v>
      </c>
    </row>
    <row r="33" spans="2:90" ht="15" thickBot="1" x14ac:dyDescent="0.35">
      <c r="B33" s="288">
        <v>43856</v>
      </c>
      <c r="C33" s="4">
        <v>26</v>
      </c>
      <c r="D33" s="10" t="str">
        <f>Tabella8[[#This Row],[Italy cumulative]]</f>
        <v>0</v>
      </c>
      <c r="E33" s="91">
        <f>(Tabella34[[#This Row],[Italy cumul. Data]]-D32)</f>
        <v>0</v>
      </c>
      <c r="F33" s="91">
        <f>Tabella34[[#This Row],[Italy data]]-E32</f>
        <v>0</v>
      </c>
      <c r="G33" s="162">
        <f>Tabella34[[#This Row],[Italy data]]*NOT(ISBLANK(Tabella34[[#This Row],[Italy data]]))</f>
        <v>0</v>
      </c>
      <c r="H33" s="163">
        <f>Tabella8[[#This Row],[Italy fit]]</f>
        <v>0</v>
      </c>
      <c r="I33" s="163" t="e">
        <f>_xlfn.LOGNORM.INV(alpha*Tabella34[[#This Row],[Italy cumul. Fit]]/Kt,mu_t,sigma_t)-(Tabella34[[#This Row],[Day]]-pt)</f>
        <v>#NUM!</v>
      </c>
      <c r="J33" s="163" t="e">
        <f>Tabella34[[#This Row],[Italy d.t.]]/Italy_dt_at_lockdown</f>
        <v>#NUM!</v>
      </c>
      <c r="K33" s="163">
        <f>Tabella34[[#This Row],[Italy cumul. Fit]]/Kf</f>
        <v>0</v>
      </c>
      <c r="L33" s="166">
        <f>Tabella34[[#This Row],[Lombardy acc. fit]]+Tabella34[[#This Row],[rest of Italy acc. fit]]</f>
        <v>0</v>
      </c>
      <c r="M33" s="163">
        <f>Tabella34[[#This Row],[Italy (fitted Lombardy + fitted sum of the other regions)]]/(y_l_peak+y_a_peak)</f>
        <v>0</v>
      </c>
      <c r="N33" s="163">
        <f>IFERROR(Kt*_xlfn.LOGNORM.DIST((Tabella34[[#This Row],[Day]]-pt),mu_t,sigma_t,FALSE),0)</f>
        <v>0</v>
      </c>
      <c r="O33" s="163" t="e">
        <f>Kt*EXP(-0.5*Tabella34[[#This Row],[x_t]]^2)/(sigma_t*SQRTPI(2)*(Tabella34[[#This Row],[Day]]-D_bk))</f>
        <v>#NUM!</v>
      </c>
      <c r="P33" s="206" t="e">
        <f>Tabella34[[#This Row],[Italy velocity]]/Tabella34[[#This Row],[Italy cumul. Fit]]</f>
        <v>#DIV/0!</v>
      </c>
      <c r="Q33" s="269" t="e">
        <f>(LN(Tabella34[[#This Row],[Day]]-D_bk)-mu_t)/sigma_t</f>
        <v>#NUM!</v>
      </c>
      <c r="R33" s="269" t="e">
        <f>EXP(mu_t+sigma_t*Tabella34[[#This Row],[x_t_alpha©+plus]])-(Tabella34[[#This Row],[Day]]-D_bk)</f>
        <v>#DIV/0!</v>
      </c>
      <c r="S33" s="269" t="e">
        <f>EXP(mu_t+sigma_t*Tabella34[[#This Row],[x_t_alpha©-minus]])-(Tabella34[[#This Row],[Day]]-D_bk)</f>
        <v>#DIV/0!</v>
      </c>
      <c r="T33" s="269" t="e">
        <f>-sigma_t+SQRT(sigma_t^2-2*Tabella34[[#This Row],[c_t]])</f>
        <v>#DIV/0!</v>
      </c>
      <c r="U33" s="269" t="e">
        <f>-sigma_t-SQRT(sigma_t^2-2*Tabella34[[#This Row],[c_t]])</f>
        <v>#DIV/0!</v>
      </c>
      <c r="V33" s="269" t="e">
        <f>mu_t-LN(alpha*Kt/(Tabella34[[#This Row],[Italy velocity]]*sigma_t*SQRTPI(2)))</f>
        <v>#DIV/0!</v>
      </c>
      <c r="W33" s="269" t="e">
        <f>Tabella34[[#This Row],[Italy g.r.]]/Italy_gr_at_lockdown</f>
        <v>#DIV/0!</v>
      </c>
      <c r="X33" s="269" t="e">
        <f>Tabella34[[#This Row],[t_alpha_t+plus]]</f>
        <v>#DIV/0!</v>
      </c>
      <c r="Y33" s="269" t="e">
        <f>Tabella34[[#This Row],[Italy h.t.]]/Italy_ht_at_lockdown</f>
        <v>#DIV/0!</v>
      </c>
      <c r="Z33" s="91">
        <f>IFERROR(-Kf*_xlfn.LOGNORM.DIST((Tabella34[[#This Row],[Day]]-D_bk),mu_f,sigma_f,FALSE)*(1+(LN((Tabella34[[#This Row],[Day]]-D_bk))-mu_f)/sigma_f^2)/(Tabella34[[#This Row],[Day]]-D_bk),0)</f>
        <v>0</v>
      </c>
      <c r="AA33" s="91">
        <f>Tabella34[[#This Row],[Italy acc. fit]]/Itali_acc_at_lockdown</f>
        <v>0</v>
      </c>
      <c r="AB33" s="163">
        <f>Tabella34[[#This Row],[Italy acc. fit]]/y_f_peak</f>
        <v>0</v>
      </c>
      <c r="AC33" s="163">
        <f>Tabella34[[#This Row],[Italy (fitted Lombardy + fitted sum of the other regions)]]*NOT(ISBLANK(Tabella34[[#This Row],[Italy data]]))</f>
        <v>0</v>
      </c>
      <c r="AD33" s="163">
        <f>Tabella34[[#This Row],[Italy acc. fit]]*NOT(ISBLANK(Tabella34[[#This Row],[Italy data]]))</f>
        <v>0</v>
      </c>
      <c r="AE33" s="96">
        <f>Tabella34[[#This Row],[Italy acc. fit]]+CIf</f>
        <v>1013.7630020203177</v>
      </c>
      <c r="AF33" s="96">
        <f>MAX(Tabella34[[#This Row],[Italy acc. fit]]-CIf,0)</f>
        <v>0</v>
      </c>
      <c r="AG33" s="161"/>
      <c r="AH33" s="34"/>
      <c r="AI33" s="34"/>
      <c r="AJ33" s="162">
        <f>Tabella34[[#This Row],[Lombardy data]]*NOT(ISBLANK(Tabella34[[#This Row],[Lombardy data]]))</f>
        <v>0</v>
      </c>
      <c r="AK33" s="167">
        <f>Tabella8[[#This Row],[Lombardy fit]]</f>
        <v>0</v>
      </c>
      <c r="AL33" s="163" t="e">
        <f>_xlfn.LOGNORM.INV(alpha*Tabella34[[#This Row],[Lombardy cumul. Fit]]/Kr,mu_r,sigma_r)-(Tabella34[[#This Row],[Day]]-pr)</f>
        <v>#NUM!</v>
      </c>
      <c r="AM33" s="162">
        <f>Tabella34[[#This Row],[Lombardy cumul. Fit]]/Kl</f>
        <v>0</v>
      </c>
      <c r="AN33" s="163">
        <f>IFERROR(Kr*_xlfn.LOGNORM.DIST((Tabella34[[#This Row],[Day]]-pr),mu_r,sigma_r,FALSE),0)</f>
        <v>0</v>
      </c>
      <c r="AO33" s="206" t="e">
        <f>Tabella34[[#This Row],[Lombardy velocity]]/Tabella34[[#This Row],[Lombardy cumul. Fit]]</f>
        <v>#DIV/0!</v>
      </c>
      <c r="AP33" s="261" t="e">
        <f>(LN(Tabella34[[#This Row],[Day]]-pr)-mu_r)/sigma_r</f>
        <v>#NUM!</v>
      </c>
      <c r="AQ33" s="269" t="e">
        <f>EXP(mu_r+sigma_r*Tabella34[[#This Row],[x_r_alpha©+plus]])-(Tabella34[[#This Row],[Day]]-pr)</f>
        <v>#DIV/0!</v>
      </c>
      <c r="AR33" s="269" t="e">
        <f>EXP(mu_r+sigma_r*Tabella34[[#This Row],[x_r_alpha©-minus]])-(Tabella34[[#This Row],[Day]]-pr)</f>
        <v>#DIV/0!</v>
      </c>
      <c r="AS33" s="269" t="e">
        <f>-sigma_r+SQRT(sigma_r^2-2*Tabella34[[#This Row],[c_r]])</f>
        <v>#DIV/0!</v>
      </c>
      <c r="AT33" s="269" t="e">
        <f>-sigma_r-SQRT(sigma_r^2-2*Tabella34[[#This Row],[c_r]])</f>
        <v>#DIV/0!</v>
      </c>
      <c r="AU33" s="269" t="e">
        <f>mu_r-LN(alpha*Kr/(Tabella34[[#This Row],[Lombardy velocity]]*sigma_r*SQRTPI(2)))</f>
        <v>#DIV/0!</v>
      </c>
      <c r="AV33" s="269" t="e">
        <f>Tabella34[[#This Row],[t_alpha_r+plus]]</f>
        <v>#DIV/0!</v>
      </c>
      <c r="AW33" s="91">
        <f>IFERROR(-Kl*_xlfn.LOGNORM.DIST((Tabella34[[#This Row],[Day]]-pl),mu_l,sigma_l,FALSE)*(1+(LN((Tabella34[[#This Row],[Day]]-pl))-mu_l)/sigma_l^2)/(Tabella34[[#This Row],[Day]]-pl),0)</f>
        <v>0</v>
      </c>
      <c r="AX33" s="163">
        <f>Tabella34[[#This Row],[Lombardy acc. fit]]/y_l_peak</f>
        <v>0</v>
      </c>
      <c r="AY33" s="163">
        <f>Tabella34[[#This Row],[Lombardy acc. fit]]*NOT(ISBLANK(Tabella34[[#This Row],[Lombardy data]]))</f>
        <v>0</v>
      </c>
      <c r="AZ33" s="96">
        <f>Tabella34[[#This Row],[Lombardy acc. fit]]+CIl</f>
        <v>748.95537180362362</v>
      </c>
      <c r="BA33" s="96">
        <f>MAX(Tabella34[[#This Row],[Lombardy acc. fit]]-CIl,0)</f>
        <v>0</v>
      </c>
      <c r="BB33" s="161"/>
      <c r="BC33" s="34"/>
      <c r="BD33" s="34"/>
      <c r="BE33" s="162">
        <f>Tabella34[[#This Row],[rest of Italy data]]*NOT(ISBLANK(Tabella34[[#This Row],[rest of Italy data]]))</f>
        <v>0</v>
      </c>
      <c r="BF33" s="211">
        <f>Tabella8[[#This Row],[rest of Italy fit]]</f>
        <v>0</v>
      </c>
      <c r="BG33" s="163" t="e">
        <f>_xlfn.LOGNORM.INV(alpha*Tabella34[[#This Row],[rest of Italy cumul. Fit]]/Ko,mu_o,sigma_o)-(Tabella34[[#This Row],[Day]]-po)</f>
        <v>#NUM!</v>
      </c>
      <c r="BH33" s="163">
        <f>Tabella34[[#This Row],[rest of Italy cumul. Fit]]/Ka</f>
        <v>0</v>
      </c>
      <c r="BI33" s="163">
        <f>IFERROR(Ko*_xlfn.LOGNORM.DIST((Tabella34[[#This Row],[Day]]-po),mu_o,sigma_o,FALSE),0)</f>
        <v>0</v>
      </c>
      <c r="BJ33" s="206" t="e">
        <f>Tabella34[[#This Row],[rest of Italy velocity]]/Tabella34[[#This Row],[rest of Italy cumul. Fit]]</f>
        <v>#DIV/0!</v>
      </c>
      <c r="BK33" s="261" t="e">
        <f>(LN(Tabella34[[#This Row],[Day]]-po)-mu_o)/sigma_o</f>
        <v>#NUM!</v>
      </c>
      <c r="BL33" s="269" t="e">
        <f>EXP(mu_o+sigma_o*Tabella34[[#This Row],[x_o_alpha©+plus]])-(Tabella34[[#This Row],[Day]]-po)</f>
        <v>#DIV/0!</v>
      </c>
      <c r="BM33" s="269" t="e">
        <f>EXP(mu_o+sigma_o*Tabella34[[#This Row],[x_o_alpha©-minus]])-(Tabella34[[#This Row],[Day]]-po)</f>
        <v>#DIV/0!</v>
      </c>
      <c r="BN33" s="269" t="e">
        <f>-sigma_o+SQRT(sigma_o^2-2*Tabella34[[#This Row],[c_o]])</f>
        <v>#DIV/0!</v>
      </c>
      <c r="BO33" s="269" t="e">
        <f>-sigma_o-SQRT(sigma_o^2-2*Tabella34[[#This Row],[c_o]])</f>
        <v>#DIV/0!</v>
      </c>
      <c r="BP33" s="269" t="e">
        <f>mu_o-LN(alpha*Ko/(Tabella34[[#This Row],[rest of Italy velocity]]*sigma_o*SQRTPI(2)))</f>
        <v>#DIV/0!</v>
      </c>
      <c r="BQ33" s="269" t="e">
        <f>Tabella34[[#This Row],[t_alpha_o+plus]]</f>
        <v>#DIV/0!</v>
      </c>
      <c r="BR33" s="91">
        <f>IFERROR(-Ka*_xlfn.LOGNORM.DIST((Tabella34[[#This Row],[Day]]-pa),mu_a,sigma_a,FALSE)*(1+(LN((Tabella34[[#This Row],[Day]]-pa))-mu_a)/sigma_a^2)/(Tabella34[[#This Row],[Day]]-pa),0)</f>
        <v>0</v>
      </c>
      <c r="BS33" s="163">
        <f>Tabella34[[#This Row],[rest of Italy acc. fit]]/y_a_peak</f>
        <v>0</v>
      </c>
      <c r="BT33" s="162">
        <f>Tabella34[[#This Row],[rest of Italy acc. fit]]*NOT(ISBLANK(Tabella34[[#This Row],[rest of Italy data]]))</f>
        <v>0</v>
      </c>
      <c r="BU33" s="96">
        <f>Tabella34[[#This Row],[rest of Italy acc. fit]]+CIa</f>
        <v>694.65203586359735</v>
      </c>
      <c r="BV33" s="96">
        <f>MAX(Tabella34[[#This Row],[rest of Italy acc. fit]]-CIa,0)</f>
        <v>0</v>
      </c>
      <c r="BW33" s="1"/>
      <c r="BX33" s="234" t="s">
        <v>0</v>
      </c>
      <c r="BY33" s="235">
        <f>Ko</f>
        <v>147999.98277109722</v>
      </c>
      <c r="CL33" s="63">
        <f>{0;0;1;200;0;FALSE;FALSE;0.075;0;0;FALSE;30}</f>
        <v>0</v>
      </c>
    </row>
    <row r="34" spans="2:90" x14ac:dyDescent="0.3">
      <c r="B34" s="288">
        <v>43857</v>
      </c>
      <c r="C34" s="4">
        <v>27</v>
      </c>
      <c r="D34" s="10" t="str">
        <f>Tabella8[[#This Row],[Italy cumulative]]</f>
        <v>0</v>
      </c>
      <c r="E34" s="91">
        <f>(Tabella34[[#This Row],[Italy cumul. Data]]-D33)</f>
        <v>0</v>
      </c>
      <c r="F34" s="91">
        <f>Tabella34[[#This Row],[Italy data]]-E33</f>
        <v>0</v>
      </c>
      <c r="G34" s="162">
        <f>Tabella34[[#This Row],[Italy data]]*NOT(ISBLANK(Tabella34[[#This Row],[Italy data]]))</f>
        <v>0</v>
      </c>
      <c r="H34" s="163">
        <f>Tabella8[[#This Row],[Italy fit]]</f>
        <v>0</v>
      </c>
      <c r="I34" s="163" t="e">
        <f>_xlfn.LOGNORM.INV(alpha*Tabella34[[#This Row],[Italy cumul. Fit]]/Kt,mu_t,sigma_t)-(Tabella34[[#This Row],[Day]]-pt)</f>
        <v>#NUM!</v>
      </c>
      <c r="J34" s="163" t="e">
        <f>Tabella34[[#This Row],[Italy d.t.]]/Italy_dt_at_lockdown</f>
        <v>#NUM!</v>
      </c>
      <c r="K34" s="163">
        <f>Tabella34[[#This Row],[Italy cumul. Fit]]/Kf</f>
        <v>0</v>
      </c>
      <c r="L34" s="166">
        <f>Tabella34[[#This Row],[Lombardy acc. fit]]+Tabella34[[#This Row],[rest of Italy acc. fit]]</f>
        <v>0</v>
      </c>
      <c r="M34" s="163">
        <f>Tabella34[[#This Row],[Italy (fitted Lombardy + fitted sum of the other regions)]]/(y_l_peak+y_a_peak)</f>
        <v>0</v>
      </c>
      <c r="N34" s="163">
        <f>IFERROR(Kt*_xlfn.LOGNORM.DIST((Tabella34[[#This Row],[Day]]-pt),mu_t,sigma_t,FALSE),0)</f>
        <v>0</v>
      </c>
      <c r="O34" s="163" t="e">
        <f>Kt*EXP(-0.5*Tabella34[[#This Row],[x_t]]^2)/(sigma_t*SQRTPI(2)*(Tabella34[[#This Row],[Day]]-D_bk))</f>
        <v>#NUM!</v>
      </c>
      <c r="P34" s="206" t="e">
        <f>Tabella34[[#This Row],[Italy velocity]]/Tabella34[[#This Row],[Italy cumul. Fit]]</f>
        <v>#DIV/0!</v>
      </c>
      <c r="Q34" s="269" t="e">
        <f>(LN(Tabella34[[#This Row],[Day]]-D_bk)-mu_t)/sigma_t</f>
        <v>#NUM!</v>
      </c>
      <c r="R34" s="269" t="e">
        <f>EXP(mu_t+sigma_t*Tabella34[[#This Row],[x_t_alpha©+plus]])-(Tabella34[[#This Row],[Day]]-D_bk)</f>
        <v>#DIV/0!</v>
      </c>
      <c r="S34" s="269" t="e">
        <f>EXP(mu_t+sigma_t*Tabella34[[#This Row],[x_t_alpha©-minus]])-(Tabella34[[#This Row],[Day]]-D_bk)</f>
        <v>#DIV/0!</v>
      </c>
      <c r="T34" s="269" t="e">
        <f>-sigma_t+SQRT(sigma_t^2-2*Tabella34[[#This Row],[c_t]])</f>
        <v>#DIV/0!</v>
      </c>
      <c r="U34" s="269" t="e">
        <f>-sigma_t-SQRT(sigma_t^2-2*Tabella34[[#This Row],[c_t]])</f>
        <v>#DIV/0!</v>
      </c>
      <c r="V34" s="269" t="e">
        <f>mu_t-LN(alpha*Kt/(Tabella34[[#This Row],[Italy velocity]]*sigma_t*SQRTPI(2)))</f>
        <v>#DIV/0!</v>
      </c>
      <c r="W34" s="269" t="e">
        <f>Tabella34[[#This Row],[Italy g.r.]]/Italy_gr_at_lockdown</f>
        <v>#DIV/0!</v>
      </c>
      <c r="X34" s="269" t="e">
        <f>Tabella34[[#This Row],[t_alpha_t+plus]]</f>
        <v>#DIV/0!</v>
      </c>
      <c r="Y34" s="269" t="e">
        <f>Tabella34[[#This Row],[Italy h.t.]]/Italy_ht_at_lockdown</f>
        <v>#DIV/0!</v>
      </c>
      <c r="Z34" s="91">
        <f>IFERROR(-Kf*_xlfn.LOGNORM.DIST((Tabella34[[#This Row],[Day]]-D_bk),mu_f,sigma_f,FALSE)*(1+(LN((Tabella34[[#This Row],[Day]]-D_bk))-mu_f)/sigma_f^2)/(Tabella34[[#This Row],[Day]]-D_bk),0)</f>
        <v>0</v>
      </c>
      <c r="AA34" s="91">
        <f>Tabella34[[#This Row],[Italy acc. fit]]/Itali_acc_at_lockdown</f>
        <v>0</v>
      </c>
      <c r="AB34" s="163">
        <f>Tabella34[[#This Row],[Italy acc. fit]]/y_f_peak</f>
        <v>0</v>
      </c>
      <c r="AC34" s="163">
        <f>Tabella34[[#This Row],[Italy (fitted Lombardy + fitted sum of the other regions)]]*NOT(ISBLANK(Tabella34[[#This Row],[Italy data]]))</f>
        <v>0</v>
      </c>
      <c r="AD34" s="163">
        <f>Tabella34[[#This Row],[Italy acc. fit]]*NOT(ISBLANK(Tabella34[[#This Row],[Italy data]]))</f>
        <v>0</v>
      </c>
      <c r="AE34" s="96">
        <f>Tabella34[[#This Row],[Italy acc. fit]]+CIf</f>
        <v>1013.7630020203177</v>
      </c>
      <c r="AF34" s="96">
        <f>MAX(Tabella34[[#This Row],[Italy acc. fit]]-CIf,0)</f>
        <v>0</v>
      </c>
      <c r="AG34" s="161"/>
      <c r="AH34" s="34"/>
      <c r="AI34" s="34"/>
      <c r="AJ34" s="162">
        <f>Tabella34[[#This Row],[Lombardy data]]*NOT(ISBLANK(Tabella34[[#This Row],[Lombardy data]]))</f>
        <v>0</v>
      </c>
      <c r="AK34" s="167">
        <f>Tabella8[[#This Row],[Lombardy fit]]</f>
        <v>0</v>
      </c>
      <c r="AL34" s="163" t="e">
        <f>_xlfn.LOGNORM.INV(alpha*Tabella34[[#This Row],[Lombardy cumul. Fit]]/Kr,mu_r,sigma_r)-(Tabella34[[#This Row],[Day]]-pr)</f>
        <v>#NUM!</v>
      </c>
      <c r="AM34" s="162">
        <f>Tabella34[[#This Row],[Lombardy cumul. Fit]]/Kl</f>
        <v>0</v>
      </c>
      <c r="AN34" s="163">
        <f>IFERROR(Kr*_xlfn.LOGNORM.DIST((Tabella34[[#This Row],[Day]]-pr),mu_r,sigma_r,FALSE),0)</f>
        <v>0</v>
      </c>
      <c r="AO34" s="206" t="e">
        <f>Tabella34[[#This Row],[Lombardy velocity]]/Tabella34[[#This Row],[Lombardy cumul. Fit]]</f>
        <v>#DIV/0!</v>
      </c>
      <c r="AP34" s="261" t="e">
        <f>(LN(Tabella34[[#This Row],[Day]]-pr)-mu_r)/sigma_r</f>
        <v>#NUM!</v>
      </c>
      <c r="AQ34" s="269" t="e">
        <f>EXP(mu_r+sigma_r*Tabella34[[#This Row],[x_r_alpha©+plus]])-(Tabella34[[#This Row],[Day]]-pr)</f>
        <v>#DIV/0!</v>
      </c>
      <c r="AR34" s="269" t="e">
        <f>EXP(mu_r+sigma_r*Tabella34[[#This Row],[x_r_alpha©-minus]])-(Tabella34[[#This Row],[Day]]-pr)</f>
        <v>#DIV/0!</v>
      </c>
      <c r="AS34" s="269" t="e">
        <f>-sigma_r+SQRT(sigma_r^2-2*Tabella34[[#This Row],[c_r]])</f>
        <v>#DIV/0!</v>
      </c>
      <c r="AT34" s="269" t="e">
        <f>-sigma_r-SQRT(sigma_r^2-2*Tabella34[[#This Row],[c_r]])</f>
        <v>#DIV/0!</v>
      </c>
      <c r="AU34" s="269" t="e">
        <f>mu_r-LN(alpha*Kr/(Tabella34[[#This Row],[Lombardy velocity]]*sigma_r*SQRTPI(2)))</f>
        <v>#DIV/0!</v>
      </c>
      <c r="AV34" s="269" t="e">
        <f>Tabella34[[#This Row],[t_alpha_r+plus]]</f>
        <v>#DIV/0!</v>
      </c>
      <c r="AW34" s="91">
        <f>IFERROR(-Kl*_xlfn.LOGNORM.DIST((Tabella34[[#This Row],[Day]]-pl),mu_l,sigma_l,FALSE)*(1+(LN((Tabella34[[#This Row],[Day]]-pl))-mu_l)/sigma_l^2)/(Tabella34[[#This Row],[Day]]-pl),0)</f>
        <v>0</v>
      </c>
      <c r="AX34" s="163">
        <f>Tabella34[[#This Row],[Lombardy acc. fit]]/y_l_peak</f>
        <v>0</v>
      </c>
      <c r="AY34" s="163">
        <f>Tabella34[[#This Row],[Lombardy acc. fit]]*NOT(ISBLANK(Tabella34[[#This Row],[Lombardy data]]))</f>
        <v>0</v>
      </c>
      <c r="AZ34" s="96">
        <f>Tabella34[[#This Row],[Lombardy acc. fit]]+CIl</f>
        <v>748.95537180362362</v>
      </c>
      <c r="BA34" s="96">
        <f>MAX(Tabella34[[#This Row],[Lombardy acc. fit]]-CIl,0)</f>
        <v>0</v>
      </c>
      <c r="BB34" s="161"/>
      <c r="BC34" s="34"/>
      <c r="BD34" s="34"/>
      <c r="BE34" s="162">
        <f>Tabella34[[#This Row],[rest of Italy data]]*NOT(ISBLANK(Tabella34[[#This Row],[rest of Italy data]]))</f>
        <v>0</v>
      </c>
      <c r="BF34" s="211">
        <f>Tabella8[[#This Row],[rest of Italy fit]]</f>
        <v>0</v>
      </c>
      <c r="BG34" s="163" t="e">
        <f>_xlfn.LOGNORM.INV(alpha*Tabella34[[#This Row],[rest of Italy cumul. Fit]]/Ko,mu_o,sigma_o)-(Tabella34[[#This Row],[Day]]-po)</f>
        <v>#NUM!</v>
      </c>
      <c r="BH34" s="163">
        <f>Tabella34[[#This Row],[rest of Italy cumul. Fit]]/Ka</f>
        <v>0</v>
      </c>
      <c r="BI34" s="163">
        <f>IFERROR(Ko*_xlfn.LOGNORM.DIST((Tabella34[[#This Row],[Day]]-po),mu_o,sigma_o,FALSE),0)</f>
        <v>0</v>
      </c>
      <c r="BJ34" s="206" t="e">
        <f>Tabella34[[#This Row],[rest of Italy velocity]]/Tabella34[[#This Row],[rest of Italy cumul. Fit]]</f>
        <v>#DIV/0!</v>
      </c>
      <c r="BK34" s="261" t="e">
        <f>(LN(Tabella34[[#This Row],[Day]]-po)-mu_o)/sigma_o</f>
        <v>#NUM!</v>
      </c>
      <c r="BL34" s="269" t="e">
        <f>EXP(mu_o+sigma_o*Tabella34[[#This Row],[x_o_alpha©+plus]])-(Tabella34[[#This Row],[Day]]-po)</f>
        <v>#DIV/0!</v>
      </c>
      <c r="BM34" s="269" t="e">
        <f>EXP(mu_o+sigma_o*Tabella34[[#This Row],[x_o_alpha©-minus]])-(Tabella34[[#This Row],[Day]]-po)</f>
        <v>#DIV/0!</v>
      </c>
      <c r="BN34" s="269" t="e">
        <f>-sigma_o+SQRT(sigma_o^2-2*Tabella34[[#This Row],[c_o]])</f>
        <v>#DIV/0!</v>
      </c>
      <c r="BO34" s="269" t="e">
        <f>-sigma_o-SQRT(sigma_o^2-2*Tabella34[[#This Row],[c_o]])</f>
        <v>#DIV/0!</v>
      </c>
      <c r="BP34" s="269" t="e">
        <f>mu_o-LN(alpha*Ko/(Tabella34[[#This Row],[rest of Italy velocity]]*sigma_o*SQRTPI(2)))</f>
        <v>#DIV/0!</v>
      </c>
      <c r="BQ34" s="269" t="e">
        <f>Tabella34[[#This Row],[t_alpha_o+plus]]</f>
        <v>#DIV/0!</v>
      </c>
      <c r="BR34" s="91">
        <f>IFERROR(-Ka*_xlfn.LOGNORM.DIST((Tabella34[[#This Row],[Day]]-pa),mu_a,sigma_a,FALSE)*(1+(LN((Tabella34[[#This Row],[Day]]-pa))-mu_a)/sigma_a^2)/(Tabella34[[#This Row],[Day]]-pa),0)</f>
        <v>0</v>
      </c>
      <c r="BS34" s="163">
        <f>Tabella34[[#This Row],[rest of Italy acc. fit]]/y_a_peak</f>
        <v>0</v>
      </c>
      <c r="BT34" s="162">
        <f>Tabella34[[#This Row],[rest of Italy acc. fit]]*NOT(ISBLANK(Tabella34[[#This Row],[rest of Italy data]]))</f>
        <v>0</v>
      </c>
      <c r="BU34" s="96">
        <f>Tabella34[[#This Row],[rest of Italy acc. fit]]+CIa</f>
        <v>694.65203586359735</v>
      </c>
      <c r="BV34" s="96">
        <f>MAX(Tabella34[[#This Row],[rest of Italy acc. fit]]-CIa,0)</f>
        <v>0</v>
      </c>
      <c r="BW34" s="1"/>
      <c r="BX34" s="236" t="s">
        <v>307</v>
      </c>
      <c r="BY34" s="237">
        <f>mu_o</f>
        <v>4.0471265119141284</v>
      </c>
      <c r="CL34" s="64"/>
    </row>
    <row r="35" spans="2:90" x14ac:dyDescent="0.3">
      <c r="B35" s="288">
        <v>43858</v>
      </c>
      <c r="C35" s="4">
        <v>28</v>
      </c>
      <c r="D35" s="10" t="str">
        <f>Tabella8[[#This Row],[Italy cumulative]]</f>
        <v>0</v>
      </c>
      <c r="E35" s="91">
        <f>(Tabella34[[#This Row],[Italy cumul. Data]]-D34)</f>
        <v>0</v>
      </c>
      <c r="F35" s="91">
        <f>Tabella34[[#This Row],[Italy data]]-E34</f>
        <v>0</v>
      </c>
      <c r="G35" s="162">
        <f>Tabella34[[#This Row],[Italy data]]*NOT(ISBLANK(Tabella34[[#This Row],[Italy data]]))</f>
        <v>0</v>
      </c>
      <c r="H35" s="163">
        <f>Tabella8[[#This Row],[Italy fit]]</f>
        <v>0</v>
      </c>
      <c r="I35" s="163" t="e">
        <f>_xlfn.LOGNORM.INV(alpha*Tabella34[[#This Row],[Italy cumul. Fit]]/Kt,mu_t,sigma_t)-(Tabella34[[#This Row],[Day]]-pt)</f>
        <v>#NUM!</v>
      </c>
      <c r="J35" s="163" t="e">
        <f>Tabella34[[#This Row],[Italy d.t.]]/Italy_dt_at_lockdown</f>
        <v>#NUM!</v>
      </c>
      <c r="K35" s="163">
        <f>Tabella34[[#This Row],[Italy cumul. Fit]]/Kf</f>
        <v>0</v>
      </c>
      <c r="L35" s="166">
        <f>Tabella34[[#This Row],[Lombardy acc. fit]]+Tabella34[[#This Row],[rest of Italy acc. fit]]</f>
        <v>0</v>
      </c>
      <c r="M35" s="163">
        <f>Tabella34[[#This Row],[Italy (fitted Lombardy + fitted sum of the other regions)]]/(y_l_peak+y_a_peak)</f>
        <v>0</v>
      </c>
      <c r="N35" s="163">
        <f>IFERROR(Kt*_xlfn.LOGNORM.DIST((Tabella34[[#This Row],[Day]]-pt),mu_t,sigma_t,FALSE),0)</f>
        <v>0</v>
      </c>
      <c r="O35" s="163" t="e">
        <f>Kt*EXP(-0.5*Tabella34[[#This Row],[x_t]]^2)/(sigma_t*SQRTPI(2)*(Tabella34[[#This Row],[Day]]-D_bk))</f>
        <v>#NUM!</v>
      </c>
      <c r="P35" s="206" t="e">
        <f>Tabella34[[#This Row],[Italy velocity]]/Tabella34[[#This Row],[Italy cumul. Fit]]</f>
        <v>#DIV/0!</v>
      </c>
      <c r="Q35" s="269" t="e">
        <f>(LN(Tabella34[[#This Row],[Day]]-D_bk)-mu_t)/sigma_t</f>
        <v>#NUM!</v>
      </c>
      <c r="R35" s="269" t="e">
        <f>EXP(mu_t+sigma_t*Tabella34[[#This Row],[x_t_alpha©+plus]])-(Tabella34[[#This Row],[Day]]-D_bk)</f>
        <v>#DIV/0!</v>
      </c>
      <c r="S35" s="269" t="e">
        <f>EXP(mu_t+sigma_t*Tabella34[[#This Row],[x_t_alpha©-minus]])-(Tabella34[[#This Row],[Day]]-D_bk)</f>
        <v>#DIV/0!</v>
      </c>
      <c r="T35" s="269" t="e">
        <f>-sigma_t+SQRT(sigma_t^2-2*Tabella34[[#This Row],[c_t]])</f>
        <v>#DIV/0!</v>
      </c>
      <c r="U35" s="269" t="e">
        <f>-sigma_t-SQRT(sigma_t^2-2*Tabella34[[#This Row],[c_t]])</f>
        <v>#DIV/0!</v>
      </c>
      <c r="V35" s="269" t="e">
        <f>mu_t-LN(alpha*Kt/(Tabella34[[#This Row],[Italy velocity]]*sigma_t*SQRTPI(2)))</f>
        <v>#DIV/0!</v>
      </c>
      <c r="W35" s="269" t="e">
        <f>Tabella34[[#This Row],[Italy g.r.]]/Italy_gr_at_lockdown</f>
        <v>#DIV/0!</v>
      </c>
      <c r="X35" s="269" t="e">
        <f>Tabella34[[#This Row],[t_alpha_t+plus]]</f>
        <v>#DIV/0!</v>
      </c>
      <c r="Y35" s="269" t="e">
        <f>Tabella34[[#This Row],[Italy h.t.]]/Italy_ht_at_lockdown</f>
        <v>#DIV/0!</v>
      </c>
      <c r="Z35" s="91">
        <f>IFERROR(-Kf*_xlfn.LOGNORM.DIST((Tabella34[[#This Row],[Day]]-D_bk),mu_f,sigma_f,FALSE)*(1+(LN((Tabella34[[#This Row],[Day]]-D_bk))-mu_f)/sigma_f^2)/(Tabella34[[#This Row],[Day]]-D_bk),0)</f>
        <v>0</v>
      </c>
      <c r="AA35" s="91">
        <f>Tabella34[[#This Row],[Italy acc. fit]]/Itali_acc_at_lockdown</f>
        <v>0</v>
      </c>
      <c r="AB35" s="163">
        <f>Tabella34[[#This Row],[Italy acc. fit]]/y_f_peak</f>
        <v>0</v>
      </c>
      <c r="AC35" s="163">
        <f>Tabella34[[#This Row],[Italy (fitted Lombardy + fitted sum of the other regions)]]*NOT(ISBLANK(Tabella34[[#This Row],[Italy data]]))</f>
        <v>0</v>
      </c>
      <c r="AD35" s="163">
        <f>Tabella34[[#This Row],[Italy acc. fit]]*NOT(ISBLANK(Tabella34[[#This Row],[Italy data]]))</f>
        <v>0</v>
      </c>
      <c r="AE35" s="96">
        <f>Tabella34[[#This Row],[Italy acc. fit]]+CIf</f>
        <v>1013.7630020203177</v>
      </c>
      <c r="AF35" s="96">
        <f>MAX(Tabella34[[#This Row],[Italy acc. fit]]-CIf,0)</f>
        <v>0</v>
      </c>
      <c r="AG35" s="161"/>
      <c r="AH35" s="34"/>
      <c r="AI35" s="34"/>
      <c r="AJ35" s="162">
        <f>Tabella34[[#This Row],[Lombardy data]]*NOT(ISBLANK(Tabella34[[#This Row],[Lombardy data]]))</f>
        <v>0</v>
      </c>
      <c r="AK35" s="167">
        <f>Tabella8[[#This Row],[Lombardy fit]]</f>
        <v>0</v>
      </c>
      <c r="AL35" s="163" t="e">
        <f>_xlfn.LOGNORM.INV(alpha*Tabella34[[#This Row],[Lombardy cumul. Fit]]/Kr,mu_r,sigma_r)-(Tabella34[[#This Row],[Day]]-pr)</f>
        <v>#NUM!</v>
      </c>
      <c r="AM35" s="162">
        <f>Tabella34[[#This Row],[Lombardy cumul. Fit]]/Kl</f>
        <v>0</v>
      </c>
      <c r="AN35" s="163">
        <f>IFERROR(Kr*_xlfn.LOGNORM.DIST((Tabella34[[#This Row],[Day]]-pr),mu_r,sigma_r,FALSE),0)</f>
        <v>0</v>
      </c>
      <c r="AO35" s="206" t="e">
        <f>Tabella34[[#This Row],[Lombardy velocity]]/Tabella34[[#This Row],[Lombardy cumul. Fit]]</f>
        <v>#DIV/0!</v>
      </c>
      <c r="AP35" s="261" t="e">
        <f>(LN(Tabella34[[#This Row],[Day]]-pr)-mu_r)/sigma_r</f>
        <v>#NUM!</v>
      </c>
      <c r="AQ35" s="269" t="e">
        <f>EXP(mu_r+sigma_r*Tabella34[[#This Row],[x_r_alpha©+plus]])-(Tabella34[[#This Row],[Day]]-pr)</f>
        <v>#DIV/0!</v>
      </c>
      <c r="AR35" s="269" t="e">
        <f>EXP(mu_r+sigma_r*Tabella34[[#This Row],[x_r_alpha©-minus]])-(Tabella34[[#This Row],[Day]]-pr)</f>
        <v>#DIV/0!</v>
      </c>
      <c r="AS35" s="269" t="e">
        <f>-sigma_r+SQRT(sigma_r^2-2*Tabella34[[#This Row],[c_r]])</f>
        <v>#DIV/0!</v>
      </c>
      <c r="AT35" s="269" t="e">
        <f>-sigma_r-SQRT(sigma_r^2-2*Tabella34[[#This Row],[c_r]])</f>
        <v>#DIV/0!</v>
      </c>
      <c r="AU35" s="269" t="e">
        <f>mu_r-LN(alpha*Kr/(Tabella34[[#This Row],[Lombardy velocity]]*sigma_r*SQRTPI(2)))</f>
        <v>#DIV/0!</v>
      </c>
      <c r="AV35" s="269" t="e">
        <f>Tabella34[[#This Row],[t_alpha_r+plus]]</f>
        <v>#DIV/0!</v>
      </c>
      <c r="AW35" s="91">
        <f>IFERROR(-Kl*_xlfn.LOGNORM.DIST((Tabella34[[#This Row],[Day]]-pl),mu_l,sigma_l,FALSE)*(1+(LN((Tabella34[[#This Row],[Day]]-pl))-mu_l)/sigma_l^2)/(Tabella34[[#This Row],[Day]]-pl),0)</f>
        <v>0</v>
      </c>
      <c r="AX35" s="163">
        <f>Tabella34[[#This Row],[Lombardy acc. fit]]/y_l_peak</f>
        <v>0</v>
      </c>
      <c r="AY35" s="163">
        <f>Tabella34[[#This Row],[Lombardy acc. fit]]*NOT(ISBLANK(Tabella34[[#This Row],[Lombardy data]]))</f>
        <v>0</v>
      </c>
      <c r="AZ35" s="96">
        <f>Tabella34[[#This Row],[Lombardy acc. fit]]+CIl</f>
        <v>748.95537180362362</v>
      </c>
      <c r="BA35" s="96">
        <f>MAX(Tabella34[[#This Row],[Lombardy acc. fit]]-CIl,0)</f>
        <v>0</v>
      </c>
      <c r="BB35" s="161"/>
      <c r="BC35" s="34"/>
      <c r="BD35" s="34"/>
      <c r="BE35" s="162">
        <f>Tabella34[[#This Row],[rest of Italy data]]*NOT(ISBLANK(Tabella34[[#This Row],[rest of Italy data]]))</f>
        <v>0</v>
      </c>
      <c r="BF35" s="211">
        <f>Tabella8[[#This Row],[rest of Italy fit]]</f>
        <v>0</v>
      </c>
      <c r="BG35" s="163" t="e">
        <f>_xlfn.LOGNORM.INV(alpha*Tabella34[[#This Row],[rest of Italy cumul. Fit]]/Ko,mu_o,sigma_o)-(Tabella34[[#This Row],[Day]]-po)</f>
        <v>#NUM!</v>
      </c>
      <c r="BH35" s="163">
        <f>Tabella34[[#This Row],[rest of Italy cumul. Fit]]/Ka</f>
        <v>0</v>
      </c>
      <c r="BI35" s="163">
        <f>IFERROR(Ko*_xlfn.LOGNORM.DIST((Tabella34[[#This Row],[Day]]-po),mu_o,sigma_o,FALSE),0)</f>
        <v>0</v>
      </c>
      <c r="BJ35" s="206" t="e">
        <f>Tabella34[[#This Row],[rest of Italy velocity]]/Tabella34[[#This Row],[rest of Italy cumul. Fit]]</f>
        <v>#DIV/0!</v>
      </c>
      <c r="BK35" s="261" t="e">
        <f>(LN(Tabella34[[#This Row],[Day]]-po)-mu_o)/sigma_o</f>
        <v>#NUM!</v>
      </c>
      <c r="BL35" s="269" t="e">
        <f>EXP(mu_o+sigma_o*Tabella34[[#This Row],[x_o_alpha©+plus]])-(Tabella34[[#This Row],[Day]]-po)</f>
        <v>#DIV/0!</v>
      </c>
      <c r="BM35" s="269" t="e">
        <f>EXP(mu_o+sigma_o*Tabella34[[#This Row],[x_o_alpha©-minus]])-(Tabella34[[#This Row],[Day]]-po)</f>
        <v>#DIV/0!</v>
      </c>
      <c r="BN35" s="269" t="e">
        <f>-sigma_o+SQRT(sigma_o^2-2*Tabella34[[#This Row],[c_o]])</f>
        <v>#DIV/0!</v>
      </c>
      <c r="BO35" s="269" t="e">
        <f>-sigma_o-SQRT(sigma_o^2-2*Tabella34[[#This Row],[c_o]])</f>
        <v>#DIV/0!</v>
      </c>
      <c r="BP35" s="269" t="e">
        <f>mu_o-LN(alpha*Ko/(Tabella34[[#This Row],[rest of Italy velocity]]*sigma_o*SQRTPI(2)))</f>
        <v>#DIV/0!</v>
      </c>
      <c r="BQ35" s="269" t="e">
        <f>Tabella34[[#This Row],[t_alpha_o+plus]]</f>
        <v>#DIV/0!</v>
      </c>
      <c r="BR35" s="91">
        <f>IFERROR(-Ka*_xlfn.LOGNORM.DIST((Tabella34[[#This Row],[Day]]-pa),mu_a,sigma_a,FALSE)*(1+(LN((Tabella34[[#This Row],[Day]]-pa))-mu_a)/sigma_a^2)/(Tabella34[[#This Row],[Day]]-pa),0)</f>
        <v>0</v>
      </c>
      <c r="BS35" s="163">
        <f>Tabella34[[#This Row],[rest of Italy acc. fit]]/y_a_peak</f>
        <v>0</v>
      </c>
      <c r="BT35" s="162">
        <f>Tabella34[[#This Row],[rest of Italy acc. fit]]*NOT(ISBLANK(Tabella34[[#This Row],[rest of Italy data]]))</f>
        <v>0</v>
      </c>
      <c r="BU35" s="96">
        <f>Tabella34[[#This Row],[rest of Italy acc. fit]]+CIa</f>
        <v>694.65203586359735</v>
      </c>
      <c r="BV35" s="96">
        <f>MAX(Tabella34[[#This Row],[rest of Italy acc. fit]]-CIa,0)</f>
        <v>0</v>
      </c>
      <c r="BX35" s="234" t="s">
        <v>308</v>
      </c>
      <c r="BY35" s="237">
        <f>sigma_o</f>
        <v>0.32148638864951307</v>
      </c>
      <c r="CB35" s="1"/>
      <c r="CL35" s="60"/>
    </row>
    <row r="36" spans="2:90" x14ac:dyDescent="0.3">
      <c r="B36" s="288">
        <v>43859</v>
      </c>
      <c r="C36" s="4">
        <v>29</v>
      </c>
      <c r="D36" s="10" t="str">
        <f>Tabella8[[#This Row],[Italy cumulative]]</f>
        <v>0</v>
      </c>
      <c r="E36" s="91">
        <f>(Tabella34[[#This Row],[Italy cumul. Data]]-D35)</f>
        <v>0</v>
      </c>
      <c r="F36" s="91">
        <f>Tabella34[[#This Row],[Italy data]]-E35</f>
        <v>0</v>
      </c>
      <c r="G36" s="162">
        <f>Tabella34[[#This Row],[Italy data]]*NOT(ISBLANK(Tabella34[[#This Row],[Italy data]]))</f>
        <v>0</v>
      </c>
      <c r="H36" s="163">
        <f>Tabella8[[#This Row],[Italy fit]]</f>
        <v>0</v>
      </c>
      <c r="I36" s="163" t="e">
        <f>_xlfn.LOGNORM.INV(alpha*Tabella34[[#This Row],[Italy cumul. Fit]]/Kt,mu_t,sigma_t)-(Tabella34[[#This Row],[Day]]-pt)</f>
        <v>#NUM!</v>
      </c>
      <c r="J36" s="163" t="e">
        <f>Tabella34[[#This Row],[Italy d.t.]]/Italy_dt_at_lockdown</f>
        <v>#NUM!</v>
      </c>
      <c r="K36" s="163">
        <f>Tabella34[[#This Row],[Italy cumul. Fit]]/Kf</f>
        <v>0</v>
      </c>
      <c r="L36" s="166">
        <f>Tabella34[[#This Row],[Lombardy acc. fit]]+Tabella34[[#This Row],[rest of Italy acc. fit]]</f>
        <v>0</v>
      </c>
      <c r="M36" s="163">
        <f>Tabella34[[#This Row],[Italy (fitted Lombardy + fitted sum of the other regions)]]/(y_l_peak+y_a_peak)</f>
        <v>0</v>
      </c>
      <c r="N36" s="163">
        <f>IFERROR(Kt*_xlfn.LOGNORM.DIST((Tabella34[[#This Row],[Day]]-pt),mu_t,sigma_t,FALSE),0)</f>
        <v>0</v>
      </c>
      <c r="O36" s="163" t="e">
        <f>Kt*EXP(-0.5*Tabella34[[#This Row],[x_t]]^2)/(sigma_t*SQRTPI(2)*(Tabella34[[#This Row],[Day]]-D_bk))</f>
        <v>#NUM!</v>
      </c>
      <c r="P36" s="206" t="e">
        <f>Tabella34[[#This Row],[Italy velocity]]/Tabella34[[#This Row],[Italy cumul. Fit]]</f>
        <v>#DIV/0!</v>
      </c>
      <c r="Q36" s="269" t="e">
        <f>(LN(Tabella34[[#This Row],[Day]]-D_bk)-mu_t)/sigma_t</f>
        <v>#NUM!</v>
      </c>
      <c r="R36" s="269" t="e">
        <f>EXP(mu_t+sigma_t*Tabella34[[#This Row],[x_t_alpha©+plus]])-(Tabella34[[#This Row],[Day]]-D_bk)</f>
        <v>#DIV/0!</v>
      </c>
      <c r="S36" s="269" t="e">
        <f>EXP(mu_t+sigma_t*Tabella34[[#This Row],[x_t_alpha©-minus]])-(Tabella34[[#This Row],[Day]]-D_bk)</f>
        <v>#DIV/0!</v>
      </c>
      <c r="T36" s="269" t="e">
        <f>-sigma_t+SQRT(sigma_t^2-2*Tabella34[[#This Row],[c_t]])</f>
        <v>#DIV/0!</v>
      </c>
      <c r="U36" s="269" t="e">
        <f>-sigma_t-SQRT(sigma_t^2-2*Tabella34[[#This Row],[c_t]])</f>
        <v>#DIV/0!</v>
      </c>
      <c r="V36" s="269" t="e">
        <f>mu_t-LN(alpha*Kt/(Tabella34[[#This Row],[Italy velocity]]*sigma_t*SQRTPI(2)))</f>
        <v>#DIV/0!</v>
      </c>
      <c r="W36" s="269" t="e">
        <f>Tabella34[[#This Row],[Italy g.r.]]/Italy_gr_at_lockdown</f>
        <v>#DIV/0!</v>
      </c>
      <c r="X36" s="269" t="e">
        <f>Tabella34[[#This Row],[t_alpha_t+plus]]</f>
        <v>#DIV/0!</v>
      </c>
      <c r="Y36" s="269" t="e">
        <f>Tabella34[[#This Row],[Italy h.t.]]/Italy_ht_at_lockdown</f>
        <v>#DIV/0!</v>
      </c>
      <c r="Z36" s="91">
        <f>IFERROR(-Kf*_xlfn.LOGNORM.DIST((Tabella34[[#This Row],[Day]]-D_bk),mu_f,sigma_f,FALSE)*(1+(LN((Tabella34[[#This Row],[Day]]-D_bk))-mu_f)/sigma_f^2)/(Tabella34[[#This Row],[Day]]-D_bk),0)</f>
        <v>0</v>
      </c>
      <c r="AA36" s="91">
        <f>Tabella34[[#This Row],[Italy acc. fit]]/Itali_acc_at_lockdown</f>
        <v>0</v>
      </c>
      <c r="AB36" s="163">
        <f>Tabella34[[#This Row],[Italy acc. fit]]/y_f_peak</f>
        <v>0</v>
      </c>
      <c r="AC36" s="163">
        <f>Tabella34[[#This Row],[Italy (fitted Lombardy + fitted sum of the other regions)]]*NOT(ISBLANK(Tabella34[[#This Row],[Italy data]]))</f>
        <v>0</v>
      </c>
      <c r="AD36" s="163">
        <f>Tabella34[[#This Row],[Italy acc. fit]]*NOT(ISBLANK(Tabella34[[#This Row],[Italy data]]))</f>
        <v>0</v>
      </c>
      <c r="AE36" s="96">
        <f>Tabella34[[#This Row],[Italy acc. fit]]+CIf</f>
        <v>1013.7630020203177</v>
      </c>
      <c r="AF36" s="96">
        <f>MAX(Tabella34[[#This Row],[Italy acc. fit]]-CIf,0)</f>
        <v>0</v>
      </c>
      <c r="AG36" s="161"/>
      <c r="AH36" s="34"/>
      <c r="AI36" s="34"/>
      <c r="AJ36" s="162">
        <f>Tabella34[[#This Row],[Lombardy data]]*NOT(ISBLANK(Tabella34[[#This Row],[Lombardy data]]))</f>
        <v>0</v>
      </c>
      <c r="AK36" s="167">
        <f>Tabella8[[#This Row],[Lombardy fit]]</f>
        <v>0</v>
      </c>
      <c r="AL36" s="163" t="e">
        <f>_xlfn.LOGNORM.INV(alpha*Tabella34[[#This Row],[Lombardy cumul. Fit]]/Kr,mu_r,sigma_r)-(Tabella34[[#This Row],[Day]]-pr)</f>
        <v>#NUM!</v>
      </c>
      <c r="AM36" s="162">
        <f>Tabella34[[#This Row],[Lombardy cumul. Fit]]/Kl</f>
        <v>0</v>
      </c>
      <c r="AN36" s="163">
        <f>IFERROR(Kr*_xlfn.LOGNORM.DIST((Tabella34[[#This Row],[Day]]-pr),mu_r,sigma_r,FALSE),0)</f>
        <v>0</v>
      </c>
      <c r="AO36" s="206" t="e">
        <f>Tabella34[[#This Row],[Lombardy velocity]]/Tabella34[[#This Row],[Lombardy cumul. Fit]]</f>
        <v>#DIV/0!</v>
      </c>
      <c r="AP36" s="261" t="e">
        <f>(LN(Tabella34[[#This Row],[Day]]-pr)-mu_r)/sigma_r</f>
        <v>#NUM!</v>
      </c>
      <c r="AQ36" s="269" t="e">
        <f>EXP(mu_r+sigma_r*Tabella34[[#This Row],[x_r_alpha©+plus]])-(Tabella34[[#This Row],[Day]]-pr)</f>
        <v>#DIV/0!</v>
      </c>
      <c r="AR36" s="269" t="e">
        <f>EXP(mu_r+sigma_r*Tabella34[[#This Row],[x_r_alpha©-minus]])-(Tabella34[[#This Row],[Day]]-pr)</f>
        <v>#DIV/0!</v>
      </c>
      <c r="AS36" s="269" t="e">
        <f>-sigma_r+SQRT(sigma_r^2-2*Tabella34[[#This Row],[c_r]])</f>
        <v>#DIV/0!</v>
      </c>
      <c r="AT36" s="269" t="e">
        <f>-sigma_r-SQRT(sigma_r^2-2*Tabella34[[#This Row],[c_r]])</f>
        <v>#DIV/0!</v>
      </c>
      <c r="AU36" s="269" t="e">
        <f>mu_r-LN(alpha*Kr/(Tabella34[[#This Row],[Lombardy velocity]]*sigma_r*SQRTPI(2)))</f>
        <v>#DIV/0!</v>
      </c>
      <c r="AV36" s="269" t="e">
        <f>Tabella34[[#This Row],[t_alpha_r+plus]]</f>
        <v>#DIV/0!</v>
      </c>
      <c r="AW36" s="91">
        <f>IFERROR(-Kl*_xlfn.LOGNORM.DIST((Tabella34[[#This Row],[Day]]-pl),mu_l,sigma_l,FALSE)*(1+(LN((Tabella34[[#This Row],[Day]]-pl))-mu_l)/sigma_l^2)/(Tabella34[[#This Row],[Day]]-pl),0)</f>
        <v>0</v>
      </c>
      <c r="AX36" s="163">
        <f>Tabella34[[#This Row],[Lombardy acc. fit]]/y_l_peak</f>
        <v>0</v>
      </c>
      <c r="AY36" s="163">
        <f>Tabella34[[#This Row],[Lombardy acc. fit]]*NOT(ISBLANK(Tabella34[[#This Row],[Lombardy data]]))</f>
        <v>0</v>
      </c>
      <c r="AZ36" s="96">
        <f>Tabella34[[#This Row],[Lombardy acc. fit]]+CIl</f>
        <v>748.95537180362362</v>
      </c>
      <c r="BA36" s="96">
        <f>MAX(Tabella34[[#This Row],[Lombardy acc. fit]]-CIl,0)</f>
        <v>0</v>
      </c>
      <c r="BB36" s="161"/>
      <c r="BC36" s="34"/>
      <c r="BD36" s="34"/>
      <c r="BE36" s="162">
        <f>Tabella34[[#This Row],[rest of Italy data]]*NOT(ISBLANK(Tabella34[[#This Row],[rest of Italy data]]))</f>
        <v>0</v>
      </c>
      <c r="BF36" s="211">
        <f>Tabella8[[#This Row],[rest of Italy fit]]</f>
        <v>0</v>
      </c>
      <c r="BG36" s="163" t="e">
        <f>_xlfn.LOGNORM.INV(alpha*Tabella34[[#This Row],[rest of Italy cumul. Fit]]/Ko,mu_o,sigma_o)-(Tabella34[[#This Row],[Day]]-po)</f>
        <v>#NUM!</v>
      </c>
      <c r="BH36" s="163">
        <f>Tabella34[[#This Row],[rest of Italy cumul. Fit]]/Ka</f>
        <v>0</v>
      </c>
      <c r="BI36" s="163">
        <f>IFERROR(Ko*_xlfn.LOGNORM.DIST((Tabella34[[#This Row],[Day]]-po),mu_o,sigma_o,FALSE),0)</f>
        <v>0</v>
      </c>
      <c r="BJ36" s="206" t="e">
        <f>Tabella34[[#This Row],[rest of Italy velocity]]/Tabella34[[#This Row],[rest of Italy cumul. Fit]]</f>
        <v>#DIV/0!</v>
      </c>
      <c r="BK36" s="261" t="e">
        <f>(LN(Tabella34[[#This Row],[Day]]-po)-mu_o)/sigma_o</f>
        <v>#NUM!</v>
      </c>
      <c r="BL36" s="269" t="e">
        <f>EXP(mu_o+sigma_o*Tabella34[[#This Row],[x_o_alpha©+plus]])-(Tabella34[[#This Row],[Day]]-po)</f>
        <v>#DIV/0!</v>
      </c>
      <c r="BM36" s="269" t="e">
        <f>EXP(mu_o+sigma_o*Tabella34[[#This Row],[x_o_alpha©-minus]])-(Tabella34[[#This Row],[Day]]-po)</f>
        <v>#DIV/0!</v>
      </c>
      <c r="BN36" s="269" t="e">
        <f>-sigma_o+SQRT(sigma_o^2-2*Tabella34[[#This Row],[c_o]])</f>
        <v>#DIV/0!</v>
      </c>
      <c r="BO36" s="269" t="e">
        <f>-sigma_o-SQRT(sigma_o^2-2*Tabella34[[#This Row],[c_o]])</f>
        <v>#DIV/0!</v>
      </c>
      <c r="BP36" s="269" t="e">
        <f>mu_o-LN(alpha*Ko/(Tabella34[[#This Row],[rest of Italy velocity]]*sigma_o*SQRTPI(2)))</f>
        <v>#DIV/0!</v>
      </c>
      <c r="BQ36" s="269" t="e">
        <f>Tabella34[[#This Row],[t_alpha_o+plus]]</f>
        <v>#DIV/0!</v>
      </c>
      <c r="BR36" s="91">
        <f>IFERROR(-Ka*_xlfn.LOGNORM.DIST((Tabella34[[#This Row],[Day]]-pa),mu_a,sigma_a,FALSE)*(1+(LN((Tabella34[[#This Row],[Day]]-pa))-mu_a)/sigma_a^2)/(Tabella34[[#This Row],[Day]]-pa),0)</f>
        <v>0</v>
      </c>
      <c r="BS36" s="163">
        <f>Tabella34[[#This Row],[rest of Italy acc. fit]]/y_a_peak</f>
        <v>0</v>
      </c>
      <c r="BT36" s="162">
        <f>Tabella34[[#This Row],[rest of Italy acc. fit]]*NOT(ISBLANK(Tabella34[[#This Row],[rest of Italy data]]))</f>
        <v>0</v>
      </c>
      <c r="BU36" s="96">
        <f>Tabella34[[#This Row],[rest of Italy acc. fit]]+CIa</f>
        <v>694.65203586359735</v>
      </c>
      <c r="BV36" s="96">
        <f>MAX(Tabella34[[#This Row],[rest of Italy acc. fit]]-CIa,0)</f>
        <v>0</v>
      </c>
      <c r="BX36" s="238" t="s">
        <v>1</v>
      </c>
      <c r="BY36" s="239">
        <f>AVERAGE(Tabella34[rest of Italy data])</f>
        <v>1985.9375</v>
      </c>
      <c r="CL36" s="60"/>
    </row>
    <row r="37" spans="2:90" x14ac:dyDescent="0.3">
      <c r="B37" s="288">
        <v>43860</v>
      </c>
      <c r="C37" s="4">
        <v>30</v>
      </c>
      <c r="D37" s="10" t="str">
        <f>Tabella8[[#This Row],[Italy cumulative]]</f>
        <v>0</v>
      </c>
      <c r="E37" s="91">
        <f>(Tabella34[[#This Row],[Italy cumul. Data]]-D36)</f>
        <v>0</v>
      </c>
      <c r="F37" s="91">
        <f>Tabella34[[#This Row],[Italy data]]-E36</f>
        <v>0</v>
      </c>
      <c r="G37" s="162">
        <f>Tabella34[[#This Row],[Italy data]]*NOT(ISBLANK(Tabella34[[#This Row],[Italy data]]))</f>
        <v>0</v>
      </c>
      <c r="H37" s="163">
        <f>Tabella8[[#This Row],[Italy fit]]</f>
        <v>0</v>
      </c>
      <c r="I37" s="163" t="e">
        <f>_xlfn.LOGNORM.INV(alpha*Tabella34[[#This Row],[Italy cumul. Fit]]/Kt,mu_t,sigma_t)-(Tabella34[[#This Row],[Day]]-pt)</f>
        <v>#NUM!</v>
      </c>
      <c r="J37" s="163" t="e">
        <f>Tabella34[[#This Row],[Italy d.t.]]/Italy_dt_at_lockdown</f>
        <v>#NUM!</v>
      </c>
      <c r="K37" s="163">
        <f>Tabella34[[#This Row],[Italy cumul. Fit]]/Kf</f>
        <v>0</v>
      </c>
      <c r="L37" s="166">
        <f>Tabella34[[#This Row],[Lombardy acc. fit]]+Tabella34[[#This Row],[rest of Italy acc. fit]]</f>
        <v>0</v>
      </c>
      <c r="M37" s="163">
        <f>Tabella34[[#This Row],[Italy (fitted Lombardy + fitted sum of the other regions)]]/(y_l_peak+y_a_peak)</f>
        <v>0</v>
      </c>
      <c r="N37" s="163">
        <f>IFERROR(Kt*_xlfn.LOGNORM.DIST((Tabella34[[#This Row],[Day]]-pt),mu_t,sigma_t,FALSE),0)</f>
        <v>0</v>
      </c>
      <c r="O37" s="163" t="e">
        <f>Kt*EXP(-0.5*Tabella34[[#This Row],[x_t]]^2)/(sigma_t*SQRTPI(2)*(Tabella34[[#This Row],[Day]]-D_bk))</f>
        <v>#NUM!</v>
      </c>
      <c r="P37" s="206" t="e">
        <f>Tabella34[[#This Row],[Italy velocity]]/Tabella34[[#This Row],[Italy cumul. Fit]]</f>
        <v>#DIV/0!</v>
      </c>
      <c r="Q37" s="269" t="e">
        <f>(LN(Tabella34[[#This Row],[Day]]-D_bk)-mu_t)/sigma_t</f>
        <v>#NUM!</v>
      </c>
      <c r="R37" s="269" t="e">
        <f>EXP(mu_t+sigma_t*Tabella34[[#This Row],[x_t_alpha©+plus]])-(Tabella34[[#This Row],[Day]]-D_bk)</f>
        <v>#DIV/0!</v>
      </c>
      <c r="S37" s="269" t="e">
        <f>EXP(mu_t+sigma_t*Tabella34[[#This Row],[x_t_alpha©-minus]])-(Tabella34[[#This Row],[Day]]-D_bk)</f>
        <v>#DIV/0!</v>
      </c>
      <c r="T37" s="269" t="e">
        <f>-sigma_t+SQRT(sigma_t^2-2*Tabella34[[#This Row],[c_t]])</f>
        <v>#DIV/0!</v>
      </c>
      <c r="U37" s="269" t="e">
        <f>-sigma_t-SQRT(sigma_t^2-2*Tabella34[[#This Row],[c_t]])</f>
        <v>#DIV/0!</v>
      </c>
      <c r="V37" s="269" t="e">
        <f>mu_t-LN(alpha*Kt/(Tabella34[[#This Row],[Italy velocity]]*sigma_t*SQRTPI(2)))</f>
        <v>#DIV/0!</v>
      </c>
      <c r="W37" s="269" t="e">
        <f>Tabella34[[#This Row],[Italy g.r.]]/Italy_gr_at_lockdown</f>
        <v>#DIV/0!</v>
      </c>
      <c r="X37" s="269" t="e">
        <f>Tabella34[[#This Row],[t_alpha_t+plus]]</f>
        <v>#DIV/0!</v>
      </c>
      <c r="Y37" s="269" t="e">
        <f>Tabella34[[#This Row],[Italy h.t.]]/Italy_ht_at_lockdown</f>
        <v>#DIV/0!</v>
      </c>
      <c r="Z37" s="91">
        <f>IFERROR(-Kf*_xlfn.LOGNORM.DIST((Tabella34[[#This Row],[Day]]-D_bk),mu_f,sigma_f,FALSE)*(1+(LN((Tabella34[[#This Row],[Day]]-D_bk))-mu_f)/sigma_f^2)/(Tabella34[[#This Row],[Day]]-D_bk),0)</f>
        <v>0</v>
      </c>
      <c r="AA37" s="91">
        <f>Tabella34[[#This Row],[Italy acc. fit]]/Itali_acc_at_lockdown</f>
        <v>0</v>
      </c>
      <c r="AB37" s="163">
        <f>Tabella34[[#This Row],[Italy acc. fit]]/y_f_peak</f>
        <v>0</v>
      </c>
      <c r="AC37" s="163">
        <f>Tabella34[[#This Row],[Italy (fitted Lombardy + fitted sum of the other regions)]]*NOT(ISBLANK(Tabella34[[#This Row],[Italy data]]))</f>
        <v>0</v>
      </c>
      <c r="AD37" s="163">
        <f>Tabella34[[#This Row],[Italy acc. fit]]*NOT(ISBLANK(Tabella34[[#This Row],[Italy data]]))</f>
        <v>0</v>
      </c>
      <c r="AE37" s="96">
        <f>Tabella34[[#This Row],[Italy acc. fit]]+CIf</f>
        <v>1013.7630020203177</v>
      </c>
      <c r="AF37" s="96">
        <f>MAX(Tabella34[[#This Row],[Italy acc. fit]]-CIf,0)</f>
        <v>0</v>
      </c>
      <c r="AG37" s="161"/>
      <c r="AH37" s="34"/>
      <c r="AI37" s="34"/>
      <c r="AJ37" s="162">
        <f>Tabella34[[#This Row],[Lombardy data]]*NOT(ISBLANK(Tabella34[[#This Row],[Lombardy data]]))</f>
        <v>0</v>
      </c>
      <c r="AK37" s="167">
        <f>Tabella8[[#This Row],[Lombardy fit]]</f>
        <v>0</v>
      </c>
      <c r="AL37" s="163" t="e">
        <f>_xlfn.LOGNORM.INV(alpha*Tabella34[[#This Row],[Lombardy cumul. Fit]]/Kr,mu_r,sigma_r)-(Tabella34[[#This Row],[Day]]-pr)</f>
        <v>#NUM!</v>
      </c>
      <c r="AM37" s="162">
        <f>Tabella34[[#This Row],[Lombardy cumul. Fit]]/Kl</f>
        <v>0</v>
      </c>
      <c r="AN37" s="163">
        <f>IFERROR(Kr*_xlfn.LOGNORM.DIST((Tabella34[[#This Row],[Day]]-pr),mu_r,sigma_r,FALSE),0)</f>
        <v>0</v>
      </c>
      <c r="AO37" s="206" t="e">
        <f>Tabella34[[#This Row],[Lombardy velocity]]/Tabella34[[#This Row],[Lombardy cumul. Fit]]</f>
        <v>#DIV/0!</v>
      </c>
      <c r="AP37" s="261" t="e">
        <f>(LN(Tabella34[[#This Row],[Day]]-pr)-mu_r)/sigma_r</f>
        <v>#NUM!</v>
      </c>
      <c r="AQ37" s="269" t="e">
        <f>EXP(mu_r+sigma_r*Tabella34[[#This Row],[x_r_alpha©+plus]])-(Tabella34[[#This Row],[Day]]-pr)</f>
        <v>#DIV/0!</v>
      </c>
      <c r="AR37" s="269" t="e">
        <f>EXP(mu_r+sigma_r*Tabella34[[#This Row],[x_r_alpha©-minus]])-(Tabella34[[#This Row],[Day]]-pr)</f>
        <v>#DIV/0!</v>
      </c>
      <c r="AS37" s="269" t="e">
        <f>-sigma_r+SQRT(sigma_r^2-2*Tabella34[[#This Row],[c_r]])</f>
        <v>#DIV/0!</v>
      </c>
      <c r="AT37" s="269" t="e">
        <f>-sigma_r-SQRT(sigma_r^2-2*Tabella34[[#This Row],[c_r]])</f>
        <v>#DIV/0!</v>
      </c>
      <c r="AU37" s="269" t="e">
        <f>mu_r-LN(alpha*Kr/(Tabella34[[#This Row],[Lombardy velocity]]*sigma_r*SQRTPI(2)))</f>
        <v>#DIV/0!</v>
      </c>
      <c r="AV37" s="269" t="e">
        <f>Tabella34[[#This Row],[t_alpha_r+plus]]</f>
        <v>#DIV/0!</v>
      </c>
      <c r="AW37" s="91">
        <f>IFERROR(-Kl*_xlfn.LOGNORM.DIST((Tabella34[[#This Row],[Day]]-pl),mu_l,sigma_l,FALSE)*(1+(LN((Tabella34[[#This Row],[Day]]-pl))-mu_l)/sigma_l^2)/(Tabella34[[#This Row],[Day]]-pl),0)</f>
        <v>0</v>
      </c>
      <c r="AX37" s="163">
        <f>Tabella34[[#This Row],[Lombardy acc. fit]]/y_l_peak</f>
        <v>0</v>
      </c>
      <c r="AY37" s="163">
        <f>Tabella34[[#This Row],[Lombardy acc. fit]]*NOT(ISBLANK(Tabella34[[#This Row],[Lombardy data]]))</f>
        <v>0</v>
      </c>
      <c r="AZ37" s="96">
        <f>Tabella34[[#This Row],[Lombardy acc. fit]]+CIl</f>
        <v>748.95537180362362</v>
      </c>
      <c r="BA37" s="96">
        <f>MAX(Tabella34[[#This Row],[Lombardy acc. fit]]-CIl,0)</f>
        <v>0</v>
      </c>
      <c r="BB37" s="161"/>
      <c r="BC37" s="34"/>
      <c r="BD37" s="34"/>
      <c r="BE37" s="162">
        <f>Tabella34[[#This Row],[rest of Italy data]]*NOT(ISBLANK(Tabella34[[#This Row],[rest of Italy data]]))</f>
        <v>0</v>
      </c>
      <c r="BF37" s="211">
        <f>Tabella8[[#This Row],[rest of Italy fit]]</f>
        <v>0</v>
      </c>
      <c r="BG37" s="163" t="e">
        <f>_xlfn.LOGNORM.INV(alpha*Tabella34[[#This Row],[rest of Italy cumul. Fit]]/Ko,mu_o,sigma_o)-(Tabella34[[#This Row],[Day]]-po)</f>
        <v>#NUM!</v>
      </c>
      <c r="BH37" s="163">
        <f>Tabella34[[#This Row],[rest of Italy cumul. Fit]]/Ka</f>
        <v>0</v>
      </c>
      <c r="BI37" s="163">
        <f>IFERROR(Ko*_xlfn.LOGNORM.DIST((Tabella34[[#This Row],[Day]]-po),mu_o,sigma_o,FALSE),0)</f>
        <v>0</v>
      </c>
      <c r="BJ37" s="206" t="e">
        <f>Tabella34[[#This Row],[rest of Italy velocity]]/Tabella34[[#This Row],[rest of Italy cumul. Fit]]</f>
        <v>#DIV/0!</v>
      </c>
      <c r="BK37" s="261" t="e">
        <f>(LN(Tabella34[[#This Row],[Day]]-po)-mu_o)/sigma_o</f>
        <v>#NUM!</v>
      </c>
      <c r="BL37" s="269" t="e">
        <f>EXP(mu_o+sigma_o*Tabella34[[#This Row],[x_o_alpha©+plus]])-(Tabella34[[#This Row],[Day]]-po)</f>
        <v>#DIV/0!</v>
      </c>
      <c r="BM37" s="269" t="e">
        <f>EXP(mu_o+sigma_o*Tabella34[[#This Row],[x_o_alpha©-minus]])-(Tabella34[[#This Row],[Day]]-po)</f>
        <v>#DIV/0!</v>
      </c>
      <c r="BN37" s="269" t="e">
        <f>-sigma_o+SQRT(sigma_o^2-2*Tabella34[[#This Row],[c_o]])</f>
        <v>#DIV/0!</v>
      </c>
      <c r="BO37" s="269" t="e">
        <f>-sigma_o-SQRT(sigma_o^2-2*Tabella34[[#This Row],[c_o]])</f>
        <v>#DIV/0!</v>
      </c>
      <c r="BP37" s="269" t="e">
        <f>mu_o-LN(alpha*Ko/(Tabella34[[#This Row],[rest of Italy velocity]]*sigma_o*SQRTPI(2)))</f>
        <v>#DIV/0!</v>
      </c>
      <c r="BQ37" s="269" t="e">
        <f>Tabella34[[#This Row],[t_alpha_o+plus]]</f>
        <v>#DIV/0!</v>
      </c>
      <c r="BR37" s="91">
        <f>IFERROR(-Ka*_xlfn.LOGNORM.DIST((Tabella34[[#This Row],[Day]]-pa),mu_a,sigma_a,FALSE)*(1+(LN((Tabella34[[#This Row],[Day]]-pa))-mu_a)/sigma_a^2)/(Tabella34[[#This Row],[Day]]-pa),0)</f>
        <v>0</v>
      </c>
      <c r="BS37" s="163">
        <f>Tabella34[[#This Row],[rest of Italy acc. fit]]/y_a_peak</f>
        <v>0</v>
      </c>
      <c r="BT37" s="162">
        <f>Tabella34[[#This Row],[rest of Italy acc. fit]]*NOT(ISBLANK(Tabella34[[#This Row],[rest of Italy data]]))</f>
        <v>0</v>
      </c>
      <c r="BU37" s="96">
        <f>Tabella34[[#This Row],[rest of Italy acc. fit]]+CIa</f>
        <v>694.65203586359735</v>
      </c>
      <c r="BV37" s="96">
        <f>MAX(Tabella34[[#This Row],[rest of Italy acc. fit]]-CIa,0)</f>
        <v>0</v>
      </c>
      <c r="BX37" s="238" t="s">
        <v>2</v>
      </c>
      <c r="BY37" s="240">
        <f>COUNT(Tabella34[rest of Italy data])-COUNT(BY33:BY35)</f>
        <v>61</v>
      </c>
      <c r="CL37" s="60"/>
    </row>
    <row r="38" spans="2:90" x14ac:dyDescent="0.3">
      <c r="B38" s="288">
        <v>43861</v>
      </c>
      <c r="C38" s="4">
        <v>31</v>
      </c>
      <c r="D38" s="10" t="str">
        <f>Tabella8[[#This Row],[Italy cumulative]]</f>
        <v>2</v>
      </c>
      <c r="E38" s="91">
        <f>(Tabella34[[#This Row],[Italy cumul. Data]]-D37)</f>
        <v>2</v>
      </c>
      <c r="F38" s="91">
        <f>Tabella34[[#This Row],[Italy data]]-E37</f>
        <v>2</v>
      </c>
      <c r="G38" s="162">
        <f>Tabella34[[#This Row],[Italy data]]*NOT(ISBLANK(Tabella34[[#This Row],[Italy data]]))</f>
        <v>2</v>
      </c>
      <c r="H38" s="163">
        <f>Tabella8[[#This Row],[Italy fit]]</f>
        <v>0</v>
      </c>
      <c r="I38" s="163" t="e">
        <f>_xlfn.LOGNORM.INV(alpha*Tabella34[[#This Row],[Italy cumul. Fit]]/Kt,mu_t,sigma_t)-(Tabella34[[#This Row],[Day]]-pt)</f>
        <v>#NUM!</v>
      </c>
      <c r="J38" s="163" t="e">
        <f>Tabella34[[#This Row],[Italy d.t.]]/Italy_dt_at_lockdown</f>
        <v>#NUM!</v>
      </c>
      <c r="K38" s="163">
        <f>Tabella34[[#This Row],[Italy cumul. Fit]]/Kf</f>
        <v>0</v>
      </c>
      <c r="L38" s="166">
        <f>Tabella34[[#This Row],[Lombardy acc. fit]]+Tabella34[[#This Row],[rest of Italy acc. fit]]</f>
        <v>0</v>
      </c>
      <c r="M38" s="163">
        <f>Tabella34[[#This Row],[Italy (fitted Lombardy + fitted sum of the other regions)]]/(y_l_peak+y_a_peak)</f>
        <v>0</v>
      </c>
      <c r="N38" s="163">
        <f>IFERROR(Kt*_xlfn.LOGNORM.DIST((Tabella34[[#This Row],[Day]]-pt),mu_t,sigma_t,FALSE),0)</f>
        <v>0</v>
      </c>
      <c r="O38" s="163" t="e">
        <f>Kt*EXP(-0.5*Tabella34[[#This Row],[x_t]]^2)/(sigma_t*SQRTPI(2)*(Tabella34[[#This Row],[Day]]-D_bk))</f>
        <v>#NUM!</v>
      </c>
      <c r="P38" s="206" t="e">
        <f>Tabella34[[#This Row],[Italy velocity]]/Tabella34[[#This Row],[Italy cumul. Fit]]</f>
        <v>#DIV/0!</v>
      </c>
      <c r="Q38" s="269" t="e">
        <f>(LN(Tabella34[[#This Row],[Day]]-D_bk)-mu_t)/sigma_t</f>
        <v>#NUM!</v>
      </c>
      <c r="R38" s="269" t="e">
        <f>EXP(mu_t+sigma_t*Tabella34[[#This Row],[x_t_alpha©+plus]])-(Tabella34[[#This Row],[Day]]-D_bk)</f>
        <v>#DIV/0!</v>
      </c>
      <c r="S38" s="269" t="e">
        <f>EXP(mu_t+sigma_t*Tabella34[[#This Row],[x_t_alpha©-minus]])-(Tabella34[[#This Row],[Day]]-D_bk)</f>
        <v>#DIV/0!</v>
      </c>
      <c r="T38" s="269" t="e">
        <f>-sigma_t+SQRT(sigma_t^2-2*Tabella34[[#This Row],[c_t]])</f>
        <v>#DIV/0!</v>
      </c>
      <c r="U38" s="269" t="e">
        <f>-sigma_t-SQRT(sigma_t^2-2*Tabella34[[#This Row],[c_t]])</f>
        <v>#DIV/0!</v>
      </c>
      <c r="V38" s="269" t="e">
        <f>mu_t-LN(alpha*Kt/(Tabella34[[#This Row],[Italy velocity]]*sigma_t*SQRTPI(2)))</f>
        <v>#DIV/0!</v>
      </c>
      <c r="W38" s="269" t="e">
        <f>Tabella34[[#This Row],[Italy g.r.]]/Italy_gr_at_lockdown</f>
        <v>#DIV/0!</v>
      </c>
      <c r="X38" s="269" t="e">
        <f>Tabella34[[#This Row],[t_alpha_t+plus]]</f>
        <v>#DIV/0!</v>
      </c>
      <c r="Y38" s="269" t="e">
        <f>Tabella34[[#This Row],[Italy h.t.]]/Italy_ht_at_lockdown</f>
        <v>#DIV/0!</v>
      </c>
      <c r="Z38" s="91">
        <f>IFERROR(-Kf*_xlfn.LOGNORM.DIST((Tabella34[[#This Row],[Day]]-D_bk),mu_f,sigma_f,FALSE)*(1+(LN((Tabella34[[#This Row],[Day]]-D_bk))-mu_f)/sigma_f^2)/(Tabella34[[#This Row],[Day]]-D_bk),0)</f>
        <v>0</v>
      </c>
      <c r="AA38" s="91">
        <f>Tabella34[[#This Row],[Italy acc. fit]]/Itali_acc_at_lockdown</f>
        <v>0</v>
      </c>
      <c r="AB38" s="163">
        <f>Tabella34[[#This Row],[Italy acc. fit]]/y_f_peak</f>
        <v>0</v>
      </c>
      <c r="AC38" s="163">
        <f>Tabella34[[#This Row],[Italy (fitted Lombardy + fitted sum of the other regions)]]*NOT(ISBLANK(Tabella34[[#This Row],[Italy data]]))</f>
        <v>0</v>
      </c>
      <c r="AD38" s="163">
        <f>Tabella34[[#This Row],[Italy acc. fit]]*NOT(ISBLANK(Tabella34[[#This Row],[Italy data]]))</f>
        <v>0</v>
      </c>
      <c r="AE38" s="96">
        <f>Tabella34[[#This Row],[Italy acc. fit]]+CIf</f>
        <v>1013.7630020203177</v>
      </c>
      <c r="AF38" s="96">
        <f>MAX(Tabella34[[#This Row],[Italy acc. fit]]-CIf,0)</f>
        <v>0</v>
      </c>
      <c r="AG38" s="161"/>
      <c r="AH38" s="34"/>
      <c r="AI38" s="34"/>
      <c r="AJ38" s="162">
        <f>Tabella34[[#This Row],[Lombardy data]]*NOT(ISBLANK(Tabella34[[#This Row],[Lombardy data]]))</f>
        <v>0</v>
      </c>
      <c r="AK38" s="167">
        <f>Tabella8[[#This Row],[Lombardy fit]]</f>
        <v>0</v>
      </c>
      <c r="AL38" s="163" t="e">
        <f>_xlfn.LOGNORM.INV(alpha*Tabella34[[#This Row],[Lombardy cumul. Fit]]/Kr,mu_r,sigma_r)-(Tabella34[[#This Row],[Day]]-pr)</f>
        <v>#NUM!</v>
      </c>
      <c r="AM38" s="162">
        <f>Tabella34[[#This Row],[Lombardy cumul. Fit]]/Kl</f>
        <v>0</v>
      </c>
      <c r="AN38" s="163">
        <f>IFERROR(Kr*_xlfn.LOGNORM.DIST((Tabella34[[#This Row],[Day]]-pr),mu_r,sigma_r,FALSE),0)</f>
        <v>0</v>
      </c>
      <c r="AO38" s="206" t="e">
        <f>Tabella34[[#This Row],[Lombardy velocity]]/Tabella34[[#This Row],[Lombardy cumul. Fit]]</f>
        <v>#DIV/0!</v>
      </c>
      <c r="AP38" s="261" t="e">
        <f>(LN(Tabella34[[#This Row],[Day]]-pr)-mu_r)/sigma_r</f>
        <v>#NUM!</v>
      </c>
      <c r="AQ38" s="269" t="e">
        <f>EXP(mu_r+sigma_r*Tabella34[[#This Row],[x_r_alpha©+plus]])-(Tabella34[[#This Row],[Day]]-pr)</f>
        <v>#DIV/0!</v>
      </c>
      <c r="AR38" s="269" t="e">
        <f>EXP(mu_r+sigma_r*Tabella34[[#This Row],[x_r_alpha©-minus]])-(Tabella34[[#This Row],[Day]]-pr)</f>
        <v>#DIV/0!</v>
      </c>
      <c r="AS38" s="269" t="e">
        <f>-sigma_r+SQRT(sigma_r^2-2*Tabella34[[#This Row],[c_r]])</f>
        <v>#DIV/0!</v>
      </c>
      <c r="AT38" s="269" t="e">
        <f>-sigma_r-SQRT(sigma_r^2-2*Tabella34[[#This Row],[c_r]])</f>
        <v>#DIV/0!</v>
      </c>
      <c r="AU38" s="269" t="e">
        <f>mu_r-LN(alpha*Kr/(Tabella34[[#This Row],[Lombardy velocity]]*sigma_r*SQRTPI(2)))</f>
        <v>#DIV/0!</v>
      </c>
      <c r="AV38" s="269" t="e">
        <f>Tabella34[[#This Row],[t_alpha_r+plus]]</f>
        <v>#DIV/0!</v>
      </c>
      <c r="AW38" s="91">
        <f>IFERROR(-Kl*_xlfn.LOGNORM.DIST((Tabella34[[#This Row],[Day]]-pl),mu_l,sigma_l,FALSE)*(1+(LN((Tabella34[[#This Row],[Day]]-pl))-mu_l)/sigma_l^2)/(Tabella34[[#This Row],[Day]]-pl),0)</f>
        <v>0</v>
      </c>
      <c r="AX38" s="163">
        <f>Tabella34[[#This Row],[Lombardy acc. fit]]/y_l_peak</f>
        <v>0</v>
      </c>
      <c r="AY38" s="163">
        <f>Tabella34[[#This Row],[Lombardy acc. fit]]*NOT(ISBLANK(Tabella34[[#This Row],[Lombardy data]]))</f>
        <v>0</v>
      </c>
      <c r="AZ38" s="96">
        <f>Tabella34[[#This Row],[Lombardy acc. fit]]+CIl</f>
        <v>748.95537180362362</v>
      </c>
      <c r="BA38" s="96">
        <f>MAX(Tabella34[[#This Row],[Lombardy acc. fit]]-CIl,0)</f>
        <v>0</v>
      </c>
      <c r="BB38" s="161"/>
      <c r="BC38" s="34"/>
      <c r="BD38" s="34"/>
      <c r="BE38" s="162">
        <f>Tabella34[[#This Row],[rest of Italy data]]*NOT(ISBLANK(Tabella34[[#This Row],[rest of Italy data]]))</f>
        <v>0</v>
      </c>
      <c r="BF38" s="211">
        <f>Tabella8[[#This Row],[rest of Italy fit]]</f>
        <v>0</v>
      </c>
      <c r="BG38" s="163" t="e">
        <f>_xlfn.LOGNORM.INV(alpha*Tabella34[[#This Row],[rest of Italy cumul. Fit]]/Ko,mu_o,sigma_o)-(Tabella34[[#This Row],[Day]]-po)</f>
        <v>#NUM!</v>
      </c>
      <c r="BH38" s="163">
        <f>Tabella34[[#This Row],[rest of Italy cumul. Fit]]/Ka</f>
        <v>0</v>
      </c>
      <c r="BI38" s="163">
        <f>IFERROR(Ko*_xlfn.LOGNORM.DIST((Tabella34[[#This Row],[Day]]-po),mu_o,sigma_o,FALSE),0)</f>
        <v>0</v>
      </c>
      <c r="BJ38" s="206" t="e">
        <f>Tabella34[[#This Row],[rest of Italy velocity]]/Tabella34[[#This Row],[rest of Italy cumul. Fit]]</f>
        <v>#DIV/0!</v>
      </c>
      <c r="BK38" s="261" t="e">
        <f>(LN(Tabella34[[#This Row],[Day]]-po)-mu_o)/sigma_o</f>
        <v>#NUM!</v>
      </c>
      <c r="BL38" s="269" t="e">
        <f>EXP(mu_o+sigma_o*Tabella34[[#This Row],[x_o_alpha©+plus]])-(Tabella34[[#This Row],[Day]]-po)</f>
        <v>#DIV/0!</v>
      </c>
      <c r="BM38" s="269" t="e">
        <f>EXP(mu_o+sigma_o*Tabella34[[#This Row],[x_o_alpha©-minus]])-(Tabella34[[#This Row],[Day]]-po)</f>
        <v>#DIV/0!</v>
      </c>
      <c r="BN38" s="269" t="e">
        <f>-sigma_o+SQRT(sigma_o^2-2*Tabella34[[#This Row],[c_o]])</f>
        <v>#DIV/0!</v>
      </c>
      <c r="BO38" s="269" t="e">
        <f>-sigma_o-SQRT(sigma_o^2-2*Tabella34[[#This Row],[c_o]])</f>
        <v>#DIV/0!</v>
      </c>
      <c r="BP38" s="269" t="e">
        <f>mu_o-LN(alpha*Ko/(Tabella34[[#This Row],[rest of Italy velocity]]*sigma_o*SQRTPI(2)))</f>
        <v>#DIV/0!</v>
      </c>
      <c r="BQ38" s="269" t="e">
        <f>Tabella34[[#This Row],[t_alpha_o+plus]]</f>
        <v>#DIV/0!</v>
      </c>
      <c r="BR38" s="91">
        <f>IFERROR(-Ka*_xlfn.LOGNORM.DIST((Tabella34[[#This Row],[Day]]-pa),mu_a,sigma_a,FALSE)*(1+(LN((Tabella34[[#This Row],[Day]]-pa))-mu_a)/sigma_a^2)/(Tabella34[[#This Row],[Day]]-pa),0)</f>
        <v>0</v>
      </c>
      <c r="BS38" s="163">
        <f>Tabella34[[#This Row],[rest of Italy acc. fit]]/y_a_peak</f>
        <v>0</v>
      </c>
      <c r="BT38" s="162">
        <f>Tabella34[[#This Row],[rest of Italy acc. fit]]*NOT(ISBLANK(Tabella34[[#This Row],[rest of Italy data]]))</f>
        <v>0</v>
      </c>
      <c r="BU38" s="96">
        <f>Tabella34[[#This Row],[rest of Italy acc. fit]]+CIa</f>
        <v>694.65203586359735</v>
      </c>
      <c r="BV38" s="96">
        <f>MAX(Tabella34[[#This Row],[rest of Italy acc. fit]]-CIa,0)</f>
        <v>0</v>
      </c>
      <c r="BX38" s="238" t="s">
        <v>3</v>
      </c>
      <c r="BY38" s="239" cm="1">
        <f t="array" ref="BY38">SQRT(SUM((Tabella34[Colonna33]-Tabella34[Colonna322])^2)/dfa)</f>
        <v>2365.7875561652781</v>
      </c>
      <c r="CL38" s="60"/>
    </row>
    <row r="39" spans="2:90" ht="16.2" x14ac:dyDescent="0.3">
      <c r="B39" s="288">
        <v>43862</v>
      </c>
      <c r="C39" s="4">
        <v>32</v>
      </c>
      <c r="D39" s="10" t="str">
        <f>Tabella8[[#This Row],[Italy cumulative]]</f>
        <v>2</v>
      </c>
      <c r="E39" s="91">
        <f>(Tabella34[[#This Row],[Italy cumul. Data]]-D38)</f>
        <v>0</v>
      </c>
      <c r="F39" s="91">
        <f>Tabella34[[#This Row],[Italy data]]-E38</f>
        <v>-2</v>
      </c>
      <c r="G39" s="162">
        <f>Tabella34[[#This Row],[Italy data]]*NOT(ISBLANK(Tabella34[[#This Row],[Italy data]]))</f>
        <v>0</v>
      </c>
      <c r="H39" s="163">
        <f>Tabella8[[#This Row],[Italy fit]]</f>
        <v>1.2186525250989826E-49</v>
      </c>
      <c r="I39" s="163">
        <f>_xlfn.LOGNORM.INV(alpha*Tabella34[[#This Row],[Italy cumul. Fit]]/Kt,mu_t,sigma_t)-(Tabella34[[#This Row],[Day]]-pt)</f>
        <v>6.9830331795794898E-3</v>
      </c>
      <c r="J39" s="163">
        <f>Tabella34[[#This Row],[Italy d.t.]]/Italy_dt_at_lockdown</f>
        <v>1.3715268029743141E-3</v>
      </c>
      <c r="K39" s="163">
        <f>Tabella34[[#This Row],[Italy cumul. Fit]]/Kf</f>
        <v>5.1857568409077082E-55</v>
      </c>
      <c r="L39" s="166">
        <f>Tabella34[[#This Row],[Lombardy acc. fit]]+Tabella34[[#This Row],[rest of Italy acc. fit]]</f>
        <v>1.0357459388113259E-29</v>
      </c>
      <c r="M39" s="163">
        <f>Tabella34[[#This Row],[Italy (fitted Lombardy + fitted sum of the other regions)]]/(y_l_peak+y_a_peak)</f>
        <v>2.0162060638586702E-33</v>
      </c>
      <c r="N39" s="163">
        <f>IFERROR(Kt*_xlfn.LOGNORM.DIST((Tabella34[[#This Row],[Day]]-pt),mu_t,sigma_t,FALSE),0)</f>
        <v>1.2197264050386761E-47</v>
      </c>
      <c r="O39" s="163">
        <f>Kt*EXP(-0.5*Tabella34[[#This Row],[x_t]]^2)/(sigma_t*SQRTPI(2)*(Tabella34[[#This Row],[Day]]-D_bk))</f>
        <v>1.2197264050386737E-47</v>
      </c>
      <c r="P39" s="206">
        <f>Tabella34[[#This Row],[Italy velocity]]/Tabella34[[#This Row],[Italy cumul. Fit]]</f>
        <v>100.08812027362815</v>
      </c>
      <c r="Q39" s="269">
        <f>(LN(Tabella34[[#This Row],[Day]]-D_bk)-mu_t)/sigma_t</f>
        <v>-15.577382725343945</v>
      </c>
      <c r="R39" s="269">
        <f>EXP(mu_t+sigma_t*Tabella34[[#This Row],[x_t_alpha©+plus]])-(Tabella34[[#This Row],[Day]]-D_bk)</f>
        <v>6532.7582831905047</v>
      </c>
      <c r="S39" s="269">
        <f>EXP(mu_t+sigma_t*Tabella34[[#This Row],[x_t_alpha©-minus]])-(Tabella34[[#This Row],[Day]]-D_bk)</f>
        <v>-7.0346931632842558E-3</v>
      </c>
      <c r="T39" s="269">
        <f>-sigma_t+SQRT(sigma_t^2-2*Tabella34[[#This Row],[c_t]])</f>
        <v>15.003477910579694</v>
      </c>
      <c r="U39" s="269">
        <f>-sigma_t-SQRT(sigma_t^2-2*Tabella34[[#This Row],[c_t]])</f>
        <v>-15.62271481647193</v>
      </c>
      <c r="V39" s="269">
        <f>mu_t-LN(alpha*Kt/(Tabella34[[#This Row],[Italy velocity]]*sigma_t*SQRTPI(2)))</f>
        <v>-117.19752832611134</v>
      </c>
      <c r="W39" s="269">
        <f>Tabella34[[#This Row],[Italy g.r.]]/Italy_gr_at_lockdown</f>
        <v>632.85067817416189</v>
      </c>
      <c r="X39" s="269">
        <f>Tabella34[[#This Row],[t_alpha_t+plus]]</f>
        <v>6532.7582831905047</v>
      </c>
      <c r="Y39" s="269">
        <f>Tabella34[[#This Row],[Italy h.t.]]/Italy_ht_at_lockdown</f>
        <v>116.344356854777</v>
      </c>
      <c r="Z39" s="91">
        <f>IFERROR(-Kf*_xlfn.LOGNORM.DIST((Tabella34[[#This Row],[Day]]-D_bk),mu_f,sigma_f,FALSE)*(1+(LN((Tabella34[[#This Row],[Day]]-D_bk))-mu_f)/sigma_f^2)/(Tabella34[[#This Row],[Day]]-D_bk),0)</f>
        <v>1.1916651186556433E-45</v>
      </c>
      <c r="AA39" s="91">
        <f>Tabella34[[#This Row],[Italy acc. fit]]/Itali_acc_at_lockdown</f>
        <v>4.9046396910412726E-48</v>
      </c>
      <c r="AB39" s="163">
        <f>Tabella34[[#This Row],[Italy acc. fit]]/y_f_peak</f>
        <v>2.3543197140256333E-49</v>
      </c>
      <c r="AC39" s="163">
        <f>Tabella34[[#This Row],[Italy (fitted Lombardy + fitted sum of the other regions)]]*NOT(ISBLANK(Tabella34[[#This Row],[Italy data]]))</f>
        <v>1.0357459388113259E-29</v>
      </c>
      <c r="AD39" s="163">
        <f>Tabella34[[#This Row],[Italy acc. fit]]*NOT(ISBLANK(Tabella34[[#This Row],[Italy data]]))</f>
        <v>1.1916651186556433E-45</v>
      </c>
      <c r="AE39" s="96">
        <f>Tabella34[[#This Row],[Italy acc. fit]]+CIf</f>
        <v>1013.7630020203177</v>
      </c>
      <c r="AF39" s="96">
        <f>MAX(Tabella34[[#This Row],[Italy acc. fit]]-CIf,0)</f>
        <v>0</v>
      </c>
      <c r="AG39" s="161"/>
      <c r="AH39" s="34"/>
      <c r="AI39" s="34"/>
      <c r="AJ39" s="162">
        <f>Tabella34[[#This Row],[Lombardy data]]*NOT(ISBLANK(Tabella34[[#This Row],[Lombardy data]]))</f>
        <v>0</v>
      </c>
      <c r="AK39" s="167">
        <f>Tabella8[[#This Row],[Lombardy fit]]</f>
        <v>4.5004674482023335E-33</v>
      </c>
      <c r="AL39" s="163">
        <f>_xlfn.LOGNORM.INV(alpha*Tabella34[[#This Row],[Lombardy cumul. Fit]]/Kr,mu_r,sigma_r)-(Tabella34[[#This Row],[Day]]-pr)</f>
        <v>1.4373906436400907E-2</v>
      </c>
      <c r="AM39" s="162">
        <f>Tabella34[[#This Row],[Lombardy cumul. Fit]]/Kl</f>
        <v>5.1729510898877396E-38</v>
      </c>
      <c r="AN39" s="163">
        <f>IFERROR(Kr*_xlfn.LOGNORM.DIST((Tabella34[[#This Row],[Day]]-pr),mu_r,sigma_r,FALSE),0)</f>
        <v>2.194779593411024E-31</v>
      </c>
      <c r="AO39" s="206">
        <f>Tabella34[[#This Row],[Lombardy velocity]]/Tabella34[[#This Row],[Lombardy cumul. Fit]]</f>
        <v>48.767813980916728</v>
      </c>
      <c r="AP39" s="261">
        <f>(LN(Tabella34[[#This Row],[Day]]-pr)-mu_r)/sigma_r</f>
        <v>-12.835703400765695</v>
      </c>
      <c r="AQ39" s="269">
        <f>EXP(mu_r+sigma_r*Tabella34[[#This Row],[x_r_alpha©+plus]])-(Tabella34[[#This Row],[Day]]-pr)</f>
        <v>3923.7557979586013</v>
      </c>
      <c r="AR39" s="269">
        <f>EXP(mu_r+sigma_r*Tabella34[[#This Row],[x_r_alpha©-minus]])-(Tabella34[[#This Row],[Day]]-pr)</f>
        <v>-1.4518344233522495E-2</v>
      </c>
      <c r="AS39" s="269">
        <f>-sigma_r+SQRT(sigma_r^2-2*Tabella34[[#This Row],[c_r]])</f>
        <v>12.210198949943543</v>
      </c>
      <c r="AT39" s="269">
        <f>-sigma_r-SQRT(sigma_r^2-2*Tabella34[[#This Row],[c_r]])</f>
        <v>-12.891053547137272</v>
      </c>
      <c r="AU39" s="269">
        <f>mu_r-LN(alpha*Kr/(Tabella34[[#This Row],[Lombardy velocity]]*sigma_r*SQRTPI(2)))</f>
        <v>-78.701164242460734</v>
      </c>
      <c r="AV39" s="269">
        <f>Tabella34[[#This Row],[t_alpha_r+plus]]</f>
        <v>3923.7557979586013</v>
      </c>
      <c r="AW39" s="91">
        <f>IFERROR(-Kl*_xlfn.LOGNORM.DIST((Tabella34[[#This Row],[Day]]-pl),mu_l,sigma_l,FALSE)*(1+(LN((Tabella34[[#This Row],[Day]]-pl))-mu_l)/sigma_l^2)/(Tabella34[[#This Row],[Day]]-pl),0)</f>
        <v>1.0357459388113259E-29</v>
      </c>
      <c r="AX39" s="163">
        <f>Tabella34[[#This Row],[Lombardy acc. fit]]/y_l_peak</f>
        <v>5.8917677064095597E-33</v>
      </c>
      <c r="AY39" s="163">
        <f>Tabella34[[#This Row],[Lombardy acc. fit]]*NOT(ISBLANK(Tabella34[[#This Row],[Lombardy data]]))</f>
        <v>0</v>
      </c>
      <c r="AZ39" s="96">
        <f>Tabella34[[#This Row],[Lombardy acc. fit]]+CIl</f>
        <v>748.95537180362362</v>
      </c>
      <c r="BA39" s="96">
        <f>MAX(Tabella34[[#This Row],[Lombardy acc. fit]]-CIl,0)</f>
        <v>0</v>
      </c>
      <c r="BB39" s="161"/>
      <c r="BC39" s="34"/>
      <c r="BD39" s="34"/>
      <c r="BE39" s="162">
        <f>Tabella34[[#This Row],[rest of Italy data]]*NOT(ISBLANK(Tabella34[[#This Row],[rest of Italy data]]))</f>
        <v>0</v>
      </c>
      <c r="BF39" s="211">
        <f>Tabella8[[#This Row],[rest of Italy fit]]</f>
        <v>0</v>
      </c>
      <c r="BG39" s="163" t="e">
        <f>_xlfn.LOGNORM.INV(alpha*Tabella34[[#This Row],[rest of Italy cumul. Fit]]/Ko,mu_o,sigma_o)-(Tabella34[[#This Row],[Day]]-po)</f>
        <v>#NUM!</v>
      </c>
      <c r="BH39" s="163">
        <f>Tabella34[[#This Row],[rest of Italy cumul. Fit]]/Ka</f>
        <v>0</v>
      </c>
      <c r="BI39" s="163">
        <f>IFERROR(Ko*_xlfn.LOGNORM.DIST((Tabella34[[#This Row],[Day]]-po),mu_o,sigma_o,FALSE),0)</f>
        <v>0</v>
      </c>
      <c r="BJ39" s="206" t="e">
        <f>Tabella34[[#This Row],[rest of Italy velocity]]/Tabella34[[#This Row],[rest of Italy cumul. Fit]]</f>
        <v>#DIV/0!</v>
      </c>
      <c r="BK39" s="261" t="e">
        <f>(LN(Tabella34[[#This Row],[Day]]-po)-mu_o)/sigma_o</f>
        <v>#NUM!</v>
      </c>
      <c r="BL39" s="269" t="e">
        <f>EXP(mu_o+sigma_o*Tabella34[[#This Row],[x_o_alpha©+plus]])-(Tabella34[[#This Row],[Day]]-po)</f>
        <v>#DIV/0!</v>
      </c>
      <c r="BM39" s="269" t="e">
        <f>EXP(mu_o+sigma_o*Tabella34[[#This Row],[x_o_alpha©-minus]])-(Tabella34[[#This Row],[Day]]-po)</f>
        <v>#DIV/0!</v>
      </c>
      <c r="BN39" s="269" t="e">
        <f>-sigma_o+SQRT(sigma_o^2-2*Tabella34[[#This Row],[c_o]])</f>
        <v>#DIV/0!</v>
      </c>
      <c r="BO39" s="269" t="e">
        <f>-sigma_o-SQRT(sigma_o^2-2*Tabella34[[#This Row],[c_o]])</f>
        <v>#DIV/0!</v>
      </c>
      <c r="BP39" s="269" t="e">
        <f>mu_o-LN(alpha*Ko/(Tabella34[[#This Row],[rest of Italy velocity]]*sigma_o*SQRTPI(2)))</f>
        <v>#DIV/0!</v>
      </c>
      <c r="BQ39" s="269" t="e">
        <f>Tabella34[[#This Row],[t_alpha_o+plus]]</f>
        <v>#DIV/0!</v>
      </c>
      <c r="BR39" s="91">
        <f>IFERROR(-Ka*_xlfn.LOGNORM.DIST((Tabella34[[#This Row],[Day]]-pa),mu_a,sigma_a,FALSE)*(1+(LN((Tabella34[[#This Row],[Day]]-pa))-mu_a)/sigma_a^2)/(Tabella34[[#This Row],[Day]]-pa),0)</f>
        <v>0</v>
      </c>
      <c r="BS39" s="163">
        <f>Tabella34[[#This Row],[rest of Italy acc. fit]]/y_a_peak</f>
        <v>0</v>
      </c>
      <c r="BT39" s="162">
        <f>Tabella34[[#This Row],[rest of Italy acc. fit]]*NOT(ISBLANK(Tabella34[[#This Row],[rest of Italy data]]))</f>
        <v>0</v>
      </c>
      <c r="BU39" s="96">
        <f>Tabella34[[#This Row],[rest of Italy acc. fit]]+CIa</f>
        <v>694.65203586359735</v>
      </c>
      <c r="BV39" s="96">
        <f>MAX(Tabella34[[#This Row],[rest of Italy acc. fit]]-CIa,0)</f>
        <v>0</v>
      </c>
      <c r="BX39" s="238" t="s">
        <v>4380</v>
      </c>
      <c r="BY39" s="241" cm="1">
        <f t="array" ref="BY39">1-SUM((Tabella34[Colonna33]-Tabella34[Colonna322])^2)/SUM((Tabella34[Colonna33]-Mean_of_ya)^2)</f>
        <v>0.36215031683880472</v>
      </c>
      <c r="CL39" s="60"/>
    </row>
    <row r="40" spans="2:90" x14ac:dyDescent="0.3">
      <c r="B40" s="288">
        <v>43863</v>
      </c>
      <c r="C40" s="4">
        <v>33</v>
      </c>
      <c r="D40" s="10" t="str">
        <f>Tabella8[[#This Row],[Italy cumulative]]</f>
        <v>2</v>
      </c>
      <c r="E40" s="91">
        <f>(Tabella34[[#This Row],[Italy cumul. Data]]-D39)</f>
        <v>0</v>
      </c>
      <c r="F40" s="91">
        <f>Tabella34[[#This Row],[Italy data]]-E39</f>
        <v>0</v>
      </c>
      <c r="G40" s="162">
        <f>Tabella34[[#This Row],[Italy data]]*NOT(ISBLANK(Tabella34[[#This Row],[Italy data]]))</f>
        <v>0</v>
      </c>
      <c r="H40" s="163">
        <f>Tabella8[[#This Row],[Italy fit]]</f>
        <v>2.2973690458980703E-28</v>
      </c>
      <c r="I40" s="163">
        <f>_xlfn.LOGNORM.INV(alpha*Tabella34[[#This Row],[Italy cumul. Fit]]/Kt,mu_t,sigma_t)-(Tabella34[[#This Row],[Day]]-pt)</f>
        <v>2.6920390107041614E-2</v>
      </c>
      <c r="J40" s="163">
        <f>Tabella34[[#This Row],[Italy d.t.]]/Italy_dt_at_lockdown</f>
        <v>5.2873924022448279E-3</v>
      </c>
      <c r="K40" s="163">
        <f>Tabella34[[#This Row],[Italy cumul. Fit]]/Kf</f>
        <v>9.7760411606153897E-34</v>
      </c>
      <c r="L40" s="166">
        <f>Tabella34[[#This Row],[Lombardy acc. fit]]+Tabella34[[#This Row],[rest of Italy acc. fit]]</f>
        <v>2.8814628352738055E-18</v>
      </c>
      <c r="M40" s="163">
        <f>Tabella34[[#This Row],[Italy (fitted Lombardy + fitted sum of the other regions)]]/(y_l_peak+y_a_peak)</f>
        <v>5.6091195954191801E-22</v>
      </c>
      <c r="N40" s="163">
        <f>IFERROR(Kt*_xlfn.LOGNORM.DIST((Tabella34[[#This Row],[Day]]-pt),mu_t,sigma_t,FALSE),0)</f>
        <v>5.9820584762273079E-27</v>
      </c>
      <c r="O40" s="163">
        <f>Kt*EXP(-0.5*Tabella34[[#This Row],[x_t]]^2)/(sigma_t*SQRTPI(2)*(Tabella34[[#This Row],[Day]]-D_bk))</f>
        <v>5.98205847622714E-27</v>
      </c>
      <c r="P40" s="206">
        <f>Tabella34[[#This Row],[Italy velocity]]/Tabella34[[#This Row],[Italy cumul. Fit]]</f>
        <v>26.038735426109334</v>
      </c>
      <c r="Q40" s="269">
        <f>(LN(Tabella34[[#This Row],[Day]]-D_bk)-mu_t)/sigma_t</f>
        <v>-12.049335052487987</v>
      </c>
      <c r="R40" s="269">
        <f>EXP(mu_t+sigma_t*Tabella34[[#This Row],[x_t_alpha©+plus]])-(Tabella34[[#This Row],[Day]]-D_bk)</f>
        <v>2199.1551015675313</v>
      </c>
      <c r="S40" s="269">
        <f>EXP(mu_t+sigma_t*Tabella34[[#This Row],[x_t_alpha©-minus]])-(Tabella34[[#This Row],[Day]]-D_bk)</f>
        <v>-2.719010025058699E-2</v>
      </c>
      <c r="T40" s="269">
        <f>-sigma_t+SQRT(sigma_t^2-2*Tabella34[[#This Row],[c_t]])</f>
        <v>11.488993338221466</v>
      </c>
      <c r="U40" s="269">
        <f>-sigma_t-SQRT(sigma_t^2-2*Tabella34[[#This Row],[c_t]])</f>
        <v>-12.108230244113702</v>
      </c>
      <c r="V40" s="269">
        <f>mu_t-LN(alpha*Kt/(Tabella34[[#This Row],[Italy velocity]]*sigma_t*SQRTPI(2)))</f>
        <v>-69.555688306136986</v>
      </c>
      <c r="W40" s="269">
        <f>Tabella34[[#This Row],[Italy g.r.]]/Italy_gr_at_lockdown</f>
        <v>164.64123142846915</v>
      </c>
      <c r="X40" s="269">
        <f>Tabella34[[#This Row],[t_alpha_t+plus]]</f>
        <v>2199.1551015675313</v>
      </c>
      <c r="Y40" s="269">
        <f>Tabella34[[#This Row],[Italy h.t.]]/Italy_ht_at_lockdown</f>
        <v>39.165582870887775</v>
      </c>
      <c r="Z40" s="91">
        <f>IFERROR(-Kf*_xlfn.LOGNORM.DIST((Tabella34[[#This Row],[Day]]-D_bk),mu_f,sigma_f,FALSE)*(1+(LN((Tabella34[[#This Row],[Day]]-D_bk))-mu_f)/sigma_f^2)/(Tabella34[[#This Row],[Day]]-D_bk),0)</f>
        <v>1.5073830458547226E-25</v>
      </c>
      <c r="AA40" s="91">
        <f>Tabella34[[#This Row],[Italy acc. fit]]/Itali_acc_at_lockdown</f>
        <v>6.2040674016222262E-28</v>
      </c>
      <c r="AB40" s="163">
        <f>Tabella34[[#This Row],[Italy acc. fit]]/y_f_peak</f>
        <v>2.9780695649188477E-29</v>
      </c>
      <c r="AC40" s="163">
        <f>Tabella34[[#This Row],[Italy (fitted Lombardy + fitted sum of the other regions)]]*NOT(ISBLANK(Tabella34[[#This Row],[Italy data]]))</f>
        <v>2.8814628352738055E-18</v>
      </c>
      <c r="AD40" s="163">
        <f>Tabella34[[#This Row],[Italy acc. fit]]*NOT(ISBLANK(Tabella34[[#This Row],[Italy data]]))</f>
        <v>1.5073830458547226E-25</v>
      </c>
      <c r="AE40" s="96">
        <f>Tabella34[[#This Row],[Italy acc. fit]]+CIf</f>
        <v>1013.7630020203177</v>
      </c>
      <c r="AF40" s="96">
        <f>MAX(Tabella34[[#This Row],[Italy acc. fit]]-CIf,0)</f>
        <v>0</v>
      </c>
      <c r="AG40" s="161"/>
      <c r="AH40" s="34"/>
      <c r="AI40" s="34"/>
      <c r="AJ40" s="162">
        <f>Tabella34[[#This Row],[Lombardy data]]*NOT(ISBLANK(Tabella34[[#This Row],[Lombardy data]]))</f>
        <v>0</v>
      </c>
      <c r="AK40" s="167">
        <f>Tabella8[[#This Row],[Lombardy fit]]</f>
        <v>9.982998313231629E-21</v>
      </c>
      <c r="AL40" s="163">
        <f>_xlfn.LOGNORM.INV(alpha*Tabella34[[#This Row],[Lombardy cumul. Fit]]/Kr,mu_r,sigma_r)-(Tabella34[[#This Row],[Day]]-pr)</f>
        <v>4.0525648353438193E-2</v>
      </c>
      <c r="AM40" s="162">
        <f>Tabella34[[#This Row],[Lombardy cumul. Fit]]/Kl</f>
        <v>1.1474710704863941E-25</v>
      </c>
      <c r="AN40" s="163">
        <f>IFERROR(Kr*_xlfn.LOGNORM.DIST((Tabella34[[#This Row],[Day]]-pr),mu_r,sigma_r,FALSE),0)</f>
        <v>1.7322845421536119E-19</v>
      </c>
      <c r="AO40" s="206">
        <f>Tabella34[[#This Row],[Lombardy velocity]]/Tabella34[[#This Row],[Lombardy cumul. Fit]]</f>
        <v>17.3523473389514</v>
      </c>
      <c r="AP40" s="261">
        <f>(LN(Tabella34[[#This Row],[Day]]-pr)-mu_r)/sigma_r</f>
        <v>-10.407361475921464</v>
      </c>
      <c r="AQ40" s="269">
        <f>EXP(mu_r+sigma_r*Tabella34[[#This Row],[x_r_alpha©+plus]])-(Tabella34[[#This Row],[Day]]-pr)</f>
        <v>1722.9876204224172</v>
      </c>
      <c r="AR40" s="269">
        <f>EXP(mu_r+sigma_r*Tabella34[[#This Row],[x_r_alpha©-minus]])-(Tabella34[[#This Row],[Day]]-pr)</f>
        <v>-4.1047935453704998E-2</v>
      </c>
      <c r="AS40" s="269">
        <f>-sigma_r+SQRT(sigma_r^2-2*Tabella34[[#This Row],[c_r]])</f>
        <v>9.7951268594995735</v>
      </c>
      <c r="AT40" s="269">
        <f>-sigma_r-SQRT(sigma_r^2-2*Tabella34[[#This Row],[c_r]])</f>
        <v>-10.475981456693303</v>
      </c>
      <c r="AU40" s="269">
        <f>mu_r-LN(alpha*Kr/(Tabella34[[#This Row],[Lombardy velocity]]*sigma_r*SQRTPI(2)))</f>
        <v>-51.306783673038019</v>
      </c>
      <c r="AV40" s="269">
        <f>Tabella34[[#This Row],[t_alpha_r+plus]]</f>
        <v>1722.9876204224172</v>
      </c>
      <c r="AW40" s="91">
        <f>IFERROR(-Kl*_xlfn.LOGNORM.DIST((Tabella34[[#This Row],[Day]]-pl),mu_l,sigma_l,FALSE)*(1+(LN((Tabella34[[#This Row],[Day]]-pl))-mu_l)/sigma_l^2)/(Tabella34[[#This Row],[Day]]-pl),0)</f>
        <v>2.8814628352738055E-18</v>
      </c>
      <c r="AX40" s="163">
        <f>Tabella34[[#This Row],[Lombardy acc. fit]]/y_l_peak</f>
        <v>1.6390998066156157E-21</v>
      </c>
      <c r="AY40" s="163">
        <f>Tabella34[[#This Row],[Lombardy acc. fit]]*NOT(ISBLANK(Tabella34[[#This Row],[Lombardy data]]))</f>
        <v>0</v>
      </c>
      <c r="AZ40" s="96">
        <f>Tabella34[[#This Row],[Lombardy acc. fit]]+CIl</f>
        <v>748.95537180362362</v>
      </c>
      <c r="BA40" s="96">
        <f>MAX(Tabella34[[#This Row],[Lombardy acc. fit]]-CIl,0)</f>
        <v>0</v>
      </c>
      <c r="BB40" s="161"/>
      <c r="BC40" s="34"/>
      <c r="BD40" s="34"/>
      <c r="BE40" s="162">
        <f>Tabella34[[#This Row],[rest of Italy data]]*NOT(ISBLANK(Tabella34[[#This Row],[rest of Italy data]]))</f>
        <v>0</v>
      </c>
      <c r="BF40" s="211">
        <f>Tabella8[[#This Row],[rest of Italy fit]]</f>
        <v>0</v>
      </c>
      <c r="BG40" s="163" t="e">
        <f>_xlfn.LOGNORM.INV(alpha*Tabella34[[#This Row],[rest of Italy cumul. Fit]]/Ko,mu_o,sigma_o)-(Tabella34[[#This Row],[Day]]-po)</f>
        <v>#NUM!</v>
      </c>
      <c r="BH40" s="163">
        <f>Tabella34[[#This Row],[rest of Italy cumul. Fit]]/Ka</f>
        <v>0</v>
      </c>
      <c r="BI40" s="163">
        <f>IFERROR(Ko*_xlfn.LOGNORM.DIST((Tabella34[[#This Row],[Day]]-po),mu_o,sigma_o,FALSE),0)</f>
        <v>0</v>
      </c>
      <c r="BJ40" s="206" t="e">
        <f>Tabella34[[#This Row],[rest of Italy velocity]]/Tabella34[[#This Row],[rest of Italy cumul. Fit]]</f>
        <v>#DIV/0!</v>
      </c>
      <c r="BK40" s="261" t="e">
        <f>(LN(Tabella34[[#This Row],[Day]]-po)-mu_o)/sigma_o</f>
        <v>#NUM!</v>
      </c>
      <c r="BL40" s="269" t="e">
        <f>EXP(mu_o+sigma_o*Tabella34[[#This Row],[x_o_alpha©+plus]])-(Tabella34[[#This Row],[Day]]-po)</f>
        <v>#DIV/0!</v>
      </c>
      <c r="BM40" s="269" t="e">
        <f>EXP(mu_o+sigma_o*Tabella34[[#This Row],[x_o_alpha©-minus]])-(Tabella34[[#This Row],[Day]]-po)</f>
        <v>#DIV/0!</v>
      </c>
      <c r="BN40" s="269" t="e">
        <f>-sigma_o+SQRT(sigma_o^2-2*Tabella34[[#This Row],[c_o]])</f>
        <v>#DIV/0!</v>
      </c>
      <c r="BO40" s="269" t="e">
        <f>-sigma_o-SQRT(sigma_o^2-2*Tabella34[[#This Row],[c_o]])</f>
        <v>#DIV/0!</v>
      </c>
      <c r="BP40" s="269" t="e">
        <f>mu_o-LN(alpha*Ko/(Tabella34[[#This Row],[rest of Italy velocity]]*sigma_o*SQRTPI(2)))</f>
        <v>#DIV/0!</v>
      </c>
      <c r="BQ40" s="269" t="e">
        <f>Tabella34[[#This Row],[t_alpha_o+plus]]</f>
        <v>#DIV/0!</v>
      </c>
      <c r="BR40" s="91">
        <f>IFERROR(-Ka*_xlfn.LOGNORM.DIST((Tabella34[[#This Row],[Day]]-pa),mu_a,sigma_a,FALSE)*(1+(LN((Tabella34[[#This Row],[Day]]-pa))-mu_a)/sigma_a^2)/(Tabella34[[#This Row],[Day]]-pa),0)</f>
        <v>0</v>
      </c>
      <c r="BS40" s="163">
        <f>Tabella34[[#This Row],[rest of Italy acc. fit]]/y_a_peak</f>
        <v>0</v>
      </c>
      <c r="BT40" s="162">
        <f>Tabella34[[#This Row],[rest of Italy acc. fit]]*NOT(ISBLANK(Tabella34[[#This Row],[rest of Italy data]]))</f>
        <v>0</v>
      </c>
      <c r="BU40" s="96">
        <f>Tabella34[[#This Row],[rest of Italy acc. fit]]+CIa</f>
        <v>694.65203586359735</v>
      </c>
      <c r="BV40" s="96">
        <f>MAX(Tabella34[[#This Row],[rest of Italy acc. fit]]-CIa,0)</f>
        <v>0</v>
      </c>
      <c r="BX40" s="238" t="s">
        <v>5</v>
      </c>
      <c r="BY40" s="241">
        <f>TINV(0.05,dfa)</f>
        <v>1.9996235849949404</v>
      </c>
      <c r="CL40" s="60"/>
    </row>
    <row r="41" spans="2:90" x14ac:dyDescent="0.3">
      <c r="B41" s="288">
        <v>43864</v>
      </c>
      <c r="C41" s="4">
        <v>34</v>
      </c>
      <c r="D41" s="10" t="str">
        <f>Tabella8[[#This Row],[Italy cumulative]]</f>
        <v>2</v>
      </c>
      <c r="E41" s="91">
        <f>(Tabella34[[#This Row],[Italy cumul. Data]]-D40)</f>
        <v>0</v>
      </c>
      <c r="F41" s="91">
        <f>Tabella34[[#This Row],[Italy data]]-E40</f>
        <v>0</v>
      </c>
      <c r="G41" s="162">
        <f>Tabella34[[#This Row],[Italy data]]*NOT(ISBLANK(Tabella34[[#This Row],[Italy data]]))</f>
        <v>0</v>
      </c>
      <c r="H41" s="163">
        <f>Tabella8[[#This Row],[Italy fit]]</f>
        <v>2.8069230466772731E-20</v>
      </c>
      <c r="I41" s="163">
        <f>_xlfn.LOGNORM.INV(alpha*Tabella34[[#This Row],[Italy cumul. Fit]]/Kt,mu_t,sigma_t)-(Tabella34[[#This Row],[Day]]-pt)</f>
        <v>5.1895358768319966E-2</v>
      </c>
      <c r="J41" s="163">
        <f>Tabella34[[#This Row],[Italy d.t.]]/Italy_dt_at_lockdown</f>
        <v>1.0192687571478079E-2</v>
      </c>
      <c r="K41" s="163">
        <f>Tabella34[[#This Row],[Italy cumul. Fit]]/Kf</f>
        <v>1.194435664918176E-25</v>
      </c>
      <c r="L41" s="166">
        <f>Tabella34[[#This Row],[Lombardy acc. fit]]+Tabella34[[#This Row],[rest of Italy acc. fit]]</f>
        <v>3.6604532127729472E-13</v>
      </c>
      <c r="M41" s="163">
        <f>Tabella34[[#This Row],[Italy (fitted Lombardy + fitted sum of the other regions)]]/(y_l_peak+y_a_peak)</f>
        <v>7.1255195772562596E-17</v>
      </c>
      <c r="N41" s="163">
        <f>IFERROR(Kt*_xlfn.LOGNORM.DIST((Tabella34[[#This Row],[Day]]-pt),mu_t,sigma_t,FALSE),0)</f>
        <v>3.7996907641664968E-19</v>
      </c>
      <c r="O41" s="163">
        <f>Kt*EXP(-0.5*Tabella34[[#This Row],[x_t]]^2)/(sigma_t*SQRTPI(2)*(Tabella34[[#This Row],[Day]]-D_bk))</f>
        <v>3.7996907641665806E-19</v>
      </c>
      <c r="P41" s="206">
        <f>Tabella34[[#This Row],[Italy velocity]]/Tabella34[[#This Row],[Italy cumul. Fit]]</f>
        <v>13.536854060407618</v>
      </c>
      <c r="Q41" s="269">
        <f>(LN(Tabella34[[#This Row],[Day]]-D_bk)-mu_t)/sigma_t</f>
        <v>-10.403541102221862</v>
      </c>
      <c r="R41" s="269">
        <f>EXP(mu_t+sigma_t*Tabella34[[#This Row],[x_t_alpha©+plus]])-(Tabella34[[#This Row],[Day]]-D_bk)</f>
        <v>1323.4644039437951</v>
      </c>
      <c r="S41" s="269">
        <f>EXP(mu_t+sigma_t*Tabella34[[#This Row],[x_t_alpha©-minus]])-(Tabella34[[#This Row],[Day]]-D_bk)</f>
        <v>-5.2515783836549534E-2</v>
      </c>
      <c r="T41" s="269">
        <f>-sigma_t+SQRT(sigma_t^2-2*Tabella34[[#This Row],[c_t]])</f>
        <v>9.8527419426845047</v>
      </c>
      <c r="U41" s="269">
        <f>-sigma_t-SQRT(sigma_t^2-2*Tabella34[[#This Row],[c_t]])</f>
        <v>-10.471978848576741</v>
      </c>
      <c r="V41" s="269">
        <f>mu_t-LN(alpha*Kt/(Tabella34[[#This Row],[Italy velocity]]*sigma_t*SQRTPI(2)))</f>
        <v>-51.588852612138517</v>
      </c>
      <c r="W41" s="269">
        <f>Tabella34[[#This Row],[Italy g.r.]]/Italy_gr_at_lockdown</f>
        <v>85.592648248893681</v>
      </c>
      <c r="X41" s="269">
        <f>Tabella34[[#This Row],[t_alpha_t+plus]]</f>
        <v>1323.4644039437951</v>
      </c>
      <c r="Y41" s="269">
        <f>Tabella34[[#This Row],[Italy h.t.]]/Italy_ht_at_lockdown</f>
        <v>23.570076868331824</v>
      </c>
      <c r="Z41" s="91">
        <f>IFERROR(-Kf*_xlfn.LOGNORM.DIST((Tabella34[[#This Row],[Day]]-D_bk),mu_f,sigma_f,FALSE)*(1+(LN((Tabella34[[#This Row],[Day]]-D_bk))-mu_f)/sigma_f^2)/(Tabella34[[#This Row],[Day]]-D_bk),0)</f>
        <v>4.9456222030967268E-18</v>
      </c>
      <c r="AA41" s="91">
        <f>Tabella34[[#This Row],[Italy acc. fit]]/Itali_acc_at_lockdown</f>
        <v>2.0355127102795238E-20</v>
      </c>
      <c r="AB41" s="163">
        <f>Tabella34[[#This Row],[Italy acc. fit]]/y_f_peak</f>
        <v>9.7708455744756645E-22</v>
      </c>
      <c r="AC41" s="163">
        <f>Tabella34[[#This Row],[Italy (fitted Lombardy + fitted sum of the other regions)]]*NOT(ISBLANK(Tabella34[[#This Row],[Italy data]]))</f>
        <v>3.6604532127729472E-13</v>
      </c>
      <c r="AD41" s="163">
        <f>Tabella34[[#This Row],[Italy acc. fit]]*NOT(ISBLANK(Tabella34[[#This Row],[Italy data]]))</f>
        <v>4.9456222030967268E-18</v>
      </c>
      <c r="AE41" s="96">
        <f>Tabella34[[#This Row],[Italy acc. fit]]+CIf</f>
        <v>1013.7630020203177</v>
      </c>
      <c r="AF41" s="96">
        <f>MAX(Tabella34[[#This Row],[Italy acc. fit]]-CIf,0)</f>
        <v>0</v>
      </c>
      <c r="AG41" s="161"/>
      <c r="AH41" s="34"/>
      <c r="AI41" s="34"/>
      <c r="AJ41" s="162">
        <f>Tabella34[[#This Row],[Lombardy data]]*NOT(ISBLANK(Tabella34[[#This Row],[Lombardy data]]))</f>
        <v>0</v>
      </c>
      <c r="AK41" s="167">
        <f>Tabella8[[#This Row],[Lombardy fit]]</f>
        <v>4.0616974750038979E-15</v>
      </c>
      <c r="AL41" s="163">
        <f>_xlfn.LOGNORM.INV(alpha*Tabella34[[#This Row],[Lombardy cumul. Fit]]/Kr,mu_r,sigma_r)-(Tabella34[[#This Row],[Day]]-pr)</f>
        <v>7.2435115785905779E-2</v>
      </c>
      <c r="AM41" s="162">
        <f>Tabella34[[#This Row],[Lombardy cumul. Fit]]/Kl</f>
        <v>4.6686177873608025E-20</v>
      </c>
      <c r="AN41" s="163">
        <f>IFERROR(Kr*_xlfn.LOGNORM.DIST((Tabella34[[#This Row],[Day]]-pr),mu_r,sigma_r,FALSE),0)</f>
        <v>3.9532398639963845E-14</v>
      </c>
      <c r="AO41" s="206">
        <f>Tabella34[[#This Row],[Lombardy velocity]]/Tabella34[[#This Row],[Lombardy cumul. Fit]]</f>
        <v>9.7329746696425019</v>
      </c>
      <c r="AP41" s="261">
        <f>(LN(Tabella34[[#This Row],[Day]]-pr)-mu_r)/sigma_r</f>
        <v>-9.096403774219338</v>
      </c>
      <c r="AQ41" s="269">
        <f>EXP(mu_r+sigma_r*Tabella34[[#This Row],[x_r_alpha©+plus]])-(Tabella34[[#This Row],[Day]]-pr)</f>
        <v>1104.9086725512323</v>
      </c>
      <c r="AR41" s="269">
        <f>EXP(mu_r+sigma_r*Tabella34[[#This Row],[x_r_alpha©-minus]])-(Tabella34[[#This Row],[Day]]-pr)</f>
        <v>-7.3532786753093049E-2</v>
      </c>
      <c r="AS41" s="269">
        <f>-sigma_r+SQRT(sigma_r^2-2*Tabella34[[#This Row],[c_r]])</f>
        <v>8.4943572716557707</v>
      </c>
      <c r="AT41" s="269">
        <f>-sigma_r-SQRT(sigma_r^2-2*Tabella34[[#This Row],[c_r]])</f>
        <v>-9.1752118688494999</v>
      </c>
      <c r="AU41" s="269">
        <f>mu_r-LN(alpha*Kr/(Tabella34[[#This Row],[Lombardy velocity]]*sigma_r*SQRTPI(2)))</f>
        <v>-38.968763828572037</v>
      </c>
      <c r="AV41" s="269">
        <f>Tabella34[[#This Row],[t_alpha_r+plus]]</f>
        <v>1104.9086725512323</v>
      </c>
      <c r="AW41" s="91">
        <f>IFERROR(-Kl*_xlfn.LOGNORM.DIST((Tabella34[[#This Row],[Day]]-pl),mu_l,sigma_l,FALSE)*(1+(LN((Tabella34[[#This Row],[Day]]-pl))-mu_l)/sigma_l^2)/(Tabella34[[#This Row],[Day]]-pl),0)</f>
        <v>3.6604532127729472E-13</v>
      </c>
      <c r="AX41" s="163">
        <f>Tabella34[[#This Row],[Lombardy acc. fit]]/y_l_peak</f>
        <v>2.0822229874818159E-16</v>
      </c>
      <c r="AY41" s="163">
        <f>Tabella34[[#This Row],[Lombardy acc. fit]]*NOT(ISBLANK(Tabella34[[#This Row],[Lombardy data]]))</f>
        <v>0</v>
      </c>
      <c r="AZ41" s="96">
        <f>Tabella34[[#This Row],[Lombardy acc. fit]]+CIl</f>
        <v>748.95537180362396</v>
      </c>
      <c r="BA41" s="96">
        <f>MAX(Tabella34[[#This Row],[Lombardy acc. fit]]-CIl,0)</f>
        <v>0</v>
      </c>
      <c r="BB41" s="161"/>
      <c r="BC41" s="34"/>
      <c r="BD41" s="34"/>
      <c r="BE41" s="162">
        <f>Tabella34[[#This Row],[rest of Italy data]]*NOT(ISBLANK(Tabella34[[#This Row],[rest of Italy data]]))</f>
        <v>0</v>
      </c>
      <c r="BF41" s="211">
        <f>Tabella8[[#This Row],[rest of Italy fit]]</f>
        <v>0</v>
      </c>
      <c r="BG41" s="163" t="e">
        <f>_xlfn.LOGNORM.INV(alpha*Tabella34[[#This Row],[rest of Italy cumul. Fit]]/Ko,mu_o,sigma_o)-(Tabella34[[#This Row],[Day]]-po)</f>
        <v>#NUM!</v>
      </c>
      <c r="BH41" s="163">
        <f>Tabella34[[#This Row],[rest of Italy cumul. Fit]]/Ka</f>
        <v>0</v>
      </c>
      <c r="BI41" s="163">
        <f>IFERROR(Ko*_xlfn.LOGNORM.DIST((Tabella34[[#This Row],[Day]]-po),mu_o,sigma_o,FALSE),0)</f>
        <v>0</v>
      </c>
      <c r="BJ41" s="206" t="e">
        <f>Tabella34[[#This Row],[rest of Italy velocity]]/Tabella34[[#This Row],[rest of Italy cumul. Fit]]</f>
        <v>#DIV/0!</v>
      </c>
      <c r="BK41" s="261" t="e">
        <f>(LN(Tabella34[[#This Row],[Day]]-po)-mu_o)/sigma_o</f>
        <v>#NUM!</v>
      </c>
      <c r="BL41" s="269" t="e">
        <f>EXP(mu_o+sigma_o*Tabella34[[#This Row],[x_o_alpha©+plus]])-(Tabella34[[#This Row],[Day]]-po)</f>
        <v>#DIV/0!</v>
      </c>
      <c r="BM41" s="269" t="e">
        <f>EXP(mu_o+sigma_o*Tabella34[[#This Row],[x_o_alpha©-minus]])-(Tabella34[[#This Row],[Day]]-po)</f>
        <v>#DIV/0!</v>
      </c>
      <c r="BN41" s="269" t="e">
        <f>-sigma_o+SQRT(sigma_o^2-2*Tabella34[[#This Row],[c_o]])</f>
        <v>#DIV/0!</v>
      </c>
      <c r="BO41" s="269" t="e">
        <f>-sigma_o-SQRT(sigma_o^2-2*Tabella34[[#This Row],[c_o]])</f>
        <v>#DIV/0!</v>
      </c>
      <c r="BP41" s="269" t="e">
        <f>mu_o-LN(alpha*Ko/(Tabella34[[#This Row],[rest of Italy velocity]]*sigma_o*SQRTPI(2)))</f>
        <v>#DIV/0!</v>
      </c>
      <c r="BQ41" s="269" t="e">
        <f>Tabella34[[#This Row],[t_alpha_o+plus]]</f>
        <v>#DIV/0!</v>
      </c>
      <c r="BR41" s="91">
        <f>IFERROR(-Ka*_xlfn.LOGNORM.DIST((Tabella34[[#This Row],[Day]]-pa),mu_a,sigma_a,FALSE)*(1+(LN((Tabella34[[#This Row],[Day]]-pa))-mu_a)/sigma_a^2)/(Tabella34[[#This Row],[Day]]-pa),0)</f>
        <v>0</v>
      </c>
      <c r="BS41" s="163">
        <f>Tabella34[[#This Row],[rest of Italy acc. fit]]/y_a_peak</f>
        <v>0</v>
      </c>
      <c r="BT41" s="162">
        <f>Tabella34[[#This Row],[rest of Italy acc. fit]]*NOT(ISBLANK(Tabella34[[#This Row],[rest of Italy data]]))</f>
        <v>0</v>
      </c>
      <c r="BU41" s="96">
        <f>Tabella34[[#This Row],[rest of Italy acc. fit]]+CIa</f>
        <v>694.65203586359735</v>
      </c>
      <c r="BV41" s="96">
        <f>MAX(Tabella34[[#This Row],[rest of Italy acc. fit]]-CIa,0)</f>
        <v>0</v>
      </c>
      <c r="BX41" s="238" t="s">
        <v>6</v>
      </c>
      <c r="BY41" s="239">
        <f>Critical_ta*SE_of_ya</f>
        <v>694.65203586359735</v>
      </c>
      <c r="CL41" s="60"/>
    </row>
    <row r="42" spans="2:90" ht="15" thickBot="1" x14ac:dyDescent="0.35">
      <c r="B42" s="288">
        <v>43865</v>
      </c>
      <c r="C42" s="4">
        <v>35</v>
      </c>
      <c r="D42" s="10" t="str">
        <f>Tabella8[[#This Row],[Italy cumulative]]</f>
        <v>2</v>
      </c>
      <c r="E42" s="91">
        <f>(Tabella34[[#This Row],[Italy cumul. Data]]-D41)</f>
        <v>0</v>
      </c>
      <c r="F42" s="91">
        <f>Tabella34[[#This Row],[Italy data]]-E41</f>
        <v>0</v>
      </c>
      <c r="G42" s="162">
        <f>Tabella34[[#This Row],[Italy data]]*NOT(ISBLANK(Tabella34[[#This Row],[Italy data]]))</f>
        <v>0</v>
      </c>
      <c r="H42" s="163">
        <f>Tabella8[[#This Row],[Italy fit]]</f>
        <v>1.3857888971887324E-15</v>
      </c>
      <c r="I42" s="163">
        <f>_xlfn.LOGNORM.INV(alpha*Tabella34[[#This Row],[Italy cumul. Fit]]/Kt,mu_t,sigma_t)-(Tabella34[[#This Row],[Day]]-pt)</f>
        <v>8.1050099056955371E-2</v>
      </c>
      <c r="J42" s="163">
        <f>Tabella34[[#This Row],[Italy d.t.]]/Italy_dt_at_lockdown</f>
        <v>1.5918925255204292E-2</v>
      </c>
      <c r="K42" s="163">
        <f>Tabella34[[#This Row],[Italy cumul. Fit]]/Kf</f>
        <v>5.8969756396038486E-21</v>
      </c>
      <c r="L42" s="166">
        <f>Tabella34[[#This Row],[Lombardy acc. fit]]+Tabella34[[#This Row],[rest of Italy acc. fit]]</f>
        <v>4.3676335556564761E-10</v>
      </c>
      <c r="M42" s="163">
        <f>Tabella34[[#This Row],[Italy (fitted Lombardy + fitted sum of the other regions)]]/(y_l_peak+y_a_peak)</f>
        <v>8.5021325497384584E-14</v>
      </c>
      <c r="N42" s="163">
        <f>IFERROR(Kt*_xlfn.LOGNORM.DIST((Tabella34[[#This Row],[Day]]-pt),mu_t,sigma_t,FALSE),0)</f>
        <v>1.2034535835562843E-14</v>
      </c>
      <c r="O42" s="163">
        <f>Kt*EXP(-0.5*Tabella34[[#This Row],[x_t]]^2)/(sigma_t*SQRTPI(2)*(Tabella34[[#This Row],[Day]]-D_bk))</f>
        <v>1.2034535835562967E-14</v>
      </c>
      <c r="P42" s="206">
        <f>Tabella34[[#This Row],[Italy velocity]]/Tabella34[[#This Row],[Italy cumul. Fit]]</f>
        <v>8.6842489934625622</v>
      </c>
      <c r="Q42" s="269">
        <f>(LN(Tabella34[[#This Row],[Day]]-D_bk)-mu_t)/sigma_t</f>
        <v>-9.3185513570989347</v>
      </c>
      <c r="R42" s="269">
        <f>EXP(mu_t+sigma_t*Tabella34[[#This Row],[x_t_alpha©+plus]])-(Tabella34[[#This Row],[Day]]-D_bk)</f>
        <v>946.52913617355853</v>
      </c>
      <c r="S42" s="269">
        <f>EXP(mu_t+sigma_t*Tabella34[[#This Row],[x_t_alpha©-minus]])-(Tabella34[[#This Row],[Day]]-D_bk)</f>
        <v>-8.2157953663027694E-2</v>
      </c>
      <c r="T42" s="269">
        <f>-sigma_t+SQRT(sigma_t^2-2*Tabella34[[#This Row],[c_t]])</f>
        <v>8.7759286650125574</v>
      </c>
      <c r="U42" s="269">
        <f>-sigma_t-SQRT(sigma_t^2-2*Tabella34[[#This Row],[c_t]])</f>
        <v>-9.3951655709047941</v>
      </c>
      <c r="V42" s="269">
        <f>mu_t-LN(alpha*Kt/(Tabella34[[#This Row],[Italy velocity]]*sigma_t*SQRTPI(2)))</f>
        <v>-41.225651423121228</v>
      </c>
      <c r="W42" s="269">
        <f>Tabella34[[#This Row],[Italy g.r.]]/Italy_gr_at_lockdown</f>
        <v>54.909941858445933</v>
      </c>
      <c r="X42" s="269">
        <f>Tabella34[[#This Row],[t_alpha_t+plus]]</f>
        <v>946.52913617355853</v>
      </c>
      <c r="Y42" s="269">
        <f>Tabella34[[#This Row],[Italy h.t.]]/Italy_ht_at_lockdown</f>
        <v>16.857094479644161</v>
      </c>
      <c r="Z42" s="91">
        <f>IFERROR(-Kf*_xlfn.LOGNORM.DIST((Tabella34[[#This Row],[Day]]-D_bk),mu_f,sigma_f,FALSE)*(1+(LN((Tabella34[[#This Row],[Day]]-D_bk))-mu_f)/sigma_f^2)/(Tabella34[[#This Row],[Day]]-D_bk),0)</f>
        <v>9.9912914411155875E-14</v>
      </c>
      <c r="AA42" s="91">
        <f>Tabella34[[#This Row],[Italy acc. fit]]/Itali_acc_at_lockdown</f>
        <v>4.1122026481851827E-16</v>
      </c>
      <c r="AB42" s="163">
        <f>Tabella34[[#This Row],[Italy acc. fit]]/y_f_peak</f>
        <v>1.9739349621083762E-17</v>
      </c>
      <c r="AC42" s="163">
        <f>Tabella34[[#This Row],[Italy (fitted Lombardy + fitted sum of the other regions)]]*NOT(ISBLANK(Tabella34[[#This Row],[Italy data]]))</f>
        <v>4.3676335556564761E-10</v>
      </c>
      <c r="AD42" s="163">
        <f>Tabella34[[#This Row],[Italy acc. fit]]*NOT(ISBLANK(Tabella34[[#This Row],[Italy data]]))</f>
        <v>9.9912914411155875E-14</v>
      </c>
      <c r="AE42" s="96">
        <f>Tabella34[[#This Row],[Italy acc. fit]]+CIf</f>
        <v>1013.7630020203178</v>
      </c>
      <c r="AF42" s="96">
        <f>MAX(Tabella34[[#This Row],[Italy acc. fit]]-CIf,0)</f>
        <v>0</v>
      </c>
      <c r="AG42" s="161"/>
      <c r="AH42" s="34"/>
      <c r="AI42" s="34"/>
      <c r="AJ42" s="162">
        <f>Tabella34[[#This Row],[Lombardy data]]*NOT(ISBLANK(Tabella34[[#This Row],[Lombardy data]]))</f>
        <v>0</v>
      </c>
      <c r="AK42" s="167">
        <f>Tabella8[[#This Row],[Lombardy fit]]</f>
        <v>1.1067531237093309E-11</v>
      </c>
      <c r="AL42" s="163">
        <f>_xlfn.LOGNORM.INV(alpha*Tabella34[[#This Row],[Lombardy cumul. Fit]]/Kr,mu_r,sigma_r)-(Tabella34[[#This Row],[Day]]-pr)</f>
        <v>0.10933644639449192</v>
      </c>
      <c r="AM42" s="162">
        <f>Tabella34[[#This Row],[Lombardy cumul. Fit]]/Kl</f>
        <v>1.2721300272521045E-16</v>
      </c>
      <c r="AN42" s="163">
        <f>IFERROR(Kr*_xlfn.LOGNORM.DIST((Tabella34[[#This Row],[Day]]-pr),mu_r,sigma_r,FALSE),0)</f>
        <v>7.1529656312274142E-11</v>
      </c>
      <c r="AO42" s="206">
        <f>Tabella34[[#This Row],[Lombardy velocity]]/Tabella34[[#This Row],[Lombardy cumul. Fit]]</f>
        <v>6.4630182449848803</v>
      </c>
      <c r="AP42" s="261">
        <f>(LN(Tabella34[[#This Row],[Day]]-pr)-mu_r)/sigma_r</f>
        <v>-8.193173972084594</v>
      </c>
      <c r="AQ42" s="269">
        <f>EXP(mu_r+sigma_r*Tabella34[[#This Row],[x_r_alpha©+plus]])-(Tabella34[[#This Row],[Day]]-pr)</f>
        <v>813.18881044975126</v>
      </c>
      <c r="AR42" s="269">
        <f>EXP(mu_r+sigma_r*Tabella34[[#This Row],[x_r_alpha©-minus]])-(Tabella34[[#This Row],[Day]]-pr)</f>
        <v>-0.11121728702962042</v>
      </c>
      <c r="AS42" s="269">
        <f>-sigma_r+SQRT(sigma_r^2-2*Tabella34[[#This Row],[c_r]])</f>
        <v>7.6000969082230156</v>
      </c>
      <c r="AT42" s="269">
        <f>-sigma_r-SQRT(sigma_r^2-2*Tabella34[[#This Row],[c_r]])</f>
        <v>-8.2809515054167449</v>
      </c>
      <c r="AU42" s="269">
        <f>mu_r-LN(alpha*Kr/(Tabella34[[#This Row],[Lombardy velocity]]*sigma_r*SQRTPI(2)))</f>
        <v>-31.468016966731263</v>
      </c>
      <c r="AV42" s="269">
        <f>Tabella34[[#This Row],[t_alpha_r+plus]]</f>
        <v>813.18881044975126</v>
      </c>
      <c r="AW42" s="91">
        <f>IFERROR(-Kl*_xlfn.LOGNORM.DIST((Tabella34[[#This Row],[Day]]-pl),mu_l,sigma_l,FALSE)*(1+(LN((Tabella34[[#This Row],[Day]]-pl))-mu_l)/sigma_l^2)/(Tabella34[[#This Row],[Day]]-pl),0)</f>
        <v>4.3676335556564761E-10</v>
      </c>
      <c r="AX42" s="163">
        <f>Tabella34[[#This Row],[Lombardy acc. fit]]/y_l_peak</f>
        <v>2.484497536739576E-13</v>
      </c>
      <c r="AY42" s="163">
        <f>Tabella34[[#This Row],[Lombardy acc. fit]]*NOT(ISBLANK(Tabella34[[#This Row],[Lombardy data]]))</f>
        <v>0</v>
      </c>
      <c r="AZ42" s="96">
        <f>Tabella34[[#This Row],[Lombardy acc. fit]]+CIl</f>
        <v>748.95537180406041</v>
      </c>
      <c r="BA42" s="96">
        <f>MAX(Tabella34[[#This Row],[Lombardy acc. fit]]-CIl,0)</f>
        <v>0</v>
      </c>
      <c r="BB42" s="161"/>
      <c r="BC42" s="34"/>
      <c r="BD42" s="34"/>
      <c r="BE42" s="162">
        <f>Tabella34[[#This Row],[rest of Italy data]]*NOT(ISBLANK(Tabella34[[#This Row],[rest of Italy data]]))</f>
        <v>0</v>
      </c>
      <c r="BF42" s="211">
        <f>Tabella8[[#This Row],[rest of Italy fit]]</f>
        <v>0</v>
      </c>
      <c r="BG42" s="163" t="e">
        <f>_xlfn.LOGNORM.INV(alpha*Tabella34[[#This Row],[rest of Italy cumul. Fit]]/Ko,mu_o,sigma_o)-(Tabella34[[#This Row],[Day]]-po)</f>
        <v>#NUM!</v>
      </c>
      <c r="BH42" s="163">
        <f>Tabella34[[#This Row],[rest of Italy cumul. Fit]]/Ka</f>
        <v>0</v>
      </c>
      <c r="BI42" s="163">
        <f>IFERROR(Ko*_xlfn.LOGNORM.DIST((Tabella34[[#This Row],[Day]]-po),mu_o,sigma_o,FALSE),0)</f>
        <v>0</v>
      </c>
      <c r="BJ42" s="206" t="e">
        <f>Tabella34[[#This Row],[rest of Italy velocity]]/Tabella34[[#This Row],[rest of Italy cumul. Fit]]</f>
        <v>#DIV/0!</v>
      </c>
      <c r="BK42" s="261" t="e">
        <f>(LN(Tabella34[[#This Row],[Day]]-po)-mu_o)/sigma_o</f>
        <v>#NUM!</v>
      </c>
      <c r="BL42" s="269" t="e">
        <f>EXP(mu_o+sigma_o*Tabella34[[#This Row],[x_o_alpha©+plus]])-(Tabella34[[#This Row],[Day]]-po)</f>
        <v>#DIV/0!</v>
      </c>
      <c r="BM42" s="269" t="e">
        <f>EXP(mu_o+sigma_o*Tabella34[[#This Row],[x_o_alpha©-minus]])-(Tabella34[[#This Row],[Day]]-po)</f>
        <v>#DIV/0!</v>
      </c>
      <c r="BN42" s="269" t="e">
        <f>-sigma_o+SQRT(sigma_o^2-2*Tabella34[[#This Row],[c_o]])</f>
        <v>#DIV/0!</v>
      </c>
      <c r="BO42" s="269" t="e">
        <f>-sigma_o-SQRT(sigma_o^2-2*Tabella34[[#This Row],[c_o]])</f>
        <v>#DIV/0!</v>
      </c>
      <c r="BP42" s="269" t="e">
        <f>mu_o-LN(alpha*Ko/(Tabella34[[#This Row],[rest of Italy velocity]]*sigma_o*SQRTPI(2)))</f>
        <v>#DIV/0!</v>
      </c>
      <c r="BQ42" s="269" t="e">
        <f>Tabella34[[#This Row],[t_alpha_o+plus]]</f>
        <v>#DIV/0!</v>
      </c>
      <c r="BR42" s="91">
        <f>IFERROR(-Ka*_xlfn.LOGNORM.DIST((Tabella34[[#This Row],[Day]]-pa),mu_a,sigma_a,FALSE)*(1+(LN((Tabella34[[#This Row],[Day]]-pa))-mu_a)/sigma_a^2)/(Tabella34[[#This Row],[Day]]-pa),0)</f>
        <v>0</v>
      </c>
      <c r="BS42" s="163">
        <f>Tabella34[[#This Row],[rest of Italy acc. fit]]/y_a_peak</f>
        <v>0</v>
      </c>
      <c r="BT42" s="162">
        <f>Tabella34[[#This Row],[rest of Italy acc. fit]]*NOT(ISBLANK(Tabella34[[#This Row],[rest of Italy data]]))</f>
        <v>0</v>
      </c>
      <c r="BU42" s="96">
        <f>Tabella34[[#This Row],[rest of Italy acc. fit]]+CIa</f>
        <v>694.65203586359735</v>
      </c>
      <c r="BV42" s="96">
        <f>MAX(Tabella34[[#This Row],[rest of Italy acc. fit]]-CIa,0)</f>
        <v>0</v>
      </c>
      <c r="BX42" s="249" t="s">
        <v>306</v>
      </c>
      <c r="BY42" s="250">
        <f>Ka*_xlfn.LOGNORM.DIST(EXP(mu_a-sigma_a^2),mu_a,sigma_a,FALSE)</f>
        <v>3379.1491076162692</v>
      </c>
      <c r="CL42" s="61"/>
    </row>
    <row r="43" spans="2:90" ht="15" thickTop="1" x14ac:dyDescent="0.3">
      <c r="B43" s="288">
        <v>43866</v>
      </c>
      <c r="C43" s="4">
        <v>36</v>
      </c>
      <c r="D43" s="10" t="str">
        <f>Tabella8[[#This Row],[Italy cumulative]]</f>
        <v>2</v>
      </c>
      <c r="E43" s="91">
        <f>(Tabella34[[#This Row],[Italy cumul. Data]]-D42)</f>
        <v>0</v>
      </c>
      <c r="F43" s="91">
        <f>Tabella34[[#This Row],[Italy data]]-E42</f>
        <v>0</v>
      </c>
      <c r="G43" s="162">
        <f>Tabella34[[#This Row],[Italy data]]*NOT(ISBLANK(Tabella34[[#This Row],[Italy data]]))</f>
        <v>0</v>
      </c>
      <c r="H43" s="163">
        <f>Tabella8[[#This Row],[Italy fit]]</f>
        <v>2.0823402486464643E-12</v>
      </c>
      <c r="I43" s="163">
        <f>_xlfn.LOGNORM.INV(alpha*Tabella34[[#This Row],[Italy cumul. Fit]]/Kt,mu_t,sigma_t)-(Tabella34[[#This Row],[Day]]-pt)</f>
        <v>0.11406441516396537</v>
      </c>
      <c r="J43" s="163">
        <f>Tabella34[[#This Row],[Italy d.t.]]/Italy_dt_at_lockdown</f>
        <v>2.2403216287222204E-2</v>
      </c>
      <c r="K43" s="163">
        <f>Tabella34[[#This Row],[Italy cumul. Fit]]/Kf</f>
        <v>8.8610247524320127E-18</v>
      </c>
      <c r="L43" s="166">
        <f>Tabella34[[#This Row],[Lombardy acc. fit]]+Tabella34[[#This Row],[rest of Italy acc. fit]]</f>
        <v>5.5925767239256224E-8</v>
      </c>
      <c r="M43" s="163">
        <f>Tabella34[[#This Row],[Italy (fitted Lombardy + fitted sum of the other regions)]]/(y_l_peak+y_a_peak)</f>
        <v>1.0886634145352629E-11</v>
      </c>
      <c r="N43" s="163">
        <f>IFERROR(Kt*_xlfn.LOGNORM.DIST((Tabella34[[#This Row],[Day]]-pt),mu_t,sigma_t,FALSE),0)</f>
        <v>1.2873027263604413E-11</v>
      </c>
      <c r="O43" s="163">
        <f>Kt*EXP(-0.5*Tabella34[[#This Row],[x_t]]^2)/(sigma_t*SQRTPI(2)*(Tabella34[[#This Row],[Day]]-D_bk))</f>
        <v>1.2873027263604526E-11</v>
      </c>
      <c r="P43" s="206">
        <f>Tabella34[[#This Row],[Italy velocity]]/Tabella34[[#This Row],[Italy cumul. Fit]]</f>
        <v>6.1819999262714012</v>
      </c>
      <c r="Q43" s="269">
        <f>(LN(Tabella34[[#This Row],[Day]]-D_bk)-mu_t)/sigma_t</f>
        <v>-8.5078288731325777</v>
      </c>
      <c r="R43" s="269">
        <f>EXP(mu_t+sigma_t*Tabella34[[#This Row],[x_t_alpha©+plus]])-(Tabella34[[#This Row],[Day]]-D_bk)</f>
        <v>736.35107491043982</v>
      </c>
      <c r="S43" s="269">
        <f>EXP(mu_t+sigma_t*Tabella34[[#This Row],[x_t_alpha©-minus]])-(Tabella34[[#This Row],[Day]]-D_bk)</f>
        <v>-0.11580738818974901</v>
      </c>
      <c r="T43" s="269">
        <f>-sigma_t+SQRT(sigma_t^2-2*Tabella34[[#This Row],[c_t]])</f>
        <v>7.9727090251709924</v>
      </c>
      <c r="U43" s="269">
        <f>-sigma_t-SQRT(sigma_t^2-2*Tabella34[[#This Row],[c_t]])</f>
        <v>-8.5919459310632291</v>
      </c>
      <c r="V43" s="269">
        <f>mu_t-LN(alpha*Kt/(Tabella34[[#This Row],[Italy velocity]]*sigma_t*SQRTPI(2)))</f>
        <v>-34.250542434184503</v>
      </c>
      <c r="W43" s="269">
        <f>Tabella34[[#This Row],[Italy g.r.]]/Italy_gr_at_lockdown</f>
        <v>39.088383667490142</v>
      </c>
      <c r="X43" s="269">
        <f>Tabella34[[#This Row],[t_alpha_t+plus]]</f>
        <v>736.35107491043982</v>
      </c>
      <c r="Y43" s="269">
        <f>Tabella34[[#This Row],[Italy h.t.]]/Italy_ht_at_lockdown</f>
        <v>13.113954093513271</v>
      </c>
      <c r="Z43" s="91">
        <f>IFERROR(-Kf*_xlfn.LOGNORM.DIST((Tabella34[[#This Row],[Day]]-D_bk),mu_f,sigma_f,FALSE)*(1+(LN((Tabella34[[#This Row],[Day]]-D_bk))-mu_f)/sigma_f^2)/(Tabella34[[#This Row],[Day]]-D_bk),0)</f>
        <v>7.5666632585476062E-11</v>
      </c>
      <c r="AA43" s="91">
        <f>Tabella34[[#This Row],[Italy acc. fit]]/Itali_acc_at_lockdown</f>
        <v>3.1142773557459896E-13</v>
      </c>
      <c r="AB43" s="163">
        <f>Tabella34[[#This Row],[Italy acc. fit]]/y_f_peak</f>
        <v>1.4949119681449617E-14</v>
      </c>
      <c r="AC43" s="163">
        <f>Tabella34[[#This Row],[Italy (fitted Lombardy + fitted sum of the other regions)]]*NOT(ISBLANK(Tabella34[[#This Row],[Italy data]]))</f>
        <v>5.5925767239256224E-8</v>
      </c>
      <c r="AD43" s="163">
        <f>Tabella34[[#This Row],[Italy acc. fit]]*NOT(ISBLANK(Tabella34[[#This Row],[Italy data]]))</f>
        <v>7.5666632585476062E-11</v>
      </c>
      <c r="AE43" s="96">
        <f>Tabella34[[#This Row],[Italy acc. fit]]+CIf</f>
        <v>1013.7630020203934</v>
      </c>
      <c r="AF43" s="96">
        <f>MAX(Tabella34[[#This Row],[Italy acc. fit]]-CIf,0)</f>
        <v>0</v>
      </c>
      <c r="AG43" s="161"/>
      <c r="AH43" s="34"/>
      <c r="AI43" s="34"/>
      <c r="AJ43" s="162">
        <f>Tabella34[[#This Row],[Lombardy data]]*NOT(ISBLANK(Tabella34[[#This Row],[Lombardy data]]))</f>
        <v>0</v>
      </c>
      <c r="AK43" s="167">
        <f>Tabella8[[#This Row],[Lombardy fit]]</f>
        <v>2.706273601535887E-9</v>
      </c>
      <c r="AL43" s="163">
        <f>_xlfn.LOGNORM.INV(alpha*Tabella34[[#This Row],[Lombardy cumul. Fit]]/Kr,mu_r,sigma_r)-(Tabella34[[#This Row],[Day]]-pr)</f>
        <v>0.15092430131551104</v>
      </c>
      <c r="AM43" s="162">
        <f>Tabella34[[#This Row],[Lombardy cumul. Fit]]/Kl</f>
        <v>3.1106593121102147E-14</v>
      </c>
      <c r="AN43" s="163">
        <f>IFERROR(Kr*_xlfn.LOGNORM.DIST((Tabella34[[#This Row],[Day]]-pr),mu_r,sigma_r,FALSE),0)</f>
        <v>1.2699112488216759E-8</v>
      </c>
      <c r="AO43" s="206">
        <f>Tabella34[[#This Row],[Lombardy velocity]]/Tabella34[[#This Row],[Lombardy cumul. Fit]]</f>
        <v>4.6924717741065249</v>
      </c>
      <c r="AP43" s="261">
        <f>(LN(Tabella34[[#This Row],[Day]]-pr)-mu_r)/sigma_r</f>
        <v>-7.5033373090748015</v>
      </c>
      <c r="AQ43" s="269">
        <f>EXP(mu_r+sigma_r*Tabella34[[#This Row],[x_r_alpha©+plus]])-(Tabella34[[#This Row],[Day]]-pr)</f>
        <v>643.03408305008509</v>
      </c>
      <c r="AR43" s="269">
        <f>EXP(mu_r+sigma_r*Tabella34[[#This Row],[x_r_alpha©-minus]])-(Tabella34[[#This Row],[Day]]-pr)</f>
        <v>-0.15381411344220286</v>
      </c>
      <c r="AS43" s="269">
        <f>-sigma_r+SQRT(sigma_r^2-2*Tabella34[[#This Row],[c_r]])</f>
        <v>6.9186066715209869</v>
      </c>
      <c r="AT43" s="269">
        <f>-sigma_r-SQRT(sigma_r^2-2*Tabella34[[#This Row],[c_r]])</f>
        <v>-7.5994612687147161</v>
      </c>
      <c r="AU43" s="269">
        <f>mu_r-LN(alpha*Kr/(Tabella34[[#This Row],[Lombardy velocity]]*sigma_r*SQRTPI(2)))</f>
        <v>-26.288841716847489</v>
      </c>
      <c r="AV43" s="269">
        <f>Tabella34[[#This Row],[t_alpha_r+plus]]</f>
        <v>643.03408305008509</v>
      </c>
      <c r="AW43" s="91">
        <f>IFERROR(-Kl*_xlfn.LOGNORM.DIST((Tabella34[[#This Row],[Day]]-pl),mu_l,sigma_l,FALSE)*(1+(LN((Tabella34[[#This Row],[Day]]-pl))-mu_l)/sigma_l^2)/(Tabella34[[#This Row],[Day]]-pl),0)</f>
        <v>5.5925767239256224E-8</v>
      </c>
      <c r="AX43" s="163">
        <f>Tabella34[[#This Row],[Lombardy acc. fit]]/y_l_peak</f>
        <v>3.1812978166690197E-11</v>
      </c>
      <c r="AY43" s="163">
        <f>Tabella34[[#This Row],[Lombardy acc. fit]]*NOT(ISBLANK(Tabella34[[#This Row],[Lombardy data]]))</f>
        <v>0</v>
      </c>
      <c r="AZ43" s="96">
        <f>Tabella34[[#This Row],[Lombardy acc. fit]]+CIl</f>
        <v>748.95537185954936</v>
      </c>
      <c r="BA43" s="96">
        <f>MAX(Tabella34[[#This Row],[Lombardy acc. fit]]-CIl,0)</f>
        <v>0</v>
      </c>
      <c r="BB43" s="161"/>
      <c r="BC43" s="34"/>
      <c r="BD43" s="34"/>
      <c r="BE43" s="162">
        <f>Tabella34[[#This Row],[rest of Italy data]]*NOT(ISBLANK(Tabella34[[#This Row],[rest of Italy data]]))</f>
        <v>0</v>
      </c>
      <c r="BF43" s="211">
        <f>Tabella8[[#This Row],[rest of Italy fit]]</f>
        <v>0</v>
      </c>
      <c r="BG43" s="163" t="e">
        <f>_xlfn.LOGNORM.INV(alpha*Tabella34[[#This Row],[rest of Italy cumul. Fit]]/Ko,mu_o,sigma_o)-(Tabella34[[#This Row],[Day]]-po)</f>
        <v>#NUM!</v>
      </c>
      <c r="BH43" s="163">
        <f>Tabella34[[#This Row],[rest of Italy cumul. Fit]]/Ka</f>
        <v>0</v>
      </c>
      <c r="BI43" s="163">
        <f>IFERROR(Ko*_xlfn.LOGNORM.DIST((Tabella34[[#This Row],[Day]]-po),mu_o,sigma_o,FALSE),0)</f>
        <v>0</v>
      </c>
      <c r="BJ43" s="206" t="e">
        <f>Tabella34[[#This Row],[rest of Italy velocity]]/Tabella34[[#This Row],[rest of Italy cumul. Fit]]</f>
        <v>#DIV/0!</v>
      </c>
      <c r="BK43" s="261" t="e">
        <f>(LN(Tabella34[[#This Row],[Day]]-po)-mu_o)/sigma_o</f>
        <v>#NUM!</v>
      </c>
      <c r="BL43" s="269" t="e">
        <f>EXP(mu_o+sigma_o*Tabella34[[#This Row],[x_o_alpha©+plus]])-(Tabella34[[#This Row],[Day]]-po)</f>
        <v>#DIV/0!</v>
      </c>
      <c r="BM43" s="269" t="e">
        <f>EXP(mu_o+sigma_o*Tabella34[[#This Row],[x_o_alpha©-minus]])-(Tabella34[[#This Row],[Day]]-po)</f>
        <v>#DIV/0!</v>
      </c>
      <c r="BN43" s="269" t="e">
        <f>-sigma_o+SQRT(sigma_o^2-2*Tabella34[[#This Row],[c_o]])</f>
        <v>#DIV/0!</v>
      </c>
      <c r="BO43" s="269" t="e">
        <f>-sigma_o-SQRT(sigma_o^2-2*Tabella34[[#This Row],[c_o]])</f>
        <v>#DIV/0!</v>
      </c>
      <c r="BP43" s="269" t="e">
        <f>mu_o-LN(alpha*Ko/(Tabella34[[#This Row],[rest of Italy velocity]]*sigma_o*SQRTPI(2)))</f>
        <v>#DIV/0!</v>
      </c>
      <c r="BQ43" s="269" t="e">
        <f>Tabella34[[#This Row],[t_alpha_o+plus]]</f>
        <v>#DIV/0!</v>
      </c>
      <c r="BR43" s="91">
        <f>IFERROR(-Ka*_xlfn.LOGNORM.DIST((Tabella34[[#This Row],[Day]]-pa),mu_a,sigma_a,FALSE)*(1+(LN((Tabella34[[#This Row],[Day]]-pa))-mu_a)/sigma_a^2)/(Tabella34[[#This Row],[Day]]-pa),0)</f>
        <v>0</v>
      </c>
      <c r="BS43" s="163">
        <f>Tabella34[[#This Row],[rest of Italy acc. fit]]/y_a_peak</f>
        <v>0</v>
      </c>
      <c r="BT43" s="162">
        <f>Tabella34[[#This Row],[rest of Italy acc. fit]]*NOT(ISBLANK(Tabella34[[#This Row],[rest of Italy data]]))</f>
        <v>0</v>
      </c>
      <c r="BU43" s="96">
        <f>Tabella34[[#This Row],[rest of Italy acc. fit]]+CIa</f>
        <v>694.65203586359735</v>
      </c>
      <c r="BV43" s="96">
        <f>MAX(Tabella34[[#This Row],[rest of Italy acc. fit]]-CIa,0)</f>
        <v>0</v>
      </c>
      <c r="BX43" s="249" t="s">
        <v>129</v>
      </c>
      <c r="BY43" s="251">
        <f>_xlfn.XLOOKUP(ROUND(EXP(mu_a-sigma_a^2),0),Tabella34[Day],Tabella34[Date])</f>
        <v>43882</v>
      </c>
      <c r="CL43" s="65">
        <f>MAX($BY$52)</f>
        <v>-9.3685724331046494E-2</v>
      </c>
    </row>
    <row r="44" spans="2:90" x14ac:dyDescent="0.3">
      <c r="B44" s="288">
        <v>43867</v>
      </c>
      <c r="C44" s="4">
        <v>37</v>
      </c>
      <c r="D44" s="10" t="str">
        <f>Tabella8[[#This Row],[Italy cumulative]]</f>
        <v>2</v>
      </c>
      <c r="E44" s="91">
        <f>(Tabella34[[#This Row],[Italy cumul. Data]]-D43)</f>
        <v>0</v>
      </c>
      <c r="F44" s="91">
        <f>Tabella34[[#This Row],[Italy data]]-E43</f>
        <v>0</v>
      </c>
      <c r="G44" s="162">
        <f>Tabella34[[#This Row],[Italy data]]*NOT(ISBLANK(Tabella34[[#This Row],[Italy data]]))</f>
        <v>0</v>
      </c>
      <c r="H44" s="163">
        <f>Tabella8[[#This Row],[Italy fit]]</f>
        <v>4.501955402814469E-10</v>
      </c>
      <c r="I44" s="163">
        <f>_xlfn.LOGNORM.INV(alpha*Tabella34[[#This Row],[Italy cumul. Fit]]/Kt,mu_t,sigma_t)-(Tabella34[[#This Row],[Day]]-pt)</f>
        <v>0.15080289852744944</v>
      </c>
      <c r="J44" s="163">
        <f>Tabella34[[#This Row],[Italy d.t.]]/Italy_dt_at_lockdown</f>
        <v>2.9618965280223356E-2</v>
      </c>
      <c r="K44" s="163">
        <f>Tabella34[[#This Row],[Italy cumul. Fit]]/Kf</f>
        <v>1.9157262260389041E-15</v>
      </c>
      <c r="L44" s="166">
        <f>Tabella34[[#This Row],[Lombardy acc. fit]]+Tabella34[[#This Row],[rest of Italy acc. fit]]</f>
        <v>1.989643440667207E-6</v>
      </c>
      <c r="M44" s="163">
        <f>Tabella34[[#This Row],[Italy (fitted Lombardy + fitted sum of the other regions)]]/(y_l_peak+y_a_peak)</f>
        <v>3.8730841412650725E-10</v>
      </c>
      <c r="N44" s="163">
        <f>IFERROR(Kt*_xlfn.LOGNORM.DIST((Tabella34[[#This Row],[Day]]-pt),mu_t,sigma_t,FALSE),0)</f>
        <v>2.1088421338057601E-9</v>
      </c>
      <c r="O44" s="163">
        <f>Kt*EXP(-0.5*Tabella34[[#This Row],[x_t]]^2)/(sigma_t*SQRTPI(2)*(Tabella34[[#This Row],[Day]]-D_bk))</f>
        <v>2.1088421338057655E-9</v>
      </c>
      <c r="P44" s="206">
        <f>Tabella34[[#This Row],[Italy velocity]]/Tabella34[[#This Row],[Italy cumul. Fit]]</f>
        <v>4.6842803740067795</v>
      </c>
      <c r="Q44" s="269">
        <f>(LN(Tabella34[[#This Row],[Day]]-D_bk)-mu_t)/sigma_t</f>
        <v>-7.8603226499455934</v>
      </c>
      <c r="R44" s="269">
        <f>EXP(mu_t+sigma_t*Tabella34[[#This Row],[x_t_alpha©+plus]])-(Tabella34[[#This Row],[Day]]-D_bk)</f>
        <v>602.10568010493284</v>
      </c>
      <c r="S44" s="269">
        <f>EXP(mu_t+sigma_t*Tabella34[[#This Row],[x_t_alpha©-minus]])-(Tabella34[[#This Row],[Day]]-D_bk)</f>
        <v>-0.1533430176084547</v>
      </c>
      <c r="T44" s="269">
        <f>-sigma_t+SQRT(sigma_t^2-2*Tabella34[[#This Row],[c_t]])</f>
        <v>7.3323334071289876</v>
      </c>
      <c r="U44" s="269">
        <f>-sigma_t-SQRT(sigma_t^2-2*Tabella34[[#This Row],[c_t]])</f>
        <v>-7.9515703130212243</v>
      </c>
      <c r="V44" s="269">
        <f>mu_t-LN(alpha*Kt/(Tabella34[[#This Row],[Italy velocity]]*sigma_t*SQRTPI(2)))</f>
        <v>-29.151782322650313</v>
      </c>
      <c r="W44" s="269">
        <f>Tabella34[[#This Row],[Italy g.r.]]/Italy_gr_at_lockdown</f>
        <v>29.618400299093231</v>
      </c>
      <c r="X44" s="269">
        <f>Tabella34[[#This Row],[t_alpha_t+plus]]</f>
        <v>602.10568010493284</v>
      </c>
      <c r="Y44" s="269">
        <f>Tabella34[[#This Row],[Italy h.t.]]/Italy_ht_at_lockdown</f>
        <v>10.723127211160847</v>
      </c>
      <c r="Z44" s="91">
        <f>IFERROR(-Kf*_xlfn.LOGNORM.DIST((Tabella34[[#This Row],[Day]]-D_bk),mu_f,sigma_f,FALSE)*(1+(LN((Tabella34[[#This Row],[Day]]-D_bk))-mu_f)/sigma_f^2)/(Tabella34[[#This Row],[Day]]-D_bk),0)</f>
        <v>9.3426242047404205E-9</v>
      </c>
      <c r="AA44" s="91">
        <f>Tabella34[[#This Row],[Italy acc. fit]]/Itali_acc_at_lockdown</f>
        <v>3.8452250364386192E-11</v>
      </c>
      <c r="AB44" s="163">
        <f>Tabella34[[#This Row],[Italy acc. fit]]/y_f_peak</f>
        <v>1.8457806645181747E-12</v>
      </c>
      <c r="AC44" s="163">
        <f>Tabella34[[#This Row],[Italy (fitted Lombardy + fitted sum of the other regions)]]*NOT(ISBLANK(Tabella34[[#This Row],[Italy data]]))</f>
        <v>1.989643440667207E-6</v>
      </c>
      <c r="AD44" s="163">
        <f>Tabella34[[#This Row],[Italy acc. fit]]*NOT(ISBLANK(Tabella34[[#This Row],[Italy data]]))</f>
        <v>9.3426242047404205E-9</v>
      </c>
      <c r="AE44" s="96">
        <f>Tabella34[[#This Row],[Italy acc. fit]]+CIf</f>
        <v>1013.7630020296604</v>
      </c>
      <c r="AF44" s="96">
        <f>MAX(Tabella34[[#This Row],[Italy acc. fit]]-CIf,0)</f>
        <v>0</v>
      </c>
      <c r="AG44" s="161"/>
      <c r="AH44" s="34"/>
      <c r="AI44" s="34"/>
      <c r="AJ44" s="162">
        <f>Tabella34[[#This Row],[Lombardy data]]*NOT(ISBLANK(Tabella34[[#This Row],[Lombardy data]]))</f>
        <v>0</v>
      </c>
      <c r="AK44" s="167">
        <f>Tabella8[[#This Row],[Lombardy fit]]</f>
        <v>1.6452786763801899E-7</v>
      </c>
      <c r="AL44" s="163">
        <f>_xlfn.LOGNORM.INV(alpha*Tabella34[[#This Row],[Lombardy cumul. Fit]]/Kr,mu_r,sigma_r)-(Tabella34[[#This Row],[Day]]-pr)</f>
        <v>0.19707520626585229</v>
      </c>
      <c r="AM44" s="162">
        <f>Tabella34[[#This Row],[Lombardy cumul. Fit]]/Kl</f>
        <v>1.8911249153795285E-12</v>
      </c>
      <c r="AN44" s="163">
        <f>IFERROR(Kr*_xlfn.LOGNORM.DIST((Tabella34[[#This Row],[Day]]-pr),mu_r,sigma_r,FALSE),0)</f>
        <v>5.9253015244641235E-7</v>
      </c>
      <c r="AO44" s="206">
        <f>Tabella34[[#This Row],[Lombardy velocity]]/Tabella34[[#This Row],[Lombardy cumul. Fit]]</f>
        <v>3.6013968998251995</v>
      </c>
      <c r="AP44" s="261">
        <f>(LN(Tabella34[[#This Row],[Day]]-pr)-mu_r)/sigma_r</f>
        <v>-6.9450878130197262</v>
      </c>
      <c r="AQ44" s="269">
        <f>EXP(mu_r+sigma_r*Tabella34[[#This Row],[x_r_alpha©+plus]])-(Tabella34[[#This Row],[Day]]-pr)</f>
        <v>531.37444609000045</v>
      </c>
      <c r="AR44" s="269">
        <f>EXP(mu_r+sigma_r*Tabella34[[#This Row],[x_r_alpha©-minus]])-(Tabella34[[#This Row],[Day]]-pr)</f>
        <v>-0.20122222352302899</v>
      </c>
      <c r="AS44" s="269">
        <f>-sigma_r+SQRT(sigma_r^2-2*Tabella34[[#This Row],[c_r]])</f>
        <v>6.3683605853577596</v>
      </c>
      <c r="AT44" s="269">
        <f>-sigma_r-SQRT(sigma_r^2-2*Tabella34[[#This Row],[c_r]])</f>
        <v>-7.0492151825514888</v>
      </c>
      <c r="AU44" s="269">
        <f>mu_r-LN(alpha*Kr/(Tabella34[[#This Row],[Lombardy velocity]]*sigma_r*SQRTPI(2)))</f>
        <v>-22.445972063133201</v>
      </c>
      <c r="AV44" s="269">
        <f>Tabella34[[#This Row],[t_alpha_r+plus]]</f>
        <v>531.37444609000045</v>
      </c>
      <c r="AW44" s="91">
        <f>IFERROR(-Kl*_xlfn.LOGNORM.DIST((Tabella34[[#This Row],[Day]]-pl),mu_l,sigma_l,FALSE)*(1+(LN((Tabella34[[#This Row],[Day]]-pl))-mu_l)/sigma_l^2)/(Tabella34[[#This Row],[Day]]-pl),0)</f>
        <v>1.989643440667207E-6</v>
      </c>
      <c r="AX44" s="163">
        <f>Tabella34[[#This Row],[Lombardy acc. fit]]/y_l_peak</f>
        <v>1.1317946353181944E-9</v>
      </c>
      <c r="AY44" s="163">
        <f>Tabella34[[#This Row],[Lombardy acc. fit]]*NOT(ISBLANK(Tabella34[[#This Row],[Lombardy data]]))</f>
        <v>0</v>
      </c>
      <c r="AZ44" s="96">
        <f>Tabella34[[#This Row],[Lombardy acc. fit]]+CIl</f>
        <v>748.95537379326709</v>
      </c>
      <c r="BA44" s="96">
        <f>MAX(Tabella34[[#This Row],[Lombardy acc. fit]]-CIl,0)</f>
        <v>0</v>
      </c>
      <c r="BB44" s="161"/>
      <c r="BC44" s="34"/>
      <c r="BD44" s="34"/>
      <c r="BE44" s="162">
        <f>Tabella34[[#This Row],[rest of Italy data]]*NOT(ISBLANK(Tabella34[[#This Row],[rest of Italy data]]))</f>
        <v>0</v>
      </c>
      <c r="BF44" s="211">
        <f>Tabella8[[#This Row],[rest of Italy fit]]</f>
        <v>0</v>
      </c>
      <c r="BG44" s="163" t="e">
        <f>_xlfn.LOGNORM.INV(alpha*Tabella34[[#This Row],[rest of Italy cumul. Fit]]/Ko,mu_o,sigma_o)-(Tabella34[[#This Row],[Day]]-po)</f>
        <v>#NUM!</v>
      </c>
      <c r="BH44" s="163">
        <f>Tabella34[[#This Row],[rest of Italy cumul. Fit]]/Ka</f>
        <v>0</v>
      </c>
      <c r="BI44" s="163">
        <f>IFERROR(Ko*_xlfn.LOGNORM.DIST((Tabella34[[#This Row],[Day]]-po),mu_o,sigma_o,FALSE),0)</f>
        <v>0</v>
      </c>
      <c r="BJ44" s="206" t="e">
        <f>Tabella34[[#This Row],[rest of Italy velocity]]/Tabella34[[#This Row],[rest of Italy cumul. Fit]]</f>
        <v>#DIV/0!</v>
      </c>
      <c r="BK44" s="261" t="e">
        <f>(LN(Tabella34[[#This Row],[Day]]-po)-mu_o)/sigma_o</f>
        <v>#NUM!</v>
      </c>
      <c r="BL44" s="269" t="e">
        <f>EXP(mu_o+sigma_o*Tabella34[[#This Row],[x_o_alpha©+plus]])-(Tabella34[[#This Row],[Day]]-po)</f>
        <v>#DIV/0!</v>
      </c>
      <c r="BM44" s="269" t="e">
        <f>EXP(mu_o+sigma_o*Tabella34[[#This Row],[x_o_alpha©-minus]])-(Tabella34[[#This Row],[Day]]-po)</f>
        <v>#DIV/0!</v>
      </c>
      <c r="BN44" s="269" t="e">
        <f>-sigma_o+SQRT(sigma_o^2-2*Tabella34[[#This Row],[c_o]])</f>
        <v>#DIV/0!</v>
      </c>
      <c r="BO44" s="269" t="e">
        <f>-sigma_o-SQRT(sigma_o^2-2*Tabella34[[#This Row],[c_o]])</f>
        <v>#DIV/0!</v>
      </c>
      <c r="BP44" s="269" t="e">
        <f>mu_o-LN(alpha*Ko/(Tabella34[[#This Row],[rest of Italy velocity]]*sigma_o*SQRTPI(2)))</f>
        <v>#DIV/0!</v>
      </c>
      <c r="BQ44" s="269" t="e">
        <f>Tabella34[[#This Row],[t_alpha_o+plus]]</f>
        <v>#DIV/0!</v>
      </c>
      <c r="BR44" s="91">
        <f>IFERROR(-Ka*_xlfn.LOGNORM.DIST((Tabella34[[#This Row],[Day]]-pa),mu_a,sigma_a,FALSE)*(1+(LN((Tabella34[[#This Row],[Day]]-pa))-mu_a)/sigma_a^2)/(Tabella34[[#This Row],[Day]]-pa),0)</f>
        <v>0</v>
      </c>
      <c r="BS44" s="163">
        <f>Tabella34[[#This Row],[rest of Italy acc. fit]]/y_a_peak</f>
        <v>0</v>
      </c>
      <c r="BT44" s="162">
        <f>Tabella34[[#This Row],[rest of Italy acc. fit]]*NOT(ISBLANK(Tabella34[[#This Row],[rest of Italy data]]))</f>
        <v>0</v>
      </c>
      <c r="BU44" s="96">
        <f>Tabella34[[#This Row],[rest of Italy acc. fit]]+CIa</f>
        <v>694.65203586359735</v>
      </c>
      <c r="BV44" s="96">
        <f>MAX(Tabella34[[#This Row],[rest of Italy acc. fit]]-CIa,0)</f>
        <v>0</v>
      </c>
      <c r="BX44" s="252" t="s">
        <v>4364</v>
      </c>
      <c r="BY44" s="253">
        <f>po</f>
        <v>37.717425443399762</v>
      </c>
      <c r="CL44" s="66">
        <f>COUNT($BY$46,$BY$47,$BY$48,$BY$57)</f>
        <v>4</v>
      </c>
    </row>
    <row r="45" spans="2:90" x14ac:dyDescent="0.3">
      <c r="B45" s="288">
        <v>43868</v>
      </c>
      <c r="C45" s="4">
        <v>38</v>
      </c>
      <c r="D45" s="10" t="str">
        <f>Tabella8[[#This Row],[Italy cumulative]]</f>
        <v>3</v>
      </c>
      <c r="E45" s="91">
        <f>(Tabella34[[#This Row],[Italy cumul. Data]]-D44)</f>
        <v>1</v>
      </c>
      <c r="F45" s="91">
        <f>Tabella34[[#This Row],[Italy data]]-E44</f>
        <v>1</v>
      </c>
      <c r="G45" s="162">
        <f>Tabella34[[#This Row],[Italy data]]*NOT(ISBLANK(Tabella34[[#This Row],[Italy data]]))</f>
        <v>1</v>
      </c>
      <c r="H45" s="163">
        <f>Tabella8[[#This Row],[Italy fit]]</f>
        <v>2.8876918843484096E-8</v>
      </c>
      <c r="I45" s="163">
        <f>_xlfn.LOGNORM.INV(alpha*Tabella34[[#This Row],[Italy cumul. Fit]]/Kt,mu_t,sigma_t)-(Tabella34[[#This Row],[Day]]-pt)</f>
        <v>0.19122243149486184</v>
      </c>
      <c r="J45" s="163">
        <f>Tabella34[[#This Row],[Italy d.t.]]/Italy_dt_at_lockdown</f>
        <v>3.7557703562410401E-2</v>
      </c>
      <c r="K45" s="163">
        <f>Tabella34[[#This Row],[Italy cumul. Fit]]/Kf</f>
        <v>1.2288053924540247E-13</v>
      </c>
      <c r="L45" s="166">
        <f>Tabella34[[#This Row],[Lombardy acc. fit]]+Tabella34[[#This Row],[rest of Italy acc. fit]]</f>
        <v>3.1241245058196413E-5</v>
      </c>
      <c r="M45" s="163">
        <f>Tabella34[[#This Row],[Italy (fitted Lombardy + fitted sum of the other regions)]]/(y_l_peak+y_a_peak)</f>
        <v>6.0814901964394299E-9</v>
      </c>
      <c r="N45" s="163">
        <f>IFERROR(Kt*_xlfn.LOGNORM.DIST((Tabella34[[#This Row],[Day]]-pt),mu_t,sigma_t,FALSE),0)</f>
        <v>1.0686430414100911E-7</v>
      </c>
      <c r="O45" s="163">
        <f>Kt*EXP(-0.5*Tabella34[[#This Row],[x_t]]^2)/(sigma_t*SQRTPI(2)*(Tabella34[[#This Row],[Day]]-D_bk))</f>
        <v>1.068643041410092E-7</v>
      </c>
      <c r="P45" s="206">
        <f>Tabella34[[#This Row],[Italy velocity]]/Tabella34[[#This Row],[Italy cumul. Fit]]</f>
        <v>3.700682358814829</v>
      </c>
      <c r="Q45" s="269">
        <f>(LN(Tabella34[[#This Row],[Day]]-D_bk)-mu_t)/sigma_t</f>
        <v>-7.3212011753240782</v>
      </c>
      <c r="R45" s="269">
        <f>EXP(mu_t+sigma_t*Tabella34[[#This Row],[x_t_alpha©+plus]])-(Tabella34[[#This Row],[Day]]-D_bk)</f>
        <v>508.79838128752613</v>
      </c>
      <c r="S45" s="269">
        <f>EXP(mu_t+sigma_t*Tabella34[[#This Row],[x_t_alpha©-minus]])-(Tabella34[[#This Row],[Day]]-D_bk)</f>
        <v>-0.19473861347545451</v>
      </c>
      <c r="T45" s="269">
        <f>-sigma_t+SQRT(sigma_t^2-2*Tabella34[[#This Row],[c_t]])</f>
        <v>6.8001344705997493</v>
      </c>
      <c r="U45" s="269">
        <f>-sigma_t-SQRT(sigma_t^2-2*Tabella34[[#This Row],[c_t]])</f>
        <v>-7.419371376491986</v>
      </c>
      <c r="V45" s="269">
        <f>mu_t-LN(alpha*Kt/(Tabella34[[#This Row],[Italy velocity]]*sigma_t*SQRTPI(2)))</f>
        <v>-25.226361523732134</v>
      </c>
      <c r="W45" s="269">
        <f>Tabella34[[#This Row],[Italy g.r.]]/Italy_gr_at_lockdown</f>
        <v>23.399173988685661</v>
      </c>
      <c r="X45" s="269">
        <f>Tabella34[[#This Row],[t_alpha_t+plus]]</f>
        <v>508.79838128752613</v>
      </c>
      <c r="Y45" s="269">
        <f>Tabella34[[#This Row],[Italy h.t.]]/Italy_ht_at_lockdown</f>
        <v>9.0613823248238194</v>
      </c>
      <c r="Z45" s="91">
        <f>IFERROR(-Kf*_xlfn.LOGNORM.DIST((Tabella34[[#This Row],[Day]]-D_bk),mu_f,sigma_f,FALSE)*(1+(LN((Tabella34[[#This Row],[Day]]-D_bk))-mu_f)/sigma_f^2)/(Tabella34[[#This Row],[Day]]-D_bk),0)</f>
        <v>3.7204270462232379E-7</v>
      </c>
      <c r="AA45" s="91">
        <f>Tabella34[[#This Row],[Italy acc. fit]]/Itali_acc_at_lockdown</f>
        <v>1.5312484919517806E-9</v>
      </c>
      <c r="AB45" s="163">
        <f>Tabella34[[#This Row],[Italy acc. fit]]/y_f_peak</f>
        <v>7.3502820569246224E-11</v>
      </c>
      <c r="AC45" s="163">
        <f>Tabella34[[#This Row],[Italy (fitted Lombardy + fitted sum of the other regions)]]*NOT(ISBLANK(Tabella34[[#This Row],[Italy data]]))</f>
        <v>3.1241245058196413E-5</v>
      </c>
      <c r="AD45" s="163">
        <f>Tabella34[[#This Row],[Italy acc. fit]]*NOT(ISBLANK(Tabella34[[#This Row],[Italy data]]))</f>
        <v>3.7204270462232379E-7</v>
      </c>
      <c r="AE45" s="96">
        <f>Tabella34[[#This Row],[Italy acc. fit]]+CIf</f>
        <v>1013.7630023923604</v>
      </c>
      <c r="AF45" s="96">
        <f>MAX(Tabella34[[#This Row],[Italy acc. fit]]-CIf,0)</f>
        <v>0</v>
      </c>
      <c r="AG45" s="161"/>
      <c r="AH45" s="34"/>
      <c r="AI45" s="34"/>
      <c r="AJ45" s="162">
        <f>Tabella34[[#This Row],[Lombardy data]]*NOT(ISBLANK(Tabella34[[#This Row],[Lombardy data]]))</f>
        <v>0</v>
      </c>
      <c r="AK45" s="167">
        <f>Tabella8[[#This Row],[Lombardy fit]]</f>
        <v>4.0922874212949553E-6</v>
      </c>
      <c r="AL45" s="163">
        <f>_xlfn.LOGNORM.INV(alpha*Tabella34[[#This Row],[Lombardy cumul. Fit]]/Kr,mu_r,sigma_r)-(Tabella34[[#This Row],[Day]]-pr)</f>
        <v>0.24776253795406245</v>
      </c>
      <c r="AM45" s="162">
        <f>Tabella34[[#This Row],[Lombardy cumul. Fit]]/Kl</f>
        <v>4.7037786451666155E-11</v>
      </c>
      <c r="AN45" s="163">
        <f>IFERROR(Kr*_xlfn.LOGNORM.DIST((Tabella34[[#This Row],[Day]]-pr),mu_r,sigma_r,FALSE),0)</f>
        <v>1.1748239881930595E-5</v>
      </c>
      <c r="AO45" s="206">
        <f>Tabella34[[#This Row],[Lombardy velocity]]/Tabella34[[#This Row],[Lombardy cumul. Fit]]</f>
        <v>2.8708247179307373</v>
      </c>
      <c r="AP45" s="261">
        <f>(LN(Tabella34[[#This Row],[Day]]-pr)-mu_r)/sigma_r</f>
        <v>-6.476177180435025</v>
      </c>
      <c r="AQ45" s="269">
        <f>EXP(mu_r+sigma_r*Tabella34[[#This Row],[x_r_alpha©+plus]])-(Tabella34[[#This Row],[Day]]-pr)</f>
        <v>452.34317338288537</v>
      </c>
      <c r="AR45" s="269">
        <f>EXP(mu_r+sigma_r*Tabella34[[#This Row],[x_r_alpha©-minus]])-(Tabella34[[#This Row],[Day]]-pr)</f>
        <v>-0.25344097725256276</v>
      </c>
      <c r="AS45" s="269">
        <f>-sigma_r+SQRT(sigma_r^2-2*Tabella34[[#This Row],[c_r]])</f>
        <v>5.907269955079637</v>
      </c>
      <c r="AT45" s="269">
        <f>-sigma_r-SQRT(sigma_r^2-2*Tabella34[[#This Row],[c_r]])</f>
        <v>-6.5881245522733662</v>
      </c>
      <c r="AU45" s="269">
        <f>mu_r-LN(alpha*Kr/(Tabella34[[#This Row],[Lombardy velocity]]*sigma_r*SQRTPI(2)))</f>
        <v>-19.458915113983469</v>
      </c>
      <c r="AV45" s="269">
        <f>Tabella34[[#This Row],[t_alpha_r+plus]]</f>
        <v>452.34317338288537</v>
      </c>
      <c r="AW45" s="91">
        <f>IFERROR(-Kl*_xlfn.LOGNORM.DIST((Tabella34[[#This Row],[Day]]-pl),mu_l,sigma_l,FALSE)*(1+(LN((Tabella34[[#This Row],[Day]]-pl))-mu_l)/sigma_l^2)/(Tabella34[[#This Row],[Day]]-pl),0)</f>
        <v>3.1241245058196413E-5</v>
      </c>
      <c r="AX45" s="163">
        <f>Tabella34[[#This Row],[Lombardy acc. fit]]/y_l_peak</f>
        <v>1.7771361860530437E-8</v>
      </c>
      <c r="AY45" s="163">
        <f>Tabella34[[#This Row],[Lombardy acc. fit]]*NOT(ISBLANK(Tabella34[[#This Row],[Lombardy data]]))</f>
        <v>0</v>
      </c>
      <c r="AZ45" s="96">
        <f>Tabella34[[#This Row],[Lombardy acc. fit]]+CIl</f>
        <v>748.95540304486872</v>
      </c>
      <c r="BA45" s="96">
        <f>MAX(Tabella34[[#This Row],[Lombardy acc. fit]]-CIl,0)</f>
        <v>0</v>
      </c>
      <c r="BB45" s="161"/>
      <c r="BC45" s="34"/>
      <c r="BD45" s="34"/>
      <c r="BE45" s="162">
        <f>Tabella34[[#This Row],[rest of Italy data]]*NOT(ISBLANK(Tabella34[[#This Row],[rest of Italy data]]))</f>
        <v>0</v>
      </c>
      <c r="BF45" s="211">
        <f>Tabella8[[#This Row],[rest of Italy fit]]</f>
        <v>1.9507327401080682E-56</v>
      </c>
      <c r="BG45" s="163">
        <f>_xlfn.LOGNORM.INV(alpha*Tabella34[[#This Row],[rest of Italy cumul. Fit]]/Ko,mu_o,sigma_o)-(Tabella34[[#This Row],[Day]]-po)</f>
        <v>3.8283121916198315E-3</v>
      </c>
      <c r="BH45" s="163">
        <f>Tabella34[[#This Row],[rest of Italy cumul. Fit]]/Ka</f>
        <v>1.3180628156728576E-61</v>
      </c>
      <c r="BI45" s="163">
        <f>IFERROR(Ko*_xlfn.LOGNORM.DIST((Tabella34[[#This Row],[Day]]-po),mu_o,sigma_o,FALSE),0)</f>
        <v>3.5603108157235843E-54</v>
      </c>
      <c r="BJ45" s="206">
        <f>Tabella34[[#This Row],[rest of Italy velocity]]/Tabella34[[#This Row],[rest of Italy cumul. Fit]]</f>
        <v>182.51146056667648</v>
      </c>
      <c r="BK45" s="261">
        <f>(LN(Tabella34[[#This Row],[Day]]-po)-mu_o)/sigma_o</f>
        <v>-16.519950907628694</v>
      </c>
      <c r="BL45" s="269">
        <f>EXP(mu_o+sigma_o*Tabella34[[#This Row],[x_o_alpha©+plus]])-(Tabella34[[#This Row],[Day]]-po)</f>
        <v>9557.3701903284109</v>
      </c>
      <c r="BM45" s="269">
        <f>EXP(mu_o+sigma_o*Tabella34[[#This Row],[x_o_alpha©-minus]])-(Tabella34[[#This Row],[Day]]-po)</f>
        <v>-3.8556258352018258E-3</v>
      </c>
      <c r="BN45" s="269">
        <f>-sigma_o+SQRT(sigma_o^2-2*Tabella34[[#This Row],[c_o]])</f>
        <v>15.919712678345119</v>
      </c>
      <c r="BO45" s="269">
        <f>-sigma_o-SQRT(sigma_o^2-2*Tabella34[[#This Row],[c_o]])</f>
        <v>-16.562685455644147</v>
      </c>
      <c r="BP45" s="269">
        <f>mu_o-LN(alpha*Ko/(Tabella34[[#This Row],[rest of Italy velocity]]*sigma_o*SQRTPI(2)))</f>
        <v>-131.83659681783021</v>
      </c>
      <c r="BQ45" s="269">
        <f>Tabella34[[#This Row],[t_alpha_o+plus]]</f>
        <v>9557.3701903284109</v>
      </c>
      <c r="BR45" s="91">
        <f>IFERROR(-Ka*_xlfn.LOGNORM.DIST((Tabella34[[#This Row],[Day]]-pa),mu_a,sigma_a,FALSE)*(1+(LN((Tabella34[[#This Row],[Day]]-pa))-mu_a)/sigma_a^2)/(Tabella34[[#This Row],[Day]]-pa),0)</f>
        <v>6.348426818434302E-52</v>
      </c>
      <c r="BS45" s="163">
        <f>Tabella34[[#This Row],[rest of Italy acc. fit]]/y_a_peak</f>
        <v>1.8787057381177923E-55</v>
      </c>
      <c r="BT45" s="162">
        <f>Tabella34[[#This Row],[rest of Italy acc. fit]]*NOT(ISBLANK(Tabella34[[#This Row],[rest of Italy data]]))</f>
        <v>0</v>
      </c>
      <c r="BU45" s="96">
        <f>Tabella34[[#This Row],[rest of Italy acc. fit]]+CIa</f>
        <v>694.65203586359735</v>
      </c>
      <c r="BV45" s="96">
        <f>MAX(Tabella34[[#This Row],[rest of Italy acc. fit]]-CIa,0)</f>
        <v>0</v>
      </c>
      <c r="BX45" s="254" t="s">
        <v>130</v>
      </c>
      <c r="BY45" s="255" t="s">
        <v>86</v>
      </c>
      <c r="CL45" s="66" t="b">
        <f>pf&lt;=0</f>
        <v>0</v>
      </c>
    </row>
    <row r="46" spans="2:90" x14ac:dyDescent="0.3">
      <c r="B46" s="288">
        <v>43869</v>
      </c>
      <c r="C46" s="4">
        <v>39</v>
      </c>
      <c r="D46" s="10" t="str">
        <f>Tabella8[[#This Row],[Italy cumulative]]</f>
        <v>3</v>
      </c>
      <c r="E46" s="91">
        <f>(Tabella34[[#This Row],[Italy cumul. Data]]-D45)</f>
        <v>0</v>
      </c>
      <c r="F46" s="91">
        <f>Tabella34[[#This Row],[Italy data]]-E45</f>
        <v>-1</v>
      </c>
      <c r="G46" s="162">
        <f>Tabella34[[#This Row],[Italy data]]*NOT(ISBLANK(Tabella34[[#This Row],[Italy data]]))</f>
        <v>0</v>
      </c>
      <c r="H46" s="163">
        <f>Tabella8[[#This Row],[Italy fit]]</f>
        <v>8.1291660405198682E-7</v>
      </c>
      <c r="I46" s="163">
        <f>_xlfn.LOGNORM.INV(alpha*Tabella34[[#This Row],[Italy cumul. Fit]]/Kt,mu_t,sigma_t)-(Tabella34[[#This Row],[Day]]-pt)</f>
        <v>0.23533586582279575</v>
      </c>
      <c r="J46" s="163">
        <f>Tabella34[[#This Row],[Italy d.t.]]/Italy_dt_at_lockdown</f>
        <v>4.6221955327522588E-2</v>
      </c>
      <c r="K46" s="163">
        <f>Tabella34[[#This Row],[Italy cumul. Fit]]/Kf</f>
        <v>3.4592205355728047E-12</v>
      </c>
      <c r="L46" s="166">
        <f>Tabella34[[#This Row],[Lombardy acc. fit]]+Tabella34[[#This Row],[rest of Italy acc. fit]]</f>
        <v>2.7997160474704661E-4</v>
      </c>
      <c r="M46" s="163">
        <f>Tabella34[[#This Row],[Italy (fitted Lombardy + fitted sum of the other regions)]]/(y_l_peak+y_a_peak)</f>
        <v>5.4499894814655448E-8</v>
      </c>
      <c r="N46" s="163">
        <f>IFERROR(Kt*_xlfn.LOGNORM.DIST((Tabella34[[#This Row],[Day]]-pt),mu_t,sigma_t,FALSE),0)</f>
        <v>2.4487853943520069E-6</v>
      </c>
      <c r="O46" s="163">
        <f>Kt*EXP(-0.5*Tabella34[[#This Row],[x_t]]^2)/(sigma_t*SQRTPI(2)*(Tabella34[[#This Row],[Day]]-D_bk))</f>
        <v>2.4487853943520035E-6</v>
      </c>
      <c r="P46" s="206">
        <f>Tabella34[[#This Row],[Italy velocity]]/Tabella34[[#This Row],[Italy cumul. Fit]]</f>
        <v>3.012345155881949</v>
      </c>
      <c r="Q46" s="269">
        <f>(LN(Tabella34[[#This Row],[Day]]-D_bk)-mu_t)/sigma_t</f>
        <v>-6.859329676688346</v>
      </c>
      <c r="R46" s="269">
        <f>EXP(mu_t+sigma_t*Tabella34[[#This Row],[x_t_alpha©+plus]])-(Tabella34[[#This Row],[Day]]-D_bk)</f>
        <v>440.07828646714182</v>
      </c>
      <c r="S46" s="269">
        <f>EXP(mu_t+sigma_t*Tabella34[[#This Row],[x_t_alpha©-minus]])-(Tabella34[[#This Row],[Day]]-D_bk)</f>
        <v>-0.24002625848504699</v>
      </c>
      <c r="T46" s="269">
        <f>-sigma_t+SQRT(sigma_t^2-2*Tabella34[[#This Row],[c_t]])</f>
        <v>6.3450799981885986</v>
      </c>
      <c r="U46" s="269">
        <f>-sigma_t-SQRT(sigma_t^2-2*Tabella34[[#This Row],[c_t]])</f>
        <v>-6.9643169040808353</v>
      </c>
      <c r="V46" s="269">
        <f>mu_t-LN(alpha*Kt/(Tabella34[[#This Row],[Italy velocity]]*sigma_t*SQRTPI(2)))</f>
        <v>-22.094573944565024</v>
      </c>
      <c r="W46" s="269">
        <f>Tabella34[[#This Row],[Italy g.r.]]/Italy_gr_at_lockdown</f>
        <v>19.046862600504287</v>
      </c>
      <c r="X46" s="269">
        <f>Tabella34[[#This Row],[t_alpha_t+plus]]</f>
        <v>440.07828646714182</v>
      </c>
      <c r="Y46" s="269">
        <f>Tabella34[[#This Row],[Italy h.t.]]/Italy_ht_at_lockdown</f>
        <v>7.8375202303928333</v>
      </c>
      <c r="Z46" s="91">
        <f>IFERROR(-Kf*_xlfn.LOGNORM.DIST((Tabella34[[#This Row],[Day]]-D_bk),mu_f,sigma_f,FALSE)*(1+(LN((Tabella34[[#This Row],[Day]]-D_bk))-mu_f)/sigma_f^2)/(Tabella34[[#This Row],[Day]]-D_bk),0)</f>
        <v>6.9025748651528966E-6</v>
      </c>
      <c r="AA46" s="91">
        <f>Tabella34[[#This Row],[Italy acc. fit]]/Itali_acc_at_lockdown</f>
        <v>2.8409527243866376E-8</v>
      </c>
      <c r="AB46" s="163">
        <f>Tabella34[[#This Row],[Italy acc. fit]]/y_f_peak</f>
        <v>1.3637109812277156E-9</v>
      </c>
      <c r="AC46" s="163">
        <f>Tabella34[[#This Row],[Italy (fitted Lombardy + fitted sum of the other regions)]]*NOT(ISBLANK(Tabella34[[#This Row],[Italy data]]))</f>
        <v>2.7997160474704661E-4</v>
      </c>
      <c r="AD46" s="163">
        <f>Tabella34[[#This Row],[Italy acc. fit]]*NOT(ISBLANK(Tabella34[[#This Row],[Italy data]]))</f>
        <v>6.9025748651528966E-6</v>
      </c>
      <c r="AE46" s="96">
        <f>Tabella34[[#This Row],[Italy acc. fit]]+CIf</f>
        <v>1013.7630089228926</v>
      </c>
      <c r="AF46" s="96">
        <f>MAX(Tabella34[[#This Row],[Italy acc. fit]]-CIf,0)</f>
        <v>0</v>
      </c>
      <c r="AG46" s="161"/>
      <c r="AH46" s="34"/>
      <c r="AI46" s="34"/>
      <c r="AJ46" s="162">
        <f>Tabella34[[#This Row],[Lombardy data]]*NOT(ISBLANK(Tabella34[[#This Row],[Lombardy data]]))</f>
        <v>0</v>
      </c>
      <c r="AK46" s="167">
        <f>Tabella8[[#This Row],[Lombardy fit]]</f>
        <v>5.4980686627547732E-5</v>
      </c>
      <c r="AL46" s="163">
        <f>_xlfn.LOGNORM.INV(alpha*Tabella34[[#This Row],[Lombardy cumul. Fit]]/Kr,mu_r,sigma_r)-(Tabella34[[#This Row],[Day]]-pr)</f>
        <v>0.30302094631800713</v>
      </c>
      <c r="AM46" s="162">
        <f>Tabella34[[#This Row],[Lombardy cumul. Fit]]/Kl</f>
        <v>6.3196191525916934E-10</v>
      </c>
      <c r="AN46" s="163">
        <f>IFERROR(Kr*_xlfn.LOGNORM.DIST((Tabella34[[#This Row],[Day]]-pr),mu_r,sigma_r,FALSE),0)</f>
        <v>1.2933818240994045E-4</v>
      </c>
      <c r="AO46" s="206">
        <f>Tabella34[[#This Row],[Lombardy velocity]]/Tabella34[[#This Row],[Lombardy cumul. Fit]]</f>
        <v>2.3524293773576912</v>
      </c>
      <c r="AP46" s="261">
        <f>(LN(Tabella34[[#This Row],[Day]]-pr)-mu_r)/sigma_r</f>
        <v>-6.0719168423739003</v>
      </c>
      <c r="AQ46" s="269">
        <f>EXP(mu_r+sigma_r*Tabella34[[#This Row],[x_r_alpha©+plus]])-(Tabella34[[#This Row],[Day]]-pr)</f>
        <v>393.3689253770832</v>
      </c>
      <c r="AR46" s="269">
        <f>EXP(mu_r+sigma_r*Tabella34[[#This Row],[x_r_alpha©-minus]])-(Tabella34[[#This Row],[Day]]-pr)</f>
        <v>-0.3105343379892167</v>
      </c>
      <c r="AS46" s="269">
        <f>-sigma_r+SQRT(sigma_r^2-2*Tabella34[[#This Row],[c_r]])</f>
        <v>5.5107492285252997</v>
      </c>
      <c r="AT46" s="269">
        <f>-sigma_r-SQRT(sigma_r^2-2*Tabella34[[#This Row],[c_r]])</f>
        <v>-6.1916038257190289</v>
      </c>
      <c r="AU46" s="269">
        <f>mu_r-LN(alpha*Kr/(Tabella34[[#This Row],[Lombardy velocity]]*sigma_r*SQRTPI(2)))</f>
        <v>-17.060188002957712</v>
      </c>
      <c r="AV46" s="269">
        <f>Tabella34[[#This Row],[t_alpha_r+plus]]</f>
        <v>393.3689253770832</v>
      </c>
      <c r="AW46" s="91">
        <f>IFERROR(-Kl*_xlfn.LOGNORM.DIST((Tabella34[[#This Row],[Day]]-pl),mu_l,sigma_l,FALSE)*(1+(LN((Tabella34[[#This Row],[Day]]-pl))-mu_l)/sigma_l^2)/(Tabella34[[#This Row],[Day]]-pl),0)</f>
        <v>2.7997160474704661E-4</v>
      </c>
      <c r="AX46" s="163">
        <f>Tabella34[[#This Row],[Lombardy acc. fit]]/y_l_peak</f>
        <v>1.5925987230549911E-7</v>
      </c>
      <c r="AY46" s="163">
        <f>Tabella34[[#This Row],[Lombardy acc. fit]]*NOT(ISBLANK(Tabella34[[#This Row],[Lombardy data]]))</f>
        <v>0</v>
      </c>
      <c r="AZ46" s="96">
        <f>Tabella34[[#This Row],[Lombardy acc. fit]]+CIl</f>
        <v>748.95565177522838</v>
      </c>
      <c r="BA46" s="96">
        <f>MAX(Tabella34[[#This Row],[Lombardy acc. fit]]-CIl,0)</f>
        <v>0</v>
      </c>
      <c r="BB46" s="161"/>
      <c r="BC46" s="34"/>
      <c r="BD46" s="34"/>
      <c r="BE46" s="162">
        <f>Tabella34[[#This Row],[rest of Italy data]]*NOT(ISBLANK(Tabella34[[#This Row],[rest of Italy data]]))</f>
        <v>0</v>
      </c>
      <c r="BF46" s="211">
        <f>Tabella8[[#This Row],[rest of Italy fit]]</f>
        <v>2.4258346319876795E-27</v>
      </c>
      <c r="BG46" s="163">
        <f>_xlfn.LOGNORM.INV(alpha*Tabella34[[#This Row],[rest of Italy cumul. Fit]]/Ko,mu_o,sigma_o)-(Tabella34[[#This Row],[Day]]-po)</f>
        <v>2.4307171750593604E-2</v>
      </c>
      <c r="BH46" s="163">
        <f>Tabella34[[#This Row],[rest of Italy cumul. Fit]]/Ka</f>
        <v>1.6390776448532252E-32</v>
      </c>
      <c r="BI46" s="163">
        <f>IFERROR(Ko*_xlfn.LOGNORM.DIST((Tabella34[[#This Row],[Day]]-po),mu_o,sigma_o,FALSE),0)</f>
        <v>6.9999540786373238E-26</v>
      </c>
      <c r="BJ46" s="206">
        <f>Tabella34[[#This Row],[rest of Italy velocity]]/Tabella34[[#This Row],[rest of Italy cumul. Fit]]</f>
        <v>28.855858459328303</v>
      </c>
      <c r="BK46" s="261">
        <f>(LN(Tabella34[[#This Row],[Day]]-po)-mu_o)/sigma_o</f>
        <v>-11.814674635822852</v>
      </c>
      <c r="BL46" s="269">
        <f>EXP(mu_o+sigma_o*Tabella34[[#This Row],[x_o_alpha©+plus]])-(Tabella34[[#This Row],[Day]]-po)</f>
        <v>2116.2665823962689</v>
      </c>
      <c r="BM46" s="269">
        <f>EXP(mu_o+sigma_o*Tabella34[[#This Row],[x_o_alpha©-minus]])-(Tabella34[[#This Row],[Day]]-po)</f>
        <v>-2.4564205102391101E-2</v>
      </c>
      <c r="BN46" s="269">
        <f>-sigma_o+SQRT(sigma_o^2-2*Tabella34[[#This Row],[c_o]])</f>
        <v>11.231853840309522</v>
      </c>
      <c r="BO46" s="269">
        <f>-sigma_o-SQRT(sigma_o^2-2*Tabella34[[#This Row],[c_o]])</f>
        <v>-11.874826617608548</v>
      </c>
      <c r="BP46" s="269">
        <f>mu_o-LN(alpha*Ko/(Tabella34[[#This Row],[rest of Italy velocity]]*sigma_o*SQRTPI(2)))</f>
        <v>-66.688158473998158</v>
      </c>
      <c r="BQ46" s="269">
        <f>Tabella34[[#This Row],[t_alpha_o+plus]]</f>
        <v>2116.2665823962689</v>
      </c>
      <c r="BR46" s="91">
        <f>IFERROR(-Ka*_xlfn.LOGNORM.DIST((Tabella34[[#This Row],[Day]]-pa),mu_a,sigma_a,FALSE)*(1+(LN((Tabella34[[#This Row],[Day]]-pa))-mu_a)/sigma_a^2)/(Tabella34[[#This Row],[Day]]-pa),0)</f>
        <v>1.9511492919272573E-24</v>
      </c>
      <c r="BS46" s="163">
        <f>Tabella34[[#This Row],[rest of Italy acc. fit]]/y_a_peak</f>
        <v>5.7740846283745185E-28</v>
      </c>
      <c r="BT46" s="162">
        <f>Tabella34[[#This Row],[rest of Italy acc. fit]]*NOT(ISBLANK(Tabella34[[#This Row],[rest of Italy data]]))</f>
        <v>0</v>
      </c>
      <c r="BU46" s="96">
        <f>Tabella34[[#This Row],[rest of Italy acc. fit]]+CIa</f>
        <v>694.65203586359735</v>
      </c>
      <c r="BV46" s="96">
        <f>MAX(Tabella34[[#This Row],[rest of Italy acc. fit]]-CIa,0)</f>
        <v>0</v>
      </c>
      <c r="BX46" s="234" t="s">
        <v>0</v>
      </c>
      <c r="BY46" s="235">
        <f>Kt</f>
        <v>234999.93587930576</v>
      </c>
      <c r="CL46" s="66" t="b">
        <f>sigma_f&gt;=0.000001</f>
        <v>1</v>
      </c>
    </row>
    <row r="47" spans="2:90" x14ac:dyDescent="0.3">
      <c r="B47" s="288">
        <v>43870</v>
      </c>
      <c r="C47" s="4">
        <v>40</v>
      </c>
      <c r="D47" s="10" t="str">
        <f>Tabella8[[#This Row],[Italy cumulative]]</f>
        <v>3</v>
      </c>
      <c r="E47" s="91">
        <f>(Tabella34[[#This Row],[Italy cumul. Data]]-D46)</f>
        <v>0</v>
      </c>
      <c r="F47" s="91">
        <f>Tabella34[[#This Row],[Italy data]]-E46</f>
        <v>0</v>
      </c>
      <c r="G47" s="162">
        <f>Tabella34[[#This Row],[Italy data]]*NOT(ISBLANK(Tabella34[[#This Row],[Italy data]]))</f>
        <v>0</v>
      </c>
      <c r="H47" s="163">
        <f>Tabella8[[#This Row],[Italy fit]]</f>
        <v>1.2688925762854161E-5</v>
      </c>
      <c r="I47" s="163">
        <f>_xlfn.LOGNORM.INV(alpha*Tabella34[[#This Row],[Italy cumul. Fit]]/Kt,mu_t,sigma_t)-(Tabella34[[#This Row],[Day]]-pt)</f>
        <v>0.28319476741311611</v>
      </c>
      <c r="J47" s="163">
        <f>Tabella34[[#This Row],[Italy d.t.]]/Italy_dt_at_lockdown</f>
        <v>5.5621848555007888E-2</v>
      </c>
      <c r="K47" s="163">
        <f>Tabella34[[#This Row],[Italy cumul. Fit]]/Kf</f>
        <v>5.3995443510976529E-11</v>
      </c>
      <c r="L47" s="166">
        <f>Tabella34[[#This Row],[Lombardy acc. fit]]+Tabella34[[#This Row],[rest of Italy acc. fit]]</f>
        <v>1.6740471067883548E-3</v>
      </c>
      <c r="M47" s="163">
        <f>Tabella34[[#This Row],[Italy (fitted Lombardy + fitted sum of the other regions)]]/(y_l_peak+y_a_peak)</f>
        <v>3.2587373036338621E-7</v>
      </c>
      <c r="N47" s="163">
        <f>IFERROR(Kt*_xlfn.LOGNORM.DIST((Tabella34[[#This Row],[Day]]-pt),mu_t,sigma_t,FALSE),0)</f>
        <v>3.1821130784732354E-5</v>
      </c>
      <c r="O47" s="163">
        <f>Kt*EXP(-0.5*Tabella34[[#This Row],[x_t]]^2)/(sigma_t*SQRTPI(2)*(Tabella34[[#This Row],[Day]]-D_bk))</f>
        <v>3.1821130784732408E-5</v>
      </c>
      <c r="P47" s="206">
        <f>Tabella34[[#This Row],[Italy velocity]]/Tabella34[[#This Row],[Italy cumul. Fit]]</f>
        <v>2.5077876078277823</v>
      </c>
      <c r="Q47" s="269">
        <f>(LN(Tabella34[[#This Row],[Day]]-D_bk)-mu_t)/sigma_t</f>
        <v>-6.4553194125164977</v>
      </c>
      <c r="R47" s="269">
        <f>EXP(mu_t+sigma_t*Tabella34[[#This Row],[x_t_alpha©+plus]])-(Tabella34[[#This Row],[Day]]-D_bk)</f>
        <v>387.28095670418344</v>
      </c>
      <c r="S47" s="269">
        <f>EXP(mu_t+sigma_t*Tabella34[[#This Row],[x_t_alpha©-minus]])-(Tabella34[[#This Row],[Day]]-D_bk)</f>
        <v>-0.28927909552286835</v>
      </c>
      <c r="T47" s="269">
        <f>-sigma_t+SQRT(sigma_t^2-2*Tabella34[[#This Row],[c_t]])</f>
        <v>5.947851854261434</v>
      </c>
      <c r="U47" s="269">
        <f>-sigma_t-SQRT(sigma_t^2-2*Tabella34[[#This Row],[c_t]])</f>
        <v>-6.5670887601536707</v>
      </c>
      <c r="V47" s="269">
        <f>mu_t-LN(alpha*Kt/(Tabella34[[#This Row],[Italy velocity]]*sigma_t*SQRTPI(2)))</f>
        <v>-19.530035529589714</v>
      </c>
      <c r="W47" s="269">
        <f>Tabella34[[#This Row],[Italy g.r.]]/Italy_gr_at_lockdown</f>
        <v>15.856578023363463</v>
      </c>
      <c r="X47" s="269">
        <f>Tabella34[[#This Row],[t_alpha_t+plus]]</f>
        <v>387.28095670418344</v>
      </c>
      <c r="Y47" s="269">
        <f>Tabella34[[#This Row],[Italy h.t.]]/Italy_ht_at_lockdown</f>
        <v>6.8972326659919378</v>
      </c>
      <c r="Z47" s="91">
        <f>IFERROR(-Kf*_xlfn.LOGNORM.DIST((Tabella34[[#This Row],[Day]]-D_bk),mu_f,sigma_f,FALSE)*(1+(LN((Tabella34[[#This Row],[Day]]-D_bk))-mu_f)/sigma_f^2)/(Tabella34[[#This Row],[Day]]-D_bk),0)</f>
        <v>7.426767069937699E-5</v>
      </c>
      <c r="AA47" s="91">
        <f>Tabella34[[#This Row],[Italy acc. fit]]/Itali_acc_at_lockdown</f>
        <v>3.0566990656257248E-7</v>
      </c>
      <c r="AB47" s="163">
        <f>Tabella34[[#This Row],[Italy acc. fit]]/y_f_peak</f>
        <v>1.4672733010727127E-8</v>
      </c>
      <c r="AC47" s="163">
        <f>Tabella34[[#This Row],[Italy (fitted Lombardy + fitted sum of the other regions)]]*NOT(ISBLANK(Tabella34[[#This Row],[Italy data]]))</f>
        <v>1.6740471067883548E-3</v>
      </c>
      <c r="AD47" s="163">
        <f>Tabella34[[#This Row],[Italy acc. fit]]*NOT(ISBLANK(Tabella34[[#This Row],[Italy data]]))</f>
        <v>7.426767069937699E-5</v>
      </c>
      <c r="AE47" s="96">
        <f>Tabella34[[#This Row],[Italy acc. fit]]+CIf</f>
        <v>1013.7630762879884</v>
      </c>
      <c r="AF47" s="96">
        <f>MAX(Tabella34[[#This Row],[Italy acc. fit]]-CIf,0)</f>
        <v>0</v>
      </c>
      <c r="AG47" s="161"/>
      <c r="AH47" s="34"/>
      <c r="AI47" s="34"/>
      <c r="AJ47" s="162">
        <f>Tabella34[[#This Row],[Lombardy data]]*NOT(ISBLANK(Tabella34[[#This Row],[Lombardy data]]))</f>
        <v>0</v>
      </c>
      <c r="AK47" s="167">
        <f>Tabella8[[#This Row],[Lombardy fit]]</f>
        <v>4.7268540916532139E-4</v>
      </c>
      <c r="AL47" s="163">
        <f>_xlfn.LOGNORM.INV(alpha*Tabella34[[#This Row],[Lombardy cumul. Fit]]/Kr,mu_r,sigma_r)-(Tabella34[[#This Row],[Day]]-pr)</f>
        <v>0.36292885896318339</v>
      </c>
      <c r="AM47" s="162">
        <f>Tabella34[[#This Row],[Lombardy cumul. Fit]]/Kl</f>
        <v>5.4331656225899009E-9</v>
      </c>
      <c r="AN47" s="163">
        <f>IFERROR(Kr*_xlfn.LOGNORM.DIST((Tabella34[[#This Row],[Day]]-pr),mu_r,sigma_r,FALSE),0)</f>
        <v>9.3046935614295309E-4</v>
      </c>
      <c r="AO47" s="206">
        <f>Tabella34[[#This Row],[Lombardy velocity]]/Tabella34[[#This Row],[Lombardy cumul. Fit]]</f>
        <v>1.9684748843548967</v>
      </c>
      <c r="AP47" s="261">
        <f>(LN(Tabella34[[#This Row],[Day]]-pr)-mu_r)/sigma_r</f>
        <v>-5.716620672251425</v>
      </c>
      <c r="AQ47" s="269">
        <f>EXP(mu_r+sigma_r*Tabella34[[#This Row],[x_r_alpha©+plus]])-(Tabella34[[#This Row],[Day]]-pr)</f>
        <v>347.60554036315477</v>
      </c>
      <c r="AR47" s="269">
        <f>EXP(mu_r+sigma_r*Tabella34[[#This Row],[x_r_alpha©-minus]])-(Tabella34[[#This Row],[Day]]-pr)</f>
        <v>-0.37261339618371281</v>
      </c>
      <c r="AS47" s="269">
        <f>-sigma_r+SQRT(sigma_r^2-2*Tabella34[[#This Row],[c_r]])</f>
        <v>5.1631851107254976</v>
      </c>
      <c r="AT47" s="269">
        <f>-sigma_r-SQRT(sigma_r^2-2*Tabella34[[#This Row],[c_r]])</f>
        <v>-5.8440397079192268</v>
      </c>
      <c r="AU47" s="269">
        <f>mu_r-LN(alpha*Kr/(Tabella34[[#This Row],[Lombardy velocity]]*sigma_r*SQRTPI(2)))</f>
        <v>-15.086929403208568</v>
      </c>
      <c r="AV47" s="269">
        <f>Tabella34[[#This Row],[t_alpha_r+plus]]</f>
        <v>347.60554036315477</v>
      </c>
      <c r="AW47" s="91">
        <f>IFERROR(-Kl*_xlfn.LOGNORM.DIST((Tabella34[[#This Row],[Day]]-pl),mu_l,sigma_l,FALSE)*(1+(LN((Tabella34[[#This Row],[Day]]-pl))-mu_l)/sigma_l^2)/(Tabella34[[#This Row],[Day]]-pl),0)</f>
        <v>1.6740471067881895E-3</v>
      </c>
      <c r="AX47" s="163">
        <f>Tabella34[[#This Row],[Lombardy acc. fit]]/y_l_peak</f>
        <v>9.5226988716001109E-7</v>
      </c>
      <c r="AY47" s="163">
        <f>Tabella34[[#This Row],[Lombardy acc. fit]]*NOT(ISBLANK(Tabella34[[#This Row],[Lombardy data]]))</f>
        <v>0</v>
      </c>
      <c r="AZ47" s="96">
        <f>Tabella34[[#This Row],[Lombardy acc. fit]]+CIl</f>
        <v>748.95704585073042</v>
      </c>
      <c r="BA47" s="96">
        <f>MAX(Tabella34[[#This Row],[Lombardy acc. fit]]-CIl,0)</f>
        <v>0</v>
      </c>
      <c r="BB47" s="161"/>
      <c r="BC47" s="34"/>
      <c r="BD47" s="34"/>
      <c r="BE47" s="162">
        <f>Tabella34[[#This Row],[rest of Italy data]]*NOT(ISBLANK(Tabella34[[#This Row],[rest of Italy data]]))</f>
        <v>0</v>
      </c>
      <c r="BF47" s="211">
        <f>Tabella8[[#This Row],[rest of Italy fit]]</f>
        <v>9.0611137748086005E-19</v>
      </c>
      <c r="BG47" s="163">
        <f>_xlfn.LOGNORM.INV(alpha*Tabella34[[#This Row],[rest of Italy cumul. Fit]]/Ko,mu_o,sigma_o)-(Tabella34[[#This Row],[Day]]-po)</f>
        <v>5.0994395926567737E-2</v>
      </c>
      <c r="BH47" s="163">
        <f>Tabella34[[#This Row],[rest of Italy cumul. Fit]]/Ka</f>
        <v>6.1223748848828497E-24</v>
      </c>
      <c r="BI47" s="163">
        <f>IFERROR(Ko*_xlfn.LOGNORM.DIST((Tabella34[[#This Row],[Day]]-po),mu_o,sigma_o,FALSE),0)</f>
        <v>1.2495526260343405E-17</v>
      </c>
      <c r="BJ47" s="206">
        <f>Tabella34[[#This Row],[rest of Italy velocity]]/Tabella34[[#This Row],[rest of Italy cumul. Fit]]</f>
        <v>13.790276306962442</v>
      </c>
      <c r="BK47" s="261">
        <f>(LN(Tabella34[[#This Row],[Day]]-po)-mu_o)/sigma_o</f>
        <v>-10.021645171503936</v>
      </c>
      <c r="BL47" s="269">
        <f>EXP(mu_o+sigma_o*Tabella34[[#This Row],[x_o_alpha©+plus]])-(Tabella34[[#This Row],[Day]]-po)</f>
        <v>1191.7965773062197</v>
      </c>
      <c r="BM47" s="269">
        <f>EXP(mu_o+sigma_o*Tabella34[[#This Row],[x_o_alpha©-minus]])-(Tabella34[[#This Row],[Day]]-po)</f>
        <v>-5.1651459838655711E-2</v>
      </c>
      <c r="BN47" s="269">
        <f>-sigma_o+SQRT(sigma_o^2-2*Tabella34[[#This Row],[c_o]])</f>
        <v>9.4498684188327982</v>
      </c>
      <c r="BO47" s="269">
        <f>-sigma_o-SQRT(sigma_o^2-2*Tabella34[[#This Row],[c_o]])</f>
        <v>-10.092841196131824</v>
      </c>
      <c r="BP47" s="269">
        <f>mu_o-LN(alpha*Ko/(Tabella34[[#This Row],[rest of Italy velocity]]*sigma_o*SQRTPI(2)))</f>
        <v>-47.688010637810386</v>
      </c>
      <c r="BQ47" s="269">
        <f>Tabella34[[#This Row],[t_alpha_o+plus]]</f>
        <v>1191.7965773062197</v>
      </c>
      <c r="BR47" s="91">
        <f>IFERROR(-Ka*_xlfn.LOGNORM.DIST((Tabella34[[#This Row],[Day]]-pa),mu_a,sigma_a,FALSE)*(1+(LN((Tabella34[[#This Row],[Day]]-pa))-mu_a)/sigma_a^2)/(Tabella34[[#This Row],[Day]]-pa),0)</f>
        <v>1.6517557707556378E-16</v>
      </c>
      <c r="BS47" s="163">
        <f>Tabella34[[#This Row],[rest of Italy acc. fit]]/y_a_peak</f>
        <v>4.8880819346880642E-20</v>
      </c>
      <c r="BT47" s="162">
        <f>Tabella34[[#This Row],[rest of Italy acc. fit]]*NOT(ISBLANK(Tabella34[[#This Row],[rest of Italy data]]))</f>
        <v>0</v>
      </c>
      <c r="BU47" s="96">
        <f>Tabella34[[#This Row],[rest of Italy acc. fit]]+CIa</f>
        <v>694.65203586359735</v>
      </c>
      <c r="BV47" s="96">
        <f>MAX(Tabella34[[#This Row],[rest of Italy acc. fit]]-CIa,0)</f>
        <v>0</v>
      </c>
      <c r="BX47" s="236" t="s">
        <v>307</v>
      </c>
      <c r="BY47" s="237">
        <f>mu_t</f>
        <v>4.1393081733093888</v>
      </c>
      <c r="CL47" s="66">
        <f>{32767;32767;0.000001;0.01;FALSE;FALSE;FALSE;1;2;1;0.0001;TRUE}</f>
        <v>32767</v>
      </c>
    </row>
    <row r="48" spans="2:90" ht="15" thickBot="1" x14ac:dyDescent="0.35">
      <c r="B48" s="288">
        <v>43871</v>
      </c>
      <c r="C48" s="4">
        <v>41</v>
      </c>
      <c r="D48" s="10" t="str">
        <f>Tabella8[[#This Row],[Italy cumulative]]</f>
        <v>3</v>
      </c>
      <c r="E48" s="91">
        <f>(Tabella34[[#This Row],[Italy cumul. Data]]-D47)</f>
        <v>0</v>
      </c>
      <c r="F48" s="91">
        <f>Tabella34[[#This Row],[Italy data]]-E47</f>
        <v>0</v>
      </c>
      <c r="G48" s="162">
        <f>Tabella34[[#This Row],[Italy data]]*NOT(ISBLANK(Tabella34[[#This Row],[Italy data]]))</f>
        <v>0</v>
      </c>
      <c r="H48" s="163">
        <f>Tabella8[[#This Row],[Italy fit]]</f>
        <v>1.2756894283845585E-4</v>
      </c>
      <c r="I48" s="163">
        <f>_xlfn.LOGNORM.INV(alpha*Tabella34[[#This Row],[Italy cumul. Fit]]/Kt,mu_t,sigma_t)-(Tabella34[[#This Row],[Day]]-pt)</f>
        <v>0.33488028661845526</v>
      </c>
      <c r="J48" s="163">
        <f>Tabella34[[#This Row],[Italy d.t.]]/Italy_dt_at_lockdown</f>
        <v>6.5773321860772005E-2</v>
      </c>
      <c r="K48" s="163">
        <f>Tabella34[[#This Row],[Italy cumul. Fit]]/Kf</f>
        <v>5.4284671338793178E-10</v>
      </c>
      <c r="L48" s="166">
        <f>Tabella34[[#This Row],[Lombardy acc. fit]]+Tabella34[[#This Row],[rest of Italy acc. fit]]</f>
        <v>7.3906161672003812E-3</v>
      </c>
      <c r="M48" s="163">
        <f>Tabella34[[#This Row],[Italy (fitted Lombardy + fitted sum of the other regions)]]/(y_l_peak+y_a_peak)</f>
        <v>1.4386737686910434E-6</v>
      </c>
      <c r="N48" s="163">
        <f>IFERROR(Kt*_xlfn.LOGNORM.DIST((Tabella34[[#This Row],[Day]]-pt),mu_t,sigma_t,FALSE),0)</f>
        <v>2.7103831779814785E-4</v>
      </c>
      <c r="O48" s="163">
        <f>Kt*EXP(-0.5*Tabella34[[#This Row],[x_t]]^2)/(sigma_t*SQRTPI(2)*(Tabella34[[#This Row],[Day]]-D_bk))</f>
        <v>2.7103831779814769E-4</v>
      </c>
      <c r="P48" s="206">
        <f>Tabella34[[#This Row],[Italy velocity]]/Tabella34[[#This Row],[Italy cumul. Fit]]</f>
        <v>2.124641874169729</v>
      </c>
      <c r="Q48" s="269">
        <f>(LN(Tabella34[[#This Row],[Day]]-D_bk)-mu_t)/sigma_t</f>
        <v>-6.0962738766697058</v>
      </c>
      <c r="R48" s="269">
        <f>EXP(mu_t+sigma_t*Tabella34[[#This Row],[x_t_alpha©+plus]])-(Tabella34[[#This Row],[Day]]-D_bk)</f>
        <v>345.38639104859408</v>
      </c>
      <c r="S48" s="269">
        <f>EXP(mu_t+sigma_t*Tabella34[[#This Row],[x_t_alpha©-minus]])-(Tabella34[[#This Row],[Day]]-D_bk)</f>
        <v>-0.34260230032429462</v>
      </c>
      <c r="T48" s="269">
        <f>-sigma_t+SQRT(sigma_t^2-2*Tabella34[[#This Row],[c_t]])</f>
        <v>5.595605958880201</v>
      </c>
      <c r="U48" s="269">
        <f>-sigma_t-SQRT(sigma_t^2-2*Tabella34[[#This Row],[c_t]])</f>
        <v>-6.2148428647724376</v>
      </c>
      <c r="V48" s="269">
        <f>mu_t-LN(alpha*Kt/(Tabella34[[#This Row],[Italy velocity]]*sigma_t*SQRTPI(2)))</f>
        <v>-17.387905883812376</v>
      </c>
      <c r="W48" s="269">
        <f>Tabella34[[#This Row],[Italy g.r.]]/Italy_gr_at_lockdown</f>
        <v>13.433972456167849</v>
      </c>
      <c r="X48" s="269">
        <f>Tabella34[[#This Row],[t_alpha_t+plus]]</f>
        <v>345.38639104859408</v>
      </c>
      <c r="Y48" s="269">
        <f>Tabella34[[#This Row],[Italy h.t.]]/Italy_ht_at_lockdown</f>
        <v>6.1511165408244715</v>
      </c>
      <c r="Z48" s="91">
        <f>IFERROR(-Kf*_xlfn.LOGNORM.DIST((Tabella34[[#This Row],[Day]]-D_bk),mu_f,sigma_f,FALSE)*(1+(LN((Tabella34[[#This Row],[Day]]-D_bk))-mu_f)/sigma_f^2)/(Tabella34[[#This Row],[Day]]-D_bk),0)</f>
        <v>5.3295656658149744E-4</v>
      </c>
      <c r="AA48" s="91">
        <f>Tabella34[[#This Row],[Italy acc. fit]]/Itali_acc_at_lockdown</f>
        <v>2.1935356579083119E-6</v>
      </c>
      <c r="AB48" s="163">
        <f>Tabella34[[#This Row],[Italy acc. fit]]/y_f_peak</f>
        <v>1.0529385578036887E-7</v>
      </c>
      <c r="AC48" s="163">
        <f>Tabella34[[#This Row],[Italy (fitted Lombardy + fitted sum of the other regions)]]*NOT(ISBLANK(Tabella34[[#This Row],[Italy data]]))</f>
        <v>7.3906161672003812E-3</v>
      </c>
      <c r="AD48" s="163">
        <f>Tabella34[[#This Row],[Italy acc. fit]]*NOT(ISBLANK(Tabella34[[#This Row],[Italy data]]))</f>
        <v>5.3295656658149744E-4</v>
      </c>
      <c r="AE48" s="96">
        <f>Tabella34[[#This Row],[Italy acc. fit]]+CIf</f>
        <v>1013.7635349768842</v>
      </c>
      <c r="AF48" s="96">
        <f>MAX(Tabella34[[#This Row],[Italy acc. fit]]-CIf,0)</f>
        <v>0</v>
      </c>
      <c r="AG48" s="161"/>
      <c r="AH48" s="34"/>
      <c r="AI48" s="34"/>
      <c r="AJ48" s="162">
        <f>Tabella34[[#This Row],[Lombardy data]]*NOT(ISBLANK(Tabella34[[#This Row],[Lombardy data]]))</f>
        <v>0</v>
      </c>
      <c r="AK48" s="167">
        <f>Tabella8[[#This Row],[Lombardy fit]]</f>
        <v>2.9037514905089928E-3</v>
      </c>
      <c r="AL48" s="163">
        <f>_xlfn.LOGNORM.INV(alpha*Tabella34[[#This Row],[Lombardy cumul. Fit]]/Kr,mu_r,sigma_r)-(Tabella34[[#This Row],[Day]]-pr)</f>
        <v>0.42759905412277099</v>
      </c>
      <c r="AM48" s="162">
        <f>Tabella34[[#This Row],[Lombardy cumul. Fit]]/Kl</f>
        <v>3.3376453913896467E-8</v>
      </c>
      <c r="AN48" s="163">
        <f>IFERROR(Kr*_xlfn.LOGNORM.DIST((Tabella34[[#This Row],[Day]]-pr),mu_r,sigma_r,FALSE),0)</f>
        <v>4.8624763084411642E-3</v>
      </c>
      <c r="AO48" s="206">
        <f>Tabella34[[#This Row],[Lombardy velocity]]/Tabella34[[#This Row],[Lombardy cumul. Fit]]</f>
        <v>1.6745497417166475</v>
      </c>
      <c r="AP48" s="261">
        <f>(LN(Tabella34[[#This Row],[Day]]-pr)-mu_r)/sigma_r</f>
        <v>-5.3996987130814889</v>
      </c>
      <c r="AQ48" s="269">
        <f>EXP(mu_r+sigma_r*Tabella34[[#This Row],[x_r_alpha©+plus]])-(Tabella34[[#This Row],[Day]]-pr)</f>
        <v>311.00573153175998</v>
      </c>
      <c r="AR48" s="269">
        <f>EXP(mu_r+sigma_r*Tabella34[[#This Row],[x_r_alpha©-minus]])-(Tabella34[[#This Row],[Day]]-pr)</f>
        <v>-0.43982707334958349</v>
      </c>
      <c r="AS48" s="269">
        <f>-sigma_r+SQRT(sigma_r^2-2*Tabella34[[#This Row],[c_r]])</f>
        <v>4.8540429926398785</v>
      </c>
      <c r="AT48" s="269">
        <f>-sigma_r-SQRT(sigma_r^2-2*Tabella34[[#This Row],[c_r]])</f>
        <v>-5.5348975898336077</v>
      </c>
      <c r="AU48" s="269">
        <f>mu_r-LN(alpha*Kr/(Tabella34[[#This Row],[Lombardy velocity]]*sigma_r*SQRTPI(2)))</f>
        <v>-13.43331543045559</v>
      </c>
      <c r="AV48" s="269">
        <f>Tabella34[[#This Row],[t_alpha_r+plus]]</f>
        <v>311.00573153175998</v>
      </c>
      <c r="AW48" s="91">
        <f>IFERROR(-Kl*_xlfn.LOGNORM.DIST((Tabella34[[#This Row],[Day]]-pl),mu_l,sigma_l,FALSE)*(1+(LN((Tabella34[[#This Row],[Day]]-pl))-mu_l)/sigma_l^2)/(Tabella34[[#This Row],[Day]]-pl),0)</f>
        <v>7.3906161641102428E-3</v>
      </c>
      <c r="AX48" s="163">
        <f>Tabella34[[#This Row],[Lombardy acc. fit]]/y_l_peak</f>
        <v>4.2040998679798127E-6</v>
      </c>
      <c r="AY48" s="163">
        <f>Tabella34[[#This Row],[Lombardy acc. fit]]*NOT(ISBLANK(Tabella34[[#This Row],[Lombardy data]]))</f>
        <v>0</v>
      </c>
      <c r="AZ48" s="96">
        <f>Tabella34[[#This Row],[Lombardy acc. fit]]+CIl</f>
        <v>748.96276241978774</v>
      </c>
      <c r="BA48" s="96">
        <f>MAX(Tabella34[[#This Row],[Lombardy acc. fit]]-CIl,0)</f>
        <v>0</v>
      </c>
      <c r="BB48" s="161"/>
      <c r="BC48" s="34"/>
      <c r="BD48" s="34"/>
      <c r="BE48" s="162">
        <f>Tabella34[[#This Row],[rest of Italy data]]*NOT(ISBLANK(Tabella34[[#This Row],[rest of Italy data]]))</f>
        <v>0</v>
      </c>
      <c r="BF48" s="211">
        <f>Tabella8[[#This Row],[rest of Italy fit]]</f>
        <v>4.4611368624324991E-14</v>
      </c>
      <c r="BG48" s="163">
        <f>_xlfn.LOGNORM.INV(alpha*Tabella34[[#This Row],[rest of Italy cumul. Fit]]/Ko,mu_o,sigma_o)-(Tabella34[[#This Row],[Day]]-po)</f>
        <v>8.2633277575064223E-2</v>
      </c>
      <c r="BH48" s="163">
        <f>Tabella34[[#This Row],[rest of Italy cumul. Fit]]/Ka</f>
        <v>3.0142820147028492E-19</v>
      </c>
      <c r="BI48" s="163">
        <f>IFERROR(Ko*_xlfn.LOGNORM.DIST((Tabella34[[#This Row],[Day]]-po),mu_o,sigma_o,FALSE),0)</f>
        <v>3.8051631768297409E-13</v>
      </c>
      <c r="BJ48" s="206">
        <f>Tabella34[[#This Row],[rest of Italy velocity]]/Tabella34[[#This Row],[rest of Italy cumul. Fit]]</f>
        <v>8.5295817953339377</v>
      </c>
      <c r="BK48" s="261">
        <f>(LN(Tabella34[[#This Row],[Day]]-po)-mu_o)/sigma_o</f>
        <v>-8.8915069892269152</v>
      </c>
      <c r="BL48" s="269">
        <f>EXP(mu_o+sigma_o*Tabella34[[#This Row],[x_o_alpha©+plus]])-(Tabella34[[#This Row],[Day]]-po)</f>
        <v>829.52149150153059</v>
      </c>
      <c r="BM48" s="269">
        <f>EXP(mu_o+sigma_o*Tabella34[[#This Row],[x_o_alpha©-minus]])-(Tabella34[[#This Row],[Day]]-po)</f>
        <v>-8.3864478416852961E-2</v>
      </c>
      <c r="BN48" s="269">
        <f>-sigma_o+SQRT(sigma_o^2-2*Tabella34[[#This Row],[c_o]])</f>
        <v>8.3290365698450159</v>
      </c>
      <c r="BO48" s="269">
        <f>-sigma_o-SQRT(sigma_o^2-2*Tabella34[[#This Row],[c_o]])</f>
        <v>-8.9720093471440414</v>
      </c>
      <c r="BP48" s="269">
        <f>mu_o-LN(alpha*Ko/(Tabella34[[#This Row],[rest of Italy velocity]]*sigma_o*SQRTPI(2)))</f>
        <v>-37.364096978677011</v>
      </c>
      <c r="BQ48" s="269">
        <f>Tabella34[[#This Row],[t_alpha_o+plus]]</f>
        <v>829.52149150153059</v>
      </c>
      <c r="BR48" s="91">
        <f>IFERROR(-Ka*_xlfn.LOGNORM.DIST((Tabella34[[#This Row],[Day]]-pa),mu_a,sigma_a,FALSE)*(1+(LN((Tabella34[[#This Row],[Day]]-pa))-mu_a)/sigma_a^2)/(Tabella34[[#This Row],[Day]]-pa),0)</f>
        <v>3.0901386225569382E-12</v>
      </c>
      <c r="BS48" s="163">
        <f>Tabella34[[#This Row],[rest of Italy acc. fit]]/y_a_peak</f>
        <v>9.1447240833263914E-16</v>
      </c>
      <c r="BT48" s="162">
        <f>Tabella34[[#This Row],[rest of Italy acc. fit]]*NOT(ISBLANK(Tabella34[[#This Row],[rest of Italy data]]))</f>
        <v>0</v>
      </c>
      <c r="BU48" s="96">
        <f>Tabella34[[#This Row],[rest of Italy acc. fit]]+CIa</f>
        <v>694.65203586360042</v>
      </c>
      <c r="BV48" s="96">
        <f>MAX(Tabella34[[#This Row],[rest of Italy acc. fit]]-CIa,0)</f>
        <v>0</v>
      </c>
      <c r="BX48" s="234" t="s">
        <v>308</v>
      </c>
      <c r="BY48" s="237">
        <f>sigma_t</f>
        <v>0.30961845294611862</v>
      </c>
      <c r="BZ48" s="6"/>
      <c r="CL48" s="67">
        <f>{0;0;1;200;0;FALSE;FALSE;0.075;0;0;FALSE;30}</f>
        <v>0</v>
      </c>
    </row>
    <row r="49" spans="2:79" x14ac:dyDescent="0.3">
      <c r="B49" s="288">
        <v>43872</v>
      </c>
      <c r="C49" s="4">
        <v>42</v>
      </c>
      <c r="D49" s="10" t="str">
        <f>Tabella8[[#This Row],[Italy cumulative]]</f>
        <v>3</v>
      </c>
      <c r="E49" s="91">
        <f>(Tabella34[[#This Row],[Italy cumul. Data]]-D48)</f>
        <v>0</v>
      </c>
      <c r="F49" s="91">
        <f>Tabella34[[#This Row],[Italy data]]-E48</f>
        <v>0</v>
      </c>
      <c r="G49" s="162">
        <f>Tabella34[[#This Row],[Italy data]]*NOT(ISBLANK(Tabella34[[#This Row],[Italy data]]))</f>
        <v>0</v>
      </c>
      <c r="H49" s="163">
        <f>Tabella8[[#This Row],[Italy fit]]</f>
        <v>9.1402821745318599E-4</v>
      </c>
      <c r="I49" s="163">
        <f>_xlfn.LOGNORM.INV(alpha*Tabella34[[#This Row],[Italy cumul. Fit]]/Kt,mu_t,sigma_t)-(Tabella34[[#This Row],[Day]]-pt)</f>
        <v>0.39049803882453205</v>
      </c>
      <c r="J49" s="163">
        <f>Tabella34[[#This Row],[Italy d.t.]]/Italy_dt_at_lockdown</f>
        <v>7.6697119000228201E-2</v>
      </c>
      <c r="K49" s="163">
        <f>Tabella34[[#This Row],[Italy cumul. Fit]]/Kf</f>
        <v>3.8894828376575564E-9</v>
      </c>
      <c r="L49" s="166">
        <f>Tabella34[[#This Row],[Lombardy acc. fit]]+Tabella34[[#This Row],[rest of Italy acc. fit]]</f>
        <v>2.5812518417631328E-2</v>
      </c>
      <c r="M49" s="163">
        <f>Tabella34[[#This Row],[Italy (fitted Lombardy + fitted sum of the other regions)]]/(y_l_peak+y_a_peak)</f>
        <v>5.024722203286595E-6</v>
      </c>
      <c r="N49" s="163">
        <f>IFERROR(Kt*_xlfn.LOGNORM.DIST((Tabella34[[#This Row],[Day]]-pt),mu_t,sigma_t,FALSE),0)</f>
        <v>1.6685378040912065E-3</v>
      </c>
      <c r="O49" s="163">
        <f>Kt*EXP(-0.5*Tabella34[[#This Row],[x_t]]^2)/(sigma_t*SQRTPI(2)*(Tabella34[[#This Row],[Day]]-D_bk))</f>
        <v>1.6685378040912128E-3</v>
      </c>
      <c r="P49" s="206">
        <f>Tabella34[[#This Row],[Italy velocity]]/Tabella34[[#This Row],[Italy cumul. Fit]]</f>
        <v>1.8254773454810376</v>
      </c>
      <c r="Q49" s="269">
        <f>(LN(Tabella34[[#This Row],[Day]]-D_bk)-mu_t)/sigma_t</f>
        <v>-5.7731791501402512</v>
      </c>
      <c r="R49" s="269">
        <f>EXP(mu_t+sigma_t*Tabella34[[#This Row],[x_t_alpha©+plus]])-(Tabella34[[#This Row],[Day]]-D_bk)</f>
        <v>311.28505673727216</v>
      </c>
      <c r="S49" s="269">
        <f>EXP(mu_t+sigma_t*Tabella34[[#This Row],[x_t_alpha©-minus]])-(Tabella34[[#This Row],[Day]]-D_bk)</f>
        <v>-0.40012811959074845</v>
      </c>
      <c r="T49" s="269">
        <f>-sigma_t+SQRT(sigma_t^2-2*Tabella34[[#This Row],[c_t]])</f>
        <v>5.2793698144457828</v>
      </c>
      <c r="U49" s="269">
        <f>-sigma_t-SQRT(sigma_t^2-2*Tabella34[[#This Row],[c_t]])</f>
        <v>-5.8986067203380195</v>
      </c>
      <c r="V49" s="269">
        <f>mu_t-LN(alpha*Kt/(Tabella34[[#This Row],[Italy velocity]]*sigma_t*SQRTPI(2)))</f>
        <v>-15.570463133319791</v>
      </c>
      <c r="W49" s="269">
        <f>Tabella34[[#This Row],[Italy g.r.]]/Italy_gr_at_lockdown</f>
        <v>11.542374588721668</v>
      </c>
      <c r="X49" s="269">
        <f>Tabella34[[#This Row],[t_alpha_t+plus]]</f>
        <v>311.28505673727216</v>
      </c>
      <c r="Y49" s="269">
        <f>Tabella34[[#This Row],[Italy h.t.]]/Italy_ht_at_lockdown</f>
        <v>5.5437930127904878</v>
      </c>
      <c r="Z49" s="91">
        <f>IFERROR(-Kf*_xlfn.LOGNORM.DIST((Tabella34[[#This Row],[Day]]-D_bk),mu_f,sigma_f,FALSE)*(1+(LN((Tabella34[[#This Row],[Day]]-D_bk))-mu_f)/sigma_f^2)/(Tabella34[[#This Row],[Day]]-D_bk),0)</f>
        <v>2.8028522412002037E-3</v>
      </c>
      <c r="AA49" s="91">
        <f>Tabella34[[#This Row],[Italy acc. fit]]/Itali_acc_at_lockdown</f>
        <v>1.1535942552235587E-5</v>
      </c>
      <c r="AB49" s="163">
        <f>Tabella34[[#This Row],[Italy acc. fit]]/y_f_peak</f>
        <v>5.5374703712087376E-7</v>
      </c>
      <c r="AC49" s="163">
        <f>Tabella34[[#This Row],[Italy (fitted Lombardy + fitted sum of the other regions)]]*NOT(ISBLANK(Tabella34[[#This Row],[Italy data]]))</f>
        <v>2.5812518417631328E-2</v>
      </c>
      <c r="AD49" s="163">
        <f>Tabella34[[#This Row],[Italy acc. fit]]*NOT(ISBLANK(Tabella34[[#This Row],[Italy data]]))</f>
        <v>2.8028522412002037E-3</v>
      </c>
      <c r="AE49" s="96">
        <f>Tabella34[[#This Row],[Italy acc. fit]]+CIf</f>
        <v>1013.7658048725589</v>
      </c>
      <c r="AF49" s="96">
        <f>MAX(Tabella34[[#This Row],[Italy acc. fit]]-CIf,0)</f>
        <v>0</v>
      </c>
      <c r="AG49" s="161"/>
      <c r="AH49" s="34"/>
      <c r="AI49" s="34"/>
      <c r="AJ49" s="162">
        <f>Tabella34[[#This Row],[Lombardy data]]*NOT(ISBLANK(Tabella34[[#This Row],[Lombardy data]]))</f>
        <v>0</v>
      </c>
      <c r="AK49" s="167">
        <f>Tabella8[[#This Row],[Lombardy fit]]</f>
        <v>1.3744676008109632E-2</v>
      </c>
      <c r="AL49" s="163">
        <f>_xlfn.LOGNORM.INV(alpha*Tabella34[[#This Row],[Lombardy cumul. Fit]]/Kr,mu_r,sigma_r)-(Tabella34[[#This Row],[Day]]-pr)</f>
        <v>0.49717334885360209</v>
      </c>
      <c r="AM49" s="162">
        <f>Tabella34[[#This Row],[Lombardy cumul. Fit]]/Kl</f>
        <v>1.5798478170240956E-7</v>
      </c>
      <c r="AN49" s="163">
        <f>IFERROR(Kr*_xlfn.LOGNORM.DIST((Tabella34[[#This Row],[Day]]-pr),mu_r,sigma_r,FALSE),0)</f>
        <v>1.9841352030007232E-2</v>
      </c>
      <c r="AO49" s="206">
        <f>Tabella34[[#This Row],[Lombardy velocity]]/Tabella34[[#This Row],[Lombardy cumul. Fit]]</f>
        <v>1.4435663684106079</v>
      </c>
      <c r="AP49" s="261">
        <f>(LN(Tabella34[[#This Row],[Day]]-pr)-mu_r)/sigma_r</f>
        <v>-5.1136637715017423</v>
      </c>
      <c r="AQ49" s="269">
        <f>EXP(mu_r+sigma_r*Tabella34[[#This Row],[x_r_alpha©+plus]])-(Tabella34[[#This Row],[Day]]-pr)</f>
        <v>281.02329340026961</v>
      </c>
      <c r="AR49" s="269">
        <f>EXP(mu_r+sigma_r*Tabella34[[#This Row],[x_r_alpha©-minus]])-(Tabella34[[#This Row],[Day]]-pr)</f>
        <v>-0.51235700110875548</v>
      </c>
      <c r="AS49" s="269">
        <f>-sigma_r+SQRT(sigma_r^2-2*Tabella34[[#This Row],[c_r]])</f>
        <v>4.5758803389894256</v>
      </c>
      <c r="AT49" s="269">
        <f>-sigma_r-SQRT(sigma_r^2-2*Tabella34[[#This Row],[c_r]])</f>
        <v>-5.2567349361831548</v>
      </c>
      <c r="AU49" s="269">
        <f>mu_r-LN(alpha*Kr/(Tabella34[[#This Row],[Lombardy velocity]]*sigma_r*SQRTPI(2)))</f>
        <v>-12.027095020879667</v>
      </c>
      <c r="AV49" s="269">
        <f>Tabella34[[#This Row],[t_alpha_r+plus]]</f>
        <v>281.02329340026961</v>
      </c>
      <c r="AW49" s="91">
        <f>IFERROR(-Kl*_xlfn.LOGNORM.DIST((Tabella34[[#This Row],[Day]]-pl),mu_l,sigma_l,FALSE)*(1+(LN((Tabella34[[#This Row],[Day]]-pl))-mu_l)/sigma_l^2)/(Tabella34[[#This Row],[Day]]-pl),0)</f>
        <v>2.5812516595785134E-2</v>
      </c>
      <c r="AX49" s="163">
        <f>Tabella34[[#This Row],[Lombardy acc. fit]]/y_l_peak</f>
        <v>1.4683267971559113E-5</v>
      </c>
      <c r="AY49" s="163">
        <f>Tabella34[[#This Row],[Lombardy acc. fit]]*NOT(ISBLANK(Tabella34[[#This Row],[Lombardy data]]))</f>
        <v>0</v>
      </c>
      <c r="AZ49" s="96">
        <f>Tabella34[[#This Row],[Lombardy acc. fit]]+CIl</f>
        <v>748.98118432021943</v>
      </c>
      <c r="BA49" s="96">
        <f>MAX(Tabella34[[#This Row],[Lombardy acc. fit]]-CIl,0)</f>
        <v>0</v>
      </c>
      <c r="BB49" s="161"/>
      <c r="BC49" s="34"/>
      <c r="BD49" s="34"/>
      <c r="BE49" s="162">
        <f>Tabella34[[#This Row],[rest of Italy data]]*NOT(ISBLANK(Tabella34[[#This Row],[rest of Italy data]]))</f>
        <v>0</v>
      </c>
      <c r="BF49" s="211">
        <f>Tabella8[[#This Row],[rest of Italy fit]]</f>
        <v>5.4492801872499963E-11</v>
      </c>
      <c r="BG49" s="163">
        <f>_xlfn.LOGNORM.INV(alpha*Tabella34[[#This Row],[rest of Italy cumul. Fit]]/Ko,mu_o,sigma_o)-(Tabella34[[#This Row],[Day]]-po)</f>
        <v>0.11881571104154176</v>
      </c>
      <c r="BH49" s="163">
        <f>Tabella34[[#This Row],[rest of Italy cumul. Fit]]/Ka</f>
        <v>3.6819465010871482E-16</v>
      </c>
      <c r="BI49" s="163">
        <f>IFERROR(Ko*_xlfn.LOGNORM.DIST((Tabella34[[#This Row],[Day]]-po),mu_o,sigma_o,FALSE),0)</f>
        <v>3.2395059036526822E-10</v>
      </c>
      <c r="BJ49" s="206">
        <f>Tabella34[[#This Row],[rest of Italy velocity]]/Tabella34[[#This Row],[rest of Italy cumul. Fit]]</f>
        <v>5.9448326977796926</v>
      </c>
      <c r="BK49" s="261">
        <f>(LN(Tabella34[[#This Row],[Day]]-po)-mu_o)/sigma_o</f>
        <v>-8.0643294484194303</v>
      </c>
      <c r="BL49" s="269">
        <f>EXP(mu_o+sigma_o*Tabella34[[#This Row],[x_o_alpha©+plus]])-(Tabella34[[#This Row],[Day]]-po)</f>
        <v>635.8062651357975</v>
      </c>
      <c r="BM49" s="269">
        <f>EXP(mu_o+sigma_o*Tabella34[[#This Row],[x_o_alpha©-minus]])-(Tabella34[[#This Row],[Day]]-po)</f>
        <v>-0.12081044814864761</v>
      </c>
      <c r="BN49" s="269">
        <f>-sigma_o+SQRT(sigma_o^2-2*Tabella34[[#This Row],[c_o]])</f>
        <v>7.5103660748068224</v>
      </c>
      <c r="BO49" s="269">
        <f>-sigma_o-SQRT(sigma_o^2-2*Tabella34[[#This Row],[c_o]])</f>
        <v>-8.1533388521058487</v>
      </c>
      <c r="BP49" s="269">
        <f>mu_o-LN(alpha*Ko/(Tabella34[[#This Row],[rest of Italy velocity]]*sigma_o*SQRTPI(2)))</f>
        <v>-30.617279755630079</v>
      </c>
      <c r="BQ49" s="269">
        <f>Tabella34[[#This Row],[t_alpha_o+plus]]</f>
        <v>635.8062651357975</v>
      </c>
      <c r="BR49" s="91">
        <f>IFERROR(-Ka*_xlfn.LOGNORM.DIST((Tabella34[[#This Row],[Day]]-pa),mu_a,sigma_a,FALSE)*(1+(LN((Tabella34[[#This Row],[Day]]-pa))-mu_a)/sigma_a^2)/(Tabella34[[#This Row],[Day]]-pa),0)</f>
        <v>1.8218461942811726E-9</v>
      </c>
      <c r="BS49" s="163">
        <f>Tabella34[[#This Row],[rest of Italy acc. fit]]/y_a_peak</f>
        <v>5.3914347554977991E-13</v>
      </c>
      <c r="BT49" s="162">
        <f>Tabella34[[#This Row],[rest of Italy acc. fit]]*NOT(ISBLANK(Tabella34[[#This Row],[rest of Italy data]]))</f>
        <v>0</v>
      </c>
      <c r="BU49" s="96">
        <f>Tabella34[[#This Row],[rest of Italy acc. fit]]+CIa</f>
        <v>694.65203586541918</v>
      </c>
      <c r="BV49" s="96">
        <f>MAX(Tabella34[[#This Row],[rest of Italy acc. fit]]-CIa,0)</f>
        <v>0</v>
      </c>
      <c r="BX49" s="238" t="s">
        <v>1</v>
      </c>
      <c r="BY49" s="239">
        <f>AVERAGE(Tabella34[Italy data])</f>
        <v>2077.3711340206187</v>
      </c>
    </row>
    <row r="50" spans="2:79" x14ac:dyDescent="0.3">
      <c r="B50" s="288">
        <v>43873</v>
      </c>
      <c r="C50" s="4">
        <v>43</v>
      </c>
      <c r="D50" s="10" t="str">
        <f>Tabella8[[#This Row],[Italy cumulative]]</f>
        <v>3</v>
      </c>
      <c r="E50" s="91">
        <f>(Tabella34[[#This Row],[Italy cumul. Data]]-D49)</f>
        <v>0</v>
      </c>
      <c r="F50" s="91">
        <f>Tabella34[[#This Row],[Italy data]]-E49</f>
        <v>0</v>
      </c>
      <c r="G50" s="162">
        <f>Tabella34[[#This Row],[Italy data]]*NOT(ISBLANK(Tabella34[[#This Row],[Italy data]]))</f>
        <v>0</v>
      </c>
      <c r="H50" s="163">
        <f>Tabella8[[#This Row],[Italy fit]]</f>
        <v>5.0121003400024787E-3</v>
      </c>
      <c r="I50" s="163">
        <f>_xlfn.LOGNORM.INV(alpha*Tabella34[[#This Row],[Italy cumul. Fit]]/Kt,mu_t,sigma_t)-(Tabella34[[#This Row],[Day]]-pt)</f>
        <v>0.45017518912117005</v>
      </c>
      <c r="J50" s="163">
        <f>Tabella34[[#This Row],[Italy d.t.]]/Italy_dt_at_lockdown</f>
        <v>8.841821627301738E-2</v>
      </c>
      <c r="K50" s="163">
        <f>Tabella34[[#This Row],[Italy cumul. Fit]]/Kf</f>
        <v>2.1328092372657737E-8</v>
      </c>
      <c r="L50" s="166">
        <f>Tabella34[[#This Row],[Lombardy acc. fit]]+Tabella34[[#This Row],[rest of Italy acc. fit]]</f>
        <v>7.4895977165212471E-2</v>
      </c>
      <c r="M50" s="163">
        <f>Tabella34[[#This Row],[Italy (fitted Lombardy + fitted sum of the other regions)]]/(y_l_peak+y_a_peak)</f>
        <v>1.4579417370675248E-5</v>
      </c>
      <c r="N50" s="163">
        <f>IFERROR(Kt*_xlfn.LOGNORM.DIST((Tabella34[[#This Row],[Day]]-pt),mu_t,sigma_t,FALSE),0)</f>
        <v>7.9520304709587222E-3</v>
      </c>
      <c r="O50" s="163">
        <f>Kt*EXP(-0.5*Tabella34[[#This Row],[x_t]]^2)/(sigma_t*SQRTPI(2)*(Tabella34[[#This Row],[Day]]-D_bk))</f>
        <v>7.9520304709587344E-3</v>
      </c>
      <c r="P50" s="206">
        <f>Tabella34[[#This Row],[Italy velocity]]/Tabella34[[#This Row],[Italy cumul. Fit]]</f>
        <v>1.5865664953856031</v>
      </c>
      <c r="Q50" s="269">
        <f>(LN(Tabella34[[#This Row],[Day]]-D_bk)-mu_t)/sigma_t</f>
        <v>-5.4794865598204776</v>
      </c>
      <c r="R50" s="269">
        <f>EXP(mu_t+sigma_t*Tabella34[[#This Row],[x_t_alpha©+plus]])-(Tabella34[[#This Row],[Day]]-D_bk)</f>
        <v>282.94795381920977</v>
      </c>
      <c r="S50" s="269">
        <f>EXP(mu_t+sigma_t*Tabella34[[#This Row],[x_t_alpha©-minus]])-(Tabella34[[#This Row],[Day]]-D_bk)</f>
        <v>-0.46201314957117035</v>
      </c>
      <c r="T50" s="269">
        <f>-sigma_t+SQRT(sigma_t^2-2*Tabella34[[#This Row],[c_t]])</f>
        <v>4.9926292405888191</v>
      </c>
      <c r="U50" s="269">
        <f>-sigma_t-SQRT(sigma_t^2-2*Tabella34[[#This Row],[c_t]])</f>
        <v>-5.6118661464810558</v>
      </c>
      <c r="V50" s="269">
        <f>mu_t-LN(alpha*Kt/(Tabella34[[#This Row],[Italy velocity]]*sigma_t*SQRTPI(2)))</f>
        <v>-14.008983508595907</v>
      </c>
      <c r="W50" s="269">
        <f>Tabella34[[#This Row],[Italy g.r.]]/Italy_gr_at_lockdown</f>
        <v>10.031756814177459</v>
      </c>
      <c r="X50" s="269">
        <f>Tabella34[[#This Row],[t_alpha_t+plus]]</f>
        <v>282.94795381920977</v>
      </c>
      <c r="Y50" s="269">
        <f>Tabella34[[#This Row],[Italy h.t.]]/Italy_ht_at_lockdown</f>
        <v>5.0391268562892169</v>
      </c>
      <c r="Z50" s="91">
        <f>IFERROR(-Kf*_xlfn.LOGNORM.DIST((Tabella34[[#This Row],[Day]]-D_bk),mu_f,sigma_f,FALSE)*(1+(LN((Tabella34[[#This Row],[Day]]-D_bk))-mu_f)/sigma_f^2)/(Tabella34[[#This Row],[Day]]-D_bk),0)</f>
        <v>1.1541289457756296E-2</v>
      </c>
      <c r="AA50" s="91">
        <f>Tabella34[[#This Row],[Italy acc. fit]]/Itali_acc_at_lockdown</f>
        <v>4.750148802221104E-5</v>
      </c>
      <c r="AB50" s="163">
        <f>Tabella34[[#This Row],[Italy acc. fit]]/y_f_peak</f>
        <v>2.2801611686280927E-6</v>
      </c>
      <c r="AC50" s="163">
        <f>Tabella34[[#This Row],[Italy (fitted Lombardy + fitted sum of the other regions)]]*NOT(ISBLANK(Tabella34[[#This Row],[Italy data]]))</f>
        <v>7.4895977165212471E-2</v>
      </c>
      <c r="AD50" s="163">
        <f>Tabella34[[#This Row],[Italy acc. fit]]*NOT(ISBLANK(Tabella34[[#This Row],[Italy data]]))</f>
        <v>1.1541289457756296E-2</v>
      </c>
      <c r="AE50" s="96">
        <f>Tabella34[[#This Row],[Italy acc. fit]]+CIf</f>
        <v>1013.7745433097755</v>
      </c>
      <c r="AF50" s="96">
        <f>MAX(Tabella34[[#This Row],[Italy acc. fit]]-CIf,0)</f>
        <v>0</v>
      </c>
      <c r="AG50" s="161"/>
      <c r="AH50" s="34"/>
      <c r="AI50" s="34"/>
      <c r="AJ50" s="162">
        <f>Tabella34[[#This Row],[Lombardy data]]*NOT(ISBLANK(Tabella34[[#This Row],[Lombardy data]]))</f>
        <v>0</v>
      </c>
      <c r="AK50" s="167">
        <f>Tabella8[[#This Row],[Lombardy fit]]</f>
        <v>5.289229195701816E-2</v>
      </c>
      <c r="AL50" s="163">
        <f>_xlfn.LOGNORM.INV(alpha*Tabella34[[#This Row],[Lombardy cumul. Fit]]/Kr,mu_r,sigma_r)-(Tabella34[[#This Row],[Day]]-pr)</f>
        <v>0.57181960974528323</v>
      </c>
      <c r="AM50" s="162">
        <f>Tabella34[[#This Row],[Lombardy cumul. Fit]]/Kl</f>
        <v>6.079573788163007E-7</v>
      </c>
      <c r="AN50" s="163">
        <f>IFERROR(Kr*_xlfn.LOGNORM.DIST((Tabella34[[#This Row],[Day]]-pr),mu_r,sigma_r,FALSE),0)</f>
        <v>6.654550358259502E-2</v>
      </c>
      <c r="AO50" s="206">
        <f>Tabella34[[#This Row],[Lombardy velocity]]/Tabella34[[#This Row],[Lombardy cumul. Fit]]</f>
        <v>1.258132350110142</v>
      </c>
      <c r="AP50" s="261">
        <f>(LN(Tabella34[[#This Row],[Day]]-pr)-mu_r)/sigma_r</f>
        <v>-4.8530264346344794</v>
      </c>
      <c r="AQ50" s="269">
        <f>EXP(mu_r+sigma_r*Tabella34[[#This Row],[x_r_alpha©+plus]])-(Tabella34[[#This Row],[Day]]-pr)</f>
        <v>255.97619813604965</v>
      </c>
      <c r="AR50" s="269">
        <f>EXP(mu_r+sigma_r*Tabella34[[#This Row],[x_r_alpha©-minus]])-(Tabella34[[#This Row],[Day]]-pr)</f>
        <v>-0.59041475722646553</v>
      </c>
      <c r="AS50" s="269">
        <f>-sigma_r+SQRT(sigma_r^2-2*Tabella34[[#This Row],[c_r]])</f>
        <v>4.3232456448766925</v>
      </c>
      <c r="AT50" s="269">
        <f>-sigma_r-SQRT(sigma_r^2-2*Tabella34[[#This Row],[c_r]])</f>
        <v>-5.0041002420704217</v>
      </c>
      <c r="AU50" s="269">
        <f>mu_r-LN(alpha*Kr/(Tabella34[[#This Row],[Lombardy velocity]]*sigma_r*SQRTPI(2)))</f>
        <v>-10.816977289028678</v>
      </c>
      <c r="AV50" s="269">
        <f>Tabella34[[#This Row],[t_alpha_r+plus]]</f>
        <v>255.97619813604965</v>
      </c>
      <c r="AW50" s="91">
        <f>IFERROR(-Kl*_xlfn.LOGNORM.DIST((Tabella34[[#This Row],[Day]]-pl),mu_l,sigma_l,FALSE)*(1+(LN((Tabella34[[#This Row],[Day]]-pl))-mu_l)/sigma_l^2)/(Tabella34[[#This Row],[Day]]-pl),0)</f>
        <v>7.4895805899814663E-2</v>
      </c>
      <c r="AX50" s="163">
        <f>Tabella34[[#This Row],[Lombardy acc. fit]]/y_l_peak</f>
        <v>4.2603950834938222E-5</v>
      </c>
      <c r="AY50" s="163">
        <f>Tabella34[[#This Row],[Lombardy acc. fit]]*NOT(ISBLANK(Tabella34[[#This Row],[Lombardy data]]))</f>
        <v>0</v>
      </c>
      <c r="AZ50" s="96">
        <f>Tabella34[[#This Row],[Lombardy acc. fit]]+CIl</f>
        <v>749.03026760952343</v>
      </c>
      <c r="BA50" s="96">
        <f>MAX(Tabella34[[#This Row],[Lombardy acc. fit]]-CIl,0)</f>
        <v>0</v>
      </c>
      <c r="BB50" s="161"/>
      <c r="BC50" s="34"/>
      <c r="BD50" s="34"/>
      <c r="BE50" s="162">
        <f>Tabella34[[#This Row],[rest of Italy data]]*NOT(ISBLANK(Tabella34[[#This Row],[rest of Italy data]]))</f>
        <v>0</v>
      </c>
      <c r="BF50" s="211">
        <f>Tabella8[[#This Row],[rest of Italy fit]]</f>
        <v>9.2374410644758984E-9</v>
      </c>
      <c r="BG50" s="163">
        <f>_xlfn.LOGNORM.INV(alpha*Tabella34[[#This Row],[rest of Italy cumul. Fit]]/Ko,mu_o,sigma_o)-(Tabella34[[#This Row],[Day]]-po)</f>
        <v>0.15938455739625468</v>
      </c>
      <c r="BH50" s="163">
        <f>Tabella34[[#This Row],[rest of Italy cumul. Fit]]/Ka</f>
        <v>6.2415149593381372E-14</v>
      </c>
      <c r="BI50" s="163">
        <f>IFERROR(Ko*_xlfn.LOGNORM.DIST((Tabella34[[#This Row],[Day]]-po),mu_o,sigma_o,FALSE),0)</f>
        <v>4.1023020044640386E-8</v>
      </c>
      <c r="BJ50" s="206">
        <f>Tabella34[[#This Row],[rest of Italy velocity]]/Tabella34[[#This Row],[rest of Italy cumul. Fit]]</f>
        <v>4.440950665699094</v>
      </c>
      <c r="BK50" s="261">
        <f>(LN(Tabella34[[#This Row],[Day]]-po)-mu_o)/sigma_o</f>
        <v>-7.4115515049621266</v>
      </c>
      <c r="BL50" s="269">
        <f>EXP(mu_o+sigma_o*Tabella34[[#This Row],[x_o_alpha©+plus]])-(Tabella34[[#This Row],[Day]]-po)</f>
        <v>514.98758766762194</v>
      </c>
      <c r="BM50" s="269">
        <f>EXP(mu_o+sigma_o*Tabella34[[#This Row],[x_o_alpha©-minus]])-(Tabella34[[#This Row],[Day]]-po)</f>
        <v>-0.16235250145924063</v>
      </c>
      <c r="BN50" s="269">
        <f>-sigma_o+SQRT(sigma_o^2-2*Tabella34[[#This Row],[c_o]])</f>
        <v>6.8656770097068156</v>
      </c>
      <c r="BO50" s="269">
        <f>-sigma_o-SQRT(sigma_o^2-2*Tabella34[[#This Row],[c_o]])</f>
        <v>-7.5086497870058411</v>
      </c>
      <c r="BP50" s="269">
        <f>mu_o-LN(alpha*Ko/(Tabella34[[#This Row],[rest of Italy velocity]]*sigma_o*SQRTPI(2)))</f>
        <v>-25.775982108292993</v>
      </c>
      <c r="BQ50" s="269">
        <f>Tabella34[[#This Row],[t_alpha_o+plus]]</f>
        <v>514.98758766762194</v>
      </c>
      <c r="BR50" s="91">
        <f>IFERROR(-Ka*_xlfn.LOGNORM.DIST((Tabella34[[#This Row],[Day]]-pa),mu_a,sigma_a,FALSE)*(1+(LN((Tabella34[[#This Row],[Day]]-pa))-mu_a)/sigma_a^2)/(Tabella34[[#This Row],[Day]]-pa),0)</f>
        <v>1.7126539780957474E-7</v>
      </c>
      <c r="BS50" s="163">
        <f>Tabella34[[#This Row],[rest of Italy acc. fit]]/y_a_peak</f>
        <v>5.0682995143232776E-11</v>
      </c>
      <c r="BT50" s="162">
        <f>Tabella34[[#This Row],[rest of Italy acc. fit]]*NOT(ISBLANK(Tabella34[[#This Row],[rest of Italy data]]))</f>
        <v>0</v>
      </c>
      <c r="BU50" s="96">
        <f>Tabella34[[#This Row],[rest of Italy acc. fit]]+CIa</f>
        <v>694.6520360348627</v>
      </c>
      <c r="BV50" s="96">
        <f>MAX(Tabella34[[#This Row],[rest of Italy acc. fit]]-CIa,0)</f>
        <v>0</v>
      </c>
      <c r="BX50" s="238" t="s">
        <v>2</v>
      </c>
      <c r="BY50" s="240">
        <f>COUNT(Tabella34[Italy data])-COUNT(BY46:BY48)</f>
        <v>94</v>
      </c>
      <c r="BZ50" s="6"/>
      <c r="CA50" s="6"/>
    </row>
    <row r="51" spans="2:79" x14ac:dyDescent="0.3">
      <c r="B51" s="288">
        <v>43874</v>
      </c>
      <c r="C51" s="4">
        <v>44</v>
      </c>
      <c r="D51" s="10" t="str">
        <f>Tabella8[[#This Row],[Italy cumulative]]</f>
        <v>3</v>
      </c>
      <c r="E51" s="91">
        <f>(Tabella34[[#This Row],[Italy cumul. Data]]-D50)</f>
        <v>0</v>
      </c>
      <c r="F51" s="91">
        <f>Tabella34[[#This Row],[Italy data]]-E50</f>
        <v>0</v>
      </c>
      <c r="G51" s="162">
        <f>Tabella34[[#This Row],[Italy data]]*NOT(ISBLANK(Tabella34[[#This Row],[Italy data]]))</f>
        <v>0</v>
      </c>
      <c r="H51" s="163">
        <f>Tabella8[[#This Row],[Italy fit]]</f>
        <v>2.2154310095265854E-2</v>
      </c>
      <c r="I51" s="163">
        <f>_xlfn.LOGNORM.INV(alpha*Tabella34[[#This Row],[Italy cumul. Fit]]/Kt,mu_t,sigma_t)-(Tabella34[[#This Row],[Day]]-pt)</f>
        <v>0.51405885872672386</v>
      </c>
      <c r="J51" s="163">
        <f>Tabella34[[#This Row],[Italy d.t.]]/Italy_dt_at_lockdown</f>
        <v>0.10096550953128153</v>
      </c>
      <c r="K51" s="163">
        <f>Tabella34[[#This Row],[Italy cumul. Fit]]/Kf</f>
        <v>9.4273685702808644E-8</v>
      </c>
      <c r="L51" s="166">
        <f>Tabella34[[#This Row],[Lombardy acc. fit]]+Tabella34[[#This Row],[rest of Italy acc. fit]]</f>
        <v>0.18711429314676623</v>
      </c>
      <c r="M51" s="163">
        <f>Tabella34[[#This Row],[Italy (fitted Lombardy + fitted sum of the other regions)]]/(y_l_peak+y_a_peak)</f>
        <v>3.6424084163931408E-5</v>
      </c>
      <c r="N51" s="163">
        <f>IFERROR(Kt*_xlfn.LOGNORM.DIST((Tabella34[[#This Row],[Day]]-pt),mu_t,sigma_t,FALSE),0)</f>
        <v>3.0843090355676554E-2</v>
      </c>
      <c r="O51" s="163">
        <f>Kt*EXP(-0.5*Tabella34[[#This Row],[x_t]]^2)/(sigma_t*SQRTPI(2)*(Tabella34[[#This Row],[Day]]-D_bk))</f>
        <v>3.0843090355676551E-2</v>
      </c>
      <c r="P51" s="206">
        <f>Tabella34[[#This Row],[Italy velocity]]/Tabella34[[#This Row],[Italy cumul. Fit]]</f>
        <v>1.3921936735131013</v>
      </c>
      <c r="Q51" s="269">
        <f>(LN(Tabella34[[#This Row],[Day]]-D_bk)-mu_t)/sigma_t</f>
        <v>-5.2102883403566036</v>
      </c>
      <c r="R51" s="269">
        <f>EXP(mu_t+sigma_t*Tabella34[[#This Row],[x_t_alpha©+plus]])-(Tabella34[[#This Row],[Day]]-D_bk)</f>
        <v>258.99476856232423</v>
      </c>
      <c r="S51" s="269">
        <f>EXP(mu_t+sigma_t*Tabella34[[#This Row],[x_t_alpha©-minus]])-(Tabella34[[#This Row],[Day]]-D_bk)</f>
        <v>-0.52843696319445677</v>
      </c>
      <c r="T51" s="269">
        <f>-sigma_t+SQRT(sigma_t^2-2*Tabella34[[#This Row],[c_t]])</f>
        <v>4.7305065163866651</v>
      </c>
      <c r="U51" s="269">
        <f>-sigma_t-SQRT(sigma_t^2-2*Tabella34[[#This Row],[c_t]])</f>
        <v>-5.3497434222789018</v>
      </c>
      <c r="V51" s="269">
        <f>mu_t-LN(alpha*Kt/(Tabella34[[#This Row],[Italy velocity]]*sigma_t*SQRTPI(2)))</f>
        <v>-12.653498060043521</v>
      </c>
      <c r="W51" s="269">
        <f>Tabella34[[#This Row],[Italy g.r.]]/Italy_gr_at_lockdown</f>
        <v>8.8027500968532895</v>
      </c>
      <c r="X51" s="269">
        <f>Tabella34[[#This Row],[t_alpha_t+plus]]</f>
        <v>258.99476856232423</v>
      </c>
      <c r="Y51" s="269">
        <f>Tabella34[[#This Row],[Italy h.t.]]/Italy_ht_at_lockdown</f>
        <v>4.612535543320166</v>
      </c>
      <c r="Z51" s="91">
        <f>IFERROR(-Kf*_xlfn.LOGNORM.DIST((Tabella34[[#This Row],[Day]]-D_bk),mu_f,sigma_f,FALSE)*(1+(LN((Tabella34[[#This Row],[Day]]-D_bk))-mu_f)/sigma_f^2)/(Tabella34[[#This Row],[Day]]-D_bk),0)</f>
        <v>3.9040221523069393E-2</v>
      </c>
      <c r="AA51" s="91">
        <f>Tabella34[[#This Row],[Italy acc. fit]]/Itali_acc_at_lockdown</f>
        <v>1.6068123253041325E-4</v>
      </c>
      <c r="AB51" s="163">
        <f>Tabella34[[#This Row],[Italy acc. fit]]/y_f_peak</f>
        <v>7.7130027331319721E-6</v>
      </c>
      <c r="AC51" s="163">
        <f>Tabella34[[#This Row],[Italy (fitted Lombardy + fitted sum of the other regions)]]*NOT(ISBLANK(Tabella34[[#This Row],[Italy data]]))</f>
        <v>0.18711429314676623</v>
      </c>
      <c r="AD51" s="163">
        <f>Tabella34[[#This Row],[Italy acc. fit]]*NOT(ISBLANK(Tabella34[[#This Row],[Italy data]]))</f>
        <v>3.9040221523069393E-2</v>
      </c>
      <c r="AE51" s="96">
        <f>Tabella34[[#This Row],[Italy acc. fit]]+CIf</f>
        <v>1013.8020422418408</v>
      </c>
      <c r="AF51" s="96">
        <f>MAX(Tabella34[[#This Row],[Italy acc. fit]]-CIf,0)</f>
        <v>0</v>
      </c>
      <c r="AG51" s="161"/>
      <c r="AH51" s="34"/>
      <c r="AI51" s="34"/>
      <c r="AJ51" s="162">
        <f>Tabella34[[#This Row],[Lombardy data]]*NOT(ISBLANK(Tabella34[[#This Row],[Lombardy data]]))</f>
        <v>0</v>
      </c>
      <c r="AK51" s="167">
        <f>Tabella8[[#This Row],[Lombardy fit]]</f>
        <v>0.17211805434560609</v>
      </c>
      <c r="AL51" s="163">
        <f>_xlfn.LOGNORM.INV(alpha*Tabella34[[#This Row],[Lombardy cumul. Fit]]/Kr,mu_r,sigma_r)-(Tabella34[[#This Row],[Day]]-pr)</f>
        <v>0.6517301900560355</v>
      </c>
      <c r="AM51" s="162">
        <f>Tabella34[[#This Row],[Lombardy cumul. Fit]]/Kl</f>
        <v>1.978368440754093E-6</v>
      </c>
      <c r="AN51" s="163">
        <f>IFERROR(Kr*_xlfn.LOGNORM.DIST((Tabella34[[#This Row],[Day]]-pr),mu_r,sigma_r,FALSE),0)</f>
        <v>0.19046709521624131</v>
      </c>
      <c r="AO51" s="206">
        <f>Tabella34[[#This Row],[Lombardy velocity]]/Tabella34[[#This Row],[Lombardy cumul. Fit]]</f>
        <v>1.1066072989286242</v>
      </c>
      <c r="AP51" s="261">
        <f>(LN(Tabella34[[#This Row],[Day]]-pr)-mu_r)/sigma_r</f>
        <v>-4.6136420154627276</v>
      </c>
      <c r="AQ51" s="269">
        <f>EXP(mu_r+sigma_r*Tabella34[[#This Row],[x_r_alpha©+plus]])-(Tabella34[[#This Row],[Day]]-pr)</f>
        <v>234.70863856603356</v>
      </c>
      <c r="AR51" s="269">
        <f>EXP(mu_r+sigma_r*Tabella34[[#This Row],[x_r_alpha©-minus]])-(Tabella34[[#This Row],[Day]]-pr)</f>
        <v>-0.67424054719382909</v>
      </c>
      <c r="AS51" s="269">
        <f>-sigma_r+SQRT(sigma_r^2-2*Tabella34[[#This Row],[c_r]])</f>
        <v>4.0920278199078783</v>
      </c>
      <c r="AT51" s="269">
        <f>-sigma_r-SQRT(sigma_r^2-2*Tabella34[[#This Row],[c_r]])</f>
        <v>-4.7728824171016075</v>
      </c>
      <c r="AU51" s="269">
        <f>mu_r-LN(alpha*Kr/(Tabella34[[#This Row],[Lombardy velocity]]*sigma_r*SQRTPI(2)))</f>
        <v>-9.7653838159644692</v>
      </c>
      <c r="AV51" s="269">
        <f>Tabella34[[#This Row],[t_alpha_r+plus]]</f>
        <v>234.70863856603356</v>
      </c>
      <c r="AW51" s="91">
        <f>IFERROR(-Kl*_xlfn.LOGNORM.DIST((Tabella34[[#This Row],[Day]]-pl),mu_l,sigma_l,FALSE)*(1+(LN((Tabella34[[#This Row],[Day]]-pl))-mu_l)/sigma_l^2)/(Tabella34[[#This Row],[Day]]-pl),0)</f>
        <v>0.1871090285506507</v>
      </c>
      <c r="AX51" s="163">
        <f>Tabella34[[#This Row],[Lombardy acc. fit]]/y_l_peak</f>
        <v>1.0643565093362193E-4</v>
      </c>
      <c r="AY51" s="163">
        <f>Tabella34[[#This Row],[Lombardy acc. fit]]*NOT(ISBLANK(Tabella34[[#This Row],[Lombardy data]]))</f>
        <v>0</v>
      </c>
      <c r="AZ51" s="96">
        <f>Tabella34[[#This Row],[Lombardy acc. fit]]+CIl</f>
        <v>749.14248083217421</v>
      </c>
      <c r="BA51" s="96">
        <f>MAX(Tabella34[[#This Row],[Lombardy acc. fit]]-CIl,0)</f>
        <v>0</v>
      </c>
      <c r="BB51" s="161"/>
      <c r="BC51" s="34"/>
      <c r="BD51" s="34"/>
      <c r="BE51" s="162">
        <f>Tabella34[[#This Row],[rest of Italy data]]*NOT(ISBLANK(Tabella34[[#This Row],[rest of Italy data]]))</f>
        <v>0</v>
      </c>
      <c r="BF51" s="211">
        <f>Tabella8[[#This Row],[rest of Italy fit]]</f>
        <v>4.6753772985919447E-7</v>
      </c>
      <c r="BG51" s="163">
        <f>_xlfn.LOGNORM.INV(alpha*Tabella34[[#This Row],[rest of Italy cumul. Fit]]/Ko,mu_o,sigma_o)-(Tabella34[[#This Row],[Day]]-po)</f>
        <v>0.20430223599705588</v>
      </c>
      <c r="BH51" s="163">
        <f>Tabella34[[#This Row],[rest of Italy cumul. Fit]]/Ka</f>
        <v>3.1590390830133224E-12</v>
      </c>
      <c r="BI51" s="163">
        <f>IFERROR(Ko*_xlfn.LOGNORM.DIST((Tabella34[[#This Row],[Day]]-po),mu_o,sigma_o,FALSE),0)</f>
        <v>1.6231958919947614E-6</v>
      </c>
      <c r="BJ51" s="206">
        <f>Tabella34[[#This Row],[rest of Italy velocity]]/Tabella34[[#This Row],[rest of Italy cumul. Fit]]</f>
        <v>3.4717965809595936</v>
      </c>
      <c r="BK51" s="261">
        <f>(LN(Tabella34[[#This Row],[Day]]-po)-mu_o)/sigma_o</f>
        <v>-6.8722867661179325</v>
      </c>
      <c r="BL51" s="269">
        <f>EXP(mu_o+sigma_o*Tabella34[[#This Row],[x_o_alpha©+plus]])-(Tabella34[[#This Row],[Day]]-po)</f>
        <v>432.28443316007321</v>
      </c>
      <c r="BM51" s="269">
        <f>EXP(mu_o+sigma_o*Tabella34[[#This Row],[x_o_alpha©-minus]])-(Tabella34[[#This Row],[Day]]-po)</f>
        <v>-0.20847707005788951</v>
      </c>
      <c r="BN51" s="269">
        <f>-sigma_o+SQRT(sigma_o^2-2*Tabella34[[#This Row],[c_o]])</f>
        <v>6.3342840360691968</v>
      </c>
      <c r="BO51" s="269">
        <f>-sigma_o-SQRT(sigma_o^2-2*Tabella34[[#This Row],[c_o]])</f>
        <v>-6.9772568133682222</v>
      </c>
      <c r="BP51" s="269">
        <f>mu_o-LN(alpha*Ko/(Tabella34[[#This Row],[rest of Italy velocity]]*sigma_o*SQRTPI(2)))</f>
        <v>-22.097963224236683</v>
      </c>
      <c r="BQ51" s="269">
        <f>Tabella34[[#This Row],[t_alpha_o+plus]]</f>
        <v>432.28443316007321</v>
      </c>
      <c r="BR51" s="91">
        <f>IFERROR(-Ka*_xlfn.LOGNORM.DIST((Tabella34[[#This Row],[Day]]-pa),mu_a,sigma_a,FALSE)*(1+(LN((Tabella34[[#This Row],[Day]]-pa))-mu_a)/sigma_a^2)/(Tabella34[[#This Row],[Day]]-pa),0)</f>
        <v>5.2645961155145335E-6</v>
      </c>
      <c r="BS51" s="163">
        <f>Tabella34[[#This Row],[rest of Italy acc. fit]]/y_a_peak</f>
        <v>1.5579650225107416E-9</v>
      </c>
      <c r="BT51" s="162">
        <f>Tabella34[[#This Row],[rest of Italy acc. fit]]*NOT(ISBLANK(Tabella34[[#This Row],[rest of Italy data]]))</f>
        <v>0</v>
      </c>
      <c r="BU51" s="96">
        <f>Tabella34[[#This Row],[rest of Italy acc. fit]]+CIa</f>
        <v>694.65204112819345</v>
      </c>
      <c r="BV51" s="96">
        <f>MAX(Tabella34[[#This Row],[rest of Italy acc. fit]]-CIa,0)</f>
        <v>0</v>
      </c>
      <c r="BX51" s="238" t="s">
        <v>3</v>
      </c>
      <c r="BY51" s="239" cm="1">
        <f t="array" ref="BY51">SQRT(SUM((Tabella34[Colonna1]-Tabella34[Colonna22])^2)/dff)</f>
        <v>2963.8442128966758</v>
      </c>
    </row>
    <row r="52" spans="2:79" ht="16.2" x14ac:dyDescent="0.3">
      <c r="B52" s="288">
        <v>43875</v>
      </c>
      <c r="C52" s="4">
        <v>45</v>
      </c>
      <c r="D52" s="10" t="str">
        <f>Tabella8[[#This Row],[Italy cumulative]]</f>
        <v>3</v>
      </c>
      <c r="E52" s="91">
        <f>(Tabella34[[#This Row],[Italy cumul. Data]]-D51)</f>
        <v>0</v>
      </c>
      <c r="F52" s="91">
        <f>Tabella34[[#This Row],[Italy data]]-E51</f>
        <v>0</v>
      </c>
      <c r="G52" s="162">
        <f>Tabella34[[#This Row],[Italy data]]*NOT(ISBLANK(Tabella34[[#This Row],[Italy data]]))</f>
        <v>0</v>
      </c>
      <c r="H52" s="163">
        <f>Tabella8[[#This Row],[Italy fit]]</f>
        <v>8.2060546897765735E-2</v>
      </c>
      <c r="I52" s="163">
        <f>_xlfn.LOGNORM.INV(alpha*Tabella34[[#This Row],[Italy cumul. Fit]]/Kt,mu_t,sigma_t)-(Tabella34[[#This Row],[Day]]-pt)</f>
        <v>0.58231538765162938</v>
      </c>
      <c r="J52" s="163">
        <f>Tabella34[[#This Row],[Italy d.t.]]/Italy_dt_at_lockdown</f>
        <v>0.11437166936054599</v>
      </c>
      <c r="K52" s="163">
        <f>Tabella34[[#This Row],[Italy cumul. Fit]]/Kf</f>
        <v>3.4919391186519907E-7</v>
      </c>
      <c r="L52" s="166">
        <f>Tabella34[[#This Row],[Lombardy acc. fit]]+Tabella34[[#This Row],[rest of Italy acc. fit]]</f>
        <v>0.41350545616788048</v>
      </c>
      <c r="M52" s="163">
        <f>Tabella34[[#This Row],[Italy (fitted Lombardy + fitted sum of the other regions)]]/(y_l_peak+y_a_peak)</f>
        <v>8.0493891110124563E-5</v>
      </c>
      <c r="N52" s="163">
        <f>IFERROR(Kt*_xlfn.LOGNORM.DIST((Tabella34[[#This Row],[Day]]-pt),mu_t,sigma_t,FALSE),0)</f>
        <v>0.10106316225383834</v>
      </c>
      <c r="O52" s="163">
        <f>Kt*EXP(-0.5*Tabella34[[#This Row],[x_t]]^2)/(sigma_t*SQRTPI(2)*(Tabella34[[#This Row],[Day]]-D_bk))</f>
        <v>0.10106316225383816</v>
      </c>
      <c r="P52" s="206">
        <f>Tabella34[[#This Row],[Italy velocity]]/Tabella34[[#This Row],[Italy cumul. Fit]]</f>
        <v>1.2315682270524813</v>
      </c>
      <c r="Q52" s="269">
        <f>(LN(Tabella34[[#This Row],[Day]]-D_bk)-mu_t)/sigma_t</f>
        <v>-4.961811426634279</v>
      </c>
      <c r="R52" s="269">
        <f>EXP(mu_t+sigma_t*Tabella34[[#This Row],[x_t_alpha©+plus]])-(Tabella34[[#This Row],[Day]]-D_bk)</f>
        <v>238.45382531055074</v>
      </c>
      <c r="S52" s="269">
        <f>EXP(mu_t+sigma_t*Tabella34[[#This Row],[x_t_alpha©-minus]])-(Tabella34[[#This Row],[Day]]-D_bk)</f>
        <v>-0.5996016143594165</v>
      </c>
      <c r="T52" s="269">
        <f>-sigma_t+SQRT(sigma_t^2-2*Tabella34[[#This Row],[c_t]])</f>
        <v>4.4892557718646726</v>
      </c>
      <c r="U52" s="269">
        <f>-sigma_t-SQRT(sigma_t^2-2*Tabella34[[#This Row],[c_t]])</f>
        <v>-5.1084926777569093</v>
      </c>
      <c r="V52" s="269">
        <f>mu_t-LN(alpha*Kt/(Tabella34[[#This Row],[Italy velocity]]*sigma_t*SQRTPI(2)))</f>
        <v>-11.466665119574312</v>
      </c>
      <c r="W52" s="269">
        <f>Tabella34[[#This Row],[Italy g.r.]]/Italy_gr_at_lockdown</f>
        <v>7.78712584048073</v>
      </c>
      <c r="X52" s="269">
        <f>Tabella34[[#This Row],[t_alpha_t+plus]]</f>
        <v>238.45382531055074</v>
      </c>
      <c r="Y52" s="269">
        <f>Tabella34[[#This Row],[Italy h.t.]]/Italy_ht_at_lockdown</f>
        <v>4.2467141355440159</v>
      </c>
      <c r="Z52" s="91">
        <f>IFERROR(-Kf*_xlfn.LOGNORM.DIST((Tabella34[[#This Row],[Day]]-D_bk),mu_f,sigma_f,FALSE)*(1+(LN((Tabella34[[#This Row],[Day]]-D_bk))-mu_f)/sigma_f^2)/(Tabella34[[#This Row],[Day]]-D_bk),0)</f>
        <v>0.11244443031126916</v>
      </c>
      <c r="AA52" s="91">
        <f>Tabella34[[#This Row],[Italy acc. fit]]/Itali_acc_at_lockdown</f>
        <v>4.6279731386560997E-4</v>
      </c>
      <c r="AB52" s="163">
        <f>Tabella34[[#This Row],[Italy acc. fit]]/y_f_peak</f>
        <v>2.2215145418777826E-5</v>
      </c>
      <c r="AC52" s="163">
        <f>Tabella34[[#This Row],[Italy (fitted Lombardy + fitted sum of the other regions)]]*NOT(ISBLANK(Tabella34[[#This Row],[Italy data]]))</f>
        <v>0.41350545616788048</v>
      </c>
      <c r="AD52" s="163">
        <f>Tabella34[[#This Row],[Italy acc. fit]]*NOT(ISBLANK(Tabella34[[#This Row],[Italy data]]))</f>
        <v>0.11244443031126916</v>
      </c>
      <c r="AE52" s="96">
        <f>Tabella34[[#This Row],[Italy acc. fit]]+CIf</f>
        <v>1013.8754464506289</v>
      </c>
      <c r="AF52" s="96">
        <f>MAX(Tabella34[[#This Row],[Italy acc. fit]]-CIf,0)</f>
        <v>0</v>
      </c>
      <c r="AG52" s="161"/>
      <c r="AH52" s="34"/>
      <c r="AI52" s="34"/>
      <c r="AJ52" s="162">
        <f>Tabella34[[#This Row],[Lombardy data]]*NOT(ISBLANK(Tabella34[[#This Row],[Lombardy data]]))</f>
        <v>0</v>
      </c>
      <c r="AK52" s="167">
        <f>Tabella8[[#This Row],[Lombardy fit]]</f>
        <v>0.48787673256248693</v>
      </c>
      <c r="AL52" s="163">
        <f>_xlfn.LOGNORM.INV(alpha*Tabella34[[#This Row],[Lombardy cumul. Fit]]/Kr,mu_r,sigma_r)-(Tabella34[[#This Row],[Day]]-pr)</f>
        <v>0.73712131308413475</v>
      </c>
      <c r="AM52" s="162">
        <f>Tabella34[[#This Row],[Lombardy cumul. Fit]]/Kl</f>
        <v>5.6077785352009989E-6</v>
      </c>
      <c r="AN52" s="163">
        <f>IFERROR(Kr*_xlfn.LOGNORM.DIST((Tabella34[[#This Row],[Day]]-pr),mu_r,sigma_r,FALSE),0)</f>
        <v>0.47857256012040816</v>
      </c>
      <c r="AO52" s="206">
        <f>Tabella34[[#This Row],[Lombardy velocity]]/Tabella34[[#This Row],[Lombardy cumul. Fit]]</f>
        <v>0.98092925564781452</v>
      </c>
      <c r="AP52" s="261">
        <f>(LN(Tabella34[[#This Row],[Day]]-pr)-mu_r)/sigma_r</f>
        <v>-4.3923043004693545</v>
      </c>
      <c r="AQ52" s="269">
        <f>EXP(mu_r+sigma_r*Tabella34[[#This Row],[x_r_alpha©+plus]])-(Tabella34[[#This Row],[Day]]-pr)</f>
        <v>216.40018308413929</v>
      </c>
      <c r="AR52" s="269">
        <f>EXP(mu_r+sigma_r*Tabella34[[#This Row],[x_r_alpha©-minus]])-(Tabella34[[#This Row],[Day]]-pr)</f>
        <v>-0.7641028392896736</v>
      </c>
      <c r="AS52" s="269">
        <f>-sigma_r+SQRT(sigma_r^2-2*Tabella34[[#This Row],[c_r]])</f>
        <v>3.8790515317118119</v>
      </c>
      <c r="AT52" s="269">
        <f>-sigma_r-SQRT(sigma_r^2-2*Tabella34[[#This Row],[c_r]])</f>
        <v>-4.5599061289055411</v>
      </c>
      <c r="AU52" s="269">
        <f>mu_r-LN(alpha*Kr/(Tabella34[[#This Row],[Lombardy velocity]]*sigma_r*SQRTPI(2)))</f>
        <v>-8.8440554268965599</v>
      </c>
      <c r="AV52" s="269">
        <f>Tabella34[[#This Row],[t_alpha_r+plus]]</f>
        <v>216.40018308413929</v>
      </c>
      <c r="AW52" s="91">
        <f>IFERROR(-Kl*_xlfn.LOGNORM.DIST((Tabella34[[#This Row],[Day]]-pl),mu_l,sigma_l,FALSE)*(1+(LN((Tabella34[[#This Row],[Day]]-pl))-mu_l)/sigma_l^2)/(Tabella34[[#This Row],[Day]]-pl),0)</f>
        <v>0.413428382823192</v>
      </c>
      <c r="AX52" s="163">
        <f>Tabella34[[#This Row],[Lombardy acc. fit]]/y_l_peak</f>
        <v>2.3517581904557456E-4</v>
      </c>
      <c r="AY52" s="163">
        <f>Tabella34[[#This Row],[Lombardy acc. fit]]*NOT(ISBLANK(Tabella34[[#This Row],[Lombardy data]]))</f>
        <v>0</v>
      </c>
      <c r="AZ52" s="96">
        <f>Tabella34[[#This Row],[Lombardy acc. fit]]+CIl</f>
        <v>749.36880018644683</v>
      </c>
      <c r="BA52" s="96">
        <f>MAX(Tabella34[[#This Row],[Lombardy acc. fit]]-CIl,0)</f>
        <v>0</v>
      </c>
      <c r="BB52" s="161"/>
      <c r="BC52" s="34"/>
      <c r="BD52" s="34"/>
      <c r="BE52" s="162">
        <f>Tabella34[[#This Row],[rest of Italy data]]*NOT(ISBLANK(Tabella34[[#This Row],[rest of Italy data]]))</f>
        <v>0</v>
      </c>
      <c r="BF52" s="211">
        <f>Tabella8[[#This Row],[rest of Italy fit]]</f>
        <v>1.0569392149442228E-5</v>
      </c>
      <c r="BG52" s="163">
        <f>_xlfn.LOGNORM.INV(alpha*Tabella34[[#This Row],[rest of Italy cumul. Fit]]/Ko,mu_o,sigma_o)-(Tabella34[[#This Row],[Day]]-po)</f>
        <v>0.25360241307231313</v>
      </c>
      <c r="BH52" s="163">
        <f>Tabella34[[#This Row],[rest of Italy cumul. Fit]]/Ka</f>
        <v>7.1414820134062305E-11</v>
      </c>
      <c r="BI52" s="163">
        <f>IFERROR(Ko*_xlfn.LOGNORM.DIST((Tabella34[[#This Row],[Day]]-po),mu_o,sigma_o,FALSE),0)</f>
        <v>2.9623586544402733E-5</v>
      </c>
      <c r="BJ52" s="206">
        <f>Tabella34[[#This Row],[rest of Italy velocity]]/Tabella34[[#This Row],[rest of Italy cumul. Fit]]</f>
        <v>2.8027710700436108</v>
      </c>
      <c r="BK52" s="261">
        <f>(LN(Tabella34[[#This Row],[Day]]-po)-mu_o)/sigma_o</f>
        <v>-6.4128440180625423</v>
      </c>
      <c r="BL52" s="269">
        <f>EXP(mu_o+sigma_o*Tabella34[[#This Row],[x_o_alpha©+plus]])-(Tabella34[[#This Row],[Day]]-po)</f>
        <v>372.01030242529862</v>
      </c>
      <c r="BM52" s="269">
        <f>EXP(mu_o+sigma_o*Tabella34[[#This Row],[x_o_alpha©-minus]])-(Tabella34[[#This Row],[Day]]-po)</f>
        <v>-0.25924530125179501</v>
      </c>
      <c r="BN52" s="269">
        <f>-sigma_o+SQRT(sigma_o^2-2*Tabella34[[#This Row],[c_o]])</f>
        <v>5.8826196815694836</v>
      </c>
      <c r="BO52" s="269">
        <f>-sigma_o-SQRT(sigma_o^2-2*Tabella34[[#This Row],[c_o]])</f>
        <v>-6.525592458868509</v>
      </c>
      <c r="BP52" s="269">
        <f>mu_o-LN(alpha*Ko/(Tabella34[[#This Row],[rest of Italy velocity]]*sigma_o*SQRTPI(2)))</f>
        <v>-19.193789316220649</v>
      </c>
      <c r="BQ52" s="269">
        <f>Tabella34[[#This Row],[t_alpha_o+plus]]</f>
        <v>372.01030242529862</v>
      </c>
      <c r="BR52" s="91">
        <f>IFERROR(-Ka*_xlfn.LOGNORM.DIST((Tabella34[[#This Row],[Day]]-pa),mu_a,sigma_a,FALSE)*(1+(LN((Tabella34[[#This Row],[Day]]-pa))-mu_a)/sigma_a^2)/(Tabella34[[#This Row],[Day]]-pa),0)</f>
        <v>7.707334468850613E-5</v>
      </c>
      <c r="BS52" s="163">
        <f>Tabella34[[#This Row],[rest of Italy acc. fit]]/y_a_peak</f>
        <v>2.2808506589659035E-8</v>
      </c>
      <c r="BT52" s="162">
        <f>Tabella34[[#This Row],[rest of Italy acc. fit]]*NOT(ISBLANK(Tabella34[[#This Row],[rest of Italy data]]))</f>
        <v>0</v>
      </c>
      <c r="BU52" s="96">
        <f>Tabella34[[#This Row],[rest of Italy acc. fit]]+CIa</f>
        <v>694.65211293694199</v>
      </c>
      <c r="BV52" s="96">
        <f>MAX(Tabella34[[#This Row],[rest of Italy acc. fit]]-CIa,0)</f>
        <v>0</v>
      </c>
      <c r="BX52" s="238" t="s">
        <v>4380</v>
      </c>
      <c r="BY52" s="241" cm="1">
        <f t="array" ref="BY52">1-SUM((Tabella34[Colonna1]-Tabella34[Colonna22])^2)/SUM((Tabella34[Colonna1]-Mean_of_yf)^2)</f>
        <v>-9.3685724331046494E-2</v>
      </c>
    </row>
    <row r="53" spans="2:79" x14ac:dyDescent="0.3">
      <c r="B53" s="288">
        <v>43876</v>
      </c>
      <c r="C53" s="4">
        <v>46</v>
      </c>
      <c r="D53" s="10" t="str">
        <f>Tabella8[[#This Row],[Italy cumulative]]</f>
        <v>3</v>
      </c>
      <c r="E53" s="91">
        <f>(Tabella34[[#This Row],[Italy cumul. Data]]-D52)</f>
        <v>0</v>
      </c>
      <c r="F53" s="91">
        <f>Tabella34[[#This Row],[Italy data]]-E52</f>
        <v>0</v>
      </c>
      <c r="G53" s="162">
        <f>Tabella34[[#This Row],[Italy data]]*NOT(ISBLANK(Tabella34[[#This Row],[Italy data]]))</f>
        <v>0</v>
      </c>
      <c r="H53" s="163">
        <f>Tabella8[[#This Row],[Italy fit]]</f>
        <v>0.26239467251559667</v>
      </c>
      <c r="I53" s="163">
        <f>_xlfn.LOGNORM.INV(alpha*Tabella34[[#This Row],[Italy cumul. Fit]]/Kt,mu_t,sigma_t)-(Tabella34[[#This Row],[Day]]-pt)</f>
        <v>0.65513019431577213</v>
      </c>
      <c r="J53" s="163">
        <f>Tabella34[[#This Row],[Italy d.t.]]/Italy_dt_at_lockdown</f>
        <v>0.12867311350738284</v>
      </c>
      <c r="K53" s="163">
        <f>Tabella34[[#This Row],[Italy cumul. Fit]]/Kf</f>
        <v>1.1165733791959868E-6</v>
      </c>
      <c r="L53" s="166">
        <f>Tabella34[[#This Row],[Lombardy acc. fit]]+Tabella34[[#This Row],[rest of Italy acc. fit]]</f>
        <v>0.82541035375797234</v>
      </c>
      <c r="M53" s="163">
        <f>Tabella34[[#This Row],[Italy (fitted Lombardy + fitted sum of the other regions)]]/(y_l_peak+y_a_peak)</f>
        <v>1.606762139302685E-4</v>
      </c>
      <c r="N53" s="163">
        <f>IFERROR(Kt*_xlfn.LOGNORM.DIST((Tabella34[[#This Row],[Day]]-pt),mu_t,sigma_t,FALSE),0)</f>
        <v>0.28786132034104733</v>
      </c>
      <c r="O53" s="163">
        <f>Kt*EXP(-0.5*Tabella34[[#This Row],[x_t]]^2)/(sigma_t*SQRTPI(2)*(Tabella34[[#This Row],[Day]]-D_bk))</f>
        <v>0.28786132034104767</v>
      </c>
      <c r="P53" s="206">
        <f>Tabella34[[#This Row],[Italy velocity]]/Tabella34[[#This Row],[Italy cumul. Fit]]</f>
        <v>1.0970547442190806</v>
      </c>
      <c r="Q53" s="269">
        <f>(LN(Tabella34[[#This Row],[Day]]-D_bk)-mu_t)/sigma_t</f>
        <v>-4.7310925476061954</v>
      </c>
      <c r="R53" s="269">
        <f>EXP(mu_t+sigma_t*Tabella34[[#This Row],[x_t_alpha©+plus]])-(Tabella34[[#This Row],[Day]]-D_bk)</f>
        <v>220.62130038392135</v>
      </c>
      <c r="S53" s="269">
        <f>EXP(mu_t+sigma_t*Tabella34[[#This Row],[x_t_alpha©-minus]])-(Tabella34[[#This Row],[Day]]-D_bk)</f>
        <v>-0.67573175548665887</v>
      </c>
      <c r="T53" s="269">
        <f>-sigma_t+SQRT(sigma_t^2-2*Tabella34[[#This Row],[c_t]])</f>
        <v>4.2659391667184003</v>
      </c>
      <c r="U53" s="269">
        <f>-sigma_t-SQRT(sigma_t^2-2*Tabella34[[#This Row],[c_t]])</f>
        <v>-4.885176072610637</v>
      </c>
      <c r="V53" s="269">
        <f>mu_t-LN(alpha*Kt/(Tabella34[[#This Row],[Italy velocity]]*sigma_t*SQRTPI(2)))</f>
        <v>-10.419931972232643</v>
      </c>
      <c r="W53" s="269">
        <f>Tabella34[[#This Row],[Italy g.r.]]/Italy_gr_at_lockdown</f>
        <v>6.9366058326919946</v>
      </c>
      <c r="X53" s="269">
        <f>Tabella34[[#This Row],[t_alpha_t+plus]]</f>
        <v>220.62130038392135</v>
      </c>
      <c r="Y53" s="269">
        <f>Tabella34[[#This Row],[Italy h.t.]]/Italy_ht_at_lockdown</f>
        <v>3.929127971515272</v>
      </c>
      <c r="Z53" s="91">
        <f>IFERROR(-Kf*_xlfn.LOGNORM.DIST((Tabella34[[#This Row],[Day]]-D_bk),mu_f,sigma_f,FALSE)*(1+(LN((Tabella34[[#This Row],[Day]]-D_bk))-mu_f)/sigma_f^2)/(Tabella34[[#This Row],[Day]]-D_bk),0)</f>
        <v>0.28340923188035044</v>
      </c>
      <c r="AA53" s="91">
        <f>Tabella34[[#This Row],[Italy acc. fit]]/Itali_acc_at_lockdown</f>
        <v>1.1664520054560411E-3</v>
      </c>
      <c r="AB53" s="163">
        <f>Tabella34[[#This Row],[Italy acc. fit]]/y_f_peak</f>
        <v>5.5991900015123545E-5</v>
      </c>
      <c r="AC53" s="163">
        <f>Tabella34[[#This Row],[Italy (fitted Lombardy + fitted sum of the other regions)]]*NOT(ISBLANK(Tabella34[[#This Row],[Italy data]]))</f>
        <v>0.82541035375797234</v>
      </c>
      <c r="AD53" s="163">
        <f>Tabella34[[#This Row],[Italy acc. fit]]*NOT(ISBLANK(Tabella34[[#This Row],[Italy data]]))</f>
        <v>0.28340923188035044</v>
      </c>
      <c r="AE53" s="96">
        <f>Tabella34[[#This Row],[Italy acc. fit]]+CIf</f>
        <v>1014.046411252198</v>
      </c>
      <c r="AF53" s="96">
        <f>MAX(Tabella34[[#This Row],[Italy acc. fit]]-CIf,0)</f>
        <v>0</v>
      </c>
      <c r="AG53" s="161"/>
      <c r="AH53" s="34"/>
      <c r="AI53" s="34"/>
      <c r="AJ53" s="162">
        <f>Tabella34[[#This Row],[Lombardy data]]*NOT(ISBLANK(Tabella34[[#This Row],[Lombardy data]]))</f>
        <v>0</v>
      </c>
      <c r="AK53" s="167">
        <f>Tabella8[[#This Row],[Lombardy fit]]</f>
        <v>1.232404561241581</v>
      </c>
      <c r="AL53" s="163">
        <f>_xlfn.LOGNORM.INV(alpha*Tabella34[[#This Row],[Lombardy cumul. Fit]]/Kr,mu_r,sigma_r)-(Tabella34[[#This Row],[Day]]-pr)</f>
        <v>0.82823313203361693</v>
      </c>
      <c r="AM53" s="162">
        <f>Tabella34[[#This Row],[Lombardy cumul. Fit]]/Kl</f>
        <v>1.4165569669443461E-5</v>
      </c>
      <c r="AN53" s="163">
        <f>IFERROR(Kr*_xlfn.LOGNORM.DIST((Tabella34[[#This Row],[Day]]-pr),mu_r,sigma_r,FALSE),0)</f>
        <v>1.0787875900445603</v>
      </c>
      <c r="AO53" s="206">
        <f>Tabella34[[#This Row],[Lombardy velocity]]/Tabella34[[#This Row],[Lombardy cumul. Fit]]</f>
        <v>0.87535183167266117</v>
      </c>
      <c r="AP53" s="261">
        <f>(LN(Tabella34[[#This Row],[Day]]-pr)-mu_r)/sigma_r</f>
        <v>-4.1864819970183573</v>
      </c>
      <c r="AQ53" s="269">
        <f>EXP(mu_r+sigma_r*Tabella34[[#This Row],[x_r_alpha©+plus]])-(Tabella34[[#This Row],[Day]]-pr)</f>
        <v>200.45238200721408</v>
      </c>
      <c r="AR53" s="269">
        <f>EXP(mu_r+sigma_r*Tabella34[[#This Row],[x_r_alpha©-minus]])-(Tabella34[[#This Row],[Day]]-pr)</f>
        <v>-0.86029867187436793</v>
      </c>
      <c r="AS53" s="269">
        <f>-sigma_r+SQRT(sigma_r^2-2*Tabella34[[#This Row],[c_r]])</f>
        <v>3.6818147508539045</v>
      </c>
      <c r="AT53" s="269">
        <f>-sigma_r-SQRT(sigma_r^2-2*Tabella34[[#This Row],[c_r]])</f>
        <v>-4.3626693480476337</v>
      </c>
      <c r="AU53" s="269">
        <f>mu_r-LN(alpha*Kr/(Tabella34[[#This Row],[Lombardy velocity]]*sigma_r*SQRTPI(2)))</f>
        <v>-8.031270179369983</v>
      </c>
      <c r="AV53" s="269">
        <f>Tabella34[[#This Row],[t_alpha_r+plus]]</f>
        <v>200.45238200721408</v>
      </c>
      <c r="AW53" s="91">
        <f>IFERROR(-Kl*_xlfn.LOGNORM.DIST((Tabella34[[#This Row],[Day]]-pl),mu_l,sigma_l,FALSE)*(1+(LN((Tabella34[[#This Row],[Day]]-pl))-mu_l)/sigma_l^2)/(Tabella34[[#This Row],[Day]]-pl),0)</f>
        <v>0.82474121383413956</v>
      </c>
      <c r="AX53" s="163">
        <f>Tabella34[[#This Row],[Lombardy acc. fit]]/y_l_peak</f>
        <v>4.691482213668777E-4</v>
      </c>
      <c r="AY53" s="163">
        <f>Tabella34[[#This Row],[Lombardy acc. fit]]*NOT(ISBLANK(Tabella34[[#This Row],[Lombardy data]]))</f>
        <v>0</v>
      </c>
      <c r="AZ53" s="96">
        <f>Tabella34[[#This Row],[Lombardy acc. fit]]+CIl</f>
        <v>749.78011301745778</v>
      </c>
      <c r="BA53" s="96">
        <f>MAX(Tabella34[[#This Row],[Lombardy acc. fit]]-CIl,0)</f>
        <v>0</v>
      </c>
      <c r="BB53" s="161"/>
      <c r="BC53" s="34"/>
      <c r="BD53" s="34"/>
      <c r="BE53" s="162">
        <f>Tabella34[[#This Row],[rest of Italy data]]*NOT(ISBLANK(Tabella34[[#This Row],[rest of Italy data]]))</f>
        <v>0</v>
      </c>
      <c r="BF53" s="211">
        <f>Tabella8[[#This Row],[rest of Italy fit]]</f>
        <v>1.3509330492944511E-4</v>
      </c>
      <c r="BG53" s="163">
        <f>_xlfn.LOGNORM.INV(alpha*Tabella34[[#This Row],[rest of Italy cumul. Fit]]/Ko,mu_o,sigma_o)-(Tabella34[[#This Row],[Day]]-po)</f>
        <v>0.30736798859685699</v>
      </c>
      <c r="BH53" s="163">
        <f>Tabella34[[#This Row],[rest of Italy cumul. Fit]]/Ka</f>
        <v>9.1279270713420225E-10</v>
      </c>
      <c r="BI53" s="163">
        <f>IFERROR(Ko*_xlfn.LOGNORM.DIST((Tabella34[[#This Row],[Day]]-po),mu_o,sigma_o,FALSE),0)</f>
        <v>3.1307383839666164E-4</v>
      </c>
      <c r="BJ53" s="206">
        <f>Tabella34[[#This Row],[rest of Italy velocity]]/Tabella34[[#This Row],[rest of Italy cumul. Fit]]</f>
        <v>2.3174637600299293</v>
      </c>
      <c r="BK53" s="261">
        <f>(LN(Tabella34[[#This Row],[Day]]-po)-mu_o)/sigma_o</f>
        <v>-6.0126111813948606</v>
      </c>
      <c r="BL53" s="269">
        <f>EXP(mu_o+sigma_o*Tabella34[[#This Row],[x_o_alpha©+plus]])-(Tabella34[[#This Row],[Day]]-po)</f>
        <v>326.05031534228596</v>
      </c>
      <c r="BM53" s="269">
        <f>EXP(mu_o+sigma_o*Tabella34[[#This Row],[x_o_alpha©-minus]])-(Tabella34[[#This Row],[Day]]-po)</f>
        <v>-0.31477108964877853</v>
      </c>
      <c r="BN53" s="269">
        <f>-sigma_o+SQRT(sigma_o^2-2*Tabella34[[#This Row],[c_o]])</f>
        <v>5.4901567325099982</v>
      </c>
      <c r="BO53" s="269">
        <f>-sigma_o-SQRT(sigma_o^2-2*Tabella34[[#This Row],[c_o]])</f>
        <v>-6.1331295098090237</v>
      </c>
      <c r="BP53" s="269">
        <f>mu_o-LN(alpha*Ko/(Tabella34[[#This Row],[rest of Italy velocity]]*sigma_o*SQRTPI(2)))</f>
        <v>-16.835921134816878</v>
      </c>
      <c r="BQ53" s="269">
        <f>Tabella34[[#This Row],[t_alpha_o+plus]]</f>
        <v>326.05031534228596</v>
      </c>
      <c r="BR53" s="91">
        <f>IFERROR(-Ka*_xlfn.LOGNORM.DIST((Tabella34[[#This Row],[Day]]-pa),mu_a,sigma_a,FALSE)*(1+(LN((Tabella34[[#This Row],[Day]]-pa))-mu_a)/sigma_a^2)/(Tabella34[[#This Row],[Day]]-pa),0)</f>
        <v>6.6913992383279923E-4</v>
      </c>
      <c r="BS53" s="163">
        <f>Tabella34[[#This Row],[rest of Italy acc. fit]]/y_a_peak</f>
        <v>1.9802024193742258E-7</v>
      </c>
      <c r="BT53" s="162">
        <f>Tabella34[[#This Row],[rest of Italy acc. fit]]*NOT(ISBLANK(Tabella34[[#This Row],[rest of Italy data]]))</f>
        <v>0</v>
      </c>
      <c r="BU53" s="96">
        <f>Tabella34[[#This Row],[rest of Italy acc. fit]]+CIa</f>
        <v>694.65270500352119</v>
      </c>
      <c r="BV53" s="96">
        <f>MAX(Tabella34[[#This Row],[rest of Italy acc. fit]]-CIa,0)</f>
        <v>0</v>
      </c>
      <c r="BX53" s="238" t="s">
        <v>5</v>
      </c>
      <c r="BY53" s="241">
        <f>TINV(0.05,dff)</f>
        <v>1.9855234418666059</v>
      </c>
    </row>
    <row r="54" spans="2:79" x14ac:dyDescent="0.3">
      <c r="B54" s="288">
        <v>43877</v>
      </c>
      <c r="C54" s="4">
        <v>47</v>
      </c>
      <c r="D54" s="10" t="str">
        <f>Tabella8[[#This Row],[Italy cumulative]]</f>
        <v>3</v>
      </c>
      <c r="E54" s="91">
        <f>(Tabella34[[#This Row],[Italy cumul. Data]]-D53)</f>
        <v>0</v>
      </c>
      <c r="F54" s="91">
        <f>Tabella34[[#This Row],[Italy data]]-E53</f>
        <v>0</v>
      </c>
      <c r="G54" s="162">
        <f>Tabella34[[#This Row],[Italy data]]*NOT(ISBLANK(Tabella34[[#This Row],[Italy data]]))</f>
        <v>0</v>
      </c>
      <c r="H54" s="163">
        <f>Tabella8[[#This Row],[Italy fit]]</f>
        <v>0.74130172007041095</v>
      </c>
      <c r="I54" s="163">
        <f>_xlfn.LOGNORM.INV(alpha*Tabella34[[#This Row],[Italy cumul. Fit]]/Kt,mu_t,sigma_t)-(Tabella34[[#This Row],[Day]]-pt)</f>
        <v>0.73270808283215061</v>
      </c>
      <c r="J54" s="163">
        <f>Tabella34[[#This Row],[Italy d.t.]]/Italy_dt_at_lockdown</f>
        <v>0.14391006723252231</v>
      </c>
      <c r="K54" s="163">
        <f>Tabella34[[#This Row],[Italy cumul. Fit]]/Kf</f>
        <v>3.1544762652664641E-6</v>
      </c>
      <c r="L54" s="166">
        <f>Tabella34[[#This Row],[Lombardy acc. fit]]+Tabella34[[#This Row],[rest of Italy acc. fit]]</f>
        <v>1.513467468142605</v>
      </c>
      <c r="M54" s="163">
        <f>Tabella34[[#This Row],[Italy (fitted Lombardy + fitted sum of the other regions)]]/(y_l_peak+y_a_peak)</f>
        <v>2.9461494101767471E-4</v>
      </c>
      <c r="N54" s="163">
        <f>IFERROR(Kt*_xlfn.LOGNORM.DIST((Tabella34[[#This Row],[Day]]-pt),mu_t,sigma_t,FALSE),0)</f>
        <v>0.72878163630395276</v>
      </c>
      <c r="O54" s="163">
        <f>Kt*EXP(-0.5*Tabella34[[#This Row],[x_t]]^2)/(sigma_t*SQRTPI(2)*(Tabella34[[#This Row],[Day]]-D_bk))</f>
        <v>0.72878163630395154</v>
      </c>
      <c r="P54" s="206">
        <f>Tabella34[[#This Row],[Italy velocity]]/Tabella34[[#This Row],[Italy cumul. Fit]]</f>
        <v>0.9831106775723264</v>
      </c>
      <c r="Q54" s="269">
        <f>(LN(Tabella34[[#This Row],[Day]]-D_bk)-mu_t)/sigma_t</f>
        <v>-4.5157618822613843</v>
      </c>
      <c r="R54" s="269">
        <f>EXP(mu_t+sigma_t*Tabella34[[#This Row],[x_t_alpha©+plus]])-(Tabella34[[#This Row],[Day]]-D_bk)</f>
        <v>204.97489688476287</v>
      </c>
      <c r="S54" s="269">
        <f>EXP(mu_t+sigma_t*Tabella34[[#This Row],[x_t_alpha©-minus]])-(Tabella34[[#This Row],[Day]]-D_bk)</f>
        <v>-0.75707521441449721</v>
      </c>
      <c r="T54" s="269">
        <f>-sigma_t+SQRT(sigma_t^2-2*Tabella34[[#This Row],[c_t]])</f>
        <v>4.0582113181292003</v>
      </c>
      <c r="U54" s="269">
        <f>-sigma_t-SQRT(sigma_t^2-2*Tabella34[[#This Row],[c_t]])</f>
        <v>-4.677448224021437</v>
      </c>
      <c r="V54" s="269">
        <f>mu_t-LN(alpha*Kt/(Tabella34[[#This Row],[Italy velocity]]*sigma_t*SQRTPI(2)))</f>
        <v>-9.4910366613435606</v>
      </c>
      <c r="W54" s="269">
        <f>Tabella34[[#This Row],[Italy g.r.]]/Italy_gr_at_lockdown</f>
        <v>6.2161449063184957</v>
      </c>
      <c r="X54" s="269">
        <f>Tabella34[[#This Row],[t_alpha_t+plus]]</f>
        <v>204.97489688476287</v>
      </c>
      <c r="Y54" s="269">
        <f>Tabella34[[#This Row],[Italy h.t.]]/Italy_ht_at_lockdown</f>
        <v>3.6504752687382629</v>
      </c>
      <c r="Z54" s="91">
        <f>IFERROR(-Kf*_xlfn.LOGNORM.DIST((Tabella34[[#This Row],[Day]]-D_bk),mu_f,sigma_f,FALSE)*(1+(LN((Tabella34[[#This Row],[Day]]-D_bk))-mu_f)/sigma_f^2)/(Tabella34[[#This Row],[Day]]-D_bk),0)</f>
        <v>0.63854356114405575</v>
      </c>
      <c r="AA54" s="91">
        <f>Tabella34[[#This Row],[Italy acc. fit]]/Itali_acc_at_lockdown</f>
        <v>2.6281092275144309E-3</v>
      </c>
      <c r="AB54" s="163">
        <f>Tabella34[[#This Row],[Italy acc. fit]]/y_f_peak</f>
        <v>1.261542081521649E-4</v>
      </c>
      <c r="AC54" s="163">
        <f>Tabella34[[#This Row],[Italy (fitted Lombardy + fitted sum of the other regions)]]*NOT(ISBLANK(Tabella34[[#This Row],[Italy data]]))</f>
        <v>1.513467468142605</v>
      </c>
      <c r="AD54" s="163">
        <f>Tabella34[[#This Row],[Italy acc. fit]]*NOT(ISBLANK(Tabella34[[#This Row],[Italy data]]))</f>
        <v>0.63854356114405575</v>
      </c>
      <c r="AE54" s="96">
        <f>Tabella34[[#This Row],[Italy acc. fit]]+CIf</f>
        <v>1014.4015455814617</v>
      </c>
      <c r="AF54" s="96">
        <f>MAX(Tabella34[[#This Row],[Italy acc. fit]]-CIf,0)</f>
        <v>0</v>
      </c>
      <c r="AG54" s="161"/>
      <c r="AH54" s="34"/>
      <c r="AI54" s="34"/>
      <c r="AJ54" s="162">
        <f>Tabella34[[#This Row],[Lombardy data]]*NOT(ISBLANK(Tabella34[[#This Row],[Lombardy data]]))</f>
        <v>0</v>
      </c>
      <c r="AK54" s="167">
        <f>Tabella8[[#This Row],[Lombardy fit]]</f>
        <v>2.8244131218996005</v>
      </c>
      <c r="AL54" s="163">
        <f>_xlfn.LOGNORM.INV(alpha*Tabella34[[#This Row],[Lombardy cumul. Fit]]/Kr,mu_r,sigma_r)-(Tabella34[[#This Row],[Day]]-pr)</f>
        <v>0.92533031113461206</v>
      </c>
      <c r="AM54" s="162">
        <f>Tabella34[[#This Row],[Lombardy cumul. Fit]]/Kl</f>
        <v>3.2464518642524143E-5</v>
      </c>
      <c r="AN54" s="163">
        <f>IFERROR(Kr*_xlfn.LOGNORM.DIST((Tabella34[[#This Row],[Day]]-pr),mu_r,sigma_r,FALSE),0)</f>
        <v>2.2190781575440344</v>
      </c>
      <c r="AO54" s="206">
        <f>Tabella34[[#This Row],[Lombardy velocity]]/Tabella34[[#This Row],[Lombardy cumul. Fit]]</f>
        <v>0.78567761222252108</v>
      </c>
      <c r="AP54" s="261">
        <f>(LN(Tabella34[[#This Row],[Day]]-pr)-mu_r)/sigma_r</f>
        <v>-3.9941416593712029</v>
      </c>
      <c r="AQ54" s="269">
        <f>EXP(mu_r+sigma_r*Tabella34[[#This Row],[x_r_alpha©+plus]])-(Tabella34[[#This Row],[Day]]-pr)</f>
        <v>186.41847569409305</v>
      </c>
      <c r="AR54" s="269">
        <f>EXP(mu_r+sigma_r*Tabella34[[#This Row],[x_r_alpha©-minus]])-(Tabella34[[#This Row],[Day]]-pr)</f>
        <v>-0.9631544646966983</v>
      </c>
      <c r="AS54" s="269">
        <f>-sigma_r+SQRT(sigma_r^2-2*Tabella34[[#This Row],[c_r]])</f>
        <v>3.4983124674264232</v>
      </c>
      <c r="AT54" s="269">
        <f>-sigma_r-SQRT(sigma_r^2-2*Tabella34[[#This Row],[c_r]])</f>
        <v>-4.1791670646201524</v>
      </c>
      <c r="AU54" s="269">
        <f>mu_r-LN(alpha*Kr/(Tabella34[[#This Row],[Lombardy velocity]]*sigma_r*SQRTPI(2)))</f>
        <v>-7.3100161228092846</v>
      </c>
      <c r="AV54" s="269">
        <f>Tabella34[[#This Row],[t_alpha_r+plus]]</f>
        <v>186.41847569409305</v>
      </c>
      <c r="AW54" s="91">
        <f>IFERROR(-Kl*_xlfn.LOGNORM.DIST((Tabella34[[#This Row],[Day]]-pl),mu_l,sigma_l,FALSE)*(1+(LN((Tabella34[[#This Row],[Day]]-pl))-mu_l)/sigma_l^2)/(Tabella34[[#This Row],[Day]]-pl),0)</f>
        <v>1.5095127957912009</v>
      </c>
      <c r="AX54" s="163">
        <f>Tabella34[[#This Row],[Lombardy acc. fit]]/y_l_peak</f>
        <v>8.5867570505383415E-4</v>
      </c>
      <c r="AY54" s="163">
        <f>Tabella34[[#This Row],[Lombardy acc. fit]]*NOT(ISBLANK(Tabella34[[#This Row],[Lombardy data]]))</f>
        <v>0</v>
      </c>
      <c r="AZ54" s="96">
        <f>Tabella34[[#This Row],[Lombardy acc. fit]]+CIl</f>
        <v>750.46488459941486</v>
      </c>
      <c r="BA54" s="96">
        <f>MAX(Tabella34[[#This Row],[Lombardy acc. fit]]-CIl,0)</f>
        <v>0</v>
      </c>
      <c r="BB54" s="161"/>
      <c r="BC54" s="34"/>
      <c r="BD54" s="34"/>
      <c r="BE54" s="162">
        <f>Tabella34[[#This Row],[rest of Italy data]]*NOT(ISBLANK(Tabella34[[#This Row],[rest of Italy data]]))</f>
        <v>0</v>
      </c>
      <c r="BF54" s="211">
        <f>Tabella8[[#This Row],[rest of Italy fit]]</f>
        <v>1.1329276107491756E-3</v>
      </c>
      <c r="BG54" s="163">
        <f>_xlfn.LOGNORM.INV(alpha*Tabella34[[#This Row],[rest of Italy cumul. Fit]]/Ko,mu_o,sigma_o)-(Tabella34[[#This Row],[Day]]-po)</f>
        <v>0.36571986249290056</v>
      </c>
      <c r="BH54" s="163">
        <f>Tabella34[[#This Row],[rest of Italy cumul. Fit]]/Ka</f>
        <v>7.6549171799662131E-9</v>
      </c>
      <c r="BI54" s="163">
        <f>IFERROR(Ko*_xlfn.LOGNORM.DIST((Tabella34[[#This Row],[Day]]-po),mu_o,sigma_o,FALSE),0)</f>
        <v>2.2114619462692015E-3</v>
      </c>
      <c r="BJ54" s="206">
        <f>Tabella34[[#This Row],[rest of Italy velocity]]/Tabella34[[#This Row],[rest of Italy cumul. Fit]]</f>
        <v>1.9519887460477896</v>
      </c>
      <c r="BK54" s="261">
        <f>(LN(Tabella34[[#This Row],[Day]]-po)-mu_o)/sigma_o</f>
        <v>-5.6580547019915546</v>
      </c>
      <c r="BL54" s="269">
        <f>EXP(mu_o+sigma_o*Tabella34[[#This Row],[x_o_alpha©+plus]])-(Tabella34[[#This Row],[Day]]-po)</f>
        <v>289.784422301159</v>
      </c>
      <c r="BM54" s="269">
        <f>EXP(mu_o+sigma_o*Tabella34[[#This Row],[x_o_alpha©-minus]])-(Tabella34[[#This Row],[Day]]-po)</f>
        <v>-0.37521002878094833</v>
      </c>
      <c r="BN54" s="269">
        <f>-sigma_o+SQRT(sigma_o^2-2*Tabella34[[#This Row],[c_o]])</f>
        <v>5.1434249303094886</v>
      </c>
      <c r="BO54" s="269">
        <f>-sigma_o-SQRT(sigma_o^2-2*Tabella34[[#This Row],[c_o]])</f>
        <v>-5.786397707608514</v>
      </c>
      <c r="BP54" s="269">
        <f>mu_o-LN(alpha*Ko/(Tabella34[[#This Row],[rest of Italy velocity]]*sigma_o*SQRTPI(2)))</f>
        <v>-14.88095111299965</v>
      </c>
      <c r="BQ54" s="269">
        <f>Tabella34[[#This Row],[t_alpha_o+plus]]</f>
        <v>289.784422301159</v>
      </c>
      <c r="BR54" s="91">
        <f>IFERROR(-Ka*_xlfn.LOGNORM.DIST((Tabella34[[#This Row],[Day]]-pa),mu_a,sigma_a,FALSE)*(1+(LN((Tabella34[[#This Row],[Day]]-pa))-mu_a)/sigma_a^2)/(Tabella34[[#This Row],[Day]]-pa),0)</f>
        <v>3.9546723514040458E-3</v>
      </c>
      <c r="BS54" s="163">
        <f>Tabella34[[#This Row],[rest of Italy acc. fit]]/y_a_peak</f>
        <v>1.1703160249693048E-6</v>
      </c>
      <c r="BT54" s="162">
        <f>Tabella34[[#This Row],[rest of Italy acc. fit]]*NOT(ISBLANK(Tabella34[[#This Row],[rest of Italy data]]))</f>
        <v>0</v>
      </c>
      <c r="BU54" s="96">
        <f>Tabella34[[#This Row],[rest of Italy acc. fit]]+CIa</f>
        <v>694.65599053594872</v>
      </c>
      <c r="BV54" s="96">
        <f>MAX(Tabella34[[#This Row],[rest of Italy acc. fit]]-CIa,0)</f>
        <v>0</v>
      </c>
      <c r="BX54" s="238" t="s">
        <v>6</v>
      </c>
      <c r="BY54" s="239">
        <f>Critical_tf*SE_of_yf</f>
        <v>1013.7630020203177</v>
      </c>
    </row>
    <row r="55" spans="2:79" x14ac:dyDescent="0.3">
      <c r="B55" s="288">
        <v>43878</v>
      </c>
      <c r="C55" s="4">
        <v>48</v>
      </c>
      <c r="D55" s="10" t="str">
        <f>Tabella8[[#This Row],[Italy cumulative]]</f>
        <v>3</v>
      </c>
      <c r="E55" s="91">
        <f>(Tabella34[[#This Row],[Italy cumul. Data]]-D54)</f>
        <v>0</v>
      </c>
      <c r="F55" s="91">
        <f>Tabella34[[#This Row],[Italy data]]-E54</f>
        <v>0</v>
      </c>
      <c r="G55" s="162">
        <f>Tabella34[[#This Row],[Italy data]]*NOT(ISBLANK(Tabella34[[#This Row],[Italy data]]))</f>
        <v>0</v>
      </c>
      <c r="H55" s="163">
        <f>Tabella8[[#This Row],[Italy fit]]</f>
        <v>1.8847411036195787</v>
      </c>
      <c r="I55" s="163">
        <f>_xlfn.LOGNORM.INV(alpha*Tabella34[[#This Row],[Italy cumul. Fit]]/Kt,mu_t,sigma_t)-(Tabella34[[#This Row],[Day]]-pt)</f>
        <v>0.8152739113060008</v>
      </c>
      <c r="J55" s="163">
        <f>Tabella34[[#This Row],[Italy d.t.]]/Italy_dt_at_lockdown</f>
        <v>0.16012669457045578</v>
      </c>
      <c r="K55" s="163">
        <f>Tabella34[[#This Row],[Italy cumul. Fit]]/Kf</f>
        <v>8.0201770973570304E-6</v>
      </c>
      <c r="L55" s="166">
        <f>Tabella34[[#This Row],[Lombardy acc. fit]]+Tabella34[[#This Row],[rest of Italy acc. fit]]</f>
        <v>2.5849295686724281</v>
      </c>
      <c r="M55" s="163">
        <f>Tabella34[[#This Row],[Italy (fitted Lombardy + fitted sum of the other regions)]]/(y_l_peak+y_a_peak)</f>
        <v>5.0318813482254083E-4</v>
      </c>
      <c r="N55" s="163">
        <f>IFERROR(Kt*_xlfn.LOGNORM.DIST((Tabella34[[#This Row],[Day]]-pt),mu_t,sigma_t,FALSE),0)</f>
        <v>1.6691707807359872</v>
      </c>
      <c r="O55" s="163">
        <f>Kt*EXP(-0.5*Tabella34[[#This Row],[x_t]]^2)/(sigma_t*SQRTPI(2)*(Tabella34[[#This Row],[Day]]-D_bk))</f>
        <v>1.6691707807359912</v>
      </c>
      <c r="P55" s="206">
        <f>Tabella34[[#This Row],[Italy velocity]]/Tabella34[[#This Row],[Italy cumul. Fit]]</f>
        <v>0.88562337688205761</v>
      </c>
      <c r="Q55" s="269">
        <f>(LN(Tabella34[[#This Row],[Day]]-D_bk)-mu_t)/sigma_t</f>
        <v>-4.3138944621225512</v>
      </c>
      <c r="R55" s="269">
        <f>EXP(mu_t+sigma_t*Tabella34[[#This Row],[x_t_alpha©+plus]])-(Tabella34[[#This Row],[Day]]-D_bk)</f>
        <v>191.11888957815003</v>
      </c>
      <c r="S55" s="269">
        <f>EXP(mu_t+sigma_t*Tabella34[[#This Row],[x_t_alpha©-minus]])-(Tabella34[[#This Row],[Day]]-D_bk)</f>
        <v>-0.84390393847663425</v>
      </c>
      <c r="T55" s="269">
        <f>-sigma_t+SQRT(sigma_t^2-2*Tabella34[[#This Row],[c_t]])</f>
        <v>3.8641712780760167</v>
      </c>
      <c r="U55" s="269">
        <f>-sigma_t-SQRT(sigma_t^2-2*Tabella34[[#This Row],[c_t]])</f>
        <v>-4.4834081839682538</v>
      </c>
      <c r="V55" s="269">
        <f>mu_t-LN(alpha*Kt/(Tabella34[[#This Row],[Italy velocity]]*sigma_t*SQRTPI(2)))</f>
        <v>-8.662328566190542</v>
      </c>
      <c r="W55" s="269">
        <f>Tabella34[[#This Row],[Italy g.r.]]/Italy_gr_at_lockdown</f>
        <v>5.5997390413013584</v>
      </c>
      <c r="X55" s="269">
        <f>Tabella34[[#This Row],[t_alpha_t+plus]]</f>
        <v>191.11888957815003</v>
      </c>
      <c r="Y55" s="269">
        <f>Tabella34[[#This Row],[Italy h.t.]]/Italy_ht_at_lockdown</f>
        <v>3.4037084072104169</v>
      </c>
      <c r="Z55" s="91">
        <f>IFERROR(-Kf*_xlfn.LOGNORM.DIST((Tabella34[[#This Row],[Day]]-D_bk),mu_f,sigma_f,FALSE)*(1+(LN((Tabella34[[#This Row],[Day]]-D_bk))-mu_f)/sigma_f^2)/(Tabella34[[#This Row],[Day]]-D_bk),0)</f>
        <v>1.307945322509503</v>
      </c>
      <c r="AA55" s="91">
        <f>Tabella34[[#This Row],[Italy acc. fit]]/Itali_acc_at_lockdown</f>
        <v>5.3832242314257378E-3</v>
      </c>
      <c r="AB55" s="163">
        <f>Tabella34[[#This Row],[Italy acc. fit]]/y_f_peak</f>
        <v>2.5840493352072118E-4</v>
      </c>
      <c r="AC55" s="163">
        <f>Tabella34[[#This Row],[Italy (fitted Lombardy + fitted sum of the other regions)]]*NOT(ISBLANK(Tabella34[[#This Row],[Italy data]]))</f>
        <v>2.5849295686724281</v>
      </c>
      <c r="AD55" s="163">
        <f>Tabella34[[#This Row],[Italy acc. fit]]*NOT(ISBLANK(Tabella34[[#This Row],[Italy data]]))</f>
        <v>1.307945322509503</v>
      </c>
      <c r="AE55" s="96">
        <f>Tabella34[[#This Row],[Italy acc. fit]]+CIf</f>
        <v>1015.0709473428271</v>
      </c>
      <c r="AF55" s="96">
        <f>MAX(Tabella34[[#This Row],[Italy acc. fit]]-CIf,0)</f>
        <v>0</v>
      </c>
      <c r="AG55" s="161"/>
      <c r="AH55" s="34"/>
      <c r="AI55" s="34"/>
      <c r="AJ55" s="162">
        <f>Tabella34[[#This Row],[Lombardy data]]*NOT(ISBLANK(Tabella34[[#This Row],[Lombardy data]]))</f>
        <v>0</v>
      </c>
      <c r="AK55" s="167">
        <f>Tabella8[[#This Row],[Lombardy fit]]</f>
        <v>5.9570265831536959</v>
      </c>
      <c r="AL55" s="163">
        <f>_xlfn.LOGNORM.INV(alpha*Tabella34[[#This Row],[Lombardy cumul. Fit]]/Kr,mu_r,sigma_r)-(Tabella34[[#This Row],[Day]]-pr)</f>
        <v>1.0287030392691037</v>
      </c>
      <c r="AM55" s="162">
        <f>Tabella34[[#This Row],[Lombardy cumul. Fit]]/Kl</f>
        <v>6.8471569921306846E-5</v>
      </c>
      <c r="AN55" s="163">
        <f>IFERROR(Kr*_xlfn.LOGNORM.DIST((Tabella34[[#This Row],[Day]]-pr),mu_r,sigma_r,FALSE),0)</f>
        <v>4.2221927199926466</v>
      </c>
      <c r="AO55" s="206">
        <f>Tabella34[[#This Row],[Lombardy velocity]]/Tabella34[[#This Row],[Lombardy cumul. Fit]]</f>
        <v>0.70877520203332467</v>
      </c>
      <c r="AP55" s="261">
        <f>(LN(Tabella34[[#This Row],[Day]]-pr)-mu_r)/sigma_r</f>
        <v>-3.8136251292323644</v>
      </c>
      <c r="AQ55" s="269">
        <f>EXP(mu_r+sigma_r*Tabella34[[#This Row],[x_r_alpha©+plus]])-(Tabella34[[#This Row],[Day]]-pr)</f>
        <v>173.95822849532843</v>
      </c>
      <c r="AR55" s="269">
        <f>EXP(mu_r+sigma_r*Tabella34[[#This Row],[x_r_alpha©-minus]])-(Tabella34[[#This Row],[Day]]-pr)</f>
        <v>-1.0730272296095293</v>
      </c>
      <c r="AS55" s="269">
        <f>-sigma_r+SQRT(sigma_r^2-2*Tabella34[[#This Row],[c_r]])</f>
        <v>3.3269147268830377</v>
      </c>
      <c r="AT55" s="269">
        <f>-sigma_r-SQRT(sigma_r^2-2*Tabella34[[#This Row],[c_r]])</f>
        <v>-4.0077693240767669</v>
      </c>
      <c r="AU55" s="269">
        <f>mu_r-LN(alpha*Kr/(Tabella34[[#This Row],[Lombardy velocity]]*sigma_r*SQRTPI(2)))</f>
        <v>-6.6667533931105369</v>
      </c>
      <c r="AV55" s="269">
        <f>Tabella34[[#This Row],[t_alpha_r+plus]]</f>
        <v>173.95822849532843</v>
      </c>
      <c r="AW55" s="91">
        <f>IFERROR(-Kl*_xlfn.LOGNORM.DIST((Tabella34[[#This Row],[Day]]-pl),mu_l,sigma_l,FALSE)*(1+(LN((Tabella34[[#This Row],[Day]]-pl))-mu_l)/sigma_l^2)/(Tabella34[[#This Row],[Day]]-pl),0)</f>
        <v>2.5674889867270139</v>
      </c>
      <c r="AX55" s="163">
        <f>Tabella34[[#This Row],[Lombardy acc. fit]]/y_l_peak</f>
        <v>1.4604979977928742E-3</v>
      </c>
      <c r="AY55" s="163">
        <f>Tabella34[[#This Row],[Lombardy acc. fit]]*NOT(ISBLANK(Tabella34[[#This Row],[Lombardy data]]))</f>
        <v>0</v>
      </c>
      <c r="AZ55" s="96">
        <f>Tabella34[[#This Row],[Lombardy acc. fit]]+CIl</f>
        <v>751.52286079035059</v>
      </c>
      <c r="BA55" s="96">
        <f>MAX(Tabella34[[#This Row],[Lombardy acc. fit]]-CIl,0)</f>
        <v>0</v>
      </c>
      <c r="BB55" s="161"/>
      <c r="BC55" s="34"/>
      <c r="BD55" s="34"/>
      <c r="BE55" s="162">
        <f>Tabella34[[#This Row],[rest of Italy data]]*NOT(ISBLANK(Tabella34[[#This Row],[rest of Italy data]]))</f>
        <v>0</v>
      </c>
      <c r="BF55" s="211">
        <f>Tabella8[[#This Row],[rest of Italy fit]]</f>
        <v>6.8853047554286546E-3</v>
      </c>
      <c r="BG55" s="163">
        <f>_xlfn.LOGNORM.INV(alpha*Tabella34[[#This Row],[rest of Italy cumul. Fit]]/Ko,mu_o,sigma_o)-(Tabella34[[#This Row],[Day]]-po)</f>
        <v>0.4288108979041354</v>
      </c>
      <c r="BH55" s="163">
        <f>Tabella34[[#This Row],[rest of Italy cumul. Fit]]/Ka</f>
        <v>4.6522334844307022E-8</v>
      </c>
      <c r="BI55" s="163">
        <f>IFERROR(Ko*_xlfn.LOGNORM.DIST((Tabella34[[#This Row],[Day]]-po),mu_o,sigma_o,FALSE),0)</f>
        <v>1.1488593719390787E-2</v>
      </c>
      <c r="BJ55" s="206">
        <f>Tabella34[[#This Row],[rest of Italy velocity]]/Tabella34[[#This Row],[rest of Italy cumul. Fit]]</f>
        <v>1.6685672061694454</v>
      </c>
      <c r="BK55" s="261">
        <f>(LN(Tabella34[[#This Row],[Day]]-po)-mu_o)/sigma_o</f>
        <v>-5.3398087776128769</v>
      </c>
      <c r="BL55" s="269">
        <f>EXP(mu_o+sigma_o*Tabella34[[#This Row],[x_o_alpha©+plus]])-(Tabella34[[#This Row],[Day]]-po)</f>
        <v>260.38875556986693</v>
      </c>
      <c r="BM55" s="269">
        <f>EXP(mu_o+sigma_o*Tabella34[[#This Row],[x_o_alpha©-minus]])-(Tabella34[[#This Row],[Day]]-po)</f>
        <v>-0.44075363671345613</v>
      </c>
      <c r="BN55" s="269">
        <f>-sigma_o+SQRT(sigma_o^2-2*Tabella34[[#This Row],[c_o]])</f>
        <v>4.833109032980671</v>
      </c>
      <c r="BO55" s="269">
        <f>-sigma_o-SQRT(sigma_o^2-2*Tabella34[[#This Row],[c_o]])</f>
        <v>-5.4760818102796964</v>
      </c>
      <c r="BP55" s="269">
        <f>mu_o-LN(alpha*Ko/(Tabella34[[#This Row],[rest of Italy velocity]]*sigma_o*SQRTPI(2)))</f>
        <v>-13.233250231301973</v>
      </c>
      <c r="BQ55" s="269">
        <f>Tabella34[[#This Row],[t_alpha_o+plus]]</f>
        <v>260.38875556986693</v>
      </c>
      <c r="BR55" s="91">
        <f>IFERROR(-Ka*_xlfn.LOGNORM.DIST((Tabella34[[#This Row],[Day]]-pa),mu_a,sigma_a,FALSE)*(1+(LN((Tabella34[[#This Row],[Day]]-pa))-mu_a)/sigma_a^2)/(Tabella34[[#This Row],[Day]]-pa),0)</f>
        <v>1.7440581945414365E-2</v>
      </c>
      <c r="BS55" s="163">
        <f>Tabella34[[#This Row],[rest of Italy acc. fit]]/y_a_peak</f>
        <v>5.1612347931332808E-6</v>
      </c>
      <c r="BT55" s="162">
        <f>Tabella34[[#This Row],[rest of Italy acc. fit]]*NOT(ISBLANK(Tabella34[[#This Row],[rest of Italy data]]))</f>
        <v>0</v>
      </c>
      <c r="BU55" s="96">
        <f>Tabella34[[#This Row],[rest of Italy acc. fit]]+CIa</f>
        <v>694.66947644554273</v>
      </c>
      <c r="BV55" s="96">
        <f>MAX(Tabella34[[#This Row],[rest of Italy acc. fit]]-CIa,0)</f>
        <v>0</v>
      </c>
      <c r="BX55" s="256" t="s">
        <v>306</v>
      </c>
      <c r="BY55" s="257">
        <f>Kf*_xlfn.LOGNORM.DIST(EXP(mu_f-sigma_f^2),mu_f,sigma_f,FALSE)</f>
        <v>5061.6112652687434</v>
      </c>
    </row>
    <row r="56" spans="2:79" x14ac:dyDescent="0.3">
      <c r="B56" s="288">
        <v>43879</v>
      </c>
      <c r="C56" s="4">
        <v>49</v>
      </c>
      <c r="D56" s="10" t="str">
        <f>Tabella8[[#This Row],[Italy cumulative]]</f>
        <v>3</v>
      </c>
      <c r="E56" s="91">
        <f>(Tabella34[[#This Row],[Italy cumul. Data]]-D55)</f>
        <v>0</v>
      </c>
      <c r="F56" s="91">
        <f>Tabella34[[#This Row],[Italy data]]-E55</f>
        <v>0</v>
      </c>
      <c r="G56" s="162">
        <f>Tabella34[[#This Row],[Italy data]]*NOT(ISBLANK(Tabella34[[#This Row],[Italy data]]))</f>
        <v>0</v>
      </c>
      <c r="H56" s="163">
        <f>Tabella8[[#This Row],[Italy fit]]</f>
        <v>4.3768973631711958</v>
      </c>
      <c r="I56" s="163">
        <f>_xlfn.LOGNORM.INV(alpha*Tabella34[[#This Row],[Italy cumul. Fit]]/Kt,mu_t,sigma_t)-(Tabella34[[#This Row],[Day]]-pt)</f>
        <v>0.90307357243591824</v>
      </c>
      <c r="J56" s="163">
        <f>Tabella34[[#This Row],[Italy d.t.]]/Italy_dt_at_lockdown</f>
        <v>0.17737129092779336</v>
      </c>
      <c r="K56" s="163">
        <f>Tabella34[[#This Row],[Italy cumul. Fit]]/Kf</f>
        <v>1.8625100244364058E-5</v>
      </c>
      <c r="L56" s="166">
        <f>Tabella34[[#This Row],[Lombardy acc. fit]]+Tabella34[[#This Row],[rest of Italy acc. fit]]</f>
        <v>4.1613599193905513</v>
      </c>
      <c r="M56" s="163">
        <f>Tabella34[[#This Row],[Italy (fitted Lombardy + fitted sum of the other regions)]]/(y_l_peak+y_a_peak)</f>
        <v>8.1005957049685605E-4</v>
      </c>
      <c r="N56" s="163">
        <f>IFERROR(Kt*_xlfn.LOGNORM.DIST((Tabella34[[#This Row],[Day]]-pt),mu_t,sigma_t,FALSE),0)</f>
        <v>3.5080062345581662</v>
      </c>
      <c r="O56" s="163">
        <f>Kt*EXP(-0.5*Tabella34[[#This Row],[x_t]]^2)/(sigma_t*SQRTPI(2)*(Tabella34[[#This Row],[Day]]-D_bk))</f>
        <v>3.5080062345581666</v>
      </c>
      <c r="P56" s="206">
        <f>Tabella34[[#This Row],[Italy velocity]]/Tabella34[[#This Row],[Italy cumul. Fit]]</f>
        <v>0.80148240716718766</v>
      </c>
      <c r="Q56" s="269">
        <f>(LN(Tabella34[[#This Row],[Day]]-D_bk)-mu_t)/sigma_t</f>
        <v>-4.1239053566060173</v>
      </c>
      <c r="R56" s="269">
        <f>EXP(mu_t+sigma_t*Tabella34[[#This Row],[x_t_alpha©+plus]])-(Tabella34[[#This Row],[Day]]-D_bk)</f>
        <v>178.74799930276322</v>
      </c>
      <c r="S56" s="269">
        <f>EXP(mu_t+sigma_t*Tabella34[[#This Row],[x_t_alpha©-minus]])-(Tabella34[[#This Row],[Day]]-D_bk)</f>
        <v>-0.93651524992582935</v>
      </c>
      <c r="T56" s="269">
        <f>-sigma_t+SQRT(sigma_t^2-2*Tabella34[[#This Row],[c_t]])</f>
        <v>3.6822581664587579</v>
      </c>
      <c r="U56" s="269">
        <f>-sigma_t-SQRT(sigma_t^2-2*Tabella34[[#This Row],[c_t]])</f>
        <v>-4.3014950723509955</v>
      </c>
      <c r="V56" s="269">
        <f>mu_t-LN(alpha*Kt/(Tabella34[[#This Row],[Italy velocity]]*sigma_t*SQRTPI(2)))</f>
        <v>-7.9196076790732794</v>
      </c>
      <c r="W56" s="269">
        <f>Tabella34[[#This Row],[Italy g.r.]]/Italy_gr_at_lockdown</f>
        <v>5.0677211594517244</v>
      </c>
      <c r="X56" s="269">
        <f>Tabella34[[#This Row],[t_alpha_t+plus]]</f>
        <v>178.74799930276322</v>
      </c>
      <c r="Y56" s="269">
        <f>Tabella34[[#This Row],[Italy h.t.]]/Italy_ht_at_lockdown</f>
        <v>3.1833905551762576</v>
      </c>
      <c r="Z56" s="91">
        <f>IFERROR(-Kf*_xlfn.LOGNORM.DIST((Tabella34[[#This Row],[Day]]-D_bk),mu_f,sigma_f,FALSE)*(1+(LN((Tabella34[[#This Row],[Day]]-D_bk))-mu_f)/sigma_f^2)/(Tabella34[[#This Row],[Day]]-D_bk),0)</f>
        <v>2.468831939309744</v>
      </c>
      <c r="AA56" s="91">
        <f>Tabella34[[#This Row],[Italy acc. fit]]/Itali_acc_at_lockdown</f>
        <v>1.0161186167561259E-2</v>
      </c>
      <c r="AB56" s="163">
        <f>Tabella34[[#This Row],[Italy acc. fit]]/y_f_peak</f>
        <v>4.8775613335819119E-4</v>
      </c>
      <c r="AC56" s="163">
        <f>Tabella34[[#This Row],[Italy (fitted Lombardy + fitted sum of the other regions)]]*NOT(ISBLANK(Tabella34[[#This Row],[Italy data]]))</f>
        <v>4.1613599193905513</v>
      </c>
      <c r="AD56" s="163">
        <f>Tabella34[[#This Row],[Italy acc. fit]]*NOT(ISBLANK(Tabella34[[#This Row],[Italy data]]))</f>
        <v>2.468831939309744</v>
      </c>
      <c r="AE56" s="96">
        <f>Tabella34[[#This Row],[Italy acc. fit]]+CIf</f>
        <v>1016.2318339596275</v>
      </c>
      <c r="AF56" s="96">
        <f>MAX(Tabella34[[#This Row],[Italy acc. fit]]-CIf,0)</f>
        <v>0</v>
      </c>
      <c r="AG56" s="161"/>
      <c r="AH56" s="34"/>
      <c r="AI56" s="34"/>
      <c r="AJ56" s="162">
        <f>Tabella34[[#This Row],[Lombardy data]]*NOT(ISBLANK(Tabella34[[#This Row],[Lombardy data]]))</f>
        <v>0</v>
      </c>
      <c r="AK56" s="167">
        <f>Tabella8[[#This Row],[Lombardy fit]]</f>
        <v>11.696728324452055</v>
      </c>
      <c r="AL56" s="163">
        <f>_xlfn.LOGNORM.INV(alpha*Tabella34[[#This Row],[Lombardy cumul. Fit]]/Kr,mu_r,sigma_r)-(Tabella34[[#This Row],[Day]]-pr)</f>
        <v>1.1386684285148263</v>
      </c>
      <c r="AM56" s="162">
        <f>Tabella34[[#This Row],[Lombardy cumul. Fit]]/Kl</f>
        <v>1.3444515315462133E-4</v>
      </c>
      <c r="AN56" s="163">
        <f>IFERROR(Kr*_xlfn.LOGNORM.DIST((Tabella34[[#This Row],[Day]]-pr),mu_r,sigma_r,FALSE),0)</f>
        <v>7.5124004947819838</v>
      </c>
      <c r="AO56" s="206">
        <f>Tabella34[[#This Row],[Lombardy velocity]]/Tabella34[[#This Row],[Lombardy cumul. Fit]]</f>
        <v>0.64226510921667579</v>
      </c>
      <c r="AP56" s="261">
        <f>(LN(Tabella34[[#This Row],[Day]]-pr)-mu_r)/sigma_r</f>
        <v>-3.6435625140775998</v>
      </c>
      <c r="AQ56" s="269">
        <f>EXP(mu_r+sigma_r*Tabella34[[#This Row],[x_r_alpha©+plus]])-(Tabella34[[#This Row],[Day]]-pr)</f>
        <v>162.80799923145486</v>
      </c>
      <c r="AR56" s="269">
        <f>EXP(mu_r+sigma_r*Tabella34[[#This Row],[x_r_alpha©-minus]])-(Tabella34[[#This Row],[Day]]-pr)</f>
        <v>-1.1903061130495054</v>
      </c>
      <c r="AS56" s="269">
        <f>-sigma_r+SQRT(sigma_r^2-2*Tabella34[[#This Row],[c_r]])</f>
        <v>3.1662800762590488</v>
      </c>
      <c r="AT56" s="269">
        <f>-sigma_r-SQRT(sigma_r^2-2*Tabella34[[#This Row],[c_r]])</f>
        <v>-3.847134673452778</v>
      </c>
      <c r="AU56" s="269">
        <f>mu_r-LN(alpha*Kr/(Tabella34[[#This Row],[Lombardy velocity]]*sigma_r*SQRTPI(2)))</f>
        <v>-6.0905529336194464</v>
      </c>
      <c r="AV56" s="269">
        <f>Tabella34[[#This Row],[t_alpha_r+plus]]</f>
        <v>162.80799923145486</v>
      </c>
      <c r="AW56" s="91">
        <f>IFERROR(-Kl*_xlfn.LOGNORM.DIST((Tabella34[[#This Row],[Day]]-pl),mu_l,sigma_l,FALSE)*(1+(LN((Tabella34[[#This Row],[Day]]-pl))-mu_l)/sigma_l^2)/(Tabella34[[#This Row],[Day]]-pl),0)</f>
        <v>4.1001814313513281</v>
      </c>
      <c r="AX56" s="163">
        <f>Tabella34[[#This Row],[Lombardy acc. fit]]/y_l_peak</f>
        <v>2.3323592825649918E-3</v>
      </c>
      <c r="AY56" s="163">
        <f>Tabella34[[#This Row],[Lombardy acc. fit]]*NOT(ISBLANK(Tabella34[[#This Row],[Lombardy data]]))</f>
        <v>0</v>
      </c>
      <c r="AZ56" s="96">
        <f>Tabella34[[#This Row],[Lombardy acc. fit]]+CIl</f>
        <v>753.05555323497492</v>
      </c>
      <c r="BA56" s="96">
        <f>MAX(Tabella34[[#This Row],[Lombardy acc. fit]]-CIl,0)</f>
        <v>0</v>
      </c>
      <c r="BB56" s="161"/>
      <c r="BC56" s="34"/>
      <c r="BD56" s="34"/>
      <c r="BE56" s="162">
        <f>Tabella34[[#This Row],[rest of Italy data]]*NOT(ISBLANK(Tabella34[[#This Row],[rest of Italy data]]))</f>
        <v>0</v>
      </c>
      <c r="BF56" s="211">
        <f>Tabella8[[#This Row],[rest of Italy fit]]</f>
        <v>3.250241220883384E-2</v>
      </c>
      <c r="BG56" s="163">
        <f>_xlfn.LOGNORM.INV(alpha*Tabella34[[#This Row],[rest of Italy cumul. Fit]]/Ko,mu_o,sigma_o)-(Tabella34[[#This Row],[Day]]-po)</f>
        <v>0.4968227067427371</v>
      </c>
      <c r="BH56" s="163">
        <f>Tabella34[[#This Row],[rest of Italy cumul. Fit]]/Ka</f>
        <v>2.19610918868169E-7</v>
      </c>
      <c r="BI56" s="163">
        <f>IFERROR(Ko*_xlfn.LOGNORM.DIST((Tabella34[[#This Row],[Day]]-po),mu_o,sigma_o,FALSE),0)</f>
        <v>4.6918253395776648E-2</v>
      </c>
      <c r="BJ56" s="206">
        <f>Tabella34[[#This Row],[rest of Italy velocity]]/Tabella34[[#This Row],[rest of Italy cumul. Fit]]</f>
        <v>1.4435314245083852</v>
      </c>
      <c r="BK56" s="261">
        <f>(LN(Tabella34[[#This Row],[Day]]-po)-mu_o)/sigma_o</f>
        <v>-5.0511222508527096</v>
      </c>
      <c r="BL56" s="269">
        <f>EXP(mu_o+sigma_o*Tabella34[[#This Row],[x_o_alpha©+plus]])-(Tabella34[[#This Row],[Day]]-po)</f>
        <v>236.0400133450637</v>
      </c>
      <c r="BM56" s="269">
        <f>EXP(mu_o+sigma_o*Tabella34[[#This Row],[x_o_alpha©-minus]])-(Tabella34[[#This Row],[Day]]-po)</f>
        <v>-0.51162645253373285</v>
      </c>
      <c r="BN56" s="269">
        <f>-sigma_o+SQRT(sigma_o^2-2*Tabella34[[#This Row],[c_o]])</f>
        <v>4.5525006599748954</v>
      </c>
      <c r="BO56" s="269">
        <f>-sigma_o-SQRT(sigma_o^2-2*Tabella34[[#This Row],[c_o]])</f>
        <v>-5.1954734372739209</v>
      </c>
      <c r="BP56" s="269">
        <f>mu_o-LN(alpha*Ko/(Tabella34[[#This Row],[rest of Italy velocity]]*sigma_o*SQRTPI(2)))</f>
        <v>-11.826198126035781</v>
      </c>
      <c r="BQ56" s="269">
        <f>Tabella34[[#This Row],[t_alpha_o+plus]]</f>
        <v>236.0400133450637</v>
      </c>
      <c r="BR56" s="91">
        <f>IFERROR(-Ka*_xlfn.LOGNORM.DIST((Tabella34[[#This Row],[Day]]-pa),mu_a,sigma_a,FALSE)*(1+(LN((Tabella34[[#This Row],[Day]]-pa))-mu_a)/sigma_a^2)/(Tabella34[[#This Row],[Day]]-pa),0)</f>
        <v>6.1178488039223364E-2</v>
      </c>
      <c r="BS56" s="163">
        <f>Tabella34[[#This Row],[rest of Italy acc. fit]]/y_a_peak</f>
        <v>1.8104702127921221E-5</v>
      </c>
      <c r="BT56" s="162">
        <f>Tabella34[[#This Row],[rest of Italy acc. fit]]*NOT(ISBLANK(Tabella34[[#This Row],[rest of Italy data]]))</f>
        <v>0</v>
      </c>
      <c r="BU56" s="96">
        <f>Tabella34[[#This Row],[rest of Italy acc. fit]]+CIa</f>
        <v>694.71321435163657</v>
      </c>
      <c r="BV56" s="96">
        <f>MAX(Tabella34[[#This Row],[rest of Italy acc. fit]]-CIa,0)</f>
        <v>0</v>
      </c>
      <c r="BX56" s="256" t="s">
        <v>129</v>
      </c>
      <c r="BY56" s="258">
        <f>_xlfn.XLOOKUP(ROUND(EXP(mu_f-sigma_f^2),0),Tabella34[Day],Tabella34[Date])</f>
        <v>43887</v>
      </c>
    </row>
    <row r="57" spans="2:79" x14ac:dyDescent="0.3">
      <c r="B57" s="288">
        <v>43880</v>
      </c>
      <c r="C57" s="4">
        <v>50</v>
      </c>
      <c r="D57" s="10" t="str">
        <f>Tabella8[[#This Row],[Italy cumulative]]</f>
        <v>3</v>
      </c>
      <c r="E57" s="91">
        <f>(Tabella34[[#This Row],[Italy cumul. Data]]-D56)</f>
        <v>0</v>
      </c>
      <c r="F57" s="91">
        <f>Tabella34[[#This Row],[Italy data]]-E56</f>
        <v>0</v>
      </c>
      <c r="G57" s="162">
        <f>Tabella34[[#This Row],[Italy data]]*NOT(ISBLANK(Tabella34[[#This Row],[Italy data]]))</f>
        <v>0</v>
      </c>
      <c r="H57" s="163">
        <f>Tabella8[[#This Row],[Italy fit]]</f>
        <v>9.3970979442358509</v>
      </c>
      <c r="I57" s="163">
        <f>_xlfn.LOGNORM.INV(alpha*Tabella34[[#This Row],[Italy cumul. Fit]]/Kt,mu_t,sigma_t)-(Tabella34[[#This Row],[Day]]-pt)</f>
        <v>0.99637526219445505</v>
      </c>
      <c r="J57" s="163">
        <f>Tabella34[[#This Row],[Italy d.t.]]/Italy_dt_at_lockdown</f>
        <v>0.19569653226286793</v>
      </c>
      <c r="K57" s="163">
        <f>Tabella34[[#This Row],[Italy cumul. Fit]]/Kf</f>
        <v>3.9987661737329716E-5</v>
      </c>
      <c r="L57" s="166">
        <f>Tabella34[[#This Row],[Lombardy acc. fit]]+Tabella34[[#This Row],[rest of Italy acc. fit]]</f>
        <v>6.3783299184902429</v>
      </c>
      <c r="M57" s="163">
        <f>Tabella34[[#This Row],[Italy (fitted Lombardy + fitted sum of the other regions)]]/(y_l_peak+y_a_peak)</f>
        <v>1.2416198777192424E-3</v>
      </c>
      <c r="N57" s="163">
        <f>IFERROR(Kt*_xlfn.LOGNORM.DIST((Tabella34[[#This Row],[Day]]-pt),mu_t,sigma_t,FALSE),0)</f>
        <v>6.8438651433136366</v>
      </c>
      <c r="O57" s="163">
        <f>Kt*EXP(-0.5*Tabella34[[#This Row],[x_t]]^2)/(sigma_t*SQRTPI(2)*(Tabella34[[#This Row],[Day]]-D_bk))</f>
        <v>6.8438651433136499</v>
      </c>
      <c r="P57" s="206">
        <f>Tabella34[[#This Row],[Italy velocity]]/Tabella34[[#This Row],[Italy cumul. Fit]]</f>
        <v>0.72829560614632527</v>
      </c>
      <c r="Q57" s="269">
        <f>(LN(Tabella34[[#This Row],[Day]]-D_bk)-mu_t)/sigma_t</f>
        <v>-3.9444740187135174</v>
      </c>
      <c r="R57" s="269">
        <f>EXP(mu_t+sigma_t*Tabella34[[#This Row],[x_t_alpha©+plus]])-(Tabella34[[#This Row],[Day]]-D_bk)</f>
        <v>167.62297649016293</v>
      </c>
      <c r="S57" s="269">
        <f>EXP(mu_t+sigma_t*Tabella34[[#This Row],[x_t_alpha©-minus]])-(Tabella34[[#This Row],[Day]]-D_bk)</f>
        <v>-1.0352333789970629</v>
      </c>
      <c r="T57" s="269">
        <f>-sigma_t+SQRT(sigma_t^2-2*Tabella34[[#This Row],[c_t]])</f>
        <v>3.5111758813658098</v>
      </c>
      <c r="U57" s="269">
        <f>-sigma_t-SQRT(sigma_t^2-2*Tabella34[[#This Row],[c_t]])</f>
        <v>-4.1304127872580469</v>
      </c>
      <c r="V57" s="269">
        <f>mu_t-LN(alpha*Kt/(Tabella34[[#This Row],[Italy velocity]]*sigma_t*SQRTPI(2)))</f>
        <v>-7.2513028793526919</v>
      </c>
      <c r="W57" s="269">
        <f>Tabella34[[#This Row],[Italy g.r.]]/Italy_gr_at_lockdown</f>
        <v>4.6049657741689627</v>
      </c>
      <c r="X57" s="269">
        <f>Tabella34[[#This Row],[t_alpha_t+plus]]</f>
        <v>167.62297649016293</v>
      </c>
      <c r="Y57" s="269">
        <f>Tabella34[[#This Row],[Italy h.t.]]/Italy_ht_at_lockdown</f>
        <v>2.9852608268106504</v>
      </c>
      <c r="Z57" s="91">
        <f>IFERROR(-Kf*_xlfn.LOGNORM.DIST((Tabella34[[#This Row],[Day]]-D_bk),mu_f,sigma_f,FALSE)*(1+(LN((Tabella34[[#This Row],[Day]]-D_bk))-mu_f)/sigma_f^2)/(Tabella34[[#This Row],[Day]]-D_bk),0)</f>
        <v>4.3418925908823836</v>
      </c>
      <c r="AA57" s="91">
        <f>Tabella34[[#This Row],[Italy acc. fit]]/Itali_acc_at_lockdown</f>
        <v>1.7870304670412632E-2</v>
      </c>
      <c r="AB57" s="163">
        <f>Tabella34[[#This Row],[Italy acc. fit]]/y_f_peak</f>
        <v>8.5780838617045656E-4</v>
      </c>
      <c r="AC57" s="163">
        <f>Tabella34[[#This Row],[Italy (fitted Lombardy + fitted sum of the other regions)]]*NOT(ISBLANK(Tabella34[[#This Row],[Italy data]]))</f>
        <v>6.3783299184902429</v>
      </c>
      <c r="AD57" s="163">
        <f>Tabella34[[#This Row],[Italy acc. fit]]*NOT(ISBLANK(Tabella34[[#This Row],[Italy data]]))</f>
        <v>4.3418925908823836</v>
      </c>
      <c r="AE57" s="96">
        <f>Tabella34[[#This Row],[Italy acc. fit]]+CIf</f>
        <v>1018.1048946112001</v>
      </c>
      <c r="AF57" s="96">
        <f>MAX(Tabella34[[#This Row],[Italy acc. fit]]-CIf,0)</f>
        <v>0</v>
      </c>
      <c r="AG57" s="161"/>
      <c r="AH57" s="34"/>
      <c r="AI57" s="34"/>
      <c r="AJ57" s="162">
        <f>Tabella34[[#This Row],[Lombardy data]]*NOT(ISBLANK(Tabella34[[#This Row],[Lombardy data]]))</f>
        <v>0</v>
      </c>
      <c r="AK57" s="167">
        <f>Tabella8[[#This Row],[Lombardy fit]]</f>
        <v>21.583926129223123</v>
      </c>
      <c r="AL57" s="163">
        <f>_xlfn.LOGNORM.INV(alpha*Tabella34[[#This Row],[Lombardy cumul. Fit]]/Kr,mu_r,sigma_r)-(Tabella34[[#This Row],[Day]]-pr)</f>
        <v>1.2555722773193381</v>
      </c>
      <c r="AM57" s="162">
        <f>Tabella34[[#This Row],[Lombardy cumul. Fit]]/Kl</f>
        <v>2.4809110493359912E-4</v>
      </c>
      <c r="AN57" s="163">
        <f>IFERROR(Kr*_xlfn.LOGNORM.DIST((Tabella34[[#This Row],[Day]]-pr),mu_r,sigma_r,FALSE),0)</f>
        <v>12.611697574226687</v>
      </c>
      <c r="AO57" s="206">
        <f>Tabella34[[#This Row],[Lombardy velocity]]/Tabella34[[#This Row],[Lombardy cumul. Fit]]</f>
        <v>0.58430970800772586</v>
      </c>
      <c r="AP57" s="261">
        <f>(LN(Tabella34[[#This Row],[Day]]-pr)-mu_r)/sigma_r</f>
        <v>-3.4828090125756153</v>
      </c>
      <c r="AQ57" s="269">
        <f>EXP(mu_r+sigma_r*Tabella34[[#This Row],[x_r_alpha©+plus]])-(Tabella34[[#This Row],[Day]]-pr)</f>
        <v>152.76037071152518</v>
      </c>
      <c r="AR57" s="269">
        <f>EXP(mu_r+sigma_r*Tabella34[[#This Row],[x_r_alpha©-minus]])-(Tabella34[[#This Row],[Day]]-pr)</f>
        <v>-1.3154142242914482</v>
      </c>
      <c r="AS57" s="269">
        <f>-sigma_r+SQRT(sigma_r^2-2*Tabella34[[#This Row],[c_r]])</f>
        <v>3.0152927727839289</v>
      </c>
      <c r="AT57" s="269">
        <f>-sigma_r-SQRT(sigma_r^2-2*Tabella34[[#This Row],[c_r]])</f>
        <v>-3.6961473699776581</v>
      </c>
      <c r="AU57" s="269">
        <f>mu_r-LN(alpha*Kr/(Tabella34[[#This Row],[Lombardy velocity]]*sigma_r*SQRTPI(2)))</f>
        <v>-5.5724832259189805</v>
      </c>
      <c r="AV57" s="269">
        <f>Tabella34[[#This Row],[t_alpha_r+plus]]</f>
        <v>152.76037071152518</v>
      </c>
      <c r="AW57" s="91">
        <f>IFERROR(-Kl*_xlfn.LOGNORM.DIST((Tabella34[[#This Row],[Day]]-pl),mu_l,sigma_l,FALSE)*(1+(LN((Tabella34[[#This Row],[Day]]-pl))-mu_l)/sigma_l^2)/(Tabella34[[#This Row],[Day]]-pl),0)</f>
        <v>6.1996013340029643</v>
      </c>
      <c r="AX57" s="163">
        <f>Tabella34[[#This Row],[Lombardy acc. fit]]/y_l_peak</f>
        <v>3.5265994838668707E-3</v>
      </c>
      <c r="AY57" s="163">
        <f>Tabella34[[#This Row],[Lombardy acc. fit]]*NOT(ISBLANK(Tabella34[[#This Row],[Lombardy data]]))</f>
        <v>0</v>
      </c>
      <c r="AZ57" s="96">
        <f>Tabella34[[#This Row],[Lombardy acc. fit]]+CIl</f>
        <v>755.1549731376266</v>
      </c>
      <c r="BA57" s="96">
        <f>MAX(Tabella34[[#This Row],[Lombardy acc. fit]]-CIl,0)</f>
        <v>0</v>
      </c>
      <c r="BB57" s="161"/>
      <c r="BC57" s="34"/>
      <c r="BD57" s="34"/>
      <c r="BE57" s="162">
        <f>Tabella34[[#This Row],[rest of Italy data]]*NOT(ISBLANK(Tabella34[[#This Row],[rest of Italy data]]))</f>
        <v>0</v>
      </c>
      <c r="BF57" s="211">
        <f>Tabella8[[#This Row],[rest of Italy fit]]</f>
        <v>0.12529684172525352</v>
      </c>
      <c r="BG57" s="163">
        <f>_xlfn.LOGNORM.INV(alpha*Tabella34[[#This Row],[rest of Italy cumul. Fit]]/Ko,mu_o,sigma_o)-(Tabella34[[#This Row],[Day]]-po)</f>
        <v>0.56996412613837144</v>
      </c>
      <c r="BH57" s="163">
        <f>Tabella34[[#This Row],[rest of Italy cumul. Fit]]/Ka</f>
        <v>8.4660038048141327E-7</v>
      </c>
      <c r="BI57" s="163">
        <f>IFERROR(Ko*_xlfn.LOGNORM.DIST((Tabella34[[#This Row],[Day]]-po),mu_o,sigma_o,FALSE),0)</f>
        <v>0.15804390046841324</v>
      </c>
      <c r="BJ57" s="206">
        <f>Tabella34[[#This Row],[rest of Italy velocity]]/Tabella34[[#This Row],[rest of Italy cumul. Fit]]</f>
        <v>1.2613558194464816</v>
      </c>
      <c r="BK57" s="261">
        <f>(LN(Tabella34[[#This Row],[Day]]-po)-mu_o)/sigma_o</f>
        <v>-4.7869676946138151</v>
      </c>
      <c r="BL57" s="269">
        <f>EXP(mu_o+sigma_o*Tabella34[[#This Row],[x_o_alpha©+plus]])-(Tabella34[[#This Row],[Day]]-po)</f>
        <v>215.50836182329516</v>
      </c>
      <c r="BM57" s="269">
        <f>EXP(mu_o+sigma_o*Tabella34[[#This Row],[x_o_alpha©-minus]])-(Tabella34[[#This Row],[Day]]-po)</f>
        <v>-0.58808485658177467</v>
      </c>
      <c r="BN57" s="269">
        <f>-sigma_o+SQRT(sigma_o^2-2*Tabella34[[#This Row],[c_o]])</f>
        <v>4.2966103681363981</v>
      </c>
      <c r="BO57" s="269">
        <f>-sigma_o-SQRT(sigma_o^2-2*Tabella34[[#This Row],[c_o]])</f>
        <v>-4.9395831454354235</v>
      </c>
      <c r="BP57" s="269">
        <f>mu_o-LN(alpha*Ko/(Tabella34[[#This Row],[rest of Italy velocity]]*sigma_o*SQRTPI(2)))</f>
        <v>-10.611732078474819</v>
      </c>
      <c r="BQ57" s="269">
        <f>Tabella34[[#This Row],[t_alpha_o+plus]]</f>
        <v>215.50836182329516</v>
      </c>
      <c r="BR57" s="91">
        <f>IFERROR(-Ka*_xlfn.LOGNORM.DIST((Tabella34[[#This Row],[Day]]-pa),mu_a,sigma_a,FALSE)*(1+(LN((Tabella34[[#This Row],[Day]]-pa))-mu_a)/sigma_a^2)/(Tabella34[[#This Row],[Day]]-pa),0)</f>
        <v>0.17872858448727882</v>
      </c>
      <c r="BS57" s="163">
        <f>Tabella34[[#This Row],[rest of Italy acc. fit]]/y_a_peak</f>
        <v>5.2891594539122943E-5</v>
      </c>
      <c r="BT57" s="162">
        <f>Tabella34[[#This Row],[rest of Italy acc. fit]]*NOT(ISBLANK(Tabella34[[#This Row],[rest of Italy data]]))</f>
        <v>0</v>
      </c>
      <c r="BU57" s="96">
        <f>Tabella34[[#This Row],[rest of Italy acc. fit]]+CIa</f>
        <v>694.83076444808466</v>
      </c>
      <c r="BV57" s="96">
        <f>MAX(Tabella34[[#This Row],[rest of Italy acc. fit]]-CIa,0)</f>
        <v>0</v>
      </c>
      <c r="BX57" s="252" t="s">
        <v>4364</v>
      </c>
      <c r="BY57" s="253">
        <f>pt</f>
        <v>31.495272685616236</v>
      </c>
    </row>
    <row r="58" spans="2:79" x14ac:dyDescent="0.3">
      <c r="B58" s="288">
        <v>43881</v>
      </c>
      <c r="C58" s="4">
        <v>51</v>
      </c>
      <c r="D58" s="10" t="str">
        <f>Tabella8[[#This Row],[Italy cumulative]]</f>
        <v>3</v>
      </c>
      <c r="E58" s="91">
        <f>(Tabella34[[#This Row],[Italy cumul. Data]]-D57)</f>
        <v>0</v>
      </c>
      <c r="F58" s="91">
        <f>Tabella34[[#This Row],[Italy data]]-E57</f>
        <v>0</v>
      </c>
      <c r="G58" s="162">
        <f>Tabella34[[#This Row],[Italy data]]*NOT(ISBLANK(Tabella34[[#This Row],[Italy data]]))</f>
        <v>0</v>
      </c>
      <c r="H58" s="163">
        <f>Tabella8[[#This Row],[Italy fit]]</f>
        <v>18.839505530649845</v>
      </c>
      <c r="I58" s="163">
        <f>_xlfn.LOGNORM.INV(alpha*Tabella34[[#This Row],[Italy cumul. Fit]]/Kt,mu_t,sigma_t)-(Tabella34[[#This Row],[Day]]-pt)</f>
        <v>1.095471029338043</v>
      </c>
      <c r="J58" s="163">
        <f>Tabella34[[#This Row],[Italy d.t.]]/Italy_dt_at_lockdown</f>
        <v>0.21515977942259526</v>
      </c>
      <c r="K58" s="163">
        <f>Tabella34[[#This Row],[Italy cumul. Fit]]/Kf</f>
        <v>8.0168130515259701E-5</v>
      </c>
      <c r="L58" s="166">
        <f>Tabella34[[#This Row],[Lombardy acc. fit]]+Tabella34[[#This Row],[rest of Italy acc. fit]]</f>
        <v>9.3869428745934727</v>
      </c>
      <c r="M58" s="163">
        <f>Tabella34[[#This Row],[Italy (fitted Lombardy + fitted sum of the other regions)]]/(y_l_peak+y_a_peak)</f>
        <v>1.8272831623719168E-3</v>
      </c>
      <c r="N58" s="163">
        <f>IFERROR(Kt*_xlfn.LOGNORM.DIST((Tabella34[[#This Row],[Day]]-pt),mu_t,sigma_t,FALSE),0)</f>
        <v>12.513119954571096</v>
      </c>
      <c r="O58" s="163">
        <f>Kt*EXP(-0.5*Tabella34[[#This Row],[x_t]]^2)/(sigma_t*SQRTPI(2)*(Tabella34[[#This Row],[Day]]-D_bk))</f>
        <v>12.513119954571144</v>
      </c>
      <c r="P58" s="206">
        <f>Tabella34[[#This Row],[Italy velocity]]/Tabella34[[#This Row],[Italy cumul. Fit]]</f>
        <v>0.6641957738335329</v>
      </c>
      <c r="Q58" s="269">
        <f>(LN(Tabella34[[#This Row],[Day]]-D_bk)-mu_t)/sigma_t</f>
        <v>-3.7744885668843966</v>
      </c>
      <c r="R58" s="269">
        <f>EXP(mu_t+sigma_t*Tabella34[[#This Row],[x_t_alpha©+plus]])-(Tabella34[[#This Row],[Day]]-D_bk)</f>
        <v>157.55369306158772</v>
      </c>
      <c r="S58" s="269">
        <f>EXP(mu_t+sigma_t*Tabella34[[#This Row],[x_t_alpha©-minus]])-(Tabella34[[#This Row],[Day]]-D_bk)</f>
        <v>-1.1404112546531948</v>
      </c>
      <c r="T58" s="269">
        <f>-sigma_t+SQRT(sigma_t^2-2*Tabella34[[#This Row],[c_t]])</f>
        <v>3.3498376907427976</v>
      </c>
      <c r="U58" s="269">
        <f>-sigma_t-SQRT(sigma_t^2-2*Tabella34[[#This Row],[c_t]])</f>
        <v>-3.9690745966350351</v>
      </c>
      <c r="V58" s="269">
        <f>mu_t-LN(alpha*Kt/(Tabella34[[#This Row],[Italy velocity]]*sigma_t*SQRTPI(2)))</f>
        <v>-6.6478778405889036</v>
      </c>
      <c r="W58" s="269">
        <f>Tabella34[[#This Row],[Italy g.r.]]/Italy_gr_at_lockdown</f>
        <v>4.199666701320961</v>
      </c>
      <c r="X58" s="269">
        <f>Tabella34[[#This Row],[t_alpha_t+plus]]</f>
        <v>157.55369306158772</v>
      </c>
      <c r="Y58" s="269">
        <f>Tabella34[[#This Row],[Italy h.t.]]/Italy_ht_at_lockdown</f>
        <v>2.8059331594300199</v>
      </c>
      <c r="Z58" s="91">
        <f>IFERROR(-Kf*_xlfn.LOGNORM.DIST((Tabella34[[#This Row],[Day]]-D_bk),mu_f,sigma_f,FALSE)*(1+(LN((Tabella34[[#This Row],[Day]]-D_bk))-mu_f)/sigma_f^2)/(Tabella34[[#This Row],[Day]]-D_bk),0)</f>
        <v>7.1793619266242432</v>
      </c>
      <c r="AA58" s="91">
        <f>Tabella34[[#This Row],[Italy acc. fit]]/Itali_acc_at_lockdown</f>
        <v>2.9548723807067398E-2</v>
      </c>
      <c r="AB58" s="163">
        <f>Tabella34[[#This Row],[Italy acc. fit]]/y_f_peak</f>
        <v>1.4183945685214644E-3</v>
      </c>
      <c r="AC58" s="163">
        <f>Tabella34[[#This Row],[Italy (fitted Lombardy + fitted sum of the other regions)]]*NOT(ISBLANK(Tabella34[[#This Row],[Italy data]]))</f>
        <v>9.3869428745934727</v>
      </c>
      <c r="AD58" s="163">
        <f>Tabella34[[#This Row],[Italy acc. fit]]*NOT(ISBLANK(Tabella34[[#This Row],[Italy data]]))</f>
        <v>7.1793619266242432</v>
      </c>
      <c r="AE58" s="96">
        <f>Tabella34[[#This Row],[Italy acc. fit]]+CIf</f>
        <v>1020.9423639469419</v>
      </c>
      <c r="AF58" s="96">
        <f>MAX(Tabella34[[#This Row],[Italy acc. fit]]-CIf,0)</f>
        <v>0</v>
      </c>
      <c r="AG58" s="161"/>
      <c r="AH58" s="34"/>
      <c r="AI58" s="34"/>
      <c r="AJ58" s="162">
        <f>Tabella34[[#This Row],[Lombardy data]]*NOT(ISBLANK(Tabella34[[#This Row],[Lombardy data]]))</f>
        <v>0</v>
      </c>
      <c r="AK58" s="167">
        <f>Tabella8[[#This Row],[Lombardy fit]]</f>
        <v>37.724019062370473</v>
      </c>
      <c r="AL58" s="163">
        <f>_xlfn.LOGNORM.INV(alpha*Tabella34[[#This Row],[Lombardy cumul. Fit]]/Kr,mu_r,sigma_r)-(Tabella34[[#This Row],[Day]]-pr)</f>
        <v>1.3797911975991752</v>
      </c>
      <c r="AM58" s="162">
        <f>Tabella34[[#This Row],[Lombardy cumul. Fit]]/Kl</f>
        <v>4.3360941451000542E-4</v>
      </c>
      <c r="AN58" s="163">
        <f>IFERROR(Kr*_xlfn.LOGNORM.DIST((Tabella34[[#This Row],[Day]]-pr),mu_r,sigma_r,FALSE),0)</f>
        <v>20.124607729459562</v>
      </c>
      <c r="AO58" s="206">
        <f>Tabella34[[#This Row],[Lombardy velocity]]/Tabella34[[#This Row],[Lombardy cumul. Fit]]</f>
        <v>0.5334693447213783</v>
      </c>
      <c r="AP58" s="261">
        <f>(LN(Tabella34[[#This Row],[Day]]-pr)-mu_r)/sigma_r</f>
        <v>-3.3303981509465568</v>
      </c>
      <c r="AQ58" s="269">
        <f>EXP(mu_r+sigma_r*Tabella34[[#This Row],[x_r_alpha©+plus]])-(Tabella34[[#This Row],[Day]]-pr)</f>
        <v>143.64995653297254</v>
      </c>
      <c r="AR58" s="269">
        <f>EXP(mu_r+sigma_r*Tabella34[[#This Row],[x_r_alpha©-minus]])-(Tabella34[[#This Row],[Day]]-pr)</f>
        <v>-1.4488107157442691</v>
      </c>
      <c r="AS58" s="269">
        <f>-sigma_r+SQRT(sigma_r^2-2*Tabella34[[#This Row],[c_r]])</f>
        <v>2.8730163463144072</v>
      </c>
      <c r="AT58" s="269">
        <f>-sigma_r-SQRT(sigma_r^2-2*Tabella34[[#This Row],[c_r]])</f>
        <v>-3.5538709435081364</v>
      </c>
      <c r="AU58" s="269">
        <f>mu_r-LN(alpha*Kr/(Tabella34[[#This Row],[Lombardy velocity]]*sigma_r*SQRTPI(2)))</f>
        <v>-5.105164656695341</v>
      </c>
      <c r="AV58" s="269">
        <f>Tabella34[[#This Row],[t_alpha_r+plus]]</f>
        <v>143.64995653297254</v>
      </c>
      <c r="AW58" s="91">
        <f>IFERROR(-Kl*_xlfn.LOGNORM.DIST((Tabella34[[#This Row],[Day]]-pl),mu_l,sigma_l,FALSE)*(1+(LN((Tabella34[[#This Row],[Day]]-pl))-mu_l)/sigma_l^2)/(Tabella34[[#This Row],[Day]]-pl),0)</f>
        <v>8.9370124839382257</v>
      </c>
      <c r="AX58" s="163">
        <f>Tabella34[[#This Row],[Lombardy acc. fit]]/y_l_peak</f>
        <v>5.0837565054877862E-3</v>
      </c>
      <c r="AY58" s="163">
        <f>Tabella34[[#This Row],[Lombardy acc. fit]]*NOT(ISBLANK(Tabella34[[#This Row],[Lombardy data]]))</f>
        <v>0</v>
      </c>
      <c r="AZ58" s="96">
        <f>Tabella34[[#This Row],[Lombardy acc. fit]]+CIl</f>
        <v>757.89238428756187</v>
      </c>
      <c r="BA58" s="96">
        <f>MAX(Tabella34[[#This Row],[Lombardy acc. fit]]-CIl,0)</f>
        <v>0</v>
      </c>
      <c r="BB58" s="161"/>
      <c r="BC58" s="34"/>
      <c r="BD58" s="34"/>
      <c r="BE58" s="162">
        <f>Tabella34[[#This Row],[rest of Italy data]]*NOT(ISBLANK(Tabella34[[#This Row],[rest of Italy data]]))</f>
        <v>0</v>
      </c>
      <c r="BF58" s="211">
        <f>Tabella8[[#This Row],[rest of Italy fit]]</f>
        <v>0.40942503163152882</v>
      </c>
      <c r="BG58" s="163">
        <f>_xlfn.LOGNORM.INV(alpha*Tabella34[[#This Row],[rest of Italy cumul. Fit]]/Ko,mu_o,sigma_o)-(Tabella34[[#This Row],[Day]]-po)</f>
        <v>0.64847080309076155</v>
      </c>
      <c r="BH58" s="163">
        <f>Tabella34[[#This Row],[rest of Italy cumul. Fit]]/Ka</f>
        <v>2.7663856709008015E-6</v>
      </c>
      <c r="BI58" s="163">
        <f>IFERROR(Ko*_xlfn.LOGNORM.DIST((Tabella34[[#This Row],[Day]]-po),mu_o,sigma_o,FALSE),0)</f>
        <v>0.45506194217060519</v>
      </c>
      <c r="BJ58" s="206">
        <f>Tabella34[[#This Row],[rest of Italy velocity]]/Tabella34[[#This Row],[rest of Italy cumul. Fit]]</f>
        <v>1.1114658533632313</v>
      </c>
      <c r="BK58" s="261">
        <f>(LN(Tabella34[[#This Row],[Day]]-po)-mu_o)/sigma_o</f>
        <v>-4.5435003502876903</v>
      </c>
      <c r="BL58" s="269">
        <f>EXP(mu_o+sigma_o*Tabella34[[#This Row],[x_o_alpha©+plus]])-(Tabella34[[#This Row],[Day]]-po)</f>
        <v>197.93416227339196</v>
      </c>
      <c r="BM58" s="269">
        <f>EXP(mu_o+sigma_o*Tabella34[[#This Row],[x_o_alpha©-minus]])-(Tabella34[[#This Row],[Day]]-po)</f>
        <v>-0.67041702006745396</v>
      </c>
      <c r="BN58" s="269">
        <f>-sigma_o+SQRT(sigma_o^2-2*Tabella34[[#This Row],[c_o]])</f>
        <v>4.0616285144060287</v>
      </c>
      <c r="BO58" s="269">
        <f>-sigma_o-SQRT(sigma_o^2-2*Tabella34[[#This Row],[c_o]])</f>
        <v>-4.7046012917050541</v>
      </c>
      <c r="BP58" s="269">
        <f>mu_o-LN(alpha*Ko/(Tabella34[[#This Row],[rest of Italy velocity]]*sigma_o*SQRTPI(2)))</f>
        <v>-9.5541713776503414</v>
      </c>
      <c r="BQ58" s="269">
        <f>Tabella34[[#This Row],[t_alpha_o+plus]]</f>
        <v>197.93416227339196</v>
      </c>
      <c r="BR58" s="91">
        <f>IFERROR(-Ka*_xlfn.LOGNORM.DIST((Tabella34[[#This Row],[Day]]-pa),mu_a,sigma_a,FALSE)*(1+(LN((Tabella34[[#This Row],[Day]]-pa))-mu_a)/sigma_a^2)/(Tabella34[[#This Row],[Day]]-pa),0)</f>
        <v>0.44993039065524787</v>
      </c>
      <c r="BS58" s="163">
        <f>Tabella34[[#This Row],[rest of Italy acc. fit]]/y_a_peak</f>
        <v>1.3314901956860948E-4</v>
      </c>
      <c r="BT58" s="162">
        <f>Tabella34[[#This Row],[rest of Italy acc. fit]]*NOT(ISBLANK(Tabella34[[#This Row],[rest of Italy data]]))</f>
        <v>0</v>
      </c>
      <c r="BU58" s="96">
        <f>Tabella34[[#This Row],[rest of Italy acc. fit]]+CIa</f>
        <v>695.1019662542526</v>
      </c>
      <c r="BV58" s="96">
        <f>MAX(Tabella34[[#This Row],[rest of Italy acc. fit]]-CIa,0)</f>
        <v>0</v>
      </c>
      <c r="BX58" s="259"/>
      <c r="BY58" s="259"/>
    </row>
    <row r="59" spans="2:79" x14ac:dyDescent="0.3">
      <c r="B59" s="288">
        <v>43882</v>
      </c>
      <c r="C59" s="4">
        <v>52</v>
      </c>
      <c r="D59" s="10" t="str">
        <f>Tabella8[[#This Row],[Italy cumulative]]</f>
        <v>20</v>
      </c>
      <c r="E59" s="91">
        <f>(Tabella34[[#This Row],[Italy cumul. Data]]-D58)</f>
        <v>17</v>
      </c>
      <c r="F59" s="91">
        <f>Tabella34[[#This Row],[Italy data]]-E58</f>
        <v>17</v>
      </c>
      <c r="G59" s="162">
        <f>Tabella34[[#This Row],[Italy data]]*NOT(ISBLANK(Tabella34[[#This Row],[Italy data]]))</f>
        <v>17</v>
      </c>
      <c r="H59" s="163">
        <f>Tabella8[[#This Row],[Italy fit]]</f>
        <v>35.563717330267153</v>
      </c>
      <c r="I59" s="163">
        <f>_xlfn.LOGNORM.INV(alpha*Tabella34[[#This Row],[Italy cumul. Fit]]/Kt,mu_t,sigma_t)-(Tabella34[[#This Row],[Day]]-pt)</f>
        <v>1.2006786112556362</v>
      </c>
      <c r="J59" s="163">
        <f>Tabella34[[#This Row],[Italy d.t.]]/Italy_dt_at_lockdown</f>
        <v>0.23582343871868131</v>
      </c>
      <c r="K59" s="163">
        <f>Tabella34[[#This Row],[Italy cumul. Fit]]/Kf</f>
        <v>1.5133500865520413E-4</v>
      </c>
      <c r="L59" s="166">
        <f>Tabella34[[#This Row],[Lombardy acc. fit]]+Tabella34[[#This Row],[rest of Italy acc. fit]]</f>
        <v>13.354937727885725</v>
      </c>
      <c r="M59" s="163">
        <f>Tabella34[[#This Row],[Italy (fitted Lombardy + fitted sum of the other regions)]]/(y_l_peak+y_a_peak)</f>
        <v>2.5997018593498043E-3</v>
      </c>
      <c r="N59" s="163">
        <f>IFERROR(Kt*_xlfn.LOGNORM.DIST((Tabella34[[#This Row],[Day]]-pt),mu_t,sigma_t,FALSE),0)</f>
        <v>21.612288472743202</v>
      </c>
      <c r="O59" s="163">
        <f>Kt*EXP(-0.5*Tabella34[[#This Row],[x_t]]^2)/(sigma_t*SQRTPI(2)*(Tabella34[[#This Row],[Day]]-D_bk))</f>
        <v>21.612288472743248</v>
      </c>
      <c r="P59" s="206">
        <f>Tabella34[[#This Row],[Italy velocity]]/Tabella34[[#This Row],[Italy cumul. Fit]]</f>
        <v>0.6077061144097462</v>
      </c>
      <c r="Q59" s="269">
        <f>(LN(Tabella34[[#This Row],[Day]]-D_bk)-mu_t)/sigma_t</f>
        <v>-3.6130040131758809</v>
      </c>
      <c r="R59" s="269">
        <f>EXP(mu_t+sigma_t*Tabella34[[#This Row],[x_t_alpha©+plus]])-(Tabella34[[#This Row],[Day]]-D_bk)</f>
        <v>148.38718043929208</v>
      </c>
      <c r="S59" s="269">
        <f>EXP(mu_t+sigma_t*Tabella34[[#This Row],[x_t_alpha©-minus]])-(Tabella34[[#This Row],[Day]]-D_bk)</f>
        <v>-1.2524325415442945</v>
      </c>
      <c r="T59" s="269">
        <f>-sigma_t+SQRT(sigma_t^2-2*Tabella34[[#This Row],[c_t]])</f>
        <v>3.1973247345969007</v>
      </c>
      <c r="U59" s="269">
        <f>-sigma_t-SQRT(sigma_t^2-2*Tabella34[[#This Row],[c_t]])</f>
        <v>-3.8165616404891383</v>
      </c>
      <c r="V59" s="269">
        <f>mu_t-LN(alpha*Kt/(Tabella34[[#This Row],[Italy velocity]]*sigma_t*SQRTPI(2)))</f>
        <v>-6.1013934671248231</v>
      </c>
      <c r="W59" s="269">
        <f>Tabella34[[#This Row],[Italy g.r.]]/Italy_gr_at_lockdown</f>
        <v>3.8424862569441838</v>
      </c>
      <c r="X59" s="269">
        <f>Tabella34[[#This Row],[t_alpha_t+plus]]</f>
        <v>148.38718043929208</v>
      </c>
      <c r="Y59" s="269">
        <f>Tabella34[[#This Row],[Italy h.t.]]/Italy_ht_at_lockdown</f>
        <v>2.6426832779234091</v>
      </c>
      <c r="Z59" s="91">
        <f>IFERROR(-Kf*_xlfn.LOGNORM.DIST((Tabella34[[#This Row],[Day]]-D_bk),mu_f,sigma_f,FALSE)*(1+(LN((Tabella34[[#This Row],[Day]]-D_bk))-mu_f)/sigma_f^2)/(Tabella34[[#This Row],[Day]]-D_bk),0)</f>
        <v>11.245510809411634</v>
      </c>
      <c r="AA59" s="91">
        <f>Tabella34[[#This Row],[Italy acc. fit]]/Itali_acc_at_lockdown</f>
        <v>4.628412613444316E-2</v>
      </c>
      <c r="AB59" s="163">
        <f>Tabella34[[#This Row],[Italy acc. fit]]/y_f_peak</f>
        <v>2.2217254980790311E-3</v>
      </c>
      <c r="AC59" s="163">
        <f>Tabella34[[#This Row],[Italy (fitted Lombardy + fitted sum of the other regions)]]*NOT(ISBLANK(Tabella34[[#This Row],[Italy data]]))</f>
        <v>13.354937727885725</v>
      </c>
      <c r="AD59" s="163">
        <f>Tabella34[[#This Row],[Italy acc. fit]]*NOT(ISBLANK(Tabella34[[#This Row],[Italy data]]))</f>
        <v>11.245510809411634</v>
      </c>
      <c r="AE59" s="96">
        <f>Tabella34[[#This Row],[Italy acc. fit]]+CIf</f>
        <v>1025.0085128297294</v>
      </c>
      <c r="AF59" s="96">
        <f>MAX(Tabella34[[#This Row],[Italy acc. fit]]-CIf,0)</f>
        <v>0</v>
      </c>
      <c r="AG59" s="161"/>
      <c r="AH59" s="34"/>
      <c r="AI59" s="34"/>
      <c r="AJ59" s="162">
        <f>Tabella34[[#This Row],[Lombardy data]]*NOT(ISBLANK(Tabella34[[#This Row],[Lombardy data]]))</f>
        <v>0</v>
      </c>
      <c r="AK59" s="167">
        <f>Tabella8[[#This Row],[Lombardy fit]]</f>
        <v>62.857858736043291</v>
      </c>
      <c r="AL59" s="163">
        <f>_xlfn.LOGNORM.INV(alpha*Tabella34[[#This Row],[Lombardy cumul. Fit]]/Kr,mu_r,sigma_r)-(Tabella34[[#This Row],[Day]]-pr)</f>
        <v>1.5117351204258753</v>
      </c>
      <c r="AM59" s="162">
        <f>Tabella34[[#This Row],[Lombardy cumul. Fit]]/Kl</f>
        <v>7.2250412340279645E-4</v>
      </c>
      <c r="AN59" s="163">
        <f>IFERROR(Kr*_xlfn.LOGNORM.DIST((Tabella34[[#This Row],[Day]]-pr),mu_r,sigma_r,FALSE),0)</f>
        <v>30.712451565484525</v>
      </c>
      <c r="AO59" s="206">
        <f>Tabella34[[#This Row],[Lombardy velocity]]/Tabella34[[#This Row],[Lombardy cumul. Fit]]</f>
        <v>0.4886016193210494</v>
      </c>
      <c r="AP59" s="261">
        <f>(LN(Tabella34[[#This Row],[Day]]-pr)-mu_r)/sigma_r</f>
        <v>-3.1855065662252766</v>
      </c>
      <c r="AQ59" s="269">
        <f>EXP(mu_r+sigma_r*Tabella34[[#This Row],[x_r_alpha©+plus]])-(Tabella34[[#This Row],[Day]]-pr)</f>
        <v>135.34330500929866</v>
      </c>
      <c r="AR59" s="269">
        <f>EXP(mu_r+sigma_r*Tabella34[[#This Row],[x_r_alpha©-minus]])-(Tabella34[[#This Row],[Day]]-pr)</f>
        <v>-1.5909930875576102</v>
      </c>
      <c r="AS59" s="269">
        <f>-sigma_r+SQRT(sigma_r^2-2*Tabella34[[#This Row],[c_r]])</f>
        <v>2.7386586697075135</v>
      </c>
      <c r="AT59" s="269">
        <f>-sigma_r-SQRT(sigma_r^2-2*Tabella34[[#This Row],[c_r]])</f>
        <v>-3.4195132669012427</v>
      </c>
      <c r="AU59" s="269">
        <f>mu_r-LN(alpha*Kr/(Tabella34[[#This Row],[Lombardy velocity]]*sigma_r*SQRTPI(2)))</f>
        <v>-4.6824398272894756</v>
      </c>
      <c r="AV59" s="269">
        <f>Tabella34[[#This Row],[t_alpha_r+plus]]</f>
        <v>135.34330500929866</v>
      </c>
      <c r="AW59" s="91">
        <f>IFERROR(-Kl*_xlfn.LOGNORM.DIST((Tabella34[[#This Row],[Day]]-pl),mu_l,sigma_l,FALSE)*(1+(LN((Tabella34[[#This Row],[Day]]-pl))-mu_l)/sigma_l^2)/(Tabella34[[#This Row],[Day]]-pl),0)</f>
        <v>12.353364167517679</v>
      </c>
      <c r="AX59" s="163">
        <f>Tabella34[[#This Row],[Lombardy acc. fit]]/y_l_peak</f>
        <v>7.0271240600979119E-3</v>
      </c>
      <c r="AY59" s="163">
        <f>Tabella34[[#This Row],[Lombardy acc. fit]]*NOT(ISBLANK(Tabella34[[#This Row],[Lombardy data]]))</f>
        <v>0</v>
      </c>
      <c r="AZ59" s="96">
        <f>Tabella34[[#This Row],[Lombardy acc. fit]]+CIl</f>
        <v>761.30873597114135</v>
      </c>
      <c r="BA59" s="96">
        <f>MAX(Tabella34[[#This Row],[Lombardy acc. fit]]-CIl,0)</f>
        <v>0</v>
      </c>
      <c r="BB59" s="161"/>
      <c r="BC59" s="34"/>
      <c r="BD59" s="34"/>
      <c r="BE59" s="162">
        <f>Tabella34[[#This Row],[rest of Italy data]]*NOT(ISBLANK(Tabella34[[#This Row],[rest of Italy data]]))</f>
        <v>0</v>
      </c>
      <c r="BF59" s="211">
        <f>Tabella8[[#This Row],[rest of Italy fit]]</f>
        <v>1.166635984039708</v>
      </c>
      <c r="BG59" s="163">
        <f>_xlfn.LOGNORM.INV(alpha*Tabella34[[#This Row],[rest of Italy cumul. Fit]]/Ko,mu_o,sigma_o)-(Tabella34[[#This Row],[Day]]-po)</f>
        <v>0.73260557204050158</v>
      </c>
      <c r="BH59" s="163">
        <f>Tabella34[[#This Row],[rest of Italy cumul. Fit]]/Ka</f>
        <v>7.8826764854701008E-6</v>
      </c>
      <c r="BI59" s="163">
        <f>IFERROR(Ko*_xlfn.LOGNORM.DIST((Tabella34[[#This Row],[Day]]-po),mu_o,sigma_o,FALSE),0)</f>
        <v>1.1508049613296201</v>
      </c>
      <c r="BJ59" s="206">
        <f>Tabella34[[#This Row],[rest of Italy velocity]]/Tabella34[[#This Row],[rest of Italy cumul. Fit]]</f>
        <v>0.98643019508512853</v>
      </c>
      <c r="BK59" s="261">
        <f>(LN(Tabella34[[#This Row],[Day]]-po)-mu_o)/sigma_o</f>
        <v>-4.317713997179605</v>
      </c>
      <c r="BL59" s="269">
        <f>EXP(mu_o+sigma_o*Tabella34[[#This Row],[x_o_alpha©+plus]])-(Tabella34[[#This Row],[Day]]-po)</f>
        <v>182.69845658098137</v>
      </c>
      <c r="BM59" s="269">
        <f>EXP(mu_o+sigma_o*Tabella34[[#This Row],[x_o_alpha©-minus]])-(Tabella34[[#This Row],[Day]]-po)</f>
        <v>-0.75894365738109748</v>
      </c>
      <c r="BN59" s="269">
        <f>-sigma_o+SQRT(sigma_o^2-2*Tabella34[[#This Row],[c_o]])</f>
        <v>3.844582437029922</v>
      </c>
      <c r="BO59" s="269">
        <f>-sigma_o-SQRT(sigma_o^2-2*Tabella34[[#This Row],[c_o]])</f>
        <v>-4.4875552143289479</v>
      </c>
      <c r="BP59" s="269">
        <f>mu_o-LN(alpha*Ko/(Tabella34[[#This Row],[rest of Italy velocity]]*sigma_o*SQRTPI(2)))</f>
        <v>-8.6263879811055588</v>
      </c>
      <c r="BQ59" s="269">
        <f>Tabella34[[#This Row],[t_alpha_o+plus]]</f>
        <v>182.69845658098137</v>
      </c>
      <c r="BR59" s="91">
        <f>IFERROR(-Ka*_xlfn.LOGNORM.DIST((Tabella34[[#This Row],[Day]]-pa),mu_a,sigma_a,FALSE)*(1+(LN((Tabella34[[#This Row],[Day]]-pa))-mu_a)/sigma_a^2)/(Tabella34[[#This Row],[Day]]-pa),0)</f>
        <v>1.0015735603680451</v>
      </c>
      <c r="BS59" s="163">
        <f>Tabella34[[#This Row],[rest of Italy acc. fit]]/y_a_peak</f>
        <v>2.9639815482264366E-4</v>
      </c>
      <c r="BT59" s="162">
        <f>Tabella34[[#This Row],[rest of Italy acc. fit]]*NOT(ISBLANK(Tabella34[[#This Row],[rest of Italy data]]))</f>
        <v>0</v>
      </c>
      <c r="BU59" s="96">
        <f>Tabella34[[#This Row],[rest of Italy acc. fit]]+CIa</f>
        <v>695.65360942396535</v>
      </c>
      <c r="BV59" s="96">
        <f>MAX(Tabella34[[#This Row],[rest of Italy acc. fit]]-CIa,0)</f>
        <v>0</v>
      </c>
      <c r="BY59" s="73"/>
    </row>
    <row r="60" spans="2:79" x14ac:dyDescent="0.3">
      <c r="B60" s="288">
        <v>43883</v>
      </c>
      <c r="C60" s="4">
        <v>53</v>
      </c>
      <c r="D60" s="10" t="str">
        <f>Tabella8[[#This Row],[Italy cumulative]]</f>
        <v>62</v>
      </c>
      <c r="E60" s="91">
        <f>(Tabella34[[#This Row],[Italy cumul. Data]]-D59)</f>
        <v>42</v>
      </c>
      <c r="F60" s="91">
        <f>Tabella34[[#This Row],[Italy data]]-E59</f>
        <v>25</v>
      </c>
      <c r="G60" s="162">
        <f>Tabella34[[#This Row],[Italy data]]*NOT(ISBLANK(Tabella34[[#This Row],[Italy data]]))</f>
        <v>42</v>
      </c>
      <c r="H60" s="163">
        <f>Tabella8[[#This Row],[Italy fit]]</f>
        <v>63.656950488563709</v>
      </c>
      <c r="I60" s="163">
        <f>_xlfn.LOGNORM.INV(alpha*Tabella34[[#This Row],[Italy cumul. Fit]]/Kt,mu_t,sigma_t)-(Tabella34[[#This Row],[Day]]-pt)</f>
        <v>1.3123435721637939</v>
      </c>
      <c r="J60" s="163">
        <f>Tabella34[[#This Row],[Italy d.t.]]/Italy_dt_at_lockdown</f>
        <v>0.25775538188722857</v>
      </c>
      <c r="K60" s="163">
        <f>Tabella34[[#This Row],[Italy cumul. Fit]]/Kf</f>
        <v>2.7088071428775815E-4</v>
      </c>
      <c r="L60" s="166">
        <f>Tabella34[[#This Row],[Lombardy acc. fit]]+Tabella34[[#This Row],[rest of Italy acc. fit]]</f>
        <v>18.464065414292538</v>
      </c>
      <c r="M60" s="163">
        <f>Tabella34[[#This Row],[Italy (fitted Lombardy + fitted sum of the other regions)]]/(y_l_peak+y_a_peak)</f>
        <v>3.5942560097801351E-3</v>
      </c>
      <c r="N60" s="163">
        <f>IFERROR(Kt*_xlfn.LOGNORM.DIST((Tabella34[[#This Row],[Day]]-pt),mu_t,sigma_t,FALSE),0)</f>
        <v>35.49796164913942</v>
      </c>
      <c r="O60" s="163">
        <f>Kt*EXP(-0.5*Tabella34[[#This Row],[x_t]]^2)/(sigma_t*SQRTPI(2)*(Tabella34[[#This Row],[Day]]-D_bk))</f>
        <v>35.497961649139398</v>
      </c>
      <c r="P60" s="206">
        <f>Tabella34[[#This Row],[Italy velocity]]/Tabella34[[#This Row],[Italy cumul. Fit]]</f>
        <v>0.55764470928460208</v>
      </c>
      <c r="Q60" s="269">
        <f>(LN(Tabella34[[#This Row],[Day]]-D_bk)-mu_t)/sigma_t</f>
        <v>-3.4592104477814378</v>
      </c>
      <c r="R60" s="269">
        <f>EXP(mu_t+sigma_t*Tabella34[[#This Row],[x_t_alpha©+plus]])-(Tabella34[[#This Row],[Day]]-D_bk)</f>
        <v>139.99900432195582</v>
      </c>
      <c r="S60" s="269">
        <f>EXP(mu_t+sigma_t*Tabella34[[#This Row],[x_t_alpha©-minus]])-(Tabella34[[#This Row],[Day]]-D_bk)</f>
        <v>-1.3717139166341639</v>
      </c>
      <c r="T60" s="269">
        <f>-sigma_t+SQRT(sigma_t^2-2*Tabella34[[#This Row],[c_t]])</f>
        <v>3.0528544607069588</v>
      </c>
      <c r="U60" s="269">
        <f>-sigma_t-SQRT(sigma_t^2-2*Tabella34[[#This Row],[c_t]])</f>
        <v>-3.6720913665991963</v>
      </c>
      <c r="V60" s="269">
        <f>mu_t-LN(alpha*Kt/(Tabella34[[#This Row],[Italy velocity]]*sigma_t*SQRTPI(2)))</f>
        <v>-5.6051802543229341</v>
      </c>
      <c r="W60" s="269">
        <f>Tabella34[[#This Row],[Italy g.r.]]/Italy_gr_at_lockdown</f>
        <v>3.5259512466234182</v>
      </c>
      <c r="X60" s="269">
        <f>Tabella34[[#This Row],[t_alpha_t+plus]]</f>
        <v>139.99900432195582</v>
      </c>
      <c r="Y60" s="269">
        <f>Tabella34[[#This Row],[Italy h.t.]]/Italy_ht_at_lockdown</f>
        <v>2.4932950848737399</v>
      </c>
      <c r="Z60" s="91">
        <f>IFERROR(-Kf*_xlfn.LOGNORM.DIST((Tabella34[[#This Row],[Day]]-D_bk),mu_f,sigma_f,FALSE)*(1+(LN((Tabella34[[#This Row],[Day]]-D_bk))-mu_f)/sigma_f^2)/(Tabella34[[#This Row],[Day]]-D_bk),0)</f>
        <v>16.791787808075156</v>
      </c>
      <c r="AA60" s="91">
        <f>Tabella34[[#This Row],[Italy acc. fit]]/Itali_acc_at_lockdown</f>
        <v>6.9111420379526375E-2</v>
      </c>
      <c r="AB60" s="163">
        <f>Tabella34[[#This Row],[Italy acc. fit]]/y_f_peak</f>
        <v>3.317478748969792E-3</v>
      </c>
      <c r="AC60" s="163">
        <f>Tabella34[[#This Row],[Italy (fitted Lombardy + fitted sum of the other regions)]]*NOT(ISBLANK(Tabella34[[#This Row],[Italy data]]))</f>
        <v>18.464065414292538</v>
      </c>
      <c r="AD60" s="163">
        <f>Tabella34[[#This Row],[Italy acc. fit]]*NOT(ISBLANK(Tabella34[[#This Row],[Italy data]]))</f>
        <v>16.791787808075156</v>
      </c>
      <c r="AE60" s="96">
        <f>Tabella34[[#This Row],[Italy acc. fit]]+CIf</f>
        <v>1030.5547898283928</v>
      </c>
      <c r="AF60" s="96">
        <f>MAX(Tabella34[[#This Row],[Italy acc. fit]]-CIf,0)</f>
        <v>0</v>
      </c>
      <c r="AG60" s="161"/>
      <c r="AH60" s="34"/>
      <c r="AI60" s="34"/>
      <c r="AJ60" s="162">
        <f>Tabella34[[#This Row],[Lombardy data]]*NOT(ISBLANK(Tabella34[[#This Row],[Lombardy data]]))</f>
        <v>0</v>
      </c>
      <c r="AK60" s="167">
        <f>Tabella8[[#This Row],[Lombardy fit]]</f>
        <v>100.40214228955595</v>
      </c>
      <c r="AL60" s="163">
        <f>_xlfn.LOGNORM.INV(alpha*Tabella34[[#This Row],[Lombardy cumul. Fit]]/Kr,mu_r,sigma_r)-(Tabella34[[#This Row],[Day]]-pr)</f>
        <v>1.6518502082308046</v>
      </c>
      <c r="AM60" s="162">
        <f>Tabella34[[#This Row],[Lombardy cumul. Fit]]/Kl</f>
        <v>1.1540476125236317E-3</v>
      </c>
      <c r="AN60" s="163">
        <f>IFERROR(Kr*_xlfn.LOGNORM.DIST((Tabella34[[#This Row],[Day]]-pr),mu_r,sigma_r,FALSE),0)</f>
        <v>45.059429969357659</v>
      </c>
      <c r="AO60" s="206">
        <f>Tabella34[[#This Row],[Lombardy velocity]]/Tabella34[[#This Row],[Lombardy cumul. Fit]]</f>
        <v>0.44878952721355264</v>
      </c>
      <c r="AP60" s="261">
        <f>(LN(Tabella34[[#This Row],[Day]]-pr)-mu_r)/sigma_r</f>
        <v>-3.0474270754411052</v>
      </c>
      <c r="AQ60" s="269">
        <f>EXP(mu_r+sigma_r*Tabella34[[#This Row],[x_r_alpha©+plus]])-(Tabella34[[#This Row],[Day]]-pr)</f>
        <v>127.73158392598322</v>
      </c>
      <c r="AR60" s="269">
        <f>EXP(mu_r+sigma_r*Tabella34[[#This Row],[x_r_alpha©-minus]])-(Tabella34[[#This Row],[Day]]-pr)</f>
        <v>-1.7424996902264667</v>
      </c>
      <c r="AS60" s="269">
        <f>-sigma_r+SQRT(sigma_r^2-2*Tabella34[[#This Row],[c_r]])</f>
        <v>2.6115452881584149</v>
      </c>
      <c r="AT60" s="269">
        <f>-sigma_r-SQRT(sigma_r^2-2*Tabella34[[#This Row],[c_r]])</f>
        <v>-3.2923998853521441</v>
      </c>
      <c r="AU60" s="269">
        <f>mu_r-LN(alpha*Kr/(Tabella34[[#This Row],[Lombardy velocity]]*sigma_r*SQRTPI(2)))</f>
        <v>-4.2991257036623489</v>
      </c>
      <c r="AV60" s="269">
        <f>Tabella34[[#This Row],[t_alpha_r+plus]]</f>
        <v>127.73158392598322</v>
      </c>
      <c r="AW60" s="91">
        <f>IFERROR(-Kl*_xlfn.LOGNORM.DIST((Tabella34[[#This Row],[Day]]-pl),mu_l,sigma_l,FALSE)*(1+(LN((Tabella34[[#This Row],[Day]]-pl))-mu_l)/sigma_l^2)/(Tabella34[[#This Row],[Day]]-pl),0)</f>
        <v>16.452649411897646</v>
      </c>
      <c r="AX60" s="163">
        <f>Tabella34[[#This Row],[Lombardy acc. fit]]/y_l_peak</f>
        <v>9.3589735530263795E-3</v>
      </c>
      <c r="AY60" s="163">
        <f>Tabella34[[#This Row],[Lombardy acc. fit]]*NOT(ISBLANK(Tabella34[[#This Row],[Lombardy data]]))</f>
        <v>0</v>
      </c>
      <c r="AZ60" s="96">
        <f>Tabella34[[#This Row],[Lombardy acc. fit]]+CIl</f>
        <v>765.40802121552122</v>
      </c>
      <c r="BA60" s="96">
        <f>MAX(Tabella34[[#This Row],[Lombardy acc. fit]]-CIl,0)</f>
        <v>0</v>
      </c>
      <c r="BB60" s="161"/>
      <c r="BC60" s="34"/>
      <c r="BD60" s="34"/>
      <c r="BE60" s="162">
        <f>Tabella34[[#This Row],[rest of Italy data]]*NOT(ISBLANK(Tabella34[[#This Row],[rest of Italy data]]))</f>
        <v>0</v>
      </c>
      <c r="BF60" s="211">
        <f>Tabella8[[#This Row],[rest of Italy fit]]</f>
        <v>2.9634107340692979</v>
      </c>
      <c r="BG60" s="163">
        <f>_xlfn.LOGNORM.INV(alpha*Tabella34[[#This Row],[rest of Italy cumul. Fit]]/Ko,mu_o,sigma_o)-(Tabella34[[#This Row],[Day]]-po)</f>
        <v>0.8226594516311394</v>
      </c>
      <c r="BH60" s="163">
        <f>Tabella34[[#This Row],[rest of Italy cumul. Fit]]/Ka</f>
        <v>2.0023047831381367E-5</v>
      </c>
      <c r="BI60" s="163">
        <f>IFERROR(Ko*_xlfn.LOGNORM.DIST((Tabella34[[#This Row],[Day]]-po),mu_o,sigma_o,FALSE),0)</f>
        <v>2.6104279071784542</v>
      </c>
      <c r="BJ60" s="206">
        <f>Tabella34[[#This Row],[rest of Italy velocity]]/Tabella34[[#This Row],[rest of Italy cumul. Fit]]</f>
        <v>0.88088629671455143</v>
      </c>
      <c r="BK60" s="261">
        <f>(LN(Tabella34[[#This Row],[Day]]-po)-mu_o)/sigma_o</f>
        <v>-4.1072135464010247</v>
      </c>
      <c r="BL60" s="269">
        <f>EXP(mu_o+sigma_o*Tabella34[[#This Row],[x_o_alpha©+plus]])-(Tabella34[[#This Row],[Day]]-po)</f>
        <v>169.34428026089842</v>
      </c>
      <c r="BM60" s="269">
        <f>EXP(mu_o+sigma_o*Tabella34[[#This Row],[x_o_alpha©-minus]])-(Tabella34[[#This Row],[Day]]-po)</f>
        <v>-0.85401939388852455</v>
      </c>
      <c r="BN60" s="269">
        <f>-sigma_o+SQRT(sigma_o^2-2*Tabella34[[#This Row],[c_o]])</f>
        <v>3.6431099935888134</v>
      </c>
      <c r="BO60" s="269">
        <f>-sigma_o-SQRT(sigma_o^2-2*Tabella34[[#This Row],[c_o]])</f>
        <v>-4.2860827708878393</v>
      </c>
      <c r="BP60" s="269">
        <f>mu_o-LN(alpha*Ko/(Tabella34[[#This Row],[rest of Italy velocity]]*sigma_o*SQRTPI(2)))</f>
        <v>-7.8073354879851609</v>
      </c>
      <c r="BQ60" s="269">
        <f>Tabella34[[#This Row],[t_alpha_o+plus]]</f>
        <v>169.34428026089842</v>
      </c>
      <c r="BR60" s="91">
        <f>IFERROR(-Ka*_xlfn.LOGNORM.DIST((Tabella34[[#This Row],[Day]]-pa),mu_a,sigma_a,FALSE)*(1+(LN((Tabella34[[#This Row],[Day]]-pa))-mu_a)/sigma_a^2)/(Tabella34[[#This Row],[Day]]-pa),0)</f>
        <v>2.011416002394891</v>
      </c>
      <c r="BS60" s="163">
        <f>Tabella34[[#This Row],[rest of Italy acc. fit]]/y_a_peak</f>
        <v>5.9524334036084928E-4</v>
      </c>
      <c r="BT60" s="162">
        <f>Tabella34[[#This Row],[rest of Italy acc. fit]]*NOT(ISBLANK(Tabella34[[#This Row],[rest of Italy data]]))</f>
        <v>0</v>
      </c>
      <c r="BU60" s="96">
        <f>Tabella34[[#This Row],[rest of Italy acc. fit]]+CIa</f>
        <v>696.66345186599222</v>
      </c>
      <c r="BV60" s="96">
        <f>MAX(Tabella34[[#This Row],[rest of Italy acc. fit]]-CIa,0)</f>
        <v>0</v>
      </c>
    </row>
    <row r="61" spans="2:79" ht="15" thickBot="1" x14ac:dyDescent="0.35">
      <c r="B61" s="288">
        <v>43884</v>
      </c>
      <c r="C61" s="4">
        <v>54</v>
      </c>
      <c r="D61" s="10" t="str">
        <f>Tabella8[[#This Row],[Italy cumulative]]</f>
        <v>155</v>
      </c>
      <c r="E61" s="91">
        <f>(Tabella34[[#This Row],[Italy cumul. Data]]-D60)</f>
        <v>93</v>
      </c>
      <c r="F61" s="91">
        <f>Tabella34[[#This Row],[Italy data]]-E60</f>
        <v>51</v>
      </c>
      <c r="G61" s="162">
        <f>Tabella34[[#This Row],[Italy data]]*NOT(ISBLANK(Tabella34[[#This Row],[Italy data]]))</f>
        <v>93</v>
      </c>
      <c r="H61" s="163">
        <f>Tabella8[[#This Row],[Italy fit]]</f>
        <v>108.68322883616682</v>
      </c>
      <c r="I61" s="163">
        <f>_xlfn.LOGNORM.INV(alpha*Tabella34[[#This Row],[Italy cumul. Fit]]/Kt,mu_t,sigma_t)-(Tabella34[[#This Row],[Day]]-pt)</f>
        <v>1.4308417691312449</v>
      </c>
      <c r="J61" s="163">
        <f>Tabella34[[#This Row],[Italy d.t.]]/Italy_dt_at_lockdown</f>
        <v>0.28102943043682682</v>
      </c>
      <c r="K61" s="163">
        <f>Tabella34[[#This Row],[Italy cumul. Fit]]/Kf</f>
        <v>4.6248195102481103E-4</v>
      </c>
      <c r="L61" s="166">
        <f>Tabella34[[#This Row],[Lombardy acc. fit]]+Tabella34[[#This Row],[rest of Italy acc. fit]]</f>
        <v>24.900998466106898</v>
      </c>
      <c r="M61" s="163">
        <f>Tabella34[[#This Row],[Italy (fitted Lombardy + fitted sum of the other regions)]]/(y_l_peak+y_a_peak)</f>
        <v>4.8472837036772336E-3</v>
      </c>
      <c r="N61" s="163">
        <f>IFERROR(Kt*_xlfn.LOGNORM.DIST((Tabella34[[#This Row],[Day]]-pt),mu_t,sigma_t,FALSE),0)</f>
        <v>55.760527489184952</v>
      </c>
      <c r="O61" s="163">
        <f>Kt*EXP(-0.5*Tabella34[[#This Row],[x_t]]^2)/(sigma_t*SQRTPI(2)*(Tabella34[[#This Row],[Day]]-D_bk))</f>
        <v>55.760527489185073</v>
      </c>
      <c r="P61" s="206">
        <f>Tabella34[[#This Row],[Italy velocity]]/Tabella34[[#This Row],[Italy cumul. Fit]]</f>
        <v>0.51305549242781945</v>
      </c>
      <c r="Q61" s="269">
        <f>(LN(Tabella34[[#This Row],[Day]]-D_bk)-mu_t)/sigma_t</f>
        <v>-3.3124084612763895</v>
      </c>
      <c r="R61" s="269">
        <f>EXP(mu_t+sigma_t*Tabella34[[#This Row],[x_t_alpha©+plus]])-(Tabella34[[#This Row],[Day]]-D_bk)</f>
        <v>132.28693879477393</v>
      </c>
      <c r="S61" s="269">
        <f>EXP(mu_t+sigma_t*Tabella34[[#This Row],[x_t_alpha©-minus]])-(Tabella34[[#This Row],[Day]]-D_bk)</f>
        <v>-1.4987075812024493</v>
      </c>
      <c r="T61" s="269">
        <f>-sigma_t+SQRT(sigma_t^2-2*Tabella34[[#This Row],[c_t]])</f>
        <v>2.9157562842352842</v>
      </c>
      <c r="U61" s="269">
        <f>-sigma_t-SQRT(sigma_t^2-2*Tabella34[[#This Row],[c_t]])</f>
        <v>-3.5349931901275218</v>
      </c>
      <c r="V61" s="269">
        <f>mu_t-LN(alpha*Kt/(Tabella34[[#This Row],[Italy velocity]]*sigma_t*SQRTPI(2)))</f>
        <v>-5.1535893044216285</v>
      </c>
      <c r="W61" s="269">
        <f>Tabella34[[#This Row],[Italy g.r.]]/Italy_gr_at_lockdown</f>
        <v>3.2440165269991073</v>
      </c>
      <c r="X61" s="269">
        <f>Tabella34[[#This Row],[t_alpha_t+plus]]</f>
        <v>132.28693879477393</v>
      </c>
      <c r="Y61" s="269">
        <f>Tabella34[[#This Row],[Italy h.t.]]/Italy_ht_at_lockdown</f>
        <v>2.3559480003978597</v>
      </c>
      <c r="Z61" s="91">
        <f>IFERROR(-Kf*_xlfn.LOGNORM.DIST((Tabella34[[#This Row],[Day]]-D_bk),mu_f,sigma_f,FALSE)*(1+(LN((Tabella34[[#This Row],[Day]]-D_bk))-mu_f)/sigma_f^2)/(Tabella34[[#This Row],[Day]]-D_bk),0)</f>
        <v>24.029860203770458</v>
      </c>
      <c r="AA61" s="91">
        <f>Tabella34[[#This Row],[Italy acc. fit]]/Itali_acc_at_lockdown</f>
        <v>9.8901783966409099E-2</v>
      </c>
      <c r="AB61" s="163">
        <f>Tabella34[[#This Row],[Italy acc. fit]]/y_f_peak</f>
        <v>4.7474724834473446E-3</v>
      </c>
      <c r="AC61" s="163">
        <f>Tabella34[[#This Row],[Italy (fitted Lombardy + fitted sum of the other regions)]]*NOT(ISBLANK(Tabella34[[#This Row],[Italy data]]))</f>
        <v>24.900998466106898</v>
      </c>
      <c r="AD61" s="163">
        <f>Tabella34[[#This Row],[Italy acc. fit]]*NOT(ISBLANK(Tabella34[[#This Row],[Italy data]]))</f>
        <v>24.029860203770458</v>
      </c>
      <c r="AE61" s="96">
        <f>Tabella34[[#This Row],[Italy acc. fit]]+CIf</f>
        <v>1037.7928622240881</v>
      </c>
      <c r="AF61" s="96">
        <f>MAX(Tabella34[[#This Row],[Italy acc. fit]]-CIf,0)</f>
        <v>0</v>
      </c>
      <c r="AG61" s="161"/>
      <c r="AH61" s="34"/>
      <c r="AI61" s="34"/>
      <c r="AJ61" s="162">
        <f>Tabella34[[#This Row],[Lombardy data]]*NOT(ISBLANK(Tabella34[[#This Row],[Lombardy data]]))</f>
        <v>0</v>
      </c>
      <c r="AK61" s="167">
        <f>Tabella8[[#This Row],[Lombardy fit]]</f>
        <v>154.45315185535208</v>
      </c>
      <c r="AL61" s="163">
        <f>_xlfn.LOGNORM.INV(alpha*Tabella34[[#This Row],[Lombardy cumul. Fit]]/Kr,mu_r,sigma_r)-(Tabella34[[#This Row],[Day]]-pr)</f>
        <v>1.8006222140349131</v>
      </c>
      <c r="AM61" s="162">
        <f>Tabella34[[#This Row],[Lombardy cumul. Fit]]/Kl</f>
        <v>1.7753235845442768E-3</v>
      </c>
      <c r="AN61" s="163">
        <f>IFERROR(Kr*_xlfn.LOGNORM.DIST((Tabella34[[#This Row],[Day]]-pr),mu_r,sigma_r,FALSE),0)</f>
        <v>63.833835847445826</v>
      </c>
      <c r="AO61" s="206">
        <f>Tabella34[[#This Row],[Lombardy velocity]]/Tabella34[[#This Row],[Lombardy cumul. Fit]]</f>
        <v>0.41328930540198539</v>
      </c>
      <c r="AP61" s="261">
        <f>(LN(Tabella34[[#This Row],[Day]]-pr)-mu_r)/sigma_r</f>
        <v>-2.9155477960322029</v>
      </c>
      <c r="AQ61" s="269">
        <f>EXP(mu_r+sigma_r*Tabella34[[#This Row],[x_r_alpha©+plus]])-(Tabella34[[#This Row],[Day]]-pr)</f>
        <v>120.72519195223074</v>
      </c>
      <c r="AR61" s="269">
        <f>EXP(mu_r+sigma_r*Tabella34[[#This Row],[x_r_alpha©-minus]])-(Tabella34[[#This Row],[Day]]-pr)</f>
        <v>-1.9039123965405302</v>
      </c>
      <c r="AS61" s="269">
        <f>-sigma_r+SQRT(sigma_r^2-2*Tabella34[[#This Row],[c_r]])</f>
        <v>2.4910987806458311</v>
      </c>
      <c r="AT61" s="269">
        <f>-sigma_r-SQRT(sigma_r^2-2*Tabella34[[#This Row],[c_r]])</f>
        <v>-3.1719533778395603</v>
      </c>
      <c r="AU61" s="269">
        <f>mu_r-LN(alpha*Kr/(Tabella34[[#This Row],[Lombardy velocity]]*sigma_r*SQRTPI(2)))</f>
        <v>-3.9508245959007775</v>
      </c>
      <c r="AV61" s="269">
        <f>Tabella34[[#This Row],[t_alpha_r+plus]]</f>
        <v>120.72519195223074</v>
      </c>
      <c r="AW61" s="91">
        <f>IFERROR(-Kl*_xlfn.LOGNORM.DIST((Tabella34[[#This Row],[Day]]-pl),mu_l,sigma_l,FALSE)*(1+(LN((Tabella34[[#This Row],[Day]]-pl))-mu_l)/sigma_l^2)/(Tabella34[[#This Row],[Day]]-pl),0)</f>
        <v>21.198866718914537</v>
      </c>
      <c r="AX61" s="163">
        <f>Tabella34[[#This Row],[Lombardy acc. fit]]/y_l_peak</f>
        <v>1.2058825786014781E-2</v>
      </c>
      <c r="AY61" s="163">
        <f>Tabella34[[#This Row],[Lombardy acc. fit]]*NOT(ISBLANK(Tabella34[[#This Row],[Lombardy data]]))</f>
        <v>0</v>
      </c>
      <c r="AZ61" s="96">
        <f>Tabella34[[#This Row],[Lombardy acc. fit]]+CIl</f>
        <v>770.15423852253821</v>
      </c>
      <c r="BA61" s="96">
        <f>MAX(Tabella34[[#This Row],[Lombardy acc. fit]]-CIl,0)</f>
        <v>0</v>
      </c>
      <c r="BB61" s="161"/>
      <c r="BC61" s="34"/>
      <c r="BD61" s="34"/>
      <c r="BE61" s="162">
        <f>Tabella34[[#This Row],[rest of Italy data]]*NOT(ISBLANK(Tabella34[[#This Row],[rest of Italy data]]))</f>
        <v>0</v>
      </c>
      <c r="BF61" s="211">
        <f>Tabella8[[#This Row],[rest of Italy fit]]</f>
        <v>6.8282200200796863</v>
      </c>
      <c r="BG61" s="163">
        <f>_xlfn.LOGNORM.INV(alpha*Tabella34[[#This Row],[rest of Italy cumul. Fit]]/Ko,mu_o,sigma_o)-(Tabella34[[#This Row],[Day]]-po)</f>
        <v>0.91895316773898017</v>
      </c>
      <c r="BH61" s="163">
        <f>Tabella34[[#This Row],[rest of Italy cumul. Fit]]/Ka</f>
        <v>4.6136627128129388E-5</v>
      </c>
      <c r="BI61" s="163">
        <f>IFERROR(Ko*_xlfn.LOGNORM.DIST((Tabella34[[#This Row],[Day]]-po),mu_o,sigma_o,FALSE),0)</f>
        <v>5.4002727358958271</v>
      </c>
      <c r="BJ61" s="206">
        <f>Tabella34[[#This Row],[rest of Italy velocity]]/Tabella34[[#This Row],[rest of Italy cumul. Fit]]</f>
        <v>0.79087561912406057</v>
      </c>
      <c r="BK61" s="261">
        <f>(LN(Tabella34[[#This Row],[Day]]-po)-mu_o)/sigma_o</f>
        <v>-3.9100598530036748</v>
      </c>
      <c r="BL61" s="269">
        <f>EXP(mu_o+sigma_o*Tabella34[[#This Row],[x_o_alpha©+plus]])-(Tabella34[[#This Row],[Day]]-po)</f>
        <v>157.52695933373116</v>
      </c>
      <c r="BM61" s="269">
        <f>EXP(mu_o+sigma_o*Tabella34[[#This Row],[x_o_alpha©-minus]])-(Tabella34[[#This Row],[Day]]-po)</f>
        <v>-0.95603463887003137</v>
      </c>
      <c r="BN61" s="269">
        <f>-sigma_o+SQRT(sigma_o^2-2*Tabella34[[#This Row],[c_o]])</f>
        <v>3.4553050896011359</v>
      </c>
      <c r="BO61" s="269">
        <f>-sigma_o-SQRT(sigma_o^2-2*Tabella34[[#This Row],[c_o]])</f>
        <v>-4.0982778669001618</v>
      </c>
      <c r="BP61" s="269">
        <f>mu_o-LN(alpha*Ko/(Tabella34[[#This Row],[rest of Italy velocity]]*sigma_o*SQRTPI(2)))</f>
        <v>-7.0804001860499097</v>
      </c>
      <c r="BQ61" s="269">
        <f>Tabella34[[#This Row],[t_alpha_o+plus]]</f>
        <v>157.52695933373116</v>
      </c>
      <c r="BR61" s="91">
        <f>IFERROR(-Ka*_xlfn.LOGNORM.DIST((Tabella34[[#This Row],[Day]]-pa),mu_a,sigma_a,FALSE)*(1+(LN((Tabella34[[#This Row],[Day]]-pa))-mu_a)/sigma_a^2)/(Tabella34[[#This Row],[Day]]-pa),0)</f>
        <v>3.7021317471923627</v>
      </c>
      <c r="BS61" s="163">
        <f>Tabella34[[#This Row],[rest of Italy acc. fit]]/y_a_peak</f>
        <v>1.0955810558486816E-3</v>
      </c>
      <c r="BT61" s="162">
        <f>Tabella34[[#This Row],[rest of Italy acc. fit]]*NOT(ISBLANK(Tabella34[[#This Row],[rest of Italy data]]))</f>
        <v>0</v>
      </c>
      <c r="BU61" s="96">
        <f>Tabella34[[#This Row],[rest of Italy acc. fit]]+CIa</f>
        <v>698.35416761078966</v>
      </c>
      <c r="BV61" s="96">
        <f>MAX(Tabella34[[#This Row],[rest of Italy acc. fit]]-CIa,0)</f>
        <v>0</v>
      </c>
    </row>
    <row r="62" spans="2:79" ht="15" thickBot="1" x14ac:dyDescent="0.35">
      <c r="B62" s="288">
        <v>43885</v>
      </c>
      <c r="C62" s="197">
        <v>55</v>
      </c>
      <c r="D62" s="198">
        <f>Tabella8[[#This Row],[Italy cumulative]]</f>
        <v>229</v>
      </c>
      <c r="E62" s="199">
        <f>(Tabella34[[#This Row],[Italy cumul. Data]]-D61)</f>
        <v>74</v>
      </c>
      <c r="F62" s="199">
        <f>Tabella34[[#This Row],[Italy data]]-E61</f>
        <v>-19</v>
      </c>
      <c r="G62" s="200">
        <f>Tabella34[[#This Row],[Italy data]]*NOT(ISBLANK(Tabella34[[#This Row],[Italy data]]))</f>
        <v>74</v>
      </c>
      <c r="H62" s="201">
        <f>Tabella8[[#This Row],[Italy fit]]</f>
        <v>177.89291256402961</v>
      </c>
      <c r="I62" s="201">
        <f>_xlfn.LOGNORM.INV(alpha*Tabella34[[#This Row],[Italy cumul. Fit]]/Kt,mu_t,sigma_t)-(Tabella34[[#This Row],[Day]]-pt)</f>
        <v>1.5565821807200138</v>
      </c>
      <c r="J62" s="201">
        <f>Tabella34[[#This Row],[Italy d.t.]]/Italy_dt_at_lockdown</f>
        <v>0.30572591121760462</v>
      </c>
      <c r="K62" s="200">
        <f>Tabella34[[#This Row],[Italy cumul. Fit]]/Kf</f>
        <v>7.5699132384186732E-4</v>
      </c>
      <c r="L62" s="202">
        <f>Tabella34[[#This Row],[Lombardy acc. fit]]+Tabella34[[#This Row],[rest of Italy acc. fit]]</f>
        <v>32.840934149319715</v>
      </c>
      <c r="M62" s="200">
        <f>Tabella34[[#This Row],[Italy (fitted Lombardy + fitted sum of the other regions)]]/(y_l_peak+y_a_peak)</f>
        <v>6.3928892302133767E-3</v>
      </c>
      <c r="N62" s="201">
        <f>IFERROR(Kt*_xlfn.LOGNORM.DIST((Tabella34[[#This Row],[Day]]-pt),mu_t,sigma_t,FALSE),0)</f>
        <v>84.171379422834548</v>
      </c>
      <c r="O62" s="201">
        <f>Kt*EXP(-0.5*Tabella34[[#This Row],[x_t]]^2)/(sigma_t*SQRTPI(2)*(Tabella34[[#This Row],[Day]]-D_bk))</f>
        <v>84.171379422834661</v>
      </c>
      <c r="P62" s="207">
        <f>Tabella34[[#This Row],[Italy velocity]]/Tabella34[[#This Row],[Italy cumul. Fit]]</f>
        <v>0.47315757671086783</v>
      </c>
      <c r="Q62" s="270">
        <f>(LN(Tabella34[[#This Row],[Day]]-D_bk)-mu_t)/sigma_t</f>
        <v>-3.1719899144590364</v>
      </c>
      <c r="R62" s="270">
        <f>EXP(mu_t+sigma_t*Tabella34[[#This Row],[x_t_alpha©+plus]])-(Tabella34[[#This Row],[Day]]-D_bk)</f>
        <v>125.16625533072093</v>
      </c>
      <c r="S62" s="270">
        <f>EXP(mu_t+sigma_t*Tabella34[[#This Row],[x_t_alpha©-minus]])-(Tabella34[[#This Row],[Day]]-D_bk)</f>
        <v>-1.6339040039410548</v>
      </c>
      <c r="T62" s="270">
        <f>-sigma_t+SQRT(sigma_t^2-2*Tabella34[[#This Row],[c_t]])</f>
        <v>2.7854525874023079</v>
      </c>
      <c r="U62" s="270">
        <f>-sigma_t-SQRT(sigma_t^2-2*Tabella34[[#This Row],[c_t]])</f>
        <v>-3.4046894932945455</v>
      </c>
      <c r="V62" s="270">
        <f>mu_t-LN(alpha*Kt/(Tabella34[[#This Row],[Italy velocity]]*sigma_t*SQRTPI(2)))</f>
        <v>-4.7418005791993716</v>
      </c>
      <c r="W62" s="270">
        <f>Tabella34[[#This Row],[Italy g.r.]]/Italy_gr_at_lockdown</f>
        <v>2.9917445995198051</v>
      </c>
      <c r="X62" s="270">
        <f>Tabella34[[#This Row],[t_alpha_t+plus]]</f>
        <v>125.16625533072093</v>
      </c>
      <c r="Y62" s="270">
        <f>Tabella34[[#This Row],[Italy h.t.]]/Italy_ht_at_lockdown</f>
        <v>2.2291330621927545</v>
      </c>
      <c r="Z62" s="199">
        <f>IFERROR(-Kf*_xlfn.LOGNORM.DIST((Tabella34[[#This Row],[Day]]-D_bk),mu_f,sigma_f,FALSE)*(1+(LN((Tabella34[[#This Row],[Day]]-D_bk))-mu_f)/sigma_f^2)/(Tabella34[[#This Row],[Day]]-D_bk),0)</f>
        <v>33.106127579223184</v>
      </c>
      <c r="AA62" s="199">
        <f>Tabella34[[#This Row],[Italy acc. fit]]/Itali_acc_at_lockdown</f>
        <v>0.13625776638063652</v>
      </c>
      <c r="AB62" s="200">
        <f>Tabella34[[#This Row],[Italy acc. fit]]/y_f_peak</f>
        <v>6.5406302152019244E-3</v>
      </c>
      <c r="AC62" s="201">
        <f>Tabella34[[#This Row],[Italy (fitted Lombardy + fitted sum of the other regions)]]*NOT(ISBLANK(Tabella34[[#This Row],[Italy data]]))</f>
        <v>32.840934149319715</v>
      </c>
      <c r="AD62" s="201">
        <f>Tabella34[[#This Row],[Italy acc. fit]]*NOT(ISBLANK(Tabella34[[#This Row],[Italy data]]))</f>
        <v>33.106127579223184</v>
      </c>
      <c r="AE62" s="200">
        <f>Tabella34[[#This Row],[Italy acc. fit]]+CIf</f>
        <v>1046.8691295995409</v>
      </c>
      <c r="AF62" s="200">
        <f>MAX(Tabella34[[#This Row],[Italy acc. fit]]-CIf,0)</f>
        <v>0</v>
      </c>
      <c r="AG62" s="203">
        <f>Tabella8[[#This Row],[Lombardy]]</f>
        <v>172</v>
      </c>
      <c r="AH62" s="204"/>
      <c r="AI62" s="204"/>
      <c r="AJ62" s="200">
        <f>Tabella34[[#This Row],[Lombardy data]]*NOT(ISBLANK(Tabella34[[#This Row],[Lombardy data]]))</f>
        <v>0</v>
      </c>
      <c r="AK62" s="200">
        <f>Tabella8[[#This Row],[Lombardy fit]]</f>
        <v>229.75081032074394</v>
      </c>
      <c r="AL62" s="201">
        <f>_xlfn.LOGNORM.INV(alpha*Tabella34[[#This Row],[Lombardy cumul. Fit]]/Kr,mu_r,sigma_r)-(Tabella34[[#This Row],[Day]]-pr)</f>
        <v>1.9585803411095704</v>
      </c>
      <c r="AM62" s="200">
        <f>Tabella34[[#This Row],[Lombardy cumul. Fit]]/Kl</f>
        <v>2.640813911732689E-3</v>
      </c>
      <c r="AN62" s="200">
        <f>IFERROR(Kr*_xlfn.LOGNORM.DIST((Tabella34[[#This Row],[Day]]-pr),mu_r,sigma_r,FALSE),0)</f>
        <v>87.648093905472948</v>
      </c>
      <c r="AO62" s="208">
        <f>Tabella34[[#This Row],[Lombardy velocity]]/Tabella34[[#This Row],[Lombardy cumul. Fit]]</f>
        <v>0.38149199031381742</v>
      </c>
      <c r="AP62" s="265">
        <f>(LN(Tabella34[[#This Row],[Day]]-pr)-mu_r)/sigma_r</f>
        <v>-2.7893357558029925</v>
      </c>
      <c r="AQ62" s="270">
        <f>EXP(mu_r+sigma_r*Tabella34[[#This Row],[x_r_alpha©+plus]])-(Tabella34[[#This Row],[Day]]-pr)</f>
        <v>114.2497297966359</v>
      </c>
      <c r="AR62" s="270">
        <f>EXP(mu_r+sigma_r*Tabella34[[#This Row],[x_r_alpha©-minus]])-(Tabella34[[#This Row],[Day]]-pr)</f>
        <v>-2.0758594084561821</v>
      </c>
      <c r="AS62" s="270">
        <f>-sigma_r+SQRT(sigma_r^2-2*Tabella34[[#This Row],[c_r]])</f>
        <v>2.3768225965904715</v>
      </c>
      <c r="AT62" s="270">
        <f>-sigma_r-SQRT(sigma_r^2-2*Tabella34[[#This Row],[c_r]])</f>
        <v>-3.0576771937842007</v>
      </c>
      <c r="AU62" s="270">
        <f>mu_r-LN(alpha*Kr/(Tabella34[[#This Row],[Lombardy velocity]]*sigma_r*SQRTPI(2)))</f>
        <v>-3.6337781236328155</v>
      </c>
      <c r="AV62" s="270">
        <f>Tabella34[[#This Row],[t_alpha_r+plus]]</f>
        <v>114.2497297966359</v>
      </c>
      <c r="AW62" s="199">
        <f>IFERROR(-Kl*_xlfn.LOGNORM.DIST((Tabella34[[#This Row],[Day]]-pl),mu_l,sigma_l,FALSE)*(1+(LN((Tabella34[[#This Row],[Day]]-pl))-mu_l)/sigma_l^2)/(Tabella34[[#This Row],[Day]]-pl),0)</f>
        <v>26.516687225262309</v>
      </c>
      <c r="AX62" s="200">
        <f>Tabella34[[#This Row],[Lombardy acc. fit]]/y_l_peak</f>
        <v>1.5083830466577641E-2</v>
      </c>
      <c r="AY62" s="201">
        <f>Tabella34[[#This Row],[Lombardy acc. fit]]*NOT(ISBLANK(Tabella34[[#This Row],[Lombardy data]]))</f>
        <v>0</v>
      </c>
      <c r="AZ62" s="200">
        <f>Tabella34[[#This Row],[Lombardy acc. fit]]+CIl</f>
        <v>775.47205902888595</v>
      </c>
      <c r="BA62" s="200">
        <f>MAX(Tabella34[[#This Row],[Lombardy acc. fit]]-CIl,0)</f>
        <v>0</v>
      </c>
      <c r="BB62" s="198">
        <f>Tabella8[[#This Row],[rest of Italy ]]</f>
        <v>57</v>
      </c>
      <c r="BC62" s="204"/>
      <c r="BD62" s="204"/>
      <c r="BE62" s="200">
        <f>Tabella34[[#This Row],[rest of Italy data]]*NOT(ISBLANK(Tabella34[[#This Row],[rest of Italy data]]))</f>
        <v>0</v>
      </c>
      <c r="BF62" s="200">
        <f>Tabella8[[#This Row],[rest of Italy fit]]</f>
        <v>14.472768060535266</v>
      </c>
      <c r="BG62" s="201">
        <f>_xlfn.LOGNORM.INV(alpha*Tabella34[[#This Row],[rest of Italy cumul. Fit]]/Ko,mu_o,sigma_o)-(Tabella34[[#This Row],[Day]]-po)</f>
        <v>1.0218391596502805</v>
      </c>
      <c r="BH62" s="200">
        <f>Tabella34[[#This Row],[rest of Italy cumul. Fit]]/Ka</f>
        <v>9.7788984765757959E-5</v>
      </c>
      <c r="BI62" s="201">
        <f>IFERROR(Ko*_xlfn.LOGNORM.DIST((Tabella34[[#This Row],[Day]]-po),mu_o,sigma_o,FALSE),0)</f>
        <v>10.325132476591177</v>
      </c>
      <c r="BJ62" s="207">
        <f>Tabella34[[#This Row],[rest of Italy velocity]]/Tabella34[[#This Row],[rest of Italy cumul. Fit]]</f>
        <v>0.71341794696109495</v>
      </c>
      <c r="BK62" s="262">
        <f>(LN(Tabella34[[#This Row],[Day]]-po)-mu_o)/sigma_o</f>
        <v>-3.7246608608293439</v>
      </c>
      <c r="BL62" s="270">
        <f>EXP(mu_o+sigma_o*Tabella34[[#This Row],[x_o_alpha©+plus]])-(Tabella34[[#This Row],[Day]]-po)</f>
        <v>146.9816559251986</v>
      </c>
      <c r="BM62" s="270">
        <f>EXP(mu_o+sigma_o*Tabella34[[#This Row],[x_o_alpha©-minus]])-(Tabella34[[#This Row],[Day]]-po)</f>
        <v>-1.0654178972420922</v>
      </c>
      <c r="BN62" s="270">
        <f>-sigma_o+SQRT(sigma_o^2-2*Tabella34[[#This Row],[c_o]])</f>
        <v>3.2796093958605796</v>
      </c>
      <c r="BO62" s="270">
        <f>-sigma_o-SQRT(sigma_o^2-2*Tabella34[[#This Row],[c_o]])</f>
        <v>-3.922582173159606</v>
      </c>
      <c r="BP62" s="270">
        <f>mu_o-LN(alpha*Ko/(Tabella34[[#This Row],[rest of Italy velocity]]*sigma_o*SQRTPI(2)))</f>
        <v>-6.4322686755647274</v>
      </c>
      <c r="BQ62" s="270">
        <f>Tabella34[[#This Row],[t_alpha_o+plus]]</f>
        <v>146.9816559251986</v>
      </c>
      <c r="BR62" s="199">
        <f>IFERROR(-Ka*_xlfn.LOGNORM.DIST((Tabella34[[#This Row],[Day]]-pa),mu_a,sigma_a,FALSE)*(1+(LN((Tabella34[[#This Row],[Day]]-pa))-mu_a)/sigma_a^2)/(Tabella34[[#This Row],[Day]]-pa),0)</f>
        <v>6.3242469240574071</v>
      </c>
      <c r="BS62" s="200">
        <f>Tabella34[[#This Row],[rest of Italy acc. fit]]/y_a_peak</f>
        <v>1.8715501218348658E-3</v>
      </c>
      <c r="BT62" s="200">
        <f>Tabella34[[#This Row],[rest of Italy acc. fit]]*NOT(ISBLANK(Tabella34[[#This Row],[rest of Italy data]]))</f>
        <v>0</v>
      </c>
      <c r="BU62" s="200">
        <f>Tabella34[[#This Row],[rest of Italy acc. fit]]+CIa</f>
        <v>700.97628278765478</v>
      </c>
      <c r="BV62" s="205">
        <f>MAX(Tabella34[[#This Row],[rest of Italy acc. fit]]-CIa,0)</f>
        <v>0</v>
      </c>
    </row>
    <row r="63" spans="2:79" x14ac:dyDescent="0.3">
      <c r="B63" s="288">
        <v>43886</v>
      </c>
      <c r="C63" s="30">
        <v>56</v>
      </c>
      <c r="D63" s="10">
        <f>Tabella8[[#This Row],[Italy cumulative]]</f>
        <v>322</v>
      </c>
      <c r="E63" s="91">
        <f>(Tabella34[[#This Row],[Italy cumul. Data]]-D62)</f>
        <v>93</v>
      </c>
      <c r="F63" s="91">
        <f>Tabella34[[#This Row],[Italy data]]-E62</f>
        <v>19</v>
      </c>
      <c r="G63" s="96">
        <f>Tabella34[[#This Row],[Italy data]]*NOT(ISBLANK(Tabella34[[#This Row],[Italy data]]))</f>
        <v>93</v>
      </c>
      <c r="H63" s="163">
        <f>Tabella8[[#This Row],[Italy fit]]</f>
        <v>280.36735611097754</v>
      </c>
      <c r="I63" s="163">
        <f>_xlfn.LOGNORM.INV(alpha*Tabella34[[#This Row],[Italy cumul. Fit]]/Kt,mu_t,sigma_t)-(Tabella34[[#This Row],[Day]]-pt)</f>
        <v>1.6900101428250203</v>
      </c>
      <c r="J63" s="163">
        <f>Tabella34[[#This Row],[Italy d.t.]]/Italy_dt_at_lockdown</f>
        <v>0.3319322919675064</v>
      </c>
      <c r="K63" s="96">
        <f>Tabella34[[#This Row],[Italy cumul. Fit]]/Kf</f>
        <v>1.1930529047249278E-3</v>
      </c>
      <c r="L63" s="166">
        <f>Tabella34[[#This Row],[Lombardy acc. fit]]+Tabella34[[#This Row],[rest of Italy acc. fit]]</f>
        <v>42.425408412576608</v>
      </c>
      <c r="M63" s="96">
        <f>Tabella34[[#This Row],[Italy (fitted Lombardy + fitted sum of the other regions)]]/(y_l_peak+y_a_peak)</f>
        <v>8.258624291714407E-3</v>
      </c>
      <c r="N63" s="163">
        <f>IFERROR(Kt*_xlfn.LOGNORM.DIST((Tabella34[[#This Row],[Day]]-pt),mu_t,sigma_t,FALSE),0)</f>
        <v>122.60675138220617</v>
      </c>
      <c r="O63" s="163">
        <f>Kt*EXP(-0.5*Tabella34[[#This Row],[x_t]]^2)/(sigma_t*SQRTPI(2)*(Tabella34[[#This Row],[Day]]-D_bk))</f>
        <v>122.60675138220633</v>
      </c>
      <c r="P63" s="206">
        <f>Tabella34[[#This Row],[Italy velocity]]/Tabella34[[#This Row],[Italy cumul. Fit]]</f>
        <v>0.43730751355259367</v>
      </c>
      <c r="Q63" s="269">
        <f>(LN(Tabella34[[#This Row],[Day]]-D_bk)-mu_t)/sigma_t</f>
        <v>-3.0374227175911721</v>
      </c>
      <c r="R63" s="269">
        <f>EXP(mu_t+sigma_t*Tabella34[[#This Row],[x_t_alpha©+plus]])-(Tabella34[[#This Row],[Day]]-D_bk)</f>
        <v>118.56616561387327</v>
      </c>
      <c r="S63" s="269">
        <f>EXP(mu_t+sigma_t*Tabella34[[#This Row],[x_t_alpha©-minus]])-(Tabella34[[#This Row],[Day]]-D_bk)</f>
        <v>-1.777834888742202</v>
      </c>
      <c r="T63" s="269">
        <f>-sigma_t+SQRT(sigma_t^2-2*Tabella34[[#This Row],[c_t]])</f>
        <v>2.6614437253557148</v>
      </c>
      <c r="U63" s="269">
        <f>-sigma_t-SQRT(sigma_t^2-2*Tabella34[[#This Row],[c_t]])</f>
        <v>-3.2806806312479524</v>
      </c>
      <c r="V63" s="269">
        <f>mu_t-LN(alpha*Kt/(Tabella34[[#This Row],[Italy velocity]]*sigma_t*SQRTPI(2)))</f>
        <v>-4.3656734404654438</v>
      </c>
      <c r="W63" s="269">
        <f>Tabella34[[#This Row],[Italy g.r.]]/Italy_gr_at_lockdown</f>
        <v>2.7650669806348169</v>
      </c>
      <c r="X63" s="269">
        <f>Tabella34[[#This Row],[t_alpha_t+plus]]</f>
        <v>118.56616561387327</v>
      </c>
      <c r="Y63" s="269">
        <f>Tabella34[[#This Row],[Italy h.t.]]/Italy_ht_at_lockdown</f>
        <v>2.1115895744340976</v>
      </c>
      <c r="Z63" s="91">
        <f>IFERROR(-Kf*_xlfn.LOGNORM.DIST((Tabella34[[#This Row],[Day]]-D_bk),mu_f,sigma_f,FALSE)*(1+(LN((Tabella34[[#This Row],[Day]]-D_bk))-mu_f)/sigma_f^2)/(Tabella34[[#This Row],[Day]]-D_bk),0)</f>
        <v>44.080943250687589</v>
      </c>
      <c r="AA63" s="91">
        <f>Tabella34[[#This Row],[Italy acc. fit]]/Itali_acc_at_lockdown</f>
        <v>0.1814277690109482</v>
      </c>
      <c r="AB63" s="96">
        <f>Tabella34[[#This Row],[Italy acc. fit]]/y_f_peak</f>
        <v>8.7088756801925477E-3</v>
      </c>
      <c r="AC63" s="163">
        <f>Tabella34[[#This Row],[Italy (fitted Lombardy + fitted sum of the other regions)]]*NOT(ISBLANK(Tabella34[[#This Row],[Italy data]]))</f>
        <v>42.425408412576608</v>
      </c>
      <c r="AD63" s="163">
        <f>Tabella34[[#This Row],[Italy acc. fit]]*NOT(ISBLANK(Tabella34[[#This Row],[Italy data]]))</f>
        <v>44.080943250687589</v>
      </c>
      <c r="AE63" s="96">
        <f>Tabella34[[#This Row],[Italy acc. fit]]+CIf</f>
        <v>1057.8439452710052</v>
      </c>
      <c r="AF63" s="96">
        <f>MAX(Tabella34[[#This Row],[Italy acc. fit]]-CIf,0)</f>
        <v>0</v>
      </c>
      <c r="AG63" s="4">
        <f>Tabella8[[#This Row],[Lombardy]]</f>
        <v>240</v>
      </c>
      <c r="AH63" s="91">
        <f>(Tabella34[[#This Row],[Lombardy cumul. Data]]-AG62)</f>
        <v>68</v>
      </c>
      <c r="AI63" s="34"/>
      <c r="AJ63" s="96">
        <f>Tabella34[[#This Row],[Lombardy data]]*NOT(ISBLANK(Tabella34[[#This Row],[Lombardy data]]))</f>
        <v>68</v>
      </c>
      <c r="AK63" s="96">
        <f>Tabella8[[#This Row],[Lombardy fit]]</f>
        <v>331.60368823539022</v>
      </c>
      <c r="AL63" s="163">
        <f>_xlfn.LOGNORM.INV(alpha*Tabella34[[#This Row],[Lombardy cumul. Fit]]/Kr,mu_r,sigma_r)-(Tabella34[[#This Row],[Day]]-pr)</f>
        <v>2.1263016705482691</v>
      </c>
      <c r="AM63" s="96">
        <f>Tabella34[[#This Row],[Lombardy cumul. Fit]]/Kl</f>
        <v>3.8115366463837958E-3</v>
      </c>
      <c r="AN63" s="96">
        <f>IFERROR(Kr*_xlfn.LOGNORM.DIST((Tabella34[[#This Row],[Day]]-pr),mu_r,sigma_r,FALSE),0)</f>
        <v>117.02117832508443</v>
      </c>
      <c r="AO63" s="209">
        <f>Tabella34[[#This Row],[Lombardy velocity]]/Tabella34[[#This Row],[Lombardy cumul. Fit]]</f>
        <v>0.35289468264905571</v>
      </c>
      <c r="AP63" s="266">
        <f>(LN(Tabella34[[#This Row],[Day]]-pr)-mu_r)/sigma_r</f>
        <v>-2.6683238816170265</v>
      </c>
      <c r="AQ63" s="269">
        <f>EXP(mu_r+sigma_r*Tabella34[[#This Row],[x_r_alpha©+plus]])-(Tabella34[[#This Row],[Day]]-pr)</f>
        <v>108.24294714213062</v>
      </c>
      <c r="AR63" s="269">
        <f>EXP(mu_r+sigma_r*Tabella34[[#This Row],[x_r_alpha©-minus]])-(Tabella34[[#This Row],[Day]]-pr)</f>
        <v>-2.2590181552784756</v>
      </c>
      <c r="AS63" s="269">
        <f>-sigma_r+SQRT(sigma_r^2-2*Tabella34[[#This Row],[c_r]])</f>
        <v>2.2682882593658729</v>
      </c>
      <c r="AT63" s="269">
        <f>-sigma_r-SQRT(sigma_r^2-2*Tabella34[[#This Row],[c_r]])</f>
        <v>-2.9491428565596021</v>
      </c>
      <c r="AU63" s="269">
        <f>mu_r-LN(alpha*Kr/(Tabella34[[#This Row],[Lombardy velocity]]*sigma_r*SQRTPI(2)))</f>
        <v>-3.3447530583634384</v>
      </c>
      <c r="AV63" s="269">
        <f>Tabella34[[#This Row],[t_alpha_r+plus]]</f>
        <v>108.24294714213062</v>
      </c>
      <c r="AW63" s="91">
        <f>IFERROR(-Kl*_xlfn.LOGNORM.DIST((Tabella34[[#This Row],[Day]]-pl),mu_l,sigma_l,FALSE)*(1+(LN((Tabella34[[#This Row],[Day]]-pl))-mu_l)/sigma_l^2)/(Tabella34[[#This Row],[Day]]-pl),0)</f>
        <v>32.295447287359494</v>
      </c>
      <c r="AX63" s="96">
        <f>Tabella34[[#This Row],[Lombardy acc. fit]]/y_l_peak</f>
        <v>1.8371037361738406E-2</v>
      </c>
      <c r="AY63" s="163">
        <f>Tabella34[[#This Row],[Lombardy acc. fit]]*NOT(ISBLANK(Tabella34[[#This Row],[Lombardy data]]))</f>
        <v>32.295447287359494</v>
      </c>
      <c r="AZ63" s="96">
        <f>Tabella34[[#This Row],[Lombardy acc. fit]]+CIl</f>
        <v>781.2508190909831</v>
      </c>
      <c r="BA63" s="96">
        <f>MAX(Tabella34[[#This Row],[Lombardy acc. fit]]-CIl,0)</f>
        <v>0</v>
      </c>
      <c r="BB63" s="10">
        <f>Tabella8[[#This Row],[rest of Italy ]]</f>
        <v>82</v>
      </c>
      <c r="BC63" s="10">
        <f>(Tabella34[[#This Row],[rest of Italy cum. Data]]-BB62)</f>
        <v>25</v>
      </c>
      <c r="BD63" s="34"/>
      <c r="BE63" s="96">
        <f>Tabella34[[#This Row],[rest of Italy data]]*NOT(ISBLANK(Tabella34[[#This Row],[rest of Italy data]]))</f>
        <v>25</v>
      </c>
      <c r="BF63" s="96">
        <f>Tabella8[[#This Row],[rest of Italy fit]]</f>
        <v>28.540319273609629</v>
      </c>
      <c r="BG63" s="163">
        <f>_xlfn.LOGNORM.INV(alpha*Tabella34[[#This Row],[rest of Italy cumul. Fit]]/Ko,mu_o,sigma_o)-(Tabella34[[#This Row],[Day]]-po)</f>
        <v>1.13170405971265</v>
      </c>
      <c r="BH63" s="96">
        <f>Tabella34[[#This Row],[rest of Italy cumul. Fit]]/Ka</f>
        <v>1.9284001754075368E-4</v>
      </c>
      <c r="BI63" s="163">
        <f>IFERROR(Ko*_xlfn.LOGNORM.DIST((Tabella34[[#This Row],[Day]]-po),mu_o,sigma_o,FALSE),0)</f>
        <v>18.443627571700961</v>
      </c>
      <c r="BJ63" s="206">
        <f>Tabella34[[#This Row],[rest of Italy velocity]]/Tabella34[[#This Row],[rest of Italy cumul. Fit]]</f>
        <v>0.64623059731343746</v>
      </c>
      <c r="BK63" s="261">
        <f>(LN(Tabella34[[#This Row],[Day]]-po)-mu_o)/sigma_o</f>
        <v>-3.5496934116631564</v>
      </c>
      <c r="BL63" s="269">
        <f>EXP(mu_o+sigma_o*Tabella34[[#This Row],[x_o_alpha©+plus]])-(Tabella34[[#This Row],[Day]]-po)</f>
        <v>137.50156096206484</v>
      </c>
      <c r="BM63" s="269">
        <f>EXP(mu_o+sigma_o*Tabella34[[#This Row],[x_o_alpha©-minus]])-(Tabella34[[#This Row],[Day]]-po)</f>
        <v>-1.1826384791356972</v>
      </c>
      <c r="BN63" s="269">
        <f>-sigma_o+SQRT(sigma_o^2-2*Tabella34[[#This Row],[c_o]])</f>
        <v>3.1147346380823975</v>
      </c>
      <c r="BO63" s="269">
        <f>-sigma_o-SQRT(sigma_o^2-2*Tabella34[[#This Row],[c_o]])</f>
        <v>-3.7577074153814238</v>
      </c>
      <c r="BP63" s="269">
        <f>mu_o-LN(alpha*Ko/(Tabella34[[#This Row],[rest of Italy velocity]]*sigma_o*SQRTPI(2)))</f>
        <v>-5.8521307232337998</v>
      </c>
      <c r="BQ63" s="269">
        <f>Tabella34[[#This Row],[t_alpha_o+plus]]</f>
        <v>137.50156096206484</v>
      </c>
      <c r="BR63" s="91">
        <f>IFERROR(-Ka*_xlfn.LOGNORM.DIST((Tabella34[[#This Row],[Day]]-pa),mu_a,sigma_a,FALSE)*(1+(LN((Tabella34[[#This Row],[Day]]-pa))-mu_a)/sigma_a^2)/(Tabella34[[#This Row],[Day]]-pa),0)</f>
        <v>10.129961125217116</v>
      </c>
      <c r="BS63" s="96">
        <f>Tabella34[[#This Row],[rest of Italy acc. fit]]/y_a_peak</f>
        <v>2.9977845909152636E-3</v>
      </c>
      <c r="BT63" s="96">
        <f>Tabella34[[#This Row],[rest of Italy acc. fit]]*NOT(ISBLANK(Tabella34[[#This Row],[rest of Italy data]]))</f>
        <v>10.129961125217116</v>
      </c>
      <c r="BU63" s="96">
        <f>Tabella34[[#This Row],[rest of Italy acc. fit]]+CIa</f>
        <v>704.78199698881451</v>
      </c>
      <c r="BV63" s="96">
        <f>MAX(Tabella34[[#This Row],[rest of Italy acc. fit]]-CIa,0)</f>
        <v>0</v>
      </c>
    </row>
    <row r="64" spans="2:79" x14ac:dyDescent="0.3">
      <c r="B64" s="288">
        <v>43887</v>
      </c>
      <c r="C64" s="30">
        <v>57</v>
      </c>
      <c r="D64" s="10">
        <f>Tabella8[[#This Row],[Italy cumulative]]</f>
        <v>400</v>
      </c>
      <c r="E64" s="91">
        <f>(Tabella34[[#This Row],[Italy cumul. Data]]-D63)</f>
        <v>78</v>
      </c>
      <c r="F64" s="91">
        <f>Tabella34[[#This Row],[Italy data]]-E63</f>
        <v>-15</v>
      </c>
      <c r="G64" s="96">
        <f>Tabella34[[#This Row],[Italy data]]*NOT(ISBLANK(Tabella34[[#This Row],[Italy data]]))</f>
        <v>78</v>
      </c>
      <c r="H64" s="163">
        <f>Tabella8[[#This Row],[Italy fit]]</f>
        <v>427.07811706368591</v>
      </c>
      <c r="I64" s="163">
        <f>_xlfn.LOGNORM.INV(alpha*Tabella34[[#This Row],[Italy cumul. Fit]]/Kt,mu_t,sigma_t)-(Tabella34[[#This Row],[Day]]-pt)</f>
        <v>1.8316110471558851</v>
      </c>
      <c r="J64" s="163">
        <f>Tabella34[[#This Row],[Italy d.t.]]/Italy_dt_at_lockdown</f>
        <v>0.35974390772541376</v>
      </c>
      <c r="K64" s="96">
        <f>Tabella34[[#This Row],[Italy cumul. Fit]]/Kf</f>
        <v>1.8173541855050978E-3</v>
      </c>
      <c r="L64" s="166">
        <f>Tabella34[[#This Row],[Lombardy acc. fit]]+Tabella34[[#This Row],[rest of Italy acc. fit]]</f>
        <v>53.73773710185587</v>
      </c>
      <c r="M64" s="96">
        <f>Tabella34[[#This Row],[Italy (fitted Lombardy + fitted sum of the other regions)]]/(y_l_peak+y_a_peak)</f>
        <v>1.0460707335927241E-2</v>
      </c>
      <c r="N64" s="163">
        <f>IFERROR(Kt*_xlfn.LOGNORM.DIST((Tabella34[[#This Row],[Day]]-pt),mu_t,sigma_t,FALSE),0)</f>
        <v>172.95417305513911</v>
      </c>
      <c r="O64" s="163">
        <f>Kt*EXP(-0.5*Tabella34[[#This Row],[x_t]]^2)/(sigma_t*SQRTPI(2)*(Tabella34[[#This Row],[Day]]-D_bk))</f>
        <v>172.95417305513894</v>
      </c>
      <c r="P64" s="206">
        <f>Tabella34[[#This Row],[Italy velocity]]/Tabella34[[#This Row],[Italy cumul. Fit]]</f>
        <v>0.40497081481079061</v>
      </c>
      <c r="Q64" s="269">
        <f>(LN(Tabella34[[#This Row],[Day]]-D_bk)-mu_t)/sigma_t</f>
        <v>-2.9082386559355582</v>
      </c>
      <c r="R64" s="269">
        <f>EXP(mu_t+sigma_t*Tabella34[[#This Row],[x_t_alpha©+plus]])-(Tabella34[[#This Row],[Day]]-D_bk)</f>
        <v>112.42710168481133</v>
      </c>
      <c r="S64" s="269">
        <f>EXP(mu_t+sigma_t*Tabella34[[#This Row],[x_t_alpha©-minus]])-(Tabella34[[#This Row],[Day]]-D_bk)</f>
        <v>-1.9310763564170195</v>
      </c>
      <c r="T64" s="269">
        <f>-sigma_t+SQRT(sigma_t^2-2*Tabella34[[#This Row],[c_t]])</f>
        <v>2.5432960779336207</v>
      </c>
      <c r="U64" s="269">
        <f>-sigma_t-SQRT(sigma_t^2-2*Tabella34[[#This Row],[c_t]])</f>
        <v>-3.1625329838258582</v>
      </c>
      <c r="V64" s="269">
        <f>mu_t-LN(alpha*Kt/(Tabella34[[#This Row],[Italy velocity]]*sigma_t*SQRTPI(2)))</f>
        <v>-4.0216288670500075</v>
      </c>
      <c r="W64" s="269">
        <f>Tabella34[[#This Row],[Italy g.r.]]/Italy_gr_at_lockdown</f>
        <v>2.5606041365658423</v>
      </c>
      <c r="X64" s="269">
        <f>Tabella34[[#This Row],[t_alpha_t+plus]]</f>
        <v>112.42710168481133</v>
      </c>
      <c r="Y64" s="269">
        <f>Tabella34[[#This Row],[Italy h.t.]]/Italy_ht_at_lockdown</f>
        <v>2.002256668859602</v>
      </c>
      <c r="Z64" s="91">
        <f>IFERROR(-Kf*_xlfn.LOGNORM.DIST((Tabella34[[#This Row],[Day]]-D_bk),mu_f,sigma_f,FALSE)*(1+(LN((Tabella34[[#This Row],[Day]]-D_bk))-mu_f)/sigma_f^2)/(Tabella34[[#This Row],[Day]]-D_bk),0)</f>
        <v>56.91494687788115</v>
      </c>
      <c r="AA64" s="91">
        <f>Tabella34[[#This Row],[Italy acc. fit]]/Itali_acc_at_lockdown</f>
        <v>0.2342497930842154</v>
      </c>
      <c r="AB64" s="96">
        <f>Tabella34[[#This Row],[Italy acc. fit]]/y_f_peak</f>
        <v>1.1244432631248162E-2</v>
      </c>
      <c r="AC64" s="163">
        <f>Tabella34[[#This Row],[Italy (fitted Lombardy + fitted sum of the other regions)]]*NOT(ISBLANK(Tabella34[[#This Row],[Italy data]]))</f>
        <v>53.73773710185587</v>
      </c>
      <c r="AD64" s="163">
        <f>Tabella34[[#This Row],[Italy acc. fit]]*NOT(ISBLANK(Tabella34[[#This Row],[Italy data]]))</f>
        <v>56.91494687788115</v>
      </c>
      <c r="AE64" s="96">
        <f>Tabella34[[#This Row],[Italy acc. fit]]+CIf</f>
        <v>1070.6779488981988</v>
      </c>
      <c r="AF64" s="96">
        <f>MAX(Tabella34[[#This Row],[Italy acc. fit]]-CIf,0)</f>
        <v>0</v>
      </c>
      <c r="AG64" s="4">
        <f>Tabella8[[#This Row],[Lombardy]]</f>
        <v>258</v>
      </c>
      <c r="AH64" s="91">
        <f>(Tabella34[[#This Row],[Lombardy cumul. Data]]-AG63)</f>
        <v>18</v>
      </c>
      <c r="AI64" s="91">
        <f>Tabella34[[#This Row],[Lombardy data]]-AH63</f>
        <v>-50</v>
      </c>
      <c r="AJ64" s="96">
        <f>Tabella34[[#This Row],[Lombardy data]]*NOT(ISBLANK(Tabella34[[#This Row],[Lombardy data]]))</f>
        <v>18</v>
      </c>
      <c r="AK64" s="96">
        <f>Tabella8[[#This Row],[Lombardy fit]]</f>
        <v>465.77889435556489</v>
      </c>
      <c r="AL64" s="163">
        <f>_xlfn.LOGNORM.INV(alpha*Tabella34[[#This Row],[Lombardy cumul. Fit]]/Kr,mu_r,sigma_r)-(Tabella34[[#This Row],[Day]]-pr)</f>
        <v>2.3044162402813448</v>
      </c>
      <c r="AM64" s="96">
        <f>Tabella34[[#This Row],[Lombardy cumul. Fit]]/Kl</f>
        <v>5.3537803948915507E-3</v>
      </c>
      <c r="AN64" s="96">
        <f>IFERROR(Kr*_xlfn.LOGNORM.DIST((Tabella34[[#This Row],[Day]]-pr),mu_r,sigma_r,FALSE),0)</f>
        <v>152.34639825617381</v>
      </c>
      <c r="AO64" s="209">
        <f>Tabella34[[#This Row],[Lombardy velocity]]/Tabella34[[#This Row],[Lombardy cumul. Fit]]</f>
        <v>0.3270787923247464</v>
      </c>
      <c r="AP64" s="266">
        <f>(LN(Tabella34[[#This Row],[Day]]-pr)-mu_r)/sigma_r</f>
        <v>-2.5521005640024454</v>
      </c>
      <c r="AQ64" s="269">
        <f>EXP(mu_r+sigma_r*Tabella34[[#This Row],[x_r_alpha©+plus]])-(Tabella34[[#This Row],[Day]]-pr)</f>
        <v>102.65240048328374</v>
      </c>
      <c r="AR64" s="269">
        <f>EXP(mu_r+sigma_r*Tabella34[[#This Row],[x_r_alpha©-minus]])-(Tabella34[[#This Row],[Day]]-pr)</f>
        <v>-2.4541182267373145</v>
      </c>
      <c r="AS64" s="269">
        <f>-sigma_r+SQRT(sigma_r^2-2*Tabella34[[#This Row],[c_r]])</f>
        <v>2.1651251343068401</v>
      </c>
      <c r="AT64" s="269">
        <f>-sigma_r-SQRT(sigma_r^2-2*Tabella34[[#This Row],[c_r]])</f>
        <v>-2.8459797315005693</v>
      </c>
      <c r="AU64" s="269">
        <f>mu_r-LN(alpha*Kr/(Tabella34[[#This Row],[Lombardy velocity]]*sigma_r*SQRTPI(2)))</f>
        <v>-3.0809511241998573</v>
      </c>
      <c r="AV64" s="269">
        <f>Tabella34[[#This Row],[t_alpha_r+plus]]</f>
        <v>102.65240048328374</v>
      </c>
      <c r="AW64" s="91">
        <f>IFERROR(-Kl*_xlfn.LOGNORM.DIST((Tabella34[[#This Row],[Day]]-pl),mu_l,sigma_l,FALSE)*(1+(LN((Tabella34[[#This Row],[Day]]-pl))-mu_l)/sigma_l^2)/(Tabella34[[#This Row],[Day]]-pl),0)</f>
        <v>38.395753613130509</v>
      </c>
      <c r="AX64" s="96">
        <f>Tabella34[[#This Row],[Lombardy acc. fit]]/y_l_peak</f>
        <v>2.1841153580647456E-2</v>
      </c>
      <c r="AY64" s="163">
        <f>Tabella34[[#This Row],[Lombardy acc. fit]]*NOT(ISBLANK(Tabella34[[#This Row],[Lombardy data]]))</f>
        <v>38.395753613130509</v>
      </c>
      <c r="AZ64" s="96">
        <f>Tabella34[[#This Row],[Lombardy acc. fit]]+CIl</f>
        <v>787.35112541675414</v>
      </c>
      <c r="BA64" s="96">
        <f>MAX(Tabella34[[#This Row],[Lombardy acc. fit]]-CIl,0)</f>
        <v>0</v>
      </c>
      <c r="BB64" s="10">
        <f>Tabella8[[#This Row],[rest of Italy ]]</f>
        <v>142</v>
      </c>
      <c r="BC64" s="10">
        <f>(Tabella34[[#This Row],[rest of Italy cum. Data]]-BB63)</f>
        <v>60</v>
      </c>
      <c r="BD64" s="10">
        <f>Tabella34[[#This Row],[rest of Italy data]]-BC63</f>
        <v>35</v>
      </c>
      <c r="BE64" s="96">
        <f>Tabella34[[#This Row],[rest of Italy data]]*NOT(ISBLANK(Tabella34[[#This Row],[rest of Italy data]]))</f>
        <v>60</v>
      </c>
      <c r="BF64" s="96">
        <f>Tabella8[[#This Row],[rest of Italy fit]]</f>
        <v>52.855278634221321</v>
      </c>
      <c r="BG64" s="163">
        <f>_xlfn.LOGNORM.INV(alpha*Tabella34[[#This Row],[rest of Italy cumul. Fit]]/Ko,mu_o,sigma_o)-(Tabella34[[#This Row],[Day]]-po)</f>
        <v>1.2489716615944069</v>
      </c>
      <c r="BH64" s="96">
        <f>Tabella34[[#This Row],[rest of Italy cumul. Fit]]/Ka</f>
        <v>3.5713030261611206E-4</v>
      </c>
      <c r="BI64" s="163">
        <f>IFERROR(Ko*_xlfn.LOGNORM.DIST((Tabella34[[#This Row],[Day]]-po),mu_o,sigma_o,FALSE),0)</f>
        <v>31.054503010317745</v>
      </c>
      <c r="BJ64" s="206">
        <f>Tabella34[[#This Row],[rest of Italy velocity]]/Tabella34[[#This Row],[rest of Italy cumul. Fit]]</f>
        <v>0.5875383464578201</v>
      </c>
      <c r="BK64" s="261">
        <f>(LN(Tabella34[[#This Row],[Day]]-po)-mu_o)/sigma_o</f>
        <v>-3.3840459035403714</v>
      </c>
      <c r="BL64" s="269">
        <f>EXP(mu_o+sigma_o*Tabella34[[#This Row],[x_o_alpha©+plus]])-(Tabella34[[#This Row],[Day]]-po)</f>
        <v>128.92287040881178</v>
      </c>
      <c r="BM64" s="269">
        <f>EXP(mu_o+sigma_o*Tabella34[[#This Row],[x_o_alpha©-minus]])-(Tabella34[[#This Row],[Day]]-po)</f>
        <v>-1.3082095805094909</v>
      </c>
      <c r="BN64" s="269">
        <f>-sigma_o+SQRT(sigma_o^2-2*Tabella34[[#This Row],[c_o]])</f>
        <v>2.9596056770152743</v>
      </c>
      <c r="BO64" s="269">
        <f>-sigma_o-SQRT(sigma_o^2-2*Tabella34[[#This Row],[c_o]])</f>
        <v>-3.6025784543143007</v>
      </c>
      <c r="BP64" s="269">
        <f>mu_o-LN(alpha*Ko/(Tabella34[[#This Row],[rest of Italy velocity]]*sigma_o*SQRTPI(2)))</f>
        <v>-5.3311058226407591</v>
      </c>
      <c r="BQ64" s="269">
        <f>Tabella34[[#This Row],[t_alpha_o+plus]]</f>
        <v>128.92287040881178</v>
      </c>
      <c r="BR64" s="91">
        <f>IFERROR(-Ka*_xlfn.LOGNORM.DIST((Tabella34[[#This Row],[Day]]-pa),mu_a,sigma_a,FALSE)*(1+(LN((Tabella34[[#This Row],[Day]]-pa))-mu_a)/sigma_a^2)/(Tabella34[[#This Row],[Day]]-pa),0)</f>
        <v>15.341983488725358</v>
      </c>
      <c r="BS64" s="96">
        <f>Tabella34[[#This Row],[rest of Italy acc. fit]]/y_a_peak</f>
        <v>4.5401913322339164E-3</v>
      </c>
      <c r="BT64" s="96">
        <f>Tabella34[[#This Row],[rest of Italy acc. fit]]*NOT(ISBLANK(Tabella34[[#This Row],[rest of Italy data]]))</f>
        <v>15.341983488725358</v>
      </c>
      <c r="BU64" s="96">
        <f>Tabella34[[#This Row],[rest of Italy acc. fit]]+CIa</f>
        <v>709.99401935232265</v>
      </c>
      <c r="BV64" s="96">
        <f>MAX(Tabella34[[#This Row],[rest of Italy acc. fit]]-CIa,0)</f>
        <v>0</v>
      </c>
    </row>
    <row r="65" spans="2:74" x14ac:dyDescent="0.3">
      <c r="B65" s="288">
        <v>43888</v>
      </c>
      <c r="C65" s="30">
        <v>58</v>
      </c>
      <c r="D65" s="10">
        <f>Tabella8[[#This Row],[Italy cumulative]]</f>
        <v>650</v>
      </c>
      <c r="E65" s="91">
        <f>(Tabella34[[#This Row],[Italy cumul. Data]]-D64)</f>
        <v>250</v>
      </c>
      <c r="F65" s="91">
        <f>Tabella34[[#This Row],[Italy data]]-E64</f>
        <v>172</v>
      </c>
      <c r="G65" s="96">
        <f>Tabella34[[#This Row],[Italy data]]*NOT(ISBLANK(Tabella34[[#This Row],[Italy data]]))</f>
        <v>250</v>
      </c>
      <c r="H65" s="163">
        <f>Tabella8[[#This Row],[Italy fit]]</f>
        <v>630.84715786776644</v>
      </c>
      <c r="I65" s="163">
        <f>_xlfn.LOGNORM.INV(alpha*Tabella34[[#This Row],[Italy cumul. Fit]]/Kt,mu_t,sigma_t)-(Tabella34[[#This Row],[Day]]-pt)</f>
        <v>1.9819145703047489</v>
      </c>
      <c r="J65" s="163">
        <f>Tabella34[[#This Row],[Italy d.t.]]/Italy_dt_at_lockdown</f>
        <v>0.38926479145584891</v>
      </c>
      <c r="K65" s="96">
        <f>Tabella34[[#This Row],[Italy cumul. Fit]]/Kf</f>
        <v>2.6844567233914691E-3</v>
      </c>
      <c r="L65" s="166">
        <f>Tabella34[[#This Row],[Lombardy acc. fit]]+Tabella34[[#This Row],[rest of Italy acc. fit]]</f>
        <v>66.780373211662607</v>
      </c>
      <c r="M65" s="96">
        <f>Tabella34[[#This Row],[Italy (fitted Lombardy + fitted sum of the other regions)]]/(y_l_peak+y_a_peak)</f>
        <v>1.2999615868214005E-2</v>
      </c>
      <c r="N65" s="163">
        <f>IFERROR(Kt*_xlfn.LOGNORM.DIST((Tabella34[[#This Row],[Day]]-pt),mu_t,sigma_t,FALSE),0)</f>
        <v>237.00940678342241</v>
      </c>
      <c r="O65" s="163">
        <f>Kt*EXP(-0.5*Tabella34[[#This Row],[x_t]]^2)/(sigma_t*SQRTPI(2)*(Tabella34[[#This Row],[Day]]-D_bk))</f>
        <v>237.00940678342215</v>
      </c>
      <c r="P65" s="206">
        <f>Tabella34[[#This Row],[Italy velocity]]/Tabella34[[#This Row],[Italy cumul. Fit]]</f>
        <v>0.3757002053944461</v>
      </c>
      <c r="Q65" s="269">
        <f>(LN(Tabella34[[#This Row],[Day]]-D_bk)-mu_t)/sigma_t</f>
        <v>-2.7840235580359796</v>
      </c>
      <c r="R65" s="269">
        <f>EXP(mu_t+sigma_t*Tabella34[[#This Row],[x_t_alpha©+plus]])-(Tabella34[[#This Row],[Day]]-D_bk)</f>
        <v>106.69861239654119</v>
      </c>
      <c r="S65" s="269">
        <f>EXP(mu_t+sigma_t*Tabella34[[#This Row],[x_t_alpha©-minus]])-(Tabella34[[#This Row],[Day]]-D_bk)</f>
        <v>-2.0942523227098313</v>
      </c>
      <c r="T65" s="269">
        <f>-sigma_t+SQRT(sigma_t^2-2*Tabella34[[#This Row],[c_t]])</f>
        <v>2.4306324452773733</v>
      </c>
      <c r="U65" s="269">
        <f>-sigma_t-SQRT(sigma_t^2-2*Tabella34[[#This Row],[c_t]])</f>
        <v>-3.0498693511696109</v>
      </c>
      <c r="V65" s="269">
        <f>mu_t-LN(alpha*Kt/(Tabella34[[#This Row],[Italy velocity]]*sigma_t*SQRTPI(2)))</f>
        <v>-3.7065556994049533</v>
      </c>
      <c r="W65" s="269">
        <f>Tabella34[[#This Row],[Italy g.r.]]/Italy_gr_at_lockdown</f>
        <v>2.3755279759879175</v>
      </c>
      <c r="X65" s="269">
        <f>Tabella34[[#This Row],[t_alpha_t+plus]]</f>
        <v>106.69861239654119</v>
      </c>
      <c r="Y65" s="269">
        <f>Tabella34[[#This Row],[Italy h.t.]]/Italy_ht_at_lockdown</f>
        <v>1.900235841958936</v>
      </c>
      <c r="Z65" s="91">
        <f>IFERROR(-Kf*_xlfn.LOGNORM.DIST((Tabella34[[#This Row],[Day]]-D_bk),mu_f,sigma_f,FALSE)*(1+(LN((Tabella34[[#This Row],[Day]]-D_bk))-mu_f)/sigma_f^2)/(Tabella34[[#This Row],[Day]]-D_bk),0)</f>
        <v>71.463817107091486</v>
      </c>
      <c r="AA65" s="91">
        <f>Tabella34[[#This Row],[Italy acc. fit]]/Itali_acc_at_lockdown</f>
        <v>0.29412984266265224</v>
      </c>
      <c r="AB65" s="96">
        <f>Tabella34[[#This Row],[Italy acc. fit]]/y_f_peak</f>
        <v>1.4118788141131015E-2</v>
      </c>
      <c r="AC65" s="163">
        <f>Tabella34[[#This Row],[Italy (fitted Lombardy + fitted sum of the other regions)]]*NOT(ISBLANK(Tabella34[[#This Row],[Italy data]]))</f>
        <v>66.780373211662607</v>
      </c>
      <c r="AD65" s="163">
        <f>Tabella34[[#This Row],[Italy acc. fit]]*NOT(ISBLANK(Tabella34[[#This Row],[Italy data]]))</f>
        <v>71.463817107091486</v>
      </c>
      <c r="AE65" s="96">
        <f>Tabella34[[#This Row],[Italy acc. fit]]+CIf</f>
        <v>1085.2268191274093</v>
      </c>
      <c r="AF65" s="96">
        <f>MAX(Tabella34[[#This Row],[Italy acc. fit]]-CIf,0)</f>
        <v>0</v>
      </c>
      <c r="AG65" s="4">
        <f>Tabella8[[#This Row],[Lombardy]]</f>
        <v>403</v>
      </c>
      <c r="AH65" s="91">
        <f>(Tabella34[[#This Row],[Lombardy cumul. Data]]-AG64)</f>
        <v>145</v>
      </c>
      <c r="AI65" s="91">
        <f>Tabella34[[#This Row],[Lombardy data]]-AH64</f>
        <v>127</v>
      </c>
      <c r="AJ65" s="96">
        <f>Tabella34[[#This Row],[Lombardy data]]*NOT(ISBLANK(Tabella34[[#This Row],[Lombardy data]]))</f>
        <v>145</v>
      </c>
      <c r="AK65" s="96">
        <f>Tabella8[[#This Row],[Lombardy fit]]</f>
        <v>638.36338064302606</v>
      </c>
      <c r="AL65" s="163">
        <f>_xlfn.LOGNORM.INV(alpha*Tabella34[[#This Row],[Lombardy cumul. Fit]]/Kr,mu_r,sigma_r)-(Tabella34[[#This Row],[Day]]-pr)</f>
        <v>2.4936128779493636</v>
      </c>
      <c r="AM65" s="96">
        <f>Tabella34[[#This Row],[Lombardy cumul. Fit]]/Kl</f>
        <v>7.337510122333633E-3</v>
      </c>
      <c r="AN65" s="96">
        <f>IFERROR(Kr*_xlfn.LOGNORM.DIST((Tabella34[[#This Row],[Day]]-pr),mu_r,sigma_r,FALSE),0)</f>
        <v>193.86672930973202</v>
      </c>
      <c r="AO65" s="209">
        <f>Tabella34[[#This Row],[Lombardy velocity]]/Tabella34[[#This Row],[Lombardy cumul. Fit]]</f>
        <v>0.30369337463318974</v>
      </c>
      <c r="AP65" s="266">
        <f>(LN(Tabella34[[#This Row],[Day]]-pr)-mu_r)/sigma_r</f>
        <v>-2.4403012089474547</v>
      </c>
      <c r="AQ65" s="269">
        <f>EXP(mu_r+sigma_r*Tabella34[[#This Row],[x_r_alpha©+plus]])-(Tabella34[[#This Row],[Day]]-pr)</f>
        <v>97.433636056669286</v>
      </c>
      <c r="AR65" s="269">
        <f>EXP(mu_r+sigma_r*Tabella34[[#This Row],[x_r_alpha©-minus]])-(Tabella34[[#This Row],[Day]]-pr)</f>
        <v>-2.6619442678073</v>
      </c>
      <c r="AS65" s="269">
        <f>-sigma_r+SQRT(sigma_r^2-2*Tabella34[[#This Row],[c_r]])</f>
        <v>2.0670121711491491</v>
      </c>
      <c r="AT65" s="269">
        <f>-sigma_r-SQRT(sigma_r^2-2*Tabella34[[#This Row],[c_r]])</f>
        <v>-2.7478667683428784</v>
      </c>
      <c r="AU65" s="269">
        <f>mu_r-LN(alpha*Kr/(Tabella34[[#This Row],[Lombardy velocity]]*sigma_r*SQRTPI(2)))</f>
        <v>-2.839937027430504</v>
      </c>
      <c r="AV65" s="269">
        <f>Tabella34[[#This Row],[t_alpha_r+plus]]</f>
        <v>97.433636056669286</v>
      </c>
      <c r="AW65" s="91">
        <f>IFERROR(-Kl*_xlfn.LOGNORM.DIST((Tabella34[[#This Row],[Day]]-pl),mu_l,sigma_l,FALSE)*(1+(LN((Tabella34[[#This Row],[Day]]-pl))-mu_l)/sigma_l^2)/(Tabella34[[#This Row],[Day]]-pl),0)</f>
        <v>44.657816444615015</v>
      </c>
      <c r="AX65" s="96">
        <f>Tabella34[[#This Row],[Lombardy acc. fit]]/y_l_peak</f>
        <v>2.5403283846723145E-2</v>
      </c>
      <c r="AY65" s="163">
        <f>Tabella34[[#This Row],[Lombardy acc. fit]]*NOT(ISBLANK(Tabella34[[#This Row],[Lombardy data]]))</f>
        <v>44.657816444615015</v>
      </c>
      <c r="AZ65" s="96">
        <f>Tabella34[[#This Row],[Lombardy acc. fit]]+CIl</f>
        <v>793.61318824823866</v>
      </c>
      <c r="BA65" s="96">
        <f>MAX(Tabella34[[#This Row],[Lombardy acc. fit]]-CIl,0)</f>
        <v>0</v>
      </c>
      <c r="BB65" s="10">
        <f>Tabella8[[#This Row],[rest of Italy ]]</f>
        <v>247</v>
      </c>
      <c r="BC65" s="10">
        <f>(Tabella34[[#This Row],[rest of Italy cum. Data]]-BB64)</f>
        <v>105</v>
      </c>
      <c r="BD65" s="10">
        <f>Tabella34[[#This Row],[rest of Italy data]]-BC64</f>
        <v>45</v>
      </c>
      <c r="BE65" s="96">
        <f>Tabella34[[#This Row],[rest of Italy data]]*NOT(ISBLANK(Tabella34[[#This Row],[rest of Italy data]]))</f>
        <v>105</v>
      </c>
      <c r="BF65" s="96">
        <f>Tabella8[[#This Row],[rest of Italy fit]]</f>
        <v>92.643298386472409</v>
      </c>
      <c r="BG65" s="163">
        <f>_xlfn.LOGNORM.INV(alpha*Tabella34[[#This Row],[rest of Italy cumul. Fit]]/Ko,mu_o,sigma_o)-(Tabella34[[#This Row],[Day]]-po)</f>
        <v>1.3741064128278317</v>
      </c>
      <c r="BH65" s="96">
        <f>Tabella34[[#This Row],[rest of Italy cumul. Fit]]/Ka</f>
        <v>6.2596830521094242E-4</v>
      </c>
      <c r="BI65" s="163">
        <f>IFERROR(Ko*_xlfn.LOGNORM.DIST((Tabella34[[#This Row],[Day]]-po),mu_o,sigma_o,FALSE),0)</f>
        <v>49.651415984551527</v>
      </c>
      <c r="BJ65" s="206">
        <f>Tabella34[[#This Row],[rest of Italy velocity]]/Tabella34[[#This Row],[rest of Italy cumul. Fit]]</f>
        <v>0.5359417988058327</v>
      </c>
      <c r="BK65" s="261">
        <f>(LN(Tabella34[[#This Row],[Day]]-po)-mu_o)/sigma_o</f>
        <v>-3.2267754634456076</v>
      </c>
      <c r="BL65" s="269">
        <f>EXP(mu_o+sigma_o*Tabella34[[#This Row],[x_o_alpha©+plus]])-(Tabella34[[#This Row],[Day]]-po)</f>
        <v>121.11420490147638</v>
      </c>
      <c r="BM65" s="269">
        <f>EXP(mu_o+sigma_o*Tabella34[[#This Row],[x_o_alpha©-minus]])-(Tabella34[[#This Row],[Day]]-po)</f>
        <v>-1.4426917144165756</v>
      </c>
      <c r="BN65" s="269">
        <f>-sigma_o+SQRT(sigma_o^2-2*Tabella34[[#This Row],[c_o]])</f>
        <v>2.8133180660572621</v>
      </c>
      <c r="BO65" s="269">
        <f>-sigma_o-SQRT(sigma_o^2-2*Tabella34[[#This Row],[c_o]])</f>
        <v>-3.4562908433562884</v>
      </c>
      <c r="BP65" s="269">
        <f>mu_o-LN(alpha*Ko/(Tabella34[[#This Row],[rest of Italy velocity]]*sigma_o*SQRTPI(2)))</f>
        <v>-4.861822735581268</v>
      </c>
      <c r="BQ65" s="269">
        <f>Tabella34[[#This Row],[t_alpha_o+plus]]</f>
        <v>121.11420490147638</v>
      </c>
      <c r="BR65" s="91">
        <f>IFERROR(-Ka*_xlfn.LOGNORM.DIST((Tabella34[[#This Row],[Day]]-pa),mu_a,sigma_a,FALSE)*(1+(LN((Tabella34[[#This Row],[Day]]-pa))-mu_a)/sigma_a^2)/(Tabella34[[#This Row],[Day]]-pa),0)</f>
        <v>22.122556767047598</v>
      </c>
      <c r="BS65" s="96">
        <f>Tabella34[[#This Row],[rest of Italy acc. fit]]/y_a_peak</f>
        <v>6.5467832470563472E-3</v>
      </c>
      <c r="BT65" s="96">
        <f>Tabella34[[#This Row],[rest of Italy acc. fit]]*NOT(ISBLANK(Tabella34[[#This Row],[rest of Italy data]]))</f>
        <v>22.122556767047598</v>
      </c>
      <c r="BU65" s="96">
        <f>Tabella34[[#This Row],[rest of Italy acc. fit]]+CIa</f>
        <v>716.77459263064497</v>
      </c>
      <c r="BV65" s="96">
        <f>MAX(Tabella34[[#This Row],[rest of Italy acc. fit]]-CIa,0)</f>
        <v>0</v>
      </c>
    </row>
    <row r="66" spans="2:74" x14ac:dyDescent="0.3">
      <c r="B66" s="288">
        <v>43889</v>
      </c>
      <c r="C66" s="30">
        <v>59</v>
      </c>
      <c r="D66" s="10">
        <f>Tabella8[[#This Row],[Italy cumulative]]</f>
        <v>888</v>
      </c>
      <c r="E66" s="91">
        <f>(Tabella34[[#This Row],[Italy cumul. Data]]-D65)</f>
        <v>238</v>
      </c>
      <c r="F66" s="91">
        <f>Tabella34[[#This Row],[Italy data]]-E65</f>
        <v>-12</v>
      </c>
      <c r="G66" s="96">
        <f>Tabella34[[#This Row],[Italy data]]*NOT(ISBLANK(Tabella34[[#This Row],[Italy data]]))</f>
        <v>238</v>
      </c>
      <c r="H66" s="163">
        <f>Tabella8[[#This Row],[Italy fit]]</f>
        <v>906.20280733092886</v>
      </c>
      <c r="I66" s="163">
        <f>_xlfn.LOGNORM.INV(alpha*Tabella34[[#This Row],[Italy cumul. Fit]]/Kt,mu_t,sigma_t)-(Tabella34[[#This Row],[Day]]-pt)</f>
        <v>2.1414995161106027</v>
      </c>
      <c r="J66" s="163">
        <f>Tabella34[[#This Row],[Italy d.t.]]/Italy_dt_at_lockdown</f>
        <v>0.42060862513030273</v>
      </c>
      <c r="K66" s="96">
        <f>Tabella34[[#This Row],[Italy cumul. Fit]]/Kf</f>
        <v>3.8561832110300997E-3</v>
      </c>
      <c r="L66" s="166">
        <f>Tabella34[[#This Row],[Lombardy acc. fit]]+Tabella34[[#This Row],[rest of Italy acc. fit]]</f>
        <v>81.458205778306962</v>
      </c>
      <c r="M66" s="96">
        <f>Tabella34[[#This Row],[Italy (fitted Lombardy + fitted sum of the other regions)]]/(y_l_peak+y_a_peak)</f>
        <v>1.5856835376999494E-2</v>
      </c>
      <c r="N66" s="163">
        <f>IFERROR(Kt*_xlfn.LOGNORM.DIST((Tabella34[[#This Row],[Day]]-pt),mu_t,sigma_t,FALSE),0)</f>
        <v>316.37246631163669</v>
      </c>
      <c r="O66" s="163">
        <f>Kt*EXP(-0.5*Tabella34[[#This Row],[x_t]]^2)/(sigma_t*SQRTPI(2)*(Tabella34[[#This Row],[Day]]-D_bk))</f>
        <v>316.37246631163686</v>
      </c>
      <c r="P66" s="206">
        <f>Tabella34[[#This Row],[Italy velocity]]/Tabella34[[#This Row],[Italy cumul. Fit]]</f>
        <v>0.34911883272957372</v>
      </c>
      <c r="Q66" s="269">
        <f>(LN(Tabella34[[#This Row],[Day]]-D_bk)-mu_t)/sigma_t</f>
        <v>-2.6644092857498776</v>
      </c>
      <c r="R66" s="269">
        <f>EXP(mu_t+sigma_t*Tabella34[[#This Row],[x_t_alpha©+plus]])-(Tabella34[[#This Row],[Day]]-D_bk)</f>
        <v>101.33771941598366</v>
      </c>
      <c r="S66" s="269">
        <f>EXP(mu_t+sigma_t*Tabella34[[#This Row],[x_t_alpha©-minus]])-(Tabella34[[#This Row],[Day]]-D_bk)</f>
        <v>-2.2680380451585798</v>
      </c>
      <c r="T66" s="269">
        <f>-sigma_t+SQRT(sigma_t^2-2*Tabella34[[#This Row],[c_t]])</f>
        <v>2.323124266610145</v>
      </c>
      <c r="U66" s="269">
        <f>-sigma_t-SQRT(sigma_t^2-2*Tabella34[[#This Row],[c_t]])</f>
        <v>-2.9423611725023826</v>
      </c>
      <c r="V66" s="269">
        <f>mu_t-LN(alpha*Kt/(Tabella34[[#This Row],[Italy velocity]]*sigma_t*SQRTPI(2)))</f>
        <v>-3.4177353204858827</v>
      </c>
      <c r="W66" s="269">
        <f>Tabella34[[#This Row],[Italy g.r.]]/Italy_gr_at_lockdown</f>
        <v>2.2074556845733593</v>
      </c>
      <c r="X66" s="269">
        <f>Tabella34[[#This Row],[t_alpha_t+plus]]</f>
        <v>101.33771941598366</v>
      </c>
      <c r="Y66" s="269">
        <f>Tabella34[[#This Row],[Italy h.t.]]/Italy_ht_at_lockdown</f>
        <v>1.8047616763840169</v>
      </c>
      <c r="Z66" s="91">
        <f>IFERROR(-Kf*_xlfn.LOGNORM.DIST((Tabella34[[#This Row],[Day]]-D_bk),mu_f,sigma_f,FALSE)*(1+(LN((Tabella34[[#This Row],[Day]]-D_bk))-mu_f)/sigma_f^2)/(Tabella34[[#This Row],[Day]]-D_bk),0)</f>
        <v>87.481623991348556</v>
      </c>
      <c r="AA66" s="91">
        <f>Tabella34[[#This Row],[Italy acc. fit]]/Itali_acc_at_lockdown</f>
        <v>0.3600557224908621</v>
      </c>
      <c r="AB66" s="96">
        <f>Tabella34[[#This Row],[Italy acc. fit]]/y_f_peak</f>
        <v>1.7283354925262867E-2</v>
      </c>
      <c r="AC66" s="163">
        <f>Tabella34[[#This Row],[Italy (fitted Lombardy + fitted sum of the other regions)]]*NOT(ISBLANK(Tabella34[[#This Row],[Italy data]]))</f>
        <v>81.458205778306962</v>
      </c>
      <c r="AD66" s="163">
        <f>Tabella34[[#This Row],[Italy acc. fit]]*NOT(ISBLANK(Tabella34[[#This Row],[Italy data]]))</f>
        <v>87.481623991348556</v>
      </c>
      <c r="AE66" s="96">
        <f>Tabella34[[#This Row],[Italy acc. fit]]+CIf</f>
        <v>1101.2446260116662</v>
      </c>
      <c r="AF66" s="96">
        <f>MAX(Tabella34[[#This Row],[Italy acc. fit]]-CIf,0)</f>
        <v>0</v>
      </c>
      <c r="AG66" s="4">
        <f>Tabella8[[#This Row],[Lombardy]]</f>
        <v>531</v>
      </c>
      <c r="AH66" s="91">
        <f>(Tabella34[[#This Row],[Lombardy cumul. Data]]-AG65)</f>
        <v>128</v>
      </c>
      <c r="AI66" s="91">
        <f>Tabella34[[#This Row],[Lombardy data]]-AH65</f>
        <v>-17</v>
      </c>
      <c r="AJ66" s="96">
        <f>Tabella34[[#This Row],[Lombardy data]]*NOT(ISBLANK(Tabella34[[#This Row],[Lombardy data]]))</f>
        <v>128</v>
      </c>
      <c r="AK66" s="96">
        <f>Tabella8[[#This Row],[Lombardy fit]]</f>
        <v>855.6049183896896</v>
      </c>
      <c r="AL66" s="163">
        <f>_xlfn.LOGNORM.INV(alpha*Tabella34[[#This Row],[Lombardy cumul. Fit]]/Kr,mu_r,sigma_r)-(Tabella34[[#This Row],[Day]]-pr)</f>
        <v>2.6946459127522857</v>
      </c>
      <c r="AM66" s="96">
        <f>Tabella34[[#This Row],[Lombardy cumul. Fit]]/Kl</f>
        <v>9.8345392918355121E-3</v>
      </c>
      <c r="AN66" s="96">
        <f>IFERROR(Kr*_xlfn.LOGNORM.DIST((Tabella34[[#This Row],[Day]]-pr),mu_r,sigma_r,FALSE),0)</f>
        <v>241.65895998029089</v>
      </c>
      <c r="AO66" s="209">
        <f>Tabella34[[#This Row],[Lombardy velocity]]/Tabella34[[#This Row],[Lombardy cumul. Fit]]</f>
        <v>0.28244222863411134</v>
      </c>
      <c r="AP66" s="266">
        <f>(LN(Tabella34[[#This Row],[Day]]-pr)-mu_r)/sigma_r</f>
        <v>-2.3326013393974239</v>
      </c>
      <c r="AQ66" s="269">
        <f>EXP(mu_r+sigma_r*Tabella34[[#This Row],[x_r_alpha©+plus]])-(Tabella34[[#This Row],[Day]]-pr)</f>
        <v>92.548765503856586</v>
      </c>
      <c r="AR66" s="269">
        <f>EXP(mu_r+sigma_r*Tabella34[[#This Row],[x_r_alpha©-minus]])-(Tabella34[[#This Row],[Day]]-pr)</f>
        <v>-2.8833387410845823</v>
      </c>
      <c r="AS66" s="269">
        <f>-sigma_r+SQRT(sigma_r^2-2*Tabella34[[#This Row],[c_r]])</f>
        <v>1.9736711802841702</v>
      </c>
      <c r="AT66" s="269">
        <f>-sigma_r-SQRT(sigma_r^2-2*Tabella34[[#This Row],[c_r]])</f>
        <v>-2.6545257774778994</v>
      </c>
      <c r="AU66" s="269">
        <f>mu_r-LN(alpha*Kr/(Tabella34[[#This Row],[Lombardy velocity]]*sigma_r*SQRTPI(2)))</f>
        <v>-2.6195805121647799</v>
      </c>
      <c r="AV66" s="269">
        <f>Tabella34[[#This Row],[t_alpha_r+plus]]</f>
        <v>92.548765503856586</v>
      </c>
      <c r="AW66" s="91">
        <f>IFERROR(-Kl*_xlfn.LOGNORM.DIST((Tabella34[[#This Row],[Day]]-pl),mu_l,sigma_l,FALSE)*(1+(LN((Tabella34[[#This Row],[Day]]-pl))-mu_l)/sigma_l^2)/(Tabella34[[#This Row],[Day]]-pl),0)</f>
        <v>50.91059814721217</v>
      </c>
      <c r="AX66" s="96">
        <f>Tabella34[[#This Row],[Lombardy acc. fit]]/y_l_peak</f>
        <v>2.8960134608104825E-2</v>
      </c>
      <c r="AY66" s="163">
        <f>Tabella34[[#This Row],[Lombardy acc. fit]]*NOT(ISBLANK(Tabella34[[#This Row],[Lombardy data]]))</f>
        <v>50.91059814721217</v>
      </c>
      <c r="AZ66" s="96">
        <f>Tabella34[[#This Row],[Lombardy acc. fit]]+CIl</f>
        <v>799.86596995083573</v>
      </c>
      <c r="BA66" s="96">
        <f>MAX(Tabella34[[#This Row],[Lombardy acc. fit]]-CIl,0)</f>
        <v>0</v>
      </c>
      <c r="BB66" s="10">
        <f>Tabella8[[#This Row],[rest of Italy ]]</f>
        <v>357</v>
      </c>
      <c r="BC66" s="10">
        <f>(Tabella34[[#This Row],[rest of Italy cum. Data]]-BB65)</f>
        <v>110</v>
      </c>
      <c r="BD66" s="10">
        <f>Tabella34[[#This Row],[rest of Italy data]]-BC65</f>
        <v>5</v>
      </c>
      <c r="BE66" s="96">
        <f>Tabella34[[#This Row],[rest of Italy data]]*NOT(ISBLANK(Tabella34[[#This Row],[rest of Italy data]]))</f>
        <v>110</v>
      </c>
      <c r="BF66" s="96">
        <f>Tabella8[[#This Row],[rest of Italy fit]]</f>
        <v>154.69135092058042</v>
      </c>
      <c r="BG66" s="163">
        <f>_xlfn.LOGNORM.INV(alpha*Tabella34[[#This Row],[rest of Italy cumul. Fit]]/Ko,mu_o,sigma_o)-(Tabella34[[#This Row],[Day]]-po)</f>
        <v>1.5076174862893517</v>
      </c>
      <c r="BH66" s="96">
        <f>Tabella34[[#This Row],[rest of Italy cumul. Fit]]/Ka</f>
        <v>1.0452119522191591E-3</v>
      </c>
      <c r="BI66" s="163">
        <f>IFERROR(Ko*_xlfn.LOGNORM.DIST((Tabella34[[#This Row],[Day]]-po),mu_o,sigma_o,FALSE),0)</f>
        <v>75.848938488127814</v>
      </c>
      <c r="BJ66" s="206">
        <f>Tabella34[[#This Row],[rest of Italy velocity]]/Tabella34[[#This Row],[rest of Italy cumul. Fit]]</f>
        <v>0.49032436549777869</v>
      </c>
      <c r="BK66" s="261">
        <f>(LN(Tabella34[[#This Row],[Day]]-po)-mu_o)/sigma_o</f>
        <v>-3.0770754373510596</v>
      </c>
      <c r="BL66" s="269">
        <f>EXP(mu_o+sigma_o*Tabella34[[#This Row],[x_o_alpha©+plus]])-(Tabella34[[#This Row],[Day]]-po)</f>
        <v>113.96901199151684</v>
      </c>
      <c r="BM66" s="269">
        <f>EXP(mu_o+sigma_o*Tabella34[[#This Row],[x_o_alpha©-minus]])-(Tabella34[[#This Row],[Day]]-po)</f>
        <v>-1.5866964730959232</v>
      </c>
      <c r="BN66" s="269">
        <f>-sigma_o+SQRT(sigma_o^2-2*Tabella34[[#This Row],[c_o]])</f>
        <v>2.6751059036791887</v>
      </c>
      <c r="BO66" s="269">
        <f>-sigma_o-SQRT(sigma_o^2-2*Tabella34[[#This Row],[c_o]])</f>
        <v>-3.318078680978215</v>
      </c>
      <c r="BP66" s="269">
        <f>mu_o-LN(alpha*Ko/(Tabella34[[#This Row],[rest of Italy velocity]]*sigma_o*SQRTPI(2)))</f>
        <v>-4.4381059341784388</v>
      </c>
      <c r="BQ66" s="269">
        <f>Tabella34[[#This Row],[t_alpha_o+plus]]</f>
        <v>113.96901199151684</v>
      </c>
      <c r="BR66" s="91">
        <f>IFERROR(-Ka*_xlfn.LOGNORM.DIST((Tabella34[[#This Row],[Day]]-pa),mu_a,sigma_a,FALSE)*(1+(LN((Tabella34[[#This Row],[Day]]-pa))-mu_a)/sigma_a^2)/(Tabella34[[#This Row],[Day]]-pa),0)</f>
        <v>30.547607631094792</v>
      </c>
      <c r="BS66" s="96">
        <f>Tabella34[[#This Row],[rest of Italy acc. fit]]/y_a_peak</f>
        <v>9.0400295039492311E-3</v>
      </c>
      <c r="BT66" s="96">
        <f>Tabella34[[#This Row],[rest of Italy acc. fit]]*NOT(ISBLANK(Tabella34[[#This Row],[rest of Italy data]]))</f>
        <v>30.547607631094792</v>
      </c>
      <c r="BU66" s="96">
        <f>Tabella34[[#This Row],[rest of Italy acc. fit]]+CIa</f>
        <v>725.19964349469217</v>
      </c>
      <c r="BV66" s="96">
        <f>MAX(Tabella34[[#This Row],[rest of Italy acc. fit]]-CIa,0)</f>
        <v>0</v>
      </c>
    </row>
    <row r="67" spans="2:74" x14ac:dyDescent="0.3">
      <c r="B67" s="288">
        <v>43890</v>
      </c>
      <c r="C67" s="30">
        <v>60</v>
      </c>
      <c r="D67" s="10">
        <f>Tabella8[[#This Row],[Italy cumulative]]</f>
        <v>1128</v>
      </c>
      <c r="E67" s="91">
        <f>(Tabella34[[#This Row],[Italy cumul. Data]]-D66)</f>
        <v>240</v>
      </c>
      <c r="F67" s="91">
        <f>Tabella34[[#This Row],[Italy data]]-E66</f>
        <v>2</v>
      </c>
      <c r="G67" s="96">
        <f>Tabella34[[#This Row],[Italy data]]*NOT(ISBLANK(Tabella34[[#This Row],[Italy data]]))</f>
        <v>240</v>
      </c>
      <c r="H67" s="163">
        <f>Tabella8[[#This Row],[Italy fit]]</f>
        <v>1269.1347662049882</v>
      </c>
      <c r="I67" s="163">
        <f>_xlfn.LOGNORM.INV(alpha*Tabella34[[#This Row],[Italy cumul. Fit]]/Kt,mu_t,sigma_t)-(Tabella34[[#This Row],[Day]]-pt)</f>
        <v>2.3109993717968287</v>
      </c>
      <c r="J67" s="163">
        <f>Tabella34[[#This Row],[Italy d.t.]]/Italy_dt_at_lockdown</f>
        <v>0.45389983099966053</v>
      </c>
      <c r="K67" s="96">
        <f>Tabella34[[#This Row],[Italy cumul. Fit]]/Kf</f>
        <v>5.4005749467812897E-3</v>
      </c>
      <c r="L67" s="166">
        <f>Tabella34[[#This Row],[Lombardy acc. fit]]+Tabella34[[#This Row],[rest of Italy acc. fit]]</f>
        <v>97.570681086380404</v>
      </c>
      <c r="M67" s="96">
        <f>Tabella34[[#This Row],[Italy (fitted Lombardy + fitted sum of the other regions)]]/(y_l_peak+y_a_peak)</f>
        <v>1.8993325630313293E-2</v>
      </c>
      <c r="N67" s="163">
        <f>IFERROR(Kt*_xlfn.LOGNORM.DIST((Tabella34[[#This Row],[Day]]-pt),mu_t,sigma_t,FALSE),0)</f>
        <v>412.35098746855203</v>
      </c>
      <c r="O67" s="163">
        <f>Kt*EXP(-0.5*Tabella34[[#This Row],[x_t]]^2)/(sigma_t*SQRTPI(2)*(Tabella34[[#This Row],[Day]]-D_bk))</f>
        <v>412.35098746855169</v>
      </c>
      <c r="P67" s="206">
        <f>Tabella34[[#This Row],[Italy velocity]]/Tabella34[[#This Row],[Italy cumul. Fit]]</f>
        <v>0.32490717175889727</v>
      </c>
      <c r="Q67" s="269">
        <f>(LN(Tabella34[[#This Row],[Day]]-D_bk)-mu_t)/sigma_t</f>
        <v>-2.549067155396644</v>
      </c>
      <c r="R67" s="269">
        <f>EXP(mu_t+sigma_t*Tabella34[[#This Row],[x_t_alpha©+plus]])-(Tabella34[[#This Row],[Day]]-D_bk)</f>
        <v>96.307619966861665</v>
      </c>
      <c r="S67" s="269">
        <f>EXP(mu_t+sigma_t*Tabella34[[#This Row],[x_t_alpha©-minus]])-(Tabella34[[#This Row],[Day]]-D_bk)</f>
        <v>-2.4531637980427377</v>
      </c>
      <c r="T67" s="269">
        <f>-sigma_t+SQRT(sigma_t^2-2*Tabella34[[#This Row],[c_t]])</f>
        <v>2.2204852706247609</v>
      </c>
      <c r="U67" s="269">
        <f>-sigma_t-SQRT(sigma_t^2-2*Tabella34[[#This Row],[c_t]])</f>
        <v>-2.8397221765169984</v>
      </c>
      <c r="V67" s="269">
        <f>mu_t-LN(alpha*Kt/(Tabella34[[#This Row],[Italy velocity]]*sigma_t*SQRTPI(2)))</f>
        <v>-3.1527806328112415</v>
      </c>
      <c r="W67" s="269">
        <f>Tabella34[[#This Row],[Italy g.r.]]/Italy_gr_at_lockdown</f>
        <v>2.0543669261560158</v>
      </c>
      <c r="X67" s="269">
        <f>Tabella34[[#This Row],[t_alpha_t+plus]]</f>
        <v>96.307619966861665</v>
      </c>
      <c r="Y67" s="269">
        <f>Tabella34[[#This Row],[Italy h.t.]]/Italy_ht_at_lockdown</f>
        <v>1.7151787376076795</v>
      </c>
      <c r="Z67" s="91">
        <f>IFERROR(-Kf*_xlfn.LOGNORM.DIST((Tabella34[[#This Row],[Day]]-D_bk),mu_f,sigma_f,FALSE)*(1+(LN((Tabella34[[#This Row],[Day]]-D_bk))-mu_f)/sigma_f^2)/(Tabella34[[#This Row],[Day]]-D_bk),0)</f>
        <v>104.63197684763253</v>
      </c>
      <c r="AA67" s="91">
        <f>Tabella34[[#This Row],[Italy acc. fit]]/Itali_acc_at_lockdown</f>
        <v>0.43064292020055744</v>
      </c>
      <c r="AB67" s="96">
        <f>Tabella34[[#This Row],[Italy acc. fit]]/y_f_peak</f>
        <v>2.0671673774235833E-2</v>
      </c>
      <c r="AC67" s="163">
        <f>Tabella34[[#This Row],[Italy (fitted Lombardy + fitted sum of the other regions)]]*NOT(ISBLANK(Tabella34[[#This Row],[Italy data]]))</f>
        <v>97.570681086380404</v>
      </c>
      <c r="AD67" s="163">
        <f>Tabella34[[#This Row],[Italy acc. fit]]*NOT(ISBLANK(Tabella34[[#This Row],[Italy data]]))</f>
        <v>104.63197684763253</v>
      </c>
      <c r="AE67" s="96">
        <f>Tabella34[[#This Row],[Italy acc. fit]]+CIf</f>
        <v>1118.3949788679502</v>
      </c>
      <c r="AF67" s="96">
        <f>MAX(Tabella34[[#This Row],[Italy acc. fit]]-CIf,0)</f>
        <v>0</v>
      </c>
      <c r="AG67" s="4">
        <f>Tabella8[[#This Row],[Lombardy]]</f>
        <v>615</v>
      </c>
      <c r="AH67" s="91">
        <f>(Tabella34[[#This Row],[Lombardy cumul. Data]]-AG66)</f>
        <v>84</v>
      </c>
      <c r="AI67" s="91">
        <f>Tabella34[[#This Row],[Lombardy data]]-AH66</f>
        <v>-44</v>
      </c>
      <c r="AJ67" s="96">
        <f>Tabella34[[#This Row],[Lombardy data]]*NOT(ISBLANK(Tabella34[[#This Row],[Lombardy data]]))</f>
        <v>84</v>
      </c>
      <c r="AK67" s="96">
        <f>Tabella8[[#This Row],[Lombardy fit]]</f>
        <v>1123.7418244760652</v>
      </c>
      <c r="AL67" s="163">
        <f>_xlfn.LOGNORM.INV(alpha*Tabella34[[#This Row],[Lombardy cumul. Fit]]/Kr,mu_r,sigma_r)-(Tabella34[[#This Row],[Day]]-pr)</f>
        <v>2.9083429191150714</v>
      </c>
      <c r="AM67" s="96">
        <f>Tabella34[[#This Row],[Lombardy cumul. Fit]]/Kl</f>
        <v>1.2916572695127186E-2</v>
      </c>
      <c r="AN67" s="96">
        <f>IFERROR(Kr*_xlfn.LOGNORM.DIST((Tabella34[[#This Row],[Day]]-pr),mu_r,sigma_r,FALSE),0)</f>
        <v>295.62704237893797</v>
      </c>
      <c r="AO67" s="209">
        <f>Tabella34[[#This Row],[Lombardy velocity]]/Tabella34[[#This Row],[Lombardy cumul. Fit]]</f>
        <v>0.26307380925042234</v>
      </c>
      <c r="AP67" s="266">
        <f>(LN(Tabella34[[#This Row],[Day]]-pr)-mu_r)/sigma_r</f>
        <v>-2.2287109173667958</v>
      </c>
      <c r="AQ67" s="269">
        <f>EXP(mu_r+sigma_r*Tabella34[[#This Row],[x_r_alpha©+plus]])-(Tabella34[[#This Row],[Day]]-pr)</f>
        <v>87.965338634410401</v>
      </c>
      <c r="AR67" s="269">
        <f>EXP(mu_r+sigma_r*Tabella34[[#This Row],[x_r_alpha©-minus]])-(Tabella34[[#This Row],[Day]]-pr)</f>
        <v>-3.1192044368541616</v>
      </c>
      <c r="AS67" s="269">
        <f>-sigma_r+SQRT(sigma_r^2-2*Tabella34[[#This Row],[c_r]])</f>
        <v>1.8848613087605623</v>
      </c>
      <c r="AT67" s="269">
        <f>-sigma_r-SQRT(sigma_r^2-2*Tabella34[[#This Row],[c_r]])</f>
        <v>-2.5657159059542916</v>
      </c>
      <c r="AU67" s="269">
        <f>mu_r-LN(alpha*Kr/(Tabella34[[#This Row],[Lombardy velocity]]*sigma_r*SQRTPI(2)))</f>
        <v>-2.4180093202023993</v>
      </c>
      <c r="AV67" s="269">
        <f>Tabella34[[#This Row],[t_alpha_r+plus]]</f>
        <v>87.965338634410401</v>
      </c>
      <c r="AW67" s="91">
        <f>IFERROR(-Kl*_xlfn.LOGNORM.DIST((Tabella34[[#This Row],[Day]]-pl),mu_l,sigma_l,FALSE)*(1+(LN((Tabella34[[#This Row],[Day]]-pl))-mu_l)/sigma_l^2)/(Tabella34[[#This Row],[Day]]-pl),0)</f>
        <v>56.980945713333803</v>
      </c>
      <c r="AX67" s="96">
        <f>Tabella34[[#This Row],[Lombardy acc. fit]]/y_l_peak</f>
        <v>3.2413208997930876E-2</v>
      </c>
      <c r="AY67" s="163">
        <f>Tabella34[[#This Row],[Lombardy acc. fit]]*NOT(ISBLANK(Tabella34[[#This Row],[Lombardy data]]))</f>
        <v>56.980945713333803</v>
      </c>
      <c r="AZ67" s="96">
        <f>Tabella34[[#This Row],[Lombardy acc. fit]]+CIl</f>
        <v>805.93631751695739</v>
      </c>
      <c r="BA67" s="96">
        <f>MAX(Tabella34[[#This Row],[Lombardy acc. fit]]-CIl,0)</f>
        <v>0</v>
      </c>
      <c r="BB67" s="10">
        <f>Tabella8[[#This Row],[rest of Italy ]]</f>
        <v>513</v>
      </c>
      <c r="BC67" s="10">
        <f>(Tabella34[[#This Row],[rest of Italy cum. Data]]-BB66)</f>
        <v>156</v>
      </c>
      <c r="BD67" s="10">
        <f>Tabella34[[#This Row],[rest of Italy data]]-BC66</f>
        <v>46</v>
      </c>
      <c r="BE67" s="96">
        <f>Tabella34[[#This Row],[rest of Italy data]]*NOT(ISBLANK(Tabella34[[#This Row],[rest of Italy data]]))</f>
        <v>156</v>
      </c>
      <c r="BF67" s="96">
        <f>Tabella8[[#This Row],[rest of Italy fit]]</f>
        <v>247.42222963734693</v>
      </c>
      <c r="BG67" s="163">
        <f>_xlfn.LOGNORM.INV(alpha*Tabella34[[#This Row],[rest of Italy cumul. Fit]]/Ko,mu_o,sigma_o)-(Tabella34[[#This Row],[Day]]-po)</f>
        <v>1.6500635045572594</v>
      </c>
      <c r="BH67" s="96">
        <f>Tabella34[[#This Row],[rest of Italy cumul. Fit]]/Ka</f>
        <v>1.6717720164874626E-3</v>
      </c>
      <c r="BI67" s="163">
        <f>IFERROR(Ko*_xlfn.LOGNORM.DIST((Tabella34[[#This Row],[Day]]-po),mu_o,sigma_o,FALSE),0)</f>
        <v>111.28688876154665</v>
      </c>
      <c r="BJ67" s="206">
        <f>Tabella34[[#This Row],[rest of Italy velocity]]/Tabella34[[#This Row],[rest of Italy cumul. Fit]]</f>
        <v>0.44978532820055289</v>
      </c>
      <c r="BK67" s="261">
        <f>(LN(Tabella34[[#This Row],[Day]]-po)-mu_o)/sigma_o</f>
        <v>-2.9342503515890463</v>
      </c>
      <c r="BL67" s="269">
        <f>EXP(mu_o+sigma_o*Tabella34[[#This Row],[x_o_alpha©+plus]])-(Tabella34[[#This Row],[Day]]-po)</f>
        <v>107.40001448598478</v>
      </c>
      <c r="BM67" s="269">
        <f>EXP(mu_o+sigma_o*Tabella34[[#This Row],[x_o_alpha©-minus]])-(Tabella34[[#This Row],[Day]]-po)</f>
        <v>-1.7408905964081853</v>
      </c>
      <c r="BN67" s="269">
        <f>-sigma_o+SQRT(sigma_o^2-2*Tabella34[[#This Row],[c_o]])</f>
        <v>2.5443171438968806</v>
      </c>
      <c r="BO67" s="269">
        <f>-sigma_o-SQRT(sigma_o^2-2*Tabella34[[#This Row],[c_o]])</f>
        <v>-3.1872899211959069</v>
      </c>
      <c r="BP67" s="269">
        <f>mu_o-LN(alpha*Ko/(Tabella34[[#This Row],[rest of Italy velocity]]*sigma_o*SQRTPI(2)))</f>
        <v>-4.0547381945342424</v>
      </c>
      <c r="BQ67" s="269">
        <f>Tabella34[[#This Row],[t_alpha_o+plus]]</f>
        <v>107.40001448598478</v>
      </c>
      <c r="BR67" s="91">
        <f>IFERROR(-Ka*_xlfn.LOGNORM.DIST((Tabella34[[#This Row],[Day]]-pa),mu_a,sigma_a,FALSE)*(1+(LN((Tabella34[[#This Row],[Day]]-pa))-mu_a)/sigma_a^2)/(Tabella34[[#This Row],[Day]]-pa),0)</f>
        <v>40.589735373046594</v>
      </c>
      <c r="BS67" s="96">
        <f>Tabella34[[#This Row],[rest of Italy acc. fit]]/y_a_peak</f>
        <v>1.201182134329655E-2</v>
      </c>
      <c r="BT67" s="96">
        <f>Tabella34[[#This Row],[rest of Italy acc. fit]]*NOT(ISBLANK(Tabella34[[#This Row],[rest of Italy data]]))</f>
        <v>40.589735373046594</v>
      </c>
      <c r="BU67" s="96">
        <f>Tabella34[[#This Row],[rest of Italy acc. fit]]+CIa</f>
        <v>735.2417712366439</v>
      </c>
      <c r="BV67" s="96">
        <f>MAX(Tabella34[[#This Row],[rest of Italy acc. fit]]-CIa,0)</f>
        <v>0</v>
      </c>
    </row>
    <row r="68" spans="2:74" x14ac:dyDescent="0.3">
      <c r="B68" s="288">
        <v>43891</v>
      </c>
      <c r="C68" s="30">
        <v>61</v>
      </c>
      <c r="D68" s="10">
        <f>Tabella8[[#This Row],[Italy cumulative]]</f>
        <v>1694</v>
      </c>
      <c r="E68" s="91">
        <f>(Tabella34[[#This Row],[Italy cumul. Data]]-D67)</f>
        <v>566</v>
      </c>
      <c r="F68" s="91">
        <f>Tabella34[[#This Row],[Italy data]]-E67</f>
        <v>326</v>
      </c>
      <c r="G68" s="96">
        <f>Tabella34[[#This Row],[Italy data]]*NOT(ISBLANK(Tabella34[[#This Row],[Italy data]]))</f>
        <v>566</v>
      </c>
      <c r="H68" s="163">
        <f>Tabella8[[#This Row],[Italy fit]]</f>
        <v>1736.7591757755515</v>
      </c>
      <c r="I68" s="163">
        <f>_xlfn.LOGNORM.INV(alpha*Tabella34[[#This Row],[Italy cumul. Fit]]/Kt,mu_t,sigma_t)-(Tabella34[[#This Row],[Day]]-pt)</f>
        <v>2.4911087000320045</v>
      </c>
      <c r="J68" s="163">
        <f>Tabella34[[#This Row],[Italy d.t.]]/Italy_dt_at_lockdown</f>
        <v>0.48927482704903025</v>
      </c>
      <c r="K68" s="96">
        <f>Tabella34[[#This Row],[Italy cumul. Fit]]/Kf</f>
        <v>7.3904665942868099E-3</v>
      </c>
      <c r="L68" s="166">
        <f>Tabella34[[#This Row],[Lombardy acc. fit]]+Tabella34[[#This Row],[rest of Italy acc. fit]]</f>
        <v>114.8140290749748</v>
      </c>
      <c r="M68" s="96">
        <f>Tabella34[[#This Row],[Italy (fitted Lombardy + fitted sum of the other regions)]]/(y_l_peak+y_a_peak)</f>
        <v>2.2349954072972564E-2</v>
      </c>
      <c r="N68" s="163">
        <f>IFERROR(Kt*_xlfn.LOGNORM.DIST((Tabella34[[#This Row],[Day]]-pt),mu_t,sigma_t,FALSE),0)</f>
        <v>525.87802862722901</v>
      </c>
      <c r="O68" s="163">
        <f>Kt*EXP(-0.5*Tabella34[[#This Row],[x_t]]^2)/(sigma_t*SQRTPI(2)*(Tabella34[[#This Row],[Day]]-D_bk))</f>
        <v>525.87802862722924</v>
      </c>
      <c r="P68" s="206">
        <f>Tabella34[[#This Row],[Italy velocity]]/Tabella34[[#This Row],[Italy cumul. Fit]]</f>
        <v>0.30279271643542499</v>
      </c>
      <c r="Q68" s="269">
        <f>(LN(Tabella34[[#This Row],[Day]]-D_bk)-mu_t)/sigma_t</f>
        <v>-2.4377024937466492</v>
      </c>
      <c r="R68" s="269">
        <f>EXP(mu_t+sigma_t*Tabella34[[#This Row],[x_t_alpha©+plus]])-(Tabella34[[#This Row],[Day]]-D_bk)</f>
        <v>91.57665405668007</v>
      </c>
      <c r="S68" s="269">
        <f>EXP(mu_t+sigma_t*Tabella34[[#This Row],[x_t_alpha©-minus]])-(Tabella34[[#This Row],[Day]]-D_bk)</f>
        <v>-2.6504186171917894</v>
      </c>
      <c r="T68" s="269">
        <f>-sigma_t+SQRT(sigma_t^2-2*Tabella34[[#This Row],[c_t]])</f>
        <v>2.1224662589481453</v>
      </c>
      <c r="U68" s="269">
        <f>-sigma_t-SQRT(sigma_t^2-2*Tabella34[[#This Row],[c_t]])</f>
        <v>-2.7417031648403829</v>
      </c>
      <c r="V68" s="269">
        <f>mu_t-LN(alpha*Kt/(Tabella34[[#This Row],[Italy velocity]]*sigma_t*SQRTPI(2)))</f>
        <v>-2.909586229712529</v>
      </c>
      <c r="W68" s="269">
        <f>Tabella34[[#This Row],[Italy g.r.]]/Italy_gr_at_lockdown</f>
        <v>1.9145386627152527</v>
      </c>
      <c r="X68" s="269">
        <f>Tabella34[[#This Row],[t_alpha_t+plus]]</f>
        <v>91.57665405668007</v>
      </c>
      <c r="Y68" s="269">
        <f>Tabella34[[#This Row],[Italy h.t.]]/Italy_ht_at_lockdown</f>
        <v>1.6309231808793301</v>
      </c>
      <c r="Z68" s="91">
        <f>IFERROR(-Kf*_xlfn.LOGNORM.DIST((Tabella34[[#This Row],[Day]]-D_bk),mu_f,sigma_f,FALSE)*(1+(LN((Tabella34[[#This Row],[Day]]-D_bk))-mu_f)/sigma_f^2)/(Tabella34[[#This Row],[Day]]-D_bk),0)</f>
        <v>122.50543578030504</v>
      </c>
      <c r="AA68" s="91">
        <f>Tabella34[[#This Row],[Italy acc. fit]]/Itali_acc_at_lockdown</f>
        <v>0.50420626843070204</v>
      </c>
      <c r="AB68" s="96">
        <f>Tabella34[[#This Row],[Italy acc. fit]]/y_f_peak</f>
        <v>2.4202853470968927E-2</v>
      </c>
      <c r="AC68" s="163">
        <f>Tabella34[[#This Row],[Italy (fitted Lombardy + fitted sum of the other regions)]]*NOT(ISBLANK(Tabella34[[#This Row],[Italy data]]))</f>
        <v>114.8140290749748</v>
      </c>
      <c r="AD68" s="163">
        <f>Tabella34[[#This Row],[Italy acc. fit]]*NOT(ISBLANK(Tabella34[[#This Row],[Italy data]]))</f>
        <v>122.50543578030504</v>
      </c>
      <c r="AE68" s="96">
        <f>Tabella34[[#This Row],[Italy acc. fit]]+CIf</f>
        <v>1136.2684378006227</v>
      </c>
      <c r="AF68" s="96">
        <f>MAX(Tabella34[[#This Row],[Italy acc. fit]]-CIf,0)</f>
        <v>0</v>
      </c>
      <c r="AG68" s="4">
        <f>Tabella8[[#This Row],[Lombardy]]</f>
        <v>984</v>
      </c>
      <c r="AH68" s="91">
        <f>(Tabella34[[#This Row],[Lombardy cumul. Data]]-AG67)</f>
        <v>369</v>
      </c>
      <c r="AI68" s="91">
        <f>Tabella34[[#This Row],[Lombardy data]]-AH67</f>
        <v>285</v>
      </c>
      <c r="AJ68" s="96">
        <f>Tabella34[[#This Row],[Lombardy data]]*NOT(ISBLANK(Tabella34[[#This Row],[Lombardy data]]))</f>
        <v>369</v>
      </c>
      <c r="AK68" s="96">
        <f>Tabella8[[#This Row],[Lombardy fit]]</f>
        <v>1448.8305134421209</v>
      </c>
      <c r="AL68" s="163">
        <f>_xlfn.LOGNORM.INV(alpha*Tabella34[[#This Row],[Lombardy cumul. Fit]]/Kr,mu_r,sigma_r)-(Tabella34[[#This Row],[Day]]-pr)</f>
        <v>3.1356136792830149</v>
      </c>
      <c r="AM68" s="96">
        <f>Tabella34[[#This Row],[Lombardy cumul. Fit]]/Kl</f>
        <v>1.6653224292438172E-2</v>
      </c>
      <c r="AN68" s="96">
        <f>IFERROR(Kr*_xlfn.LOGNORM.DIST((Tabella34[[#This Row],[Day]]-pr),mu_r,sigma_r,FALSE),0)</f>
        <v>355.50427654437118</v>
      </c>
      <c r="AO68" s="209">
        <f>Tabella34[[#This Row],[Lombardy velocity]]/Tabella34[[#This Row],[Lombardy cumul. Fit]]</f>
        <v>0.24537326709096341</v>
      </c>
      <c r="AP68" s="266">
        <f>(LN(Tabella34[[#This Row],[Day]]-pr)-mu_r)/sigma_r</f>
        <v>-2.1283696363301288</v>
      </c>
      <c r="AQ68" s="269">
        <f>EXP(mu_r+sigma_r*Tabella34[[#This Row],[x_r_alpha©+plus]])-(Tabella34[[#This Row],[Day]]-pr)</f>
        <v>83.655443274900563</v>
      </c>
      <c r="AR68" s="269">
        <f>EXP(mu_r+sigma_r*Tabella34[[#This Row],[x_r_alpha©-minus]])-(Tabella34[[#This Row],[Day]]-pr)</f>
        <v>-3.3705065804436209</v>
      </c>
      <c r="AS68" s="269">
        <f>-sigma_r+SQRT(sigma_r^2-2*Tabella34[[#This Row],[c_r]])</f>
        <v>1.8003744587312123</v>
      </c>
      <c r="AT68" s="269">
        <f>-sigma_r-SQRT(sigma_r^2-2*Tabella34[[#This Row],[c_r]])</f>
        <v>-2.4812290559249415</v>
      </c>
      <c r="AU68" s="269">
        <f>mu_r-LN(alpha*Kr/(Tabella34[[#This Row],[Lombardy velocity]]*sigma_r*SQRTPI(2)))</f>
        <v>-2.2335707092745114</v>
      </c>
      <c r="AV68" s="269">
        <f>Tabella34[[#This Row],[t_alpha_r+plus]]</f>
        <v>83.655443274900563</v>
      </c>
      <c r="AW68" s="91">
        <f>IFERROR(-Kl*_xlfn.LOGNORM.DIST((Tabella34[[#This Row],[Day]]-pl),mu_l,sigma_l,FALSE)*(1+(LN((Tabella34[[#This Row],[Day]]-pl))-mu_l)/sigma_l^2)/(Tabella34[[#This Row],[Day]]-pl),0)</f>
        <v>62.702026914326709</v>
      </c>
      <c r="AX68" s="96">
        <f>Tabella34[[#This Row],[Lombardy acc. fit]]/y_l_peak</f>
        <v>3.5667605679847003E-2</v>
      </c>
      <c r="AY68" s="163">
        <f>Tabella34[[#This Row],[Lombardy acc. fit]]*NOT(ISBLANK(Tabella34[[#This Row],[Lombardy data]]))</f>
        <v>62.702026914326709</v>
      </c>
      <c r="AZ68" s="96">
        <f>Tabella34[[#This Row],[Lombardy acc. fit]]+CIl</f>
        <v>811.65739871795029</v>
      </c>
      <c r="BA68" s="96">
        <f>MAX(Tabella34[[#This Row],[Lombardy acc. fit]]-CIl,0)</f>
        <v>0</v>
      </c>
      <c r="BB68" s="10">
        <f>Tabella8[[#This Row],[rest of Italy ]]</f>
        <v>710</v>
      </c>
      <c r="BC68" s="10">
        <f>(Tabella34[[#This Row],[rest of Italy cum. Data]]-BB67)</f>
        <v>197</v>
      </c>
      <c r="BD68" s="10">
        <f>Tabella34[[#This Row],[rest of Italy data]]-BC67</f>
        <v>41</v>
      </c>
      <c r="BE68" s="96">
        <f>Tabella34[[#This Row],[rest of Italy data]]*NOT(ISBLANK(Tabella34[[#This Row],[rest of Italy data]]))</f>
        <v>197</v>
      </c>
      <c r="BF68" s="96">
        <f>Tabella8[[#This Row],[rest of Italy fit]]</f>
        <v>380.86663026803939</v>
      </c>
      <c r="BG68" s="163">
        <f>_xlfn.LOGNORM.INV(alpha*Tabella34[[#This Row],[rest of Italy cumul. Fit]]/Ko,mu_o,sigma_o)-(Tabella34[[#This Row],[Day]]-po)</f>
        <v>1.8020580121810745</v>
      </c>
      <c r="BH68" s="96">
        <f>Tabella34[[#This Row],[rest of Italy cumul. Fit]]/Ka</f>
        <v>2.5734234770628532E-3</v>
      </c>
      <c r="BI68" s="163">
        <f>IFERROR(Ko*_xlfn.LOGNORM.DIST((Tabella34[[#This Row],[Day]]-po),mu_o,sigma_o,FALSE),0)</f>
        <v>157.52296613712468</v>
      </c>
      <c r="BJ68" s="206">
        <f>Tabella34[[#This Row],[rest of Italy velocity]]/Tabella34[[#This Row],[rest of Italy cumul. Fit]]</f>
        <v>0.41359088357587548</v>
      </c>
      <c r="BK68" s="261">
        <f>(LN(Tabella34[[#This Row],[Day]]-po)-mu_o)/sigma_o</f>
        <v>-2.797696375341471</v>
      </c>
      <c r="BL68" s="269">
        <f>EXP(mu_o+sigma_o*Tabella34[[#This Row],[x_o_alpha©+plus]])-(Tabella34[[#This Row],[Day]]-po)</f>
        <v>101.33509003292285</v>
      </c>
      <c r="BM68" s="269">
        <f>EXP(mu_o+sigma_o*Tabella34[[#This Row],[x_o_alpha©-minus]])-(Tabella34[[#This Row],[Day]]-po)</f>
        <v>-1.906000312275907</v>
      </c>
      <c r="BN68" s="269">
        <f>-sigma_o+SQRT(sigma_o^2-2*Tabella34[[#This Row],[c_o]])</f>
        <v>2.4203944000269164</v>
      </c>
      <c r="BO68" s="269">
        <f>-sigma_o-SQRT(sigma_o^2-2*Tabella34[[#This Row],[c_o]])</f>
        <v>-3.0633671773259428</v>
      </c>
      <c r="BP68" s="269">
        <f>mu_o-LN(alpha*Ko/(Tabella34[[#This Row],[rest of Italy velocity]]*sigma_o*SQRTPI(2)))</f>
        <v>-3.707278380612987</v>
      </c>
      <c r="BQ68" s="269">
        <f>Tabella34[[#This Row],[t_alpha_o+plus]]</f>
        <v>101.33509003292285</v>
      </c>
      <c r="BR68" s="91">
        <f>IFERROR(-Ka*_xlfn.LOGNORM.DIST((Tabella34[[#This Row],[Day]]-pa),mu_a,sigma_a,FALSE)*(1+(LN((Tabella34[[#This Row],[Day]]-pa))-mu_a)/sigma_a^2)/(Tabella34[[#This Row],[Day]]-pa),0)</f>
        <v>52.112002160648089</v>
      </c>
      <c r="BS68" s="96">
        <f>Tabella34[[#This Row],[rest of Italy acc. fit]]/y_a_peak</f>
        <v>1.5421634411808809E-2</v>
      </c>
      <c r="BT68" s="96">
        <f>Tabella34[[#This Row],[rest of Italy acc. fit]]*NOT(ISBLANK(Tabella34[[#This Row],[rest of Italy data]]))</f>
        <v>52.112002160648089</v>
      </c>
      <c r="BU68" s="96">
        <f>Tabella34[[#This Row],[rest of Italy acc. fit]]+CIa</f>
        <v>746.76403802424545</v>
      </c>
      <c r="BV68" s="96">
        <f>MAX(Tabella34[[#This Row],[rest of Italy acc. fit]]-CIa,0)</f>
        <v>0</v>
      </c>
    </row>
    <row r="69" spans="2:74" x14ac:dyDescent="0.3">
      <c r="B69" s="288">
        <v>43892</v>
      </c>
      <c r="C69" s="30">
        <v>62</v>
      </c>
      <c r="D69" s="10">
        <f>Tabella8[[#This Row],[Italy cumulative]]</f>
        <v>2036</v>
      </c>
      <c r="E69" s="91">
        <f>(Tabella34[[#This Row],[Italy cumul. Data]]-D68)</f>
        <v>342</v>
      </c>
      <c r="F69" s="91">
        <f>Tabella34[[#This Row],[Italy data]]-E68</f>
        <v>-224</v>
      </c>
      <c r="G69" s="96">
        <f>Tabella34[[#This Row],[Italy data]]*NOT(ISBLANK(Tabella34[[#This Row],[Italy data]]))</f>
        <v>342</v>
      </c>
      <c r="H69" s="163">
        <f>Tabella8[[#This Row],[Italy fit]]</f>
        <v>2326.9109965351204</v>
      </c>
      <c r="I69" s="163">
        <f>_xlfn.LOGNORM.INV(alpha*Tabella34[[#This Row],[Italy cumul. Fit]]/Kt,mu_t,sigma_t)-(Tabella34[[#This Row],[Day]]-pt)</f>
        <v>2.682590515791702</v>
      </c>
      <c r="J69" s="163">
        <f>Tabella34[[#This Row],[Italy d.t.]]/Italy_dt_at_lockdown</f>
        <v>0.5268834758758183</v>
      </c>
      <c r="K69" s="96">
        <f>Tabella34[[#This Row],[Italy cumul. Fit]]/Kf</f>
        <v>9.9017516231587593E-3</v>
      </c>
      <c r="L69" s="166">
        <f>Tabella34[[#This Row],[Lombardy acc. fit]]+Tabella34[[#This Row],[rest of Italy acc. fit]]</f>
        <v>132.79325731906457</v>
      </c>
      <c r="M69" s="96">
        <f>Tabella34[[#This Row],[Italy (fitted Lombardy + fitted sum of the other regions)]]/(y_l_peak+y_a_peak)</f>
        <v>2.584983060165439E-2</v>
      </c>
      <c r="N69" s="163">
        <f>IFERROR(Kt*_xlfn.LOGNORM.DIST((Tabella34[[#This Row],[Day]]-pt),mu_t,sigma_t,FALSE),0)</f>
        <v>657.44960827714499</v>
      </c>
      <c r="O69" s="163">
        <f>Kt*EXP(-0.5*Tabella34[[#This Row],[x_t]]^2)/(sigma_t*SQRTPI(2)*(Tabella34[[#This Row],[Day]]-D_bk))</f>
        <v>657.44960827714476</v>
      </c>
      <c r="P69" s="206">
        <f>Tabella34[[#This Row],[Italy velocity]]/Tabella34[[#This Row],[Italy cumul. Fit]]</f>
        <v>0.2825417943600414</v>
      </c>
      <c r="Q69" s="269">
        <f>(LN(Tabella34[[#This Row],[Day]]-D_bk)-mu_t)/sigma_t</f>
        <v>-2.3300501017543138</v>
      </c>
      <c r="R69" s="269">
        <f>EXP(mu_t+sigma_t*Tabella34[[#This Row],[x_t_alpha©+plus]])-(Tabella34[[#This Row],[Day]]-D_bk)</f>
        <v>87.117475457534312</v>
      </c>
      <c r="S69" s="269">
        <f>EXP(mu_t+sigma_t*Tabella34[[#This Row],[x_t_alpha©-minus]])-(Tabella34[[#This Row],[Day]]-D_bk)</f>
        <v>-2.8606540340517093</v>
      </c>
      <c r="T69" s="269">
        <f>-sigma_t+SQRT(sigma_t^2-2*Tabella34[[#This Row],[c_t]])</f>
        <v>2.0288507918004721</v>
      </c>
      <c r="U69" s="269">
        <f>-sigma_t-SQRT(sigma_t^2-2*Tabella34[[#This Row],[c_t]])</f>
        <v>-2.6480876976927097</v>
      </c>
      <c r="V69" s="269">
        <f>mu_t-LN(alpha*Kt/(Tabella34[[#This Row],[Italy velocity]]*sigma_t*SQRTPI(2)))</f>
        <v>-2.686287411110472</v>
      </c>
      <c r="W69" s="269">
        <f>Tabella34[[#This Row],[Italy g.r.]]/Italy_gr_at_lockdown</f>
        <v>1.7864933988615423</v>
      </c>
      <c r="X69" s="269">
        <f>Tabella34[[#This Row],[t_alpha_t+plus]]</f>
        <v>87.117475457534312</v>
      </c>
      <c r="Y69" s="269">
        <f>Tabella34[[#This Row],[Italy h.t.]]/Italy_ht_at_lockdown</f>
        <v>1.5515079869094064</v>
      </c>
      <c r="Z69" s="91">
        <f>IFERROR(-Kf*_xlfn.LOGNORM.DIST((Tabella34[[#This Row],[Day]]-D_bk),mu_f,sigma_f,FALSE)*(1+(LN((Tabella34[[#This Row],[Day]]-D_bk))-mu_f)/sigma_f^2)/(Tabella34[[#This Row],[Day]]-D_bk),0)</f>
        <v>140.64122819685704</v>
      </c>
      <c r="AA69" s="91">
        <f>Tabella34[[#This Row],[Italy acc. fit]]/Itali_acc_at_lockdown</f>
        <v>0.57884932537865841</v>
      </c>
      <c r="AB69" s="96">
        <f>Tabella34[[#This Row],[Italy acc. fit]]/y_f_peak</f>
        <v>2.7785861226027948E-2</v>
      </c>
      <c r="AC69" s="163">
        <f>Tabella34[[#This Row],[Italy (fitted Lombardy + fitted sum of the other regions)]]*NOT(ISBLANK(Tabella34[[#This Row],[Italy data]]))</f>
        <v>132.79325731906457</v>
      </c>
      <c r="AD69" s="163">
        <f>Tabella34[[#This Row],[Italy acc. fit]]*NOT(ISBLANK(Tabella34[[#This Row],[Italy data]]))</f>
        <v>140.64122819685704</v>
      </c>
      <c r="AE69" s="96">
        <f>Tabella34[[#This Row],[Italy acc. fit]]+CIf</f>
        <v>1154.4042302171747</v>
      </c>
      <c r="AF69" s="96">
        <f>MAX(Tabella34[[#This Row],[Italy acc. fit]]-CIf,0)</f>
        <v>0</v>
      </c>
      <c r="AG69" s="4">
        <f>Tabella8[[#This Row],[Lombardy]]</f>
        <v>1254</v>
      </c>
      <c r="AH69" s="91">
        <f>(Tabella34[[#This Row],[Lombardy cumul. Data]]-AG68)</f>
        <v>270</v>
      </c>
      <c r="AI69" s="91">
        <f>Tabella34[[#This Row],[Lombardy data]]-AH68</f>
        <v>-99</v>
      </c>
      <c r="AJ69" s="96">
        <f>Tabella34[[#This Row],[Lombardy data]]*NOT(ISBLANK(Tabella34[[#This Row],[Lombardy data]]))</f>
        <v>270</v>
      </c>
      <c r="AK69" s="96">
        <f>Tabella8[[#This Row],[Lombardy fit]]</f>
        <v>1836.5792702222441</v>
      </c>
      <c r="AL69" s="163">
        <f>_xlfn.LOGNORM.INV(alpha*Tabella34[[#This Row],[Lombardy cumul. Fit]]/Kr,mu_r,sigma_r)-(Tabella34[[#This Row],[Day]]-pr)</f>
        <v>3.3774605947578813</v>
      </c>
      <c r="AM69" s="96">
        <f>Tabella34[[#This Row],[Lombardy cumul. Fit]]/Kl</f>
        <v>2.1110106554278668E-2</v>
      </c>
      <c r="AN69" s="96">
        <f>IFERROR(Kr*_xlfn.LOGNORM.DIST((Tabella34[[#This Row],[Day]]-pr),mu_r,sigma_r,FALSE),0)</f>
        <v>420.86336829536248</v>
      </c>
      <c r="AO69" s="209">
        <f>Tabella34[[#This Row],[Lombardy velocity]]/Tabella34[[#This Row],[Lombardy cumul. Fit]]</f>
        <v>0.22915611382482493</v>
      </c>
      <c r="AP69" s="266">
        <f>(LN(Tabella34[[#This Row],[Day]]-pr)-mu_r)/sigma_r</f>
        <v>-2.0313429914802725</v>
      </c>
      <c r="AQ69" s="269">
        <f>EXP(mu_r+sigma_r*Tabella34[[#This Row],[x_r_alpha©+plus]])-(Tabella34[[#This Row],[Day]]-pr)</f>
        <v>79.594980306174762</v>
      </c>
      <c r="AR69" s="269">
        <f>EXP(mu_r+sigma_r*Tabella34[[#This Row],[x_r_alpha©-minus]])-(Tabella34[[#This Row],[Day]]-pr)</f>
        <v>-3.6382743511205895</v>
      </c>
      <c r="AS69" s="269">
        <f>-sigma_r+SQRT(sigma_r^2-2*Tabella34[[#This Row],[c_r]])</f>
        <v>1.7200314468186479</v>
      </c>
      <c r="AT69" s="269">
        <f>-sigma_r-SQRT(sigma_r^2-2*Tabella34[[#This Row],[c_r]])</f>
        <v>-2.4008860440123772</v>
      </c>
      <c r="AU69" s="269">
        <f>mu_r-LN(alpha*Kr/(Tabella34[[#This Row],[Lombardy velocity]]*sigma_r*SQRTPI(2)))</f>
        <v>-2.0647997479646545</v>
      </c>
      <c r="AV69" s="269">
        <f>Tabella34[[#This Row],[t_alpha_r+plus]]</f>
        <v>79.594980306174762</v>
      </c>
      <c r="AW69" s="91">
        <f>IFERROR(-Kl*_xlfn.LOGNORM.DIST((Tabella34[[#This Row],[Day]]-pl),mu_l,sigma_l,FALSE)*(1+(LN((Tabella34[[#This Row],[Day]]-pl))-mu_l)/sigma_l^2)/(Tabella34[[#This Row],[Day]]-pl),0)</f>
        <v>67.920574651300242</v>
      </c>
      <c r="AX69" s="96">
        <f>Tabella34[[#This Row],[Lombardy acc. fit]]/y_l_peak</f>
        <v>3.8636139745869366E-2</v>
      </c>
      <c r="AY69" s="163">
        <f>Tabella34[[#This Row],[Lombardy acc. fit]]*NOT(ISBLANK(Tabella34[[#This Row],[Lombardy data]]))</f>
        <v>67.920574651300242</v>
      </c>
      <c r="AZ69" s="96">
        <f>Tabella34[[#This Row],[Lombardy acc. fit]]+CIl</f>
        <v>816.87594645492391</v>
      </c>
      <c r="BA69" s="96">
        <f>MAX(Tabella34[[#This Row],[Lombardy acc. fit]]-CIl,0)</f>
        <v>0</v>
      </c>
      <c r="BB69" s="10">
        <f>Tabella8[[#This Row],[rest of Italy ]]</f>
        <v>782</v>
      </c>
      <c r="BC69" s="10">
        <f>(Tabella34[[#This Row],[rest of Italy cum. Data]]-BB68)</f>
        <v>72</v>
      </c>
      <c r="BD69" s="10">
        <f>Tabella34[[#This Row],[rest of Italy data]]-BC68</f>
        <v>-125</v>
      </c>
      <c r="BE69" s="96">
        <f>Tabella34[[#This Row],[rest of Italy data]]*NOT(ISBLANK(Tabella34[[#This Row],[rest of Italy data]]))</f>
        <v>72</v>
      </c>
      <c r="BF69" s="96">
        <f>Tabella8[[#This Row],[rest of Italy fit]]</f>
        <v>566.52661474504566</v>
      </c>
      <c r="BG69" s="163">
        <f>_xlfn.LOGNORM.INV(alpha*Tabella34[[#This Row],[rest of Italy cumul. Fit]]/Ko,mu_o,sigma_o)-(Tabella34[[#This Row],[Day]]-po)</f>
        <v>1.9642758151927531</v>
      </c>
      <c r="BH69" s="96">
        <f>Tabella34[[#This Row],[rest of Italy cumul. Fit]]/Ka</f>
        <v>3.827882977670739E-3</v>
      </c>
      <c r="BI69" s="163">
        <f>IFERROR(Ko*_xlfn.LOGNORM.DIST((Tabella34[[#This Row],[Day]]-po),mu_o,sigma_o,FALSE),0)</f>
        <v>215.92471211240581</v>
      </c>
      <c r="BJ69" s="206">
        <f>Tabella34[[#This Row],[rest of Italy velocity]]/Tabella34[[#This Row],[rest of Italy cumul. Fit]]</f>
        <v>0.38113780799085417</v>
      </c>
      <c r="BK69" s="261">
        <f>(LN(Tabella34[[#This Row],[Day]]-po)-mu_o)/sigma_o</f>
        <v>-2.6668858947405418</v>
      </c>
      <c r="BL69" s="269">
        <f>EXP(mu_o+sigma_o*Tabella34[[#This Row],[x_o_alpha©+plus]])-(Tabella34[[#This Row],[Day]]-po)</f>
        <v>95.71416956875639</v>
      </c>
      <c r="BM69" s="269">
        <f>EXP(mu_o+sigma_o*Tabella34[[#This Row],[x_o_alpha©-minus]])-(Tabella34[[#This Row],[Day]]-po)</f>
        <v>-2.0828158992373389</v>
      </c>
      <c r="BN69" s="269">
        <f>-sigma_o+SQRT(sigma_o^2-2*Tabella34[[#This Row],[c_o]])</f>
        <v>2.3028598545683923</v>
      </c>
      <c r="BO69" s="269">
        <f>-sigma_o-SQRT(sigma_o^2-2*Tabella34[[#This Row],[c_o]])</f>
        <v>-2.9458326318674186</v>
      </c>
      <c r="BP69" s="269">
        <f>mu_o-LN(alpha*Ko/(Tabella34[[#This Row],[rest of Italy velocity]]*sigma_o*SQRTPI(2)))</f>
        <v>-3.3919198531025136</v>
      </c>
      <c r="BQ69" s="269">
        <f>Tabella34[[#This Row],[t_alpha_o+plus]]</f>
        <v>95.71416956875639</v>
      </c>
      <c r="BR69" s="91">
        <f>IFERROR(-Ka*_xlfn.LOGNORM.DIST((Tabella34[[#This Row],[Day]]-pa),mu_a,sigma_a,FALSE)*(1+(LN((Tabella34[[#This Row],[Day]]-pa))-mu_a)/sigma_a^2)/(Tabella34[[#This Row],[Day]]-pa),0)</f>
        <v>64.872682667764323</v>
      </c>
      <c r="BS69" s="96">
        <f>Tabella34[[#This Row],[rest of Italy acc. fit]]/y_a_peak</f>
        <v>1.9197934332506276E-2</v>
      </c>
      <c r="BT69" s="96">
        <f>Tabella34[[#This Row],[rest of Italy acc. fit]]*NOT(ISBLANK(Tabella34[[#This Row],[rest of Italy data]]))</f>
        <v>64.872682667764323</v>
      </c>
      <c r="BU69" s="96">
        <f>Tabella34[[#This Row],[rest of Italy acc. fit]]+CIa</f>
        <v>759.52471853136171</v>
      </c>
      <c r="BV69" s="96">
        <f>MAX(Tabella34[[#This Row],[rest of Italy acc. fit]]-CIa,0)</f>
        <v>0</v>
      </c>
    </row>
    <row r="70" spans="2:74" x14ac:dyDescent="0.3">
      <c r="B70" s="288">
        <v>43893</v>
      </c>
      <c r="C70" s="30">
        <v>63</v>
      </c>
      <c r="D70" s="10">
        <f>Tabella8[[#This Row],[Italy cumulative]]</f>
        <v>2502</v>
      </c>
      <c r="E70" s="91">
        <f>(Tabella34[[#This Row],[Italy cumul. Data]]-D69)</f>
        <v>466</v>
      </c>
      <c r="F70" s="91">
        <f>Tabella34[[#This Row],[Italy data]]-E69</f>
        <v>124</v>
      </c>
      <c r="G70" s="96">
        <f>Tabella34[[#This Row],[Italy data]]*NOT(ISBLANK(Tabella34[[#This Row],[Italy data]]))</f>
        <v>466</v>
      </c>
      <c r="H70" s="163">
        <f>Tabella8[[#This Row],[Italy fit]]</f>
        <v>3057.6852377631972</v>
      </c>
      <c r="I70" s="163">
        <f>_xlfn.LOGNORM.INV(alpha*Tabella34[[#This Row],[Italy cumul. Fit]]/Kt,mu_t,sigma_t)-(Tabella34[[#This Row],[Day]]-pt)</f>
        <v>2.8862848301690747</v>
      </c>
      <c r="J70" s="163">
        <f>Tabella34[[#This Row],[Italy d.t.]]/Italy_dt_at_lockdown</f>
        <v>0.56689076276642225</v>
      </c>
      <c r="K70" s="96">
        <f>Tabella34[[#This Row],[Italy cumul. Fit]]/Kf</f>
        <v>1.3011430093894161E-2</v>
      </c>
      <c r="L70" s="166">
        <f>Tabella34[[#This Row],[Lombardy acc. fit]]+Tabella34[[#This Row],[rest of Italy acc. fit]]</f>
        <v>151.04225279971106</v>
      </c>
      <c r="M70" s="96">
        <f>Tabella34[[#This Row],[Italy (fitted Lombardy + fitted sum of the other regions)]]/(y_l_peak+y_a_peak)</f>
        <v>2.9402220620159826E-2</v>
      </c>
      <c r="N70" s="163">
        <f>IFERROR(Kt*_xlfn.LOGNORM.DIST((Tabella34[[#This Row],[Day]]-pt),mu_t,sigma_t,FALSE),0)</f>
        <v>807.08523710275051</v>
      </c>
      <c r="O70" s="163">
        <f>Kt*EXP(-0.5*Tabella34[[#This Row],[x_t]]^2)/(sigma_t*SQRTPI(2)*(Tabella34[[#This Row],[Day]]-D_bk))</f>
        <v>807.08523710275119</v>
      </c>
      <c r="P70" s="206">
        <f>Tabella34[[#This Row],[Italy velocity]]/Tabella34[[#This Row],[Italy cumul. Fit]]</f>
        <v>0.26395301489343664</v>
      </c>
      <c r="Q70" s="269">
        <f>(LN(Tabella34[[#This Row],[Day]]-D_bk)-mu_t)/sigma_t</f>
        <v>-2.2258704502510094</v>
      </c>
      <c r="R70" s="269">
        <f>EXP(mu_t+sigma_t*Tabella34[[#This Row],[x_t_alpha©+plus]])-(Tabella34[[#This Row],[Day]]-D_bk)</f>
        <v>82.906381077655254</v>
      </c>
      <c r="S70" s="269">
        <f>EXP(mu_t+sigma_t*Tabella34[[#This Row],[x_t_alpha©-minus]])-(Tabella34[[#This Row],[Day]]-D_bk)</f>
        <v>-3.0847876903461007</v>
      </c>
      <c r="T70" s="269">
        <f>-sigma_t+SQRT(sigma_t^2-2*Tabella34[[#This Row],[c_t]])</f>
        <v>1.9394515944945729</v>
      </c>
      <c r="U70" s="269">
        <f>-sigma_t-SQRT(sigma_t^2-2*Tabella34[[#This Row],[c_t]])</f>
        <v>-2.5586885003868103</v>
      </c>
      <c r="V70" s="269">
        <f>mu_t-LN(alpha*Kt/(Tabella34[[#This Row],[Italy velocity]]*sigma_t*SQRTPI(2)))</f>
        <v>-2.4812262459450638</v>
      </c>
      <c r="W70" s="269">
        <f>Tabella34[[#This Row],[Italy g.r.]]/Italy_gr_at_lockdown</f>
        <v>1.6689577546741035</v>
      </c>
      <c r="X70" s="269">
        <f>Tabella34[[#This Row],[t_alpha_t+plus]]</f>
        <v>82.906381077655254</v>
      </c>
      <c r="Y70" s="269">
        <f>Tabella34[[#This Row],[Italy h.t.]]/Italy_ht_at_lockdown</f>
        <v>1.4765110183942149</v>
      </c>
      <c r="Z70" s="91">
        <f>IFERROR(-Kf*_xlfn.LOGNORM.DIST((Tabella34[[#This Row],[Day]]-D_bk),mu_f,sigma_f,FALSE)*(1+(LN((Tabella34[[#This Row],[Day]]-D_bk))-mu_f)/sigma_f^2)/(Tabella34[[#This Row],[Day]]-D_bk),0)</f>
        <v>158.55117420245645</v>
      </c>
      <c r="AA70" s="91">
        <f>Tabella34[[#This Row],[Italy acc. fit]]/Itali_acc_at_lockdown</f>
        <v>0.65256284662577368</v>
      </c>
      <c r="AB70" s="96">
        <f>Tabella34[[#This Row],[Italy acc. fit]]/y_f_peak</f>
        <v>3.1324249511294359E-2</v>
      </c>
      <c r="AC70" s="163">
        <f>Tabella34[[#This Row],[Italy (fitted Lombardy + fitted sum of the other regions)]]*NOT(ISBLANK(Tabella34[[#This Row],[Italy data]]))</f>
        <v>151.04225279971106</v>
      </c>
      <c r="AD70" s="163">
        <f>Tabella34[[#This Row],[Italy acc. fit]]*NOT(ISBLANK(Tabella34[[#This Row],[Italy data]]))</f>
        <v>158.55117420245645</v>
      </c>
      <c r="AE70" s="96">
        <f>Tabella34[[#This Row],[Italy acc. fit]]+CIf</f>
        <v>1172.3141762227742</v>
      </c>
      <c r="AF70" s="96">
        <f>MAX(Tabella34[[#This Row],[Italy acc. fit]]-CIf,0)</f>
        <v>0</v>
      </c>
      <c r="AG70" s="4">
        <f>Tabella8[[#This Row],[Lombardy]]</f>
        <v>1520</v>
      </c>
      <c r="AH70" s="91">
        <f>(Tabella34[[#This Row],[Lombardy cumul. Data]]-AG69)</f>
        <v>266</v>
      </c>
      <c r="AI70" s="91">
        <f>Tabella34[[#This Row],[Lombardy data]]-AH69</f>
        <v>-4</v>
      </c>
      <c r="AJ70" s="96">
        <f>Tabella34[[#This Row],[Lombardy data]]*NOT(ISBLANK(Tabella34[[#This Row],[Lombardy data]]))</f>
        <v>266</v>
      </c>
      <c r="AK70" s="96">
        <f>Tabella8[[#This Row],[Lombardy fit]]</f>
        <v>2292.1954624306022</v>
      </c>
      <c r="AL70" s="163">
        <f>_xlfn.LOGNORM.INV(alpha*Tabella34[[#This Row],[Lombardy cumul. Fit]]/Kr,mu_r,sigma_r)-(Tabella34[[#This Row],[Day]]-pr)</f>
        <v>3.6349908304177951</v>
      </c>
      <c r="AM70" s="96">
        <f>Tabella34[[#This Row],[Lombardy cumul. Fit]]/Kl</f>
        <v>2.6347074280811521E-2</v>
      </c>
      <c r="AN70" s="96">
        <f>IFERROR(Kr*_xlfn.LOGNORM.DIST((Tabella34[[#This Row],[Day]]-pr),mu_r,sigma_r,FALSE),0)</f>
        <v>491.13300028691896</v>
      </c>
      <c r="AO70" s="209">
        <f>Tabella34[[#This Row],[Lombardy velocity]]/Tabella34[[#This Row],[Lombardy cumul. Fit]]</f>
        <v>0.21426314131436699</v>
      </c>
      <c r="AP70" s="266">
        <f>(LN(Tabella34[[#This Row],[Day]]-pr)-mu_r)/sigma_r</f>
        <v>-1.9374189785369405</v>
      </c>
      <c r="AQ70" s="269">
        <f>EXP(mu_r+sigma_r*Tabella34[[#This Row],[x_r_alpha©+plus]])-(Tabella34[[#This Row],[Day]]-pr)</f>
        <v>75.76307496417239</v>
      </c>
      <c r="AR70" s="269">
        <f>EXP(mu_r+sigma_r*Tabella34[[#This Row],[x_r_alpha©-minus]])-(Tabella34[[#This Row],[Day]]-pr)</f>
        <v>-3.923601587155531</v>
      </c>
      <c r="AS70" s="269">
        <f>-sigma_r+SQRT(sigma_r^2-2*Tabella34[[#This Row],[c_r]])</f>
        <v>1.6436787436593743</v>
      </c>
      <c r="AT70" s="269">
        <f>-sigma_r-SQRT(sigma_r^2-2*Tabella34[[#This Row],[c_r]])</f>
        <v>-2.3245333408531037</v>
      </c>
      <c r="AU70" s="269">
        <f>mu_r-LN(alpha*Kr/(Tabella34[[#This Row],[Lombardy velocity]]*sigma_r*SQRTPI(2)))</f>
        <v>-1.9103930206438786</v>
      </c>
      <c r="AV70" s="269">
        <f>Tabella34[[#This Row],[t_alpha_r+plus]]</f>
        <v>75.76307496417239</v>
      </c>
      <c r="AW70" s="91">
        <f>IFERROR(-Kl*_xlfn.LOGNORM.DIST((Tabella34[[#This Row],[Day]]-pl),mu_l,sigma_l,FALSE)*(1+(LN((Tabella34[[#This Row],[Day]]-pl))-mu_l)/sigma_l^2)/(Tabella34[[#This Row],[Day]]-pl),0)</f>
        <v>72.502633047918863</v>
      </c>
      <c r="AX70" s="96">
        <f>Tabella34[[#This Row],[Lombardy acc. fit]]/y_l_peak</f>
        <v>4.1242611340733919E-2</v>
      </c>
      <c r="AY70" s="163">
        <f>Tabella34[[#This Row],[Lombardy acc. fit]]*NOT(ISBLANK(Tabella34[[#This Row],[Lombardy data]]))</f>
        <v>72.502633047918863</v>
      </c>
      <c r="AZ70" s="96">
        <f>Tabella34[[#This Row],[Lombardy acc. fit]]+CIl</f>
        <v>821.45800485154246</v>
      </c>
      <c r="BA70" s="96">
        <f>MAX(Tabella34[[#This Row],[Lombardy acc. fit]]-CIl,0)</f>
        <v>0</v>
      </c>
      <c r="BB70" s="10">
        <f>Tabella8[[#This Row],[rest of Italy ]]</f>
        <v>982</v>
      </c>
      <c r="BC70" s="10">
        <f>(Tabella34[[#This Row],[rest of Italy cum. Data]]-BB69)</f>
        <v>200</v>
      </c>
      <c r="BD70" s="10">
        <f>Tabella34[[#This Row],[rest of Italy data]]-BC69</f>
        <v>128</v>
      </c>
      <c r="BE70" s="96">
        <f>Tabella34[[#This Row],[rest of Italy data]]*NOT(ISBLANK(Tabella34[[#This Row],[rest of Italy data]]))</f>
        <v>200</v>
      </c>
      <c r="BF70" s="96">
        <f>Tabella8[[#This Row],[rest of Italy fit]]</f>
        <v>817.13509237138612</v>
      </c>
      <c r="BG70" s="163">
        <f>_xlfn.LOGNORM.INV(alpha*Tabella34[[#This Row],[rest of Italy cumul. Fit]]/Ko,mu_o,sigma_o)-(Tabella34[[#This Row],[Day]]-po)</f>
        <v>2.1374603361735929</v>
      </c>
      <c r="BH70" s="96">
        <f>Tabella34[[#This Row],[rest of Italy cumul. Fit]]/Ka</f>
        <v>5.5211836992927251E-3</v>
      </c>
      <c r="BI70" s="163">
        <f>IFERROR(Ko*_xlfn.LOGNORM.DIST((Tabella34[[#This Row],[Day]]-po),mu_o,sigma_o,FALSE),0)</f>
        <v>287.57118773992391</v>
      </c>
      <c r="BJ70" s="206">
        <f>Tabella34[[#This Row],[rest of Italy velocity]]/Tabella34[[#This Row],[rest of Italy cumul. Fit]]</f>
        <v>0.35192612632186826</v>
      </c>
      <c r="BK70" s="261">
        <f>(LN(Tabella34[[#This Row],[Day]]-po)-mu_o)/sigma_o</f>
        <v>-2.5413552020518768</v>
      </c>
      <c r="BL70" s="269">
        <f>EXP(mu_o+sigma_o*Tabella34[[#This Row],[x_o_alpha©+plus]])-(Tabella34[[#This Row],[Day]]-po)</f>
        <v>90.486872647777247</v>
      </c>
      <c r="BM70" s="269">
        <f>EXP(mu_o+sigma_o*Tabella34[[#This Row],[x_o_alpha©-minus]])-(Tabella34[[#This Row],[Day]]-po)</f>
        <v>-2.2721963991452512</v>
      </c>
      <c r="BN70" s="269">
        <f>-sigma_o+SQRT(sigma_o^2-2*Tabella34[[#This Row],[c_o]])</f>
        <v>2.1913032782021133</v>
      </c>
      <c r="BO70" s="269">
        <f>-sigma_o-SQRT(sigma_o^2-2*Tabella34[[#This Row],[c_o]])</f>
        <v>-2.8342760555011397</v>
      </c>
      <c r="BP70" s="269">
        <f>mu_o-LN(alpha*Ko/(Tabella34[[#This Row],[rest of Italy velocity]]*sigma_o*SQRTPI(2)))</f>
        <v>-3.1053792058747005</v>
      </c>
      <c r="BQ70" s="269">
        <f>Tabella34[[#This Row],[t_alpha_o+plus]]</f>
        <v>90.486872647777247</v>
      </c>
      <c r="BR70" s="91">
        <f>IFERROR(-Ka*_xlfn.LOGNORM.DIST((Tabella34[[#This Row],[Day]]-pa),mu_a,sigma_a,FALSE)*(1+(LN((Tabella34[[#This Row],[Day]]-pa))-mu_a)/sigma_a^2)/(Tabella34[[#This Row],[Day]]-pa),0)</f>
        <v>78.539619751792202</v>
      </c>
      <c r="BS70" s="96">
        <f>Tabella34[[#This Row],[rest of Italy acc. fit]]/y_a_peak</f>
        <v>2.3242425016040763E-2</v>
      </c>
      <c r="BT70" s="96">
        <f>Tabella34[[#This Row],[rest of Italy acc. fit]]*NOT(ISBLANK(Tabella34[[#This Row],[rest of Italy data]]))</f>
        <v>78.539619751792202</v>
      </c>
      <c r="BU70" s="96">
        <f>Tabella34[[#This Row],[rest of Italy acc. fit]]+CIa</f>
        <v>773.19165561538955</v>
      </c>
      <c r="BV70" s="96">
        <f>MAX(Tabella34[[#This Row],[rest of Italy acc. fit]]-CIa,0)</f>
        <v>0</v>
      </c>
    </row>
    <row r="71" spans="2:74" x14ac:dyDescent="0.3">
      <c r="B71" s="288">
        <v>43894</v>
      </c>
      <c r="C71" s="30">
        <v>64</v>
      </c>
      <c r="D71" s="10">
        <f>Tabella8[[#This Row],[Italy cumulative]]</f>
        <v>3089</v>
      </c>
      <c r="E71" s="91">
        <f>(Tabella34[[#This Row],[Italy cumul. Data]]-D70)</f>
        <v>587</v>
      </c>
      <c r="F71" s="91">
        <f>Tabella34[[#This Row],[Italy data]]-E70</f>
        <v>121</v>
      </c>
      <c r="G71" s="96">
        <f>Tabella34[[#This Row],[Italy data]]*NOT(ISBLANK(Tabella34[[#This Row],[Italy data]]))</f>
        <v>587</v>
      </c>
      <c r="H71" s="163">
        <f>Tabella8[[#This Row],[Italy fit]]</f>
        <v>3946.950796681635</v>
      </c>
      <c r="I71" s="163">
        <f>_xlfn.LOGNORM.INV(alpha*Tabella34[[#This Row],[Italy cumul. Fit]]/Kt,mu_t,sigma_t)-(Tabella34[[#This Row],[Day]]-pt)</f>
        <v>3.1031185850447685</v>
      </c>
      <c r="J71" s="163">
        <f>Tabella34[[#This Row],[Italy d.t.]]/Italy_dt_at_lockdown</f>
        <v>0.60947874694946247</v>
      </c>
      <c r="K71" s="96">
        <f>Tabella34[[#This Row],[Italy cumul. Fit]]/Kf</f>
        <v>1.6795539887758778E-2</v>
      </c>
      <c r="L71" s="166">
        <f>Tabella34[[#This Row],[Lombardy acc. fit]]+Tabella34[[#This Row],[rest of Italy acc. fit]]</f>
        <v>169.04947960464403</v>
      </c>
      <c r="M71" s="96">
        <f>Tabella34[[#This Row],[Italy (fitted Lombardy + fitted sum of the other regions)]]/(y_l_peak+y_a_peak)</f>
        <v>3.2907547410921965E-2</v>
      </c>
      <c r="N71" s="163">
        <f>IFERROR(Kt*_xlfn.LOGNORM.DIST((Tabella34[[#This Row],[Day]]-pt),mu_t,sigma_t,FALSE),0)</f>
        <v>974.31264041434724</v>
      </c>
      <c r="O71" s="163">
        <f>Kt*EXP(-0.5*Tabella34[[#This Row],[x_t]]^2)/(sigma_t*SQRTPI(2)*(Tabella34[[#This Row],[Day]]-D_bk))</f>
        <v>974.31264041434781</v>
      </c>
      <c r="P71" s="206">
        <f>Tabella34[[#This Row],[Italy velocity]]/Tabella34[[#This Row],[Italy cumul. Fit]]</f>
        <v>0.24685198539426745</v>
      </c>
      <c r="Q71" s="269">
        <f>(LN(Tabella34[[#This Row],[Day]]-D_bk)-mu_t)/sigma_t</f>
        <v>-2.1249464702889407</v>
      </c>
      <c r="R71" s="269">
        <f>EXP(mu_t+sigma_t*Tabella34[[#This Row],[x_t_alpha©+plus]])-(Tabella34[[#This Row],[Day]]-D_bk)</f>
        <v>78.922764459972996</v>
      </c>
      <c r="S71" s="269">
        <f>EXP(mu_t+sigma_t*Tabella34[[#This Row],[x_t_alpha©-minus]])-(Tabella34[[#This Row],[Day]]-D_bk)</f>
        <v>-3.3238066901857692</v>
      </c>
      <c r="T71" s="269">
        <f>-sigma_t+SQRT(sigma_t^2-2*Tabella34[[#This Row],[c_t]])</f>
        <v>1.8541075397964268</v>
      </c>
      <c r="U71" s="269">
        <f>-sigma_t-SQRT(sigma_t^2-2*Tabella34[[#This Row],[c_t]])</f>
        <v>-2.4733444456886642</v>
      </c>
      <c r="V71" s="269">
        <f>mu_t-LN(alpha*Kt/(Tabella34[[#This Row],[Italy velocity]]*sigma_t*SQRTPI(2)))</f>
        <v>-2.2929232926324827</v>
      </c>
      <c r="W71" s="269">
        <f>Tabella34[[#This Row],[Italy g.r.]]/Italy_gr_at_lockdown</f>
        <v>1.5608290568182688</v>
      </c>
      <c r="X71" s="269">
        <f>Tabella34[[#This Row],[t_alpha_t+plus]]</f>
        <v>78.922764459972996</v>
      </c>
      <c r="Y71" s="269">
        <f>Tabella34[[#This Row],[Italy h.t.]]/Italy_ht_at_lockdown</f>
        <v>1.4055652871656761</v>
      </c>
      <c r="Z71" s="91">
        <f>IFERROR(-Kf*_xlfn.LOGNORM.DIST((Tabella34[[#This Row],[Day]]-D_bk),mu_f,sigma_f,FALSE)*(1+(LN((Tabella34[[#This Row],[Day]]-D_bk))-mu_f)/sigma_f^2)/(Tabella34[[#This Row],[Day]]-D_bk),0)</f>
        <v>175.74382893065138</v>
      </c>
      <c r="AA71" s="91">
        <f>Tabella34[[#This Row],[Italy acc. fit]]/Itali_acc_at_lockdown</f>
        <v>0.72332414982595605</v>
      </c>
      <c r="AB71" s="96">
        <f>Tabella34[[#This Row],[Italy acc. fit]]/y_f_peak</f>
        <v>3.472092575274454E-2</v>
      </c>
      <c r="AC71" s="163">
        <f>Tabella34[[#This Row],[Italy (fitted Lombardy + fitted sum of the other regions)]]*NOT(ISBLANK(Tabella34[[#This Row],[Italy data]]))</f>
        <v>169.04947960464403</v>
      </c>
      <c r="AD71" s="163">
        <f>Tabella34[[#This Row],[Italy acc. fit]]*NOT(ISBLANK(Tabella34[[#This Row],[Italy data]]))</f>
        <v>175.74382893065138</v>
      </c>
      <c r="AE71" s="96">
        <f>Tabella34[[#This Row],[Italy acc. fit]]+CIf</f>
        <v>1189.5068309509691</v>
      </c>
      <c r="AF71" s="96">
        <f>MAX(Tabella34[[#This Row],[Italy acc. fit]]-CIf,0)</f>
        <v>0</v>
      </c>
      <c r="AG71" s="4">
        <f>Tabella8[[#This Row],[Lombardy]]</f>
        <v>1820</v>
      </c>
      <c r="AH71" s="91">
        <f>(Tabella34[[#This Row],[Lombardy cumul. Data]]-AG70)</f>
        <v>300</v>
      </c>
      <c r="AI71" s="91">
        <f>Tabella34[[#This Row],[Lombardy data]]-AH70</f>
        <v>34</v>
      </c>
      <c r="AJ71" s="96">
        <f>Tabella34[[#This Row],[Lombardy data]]*NOT(ISBLANK(Tabella34[[#This Row],[Lombardy data]]))</f>
        <v>300</v>
      </c>
      <c r="AK71" s="96">
        <f>Tabella8[[#This Row],[Lombardy fit]]</f>
        <v>2820.2519272416362</v>
      </c>
      <c r="AL71" s="163">
        <f>_xlfn.LOGNORM.INV(alpha*Tabella34[[#This Row],[Lombardy cumul. Fit]]/Kr,mu_r,sigma_r)-(Tabella34[[#This Row],[Day]]-pr)</f>
        <v>3.9094305437078773</v>
      </c>
      <c r="AM71" s="96">
        <f>Tabella34[[#This Row],[Lombardy cumul. Fit]]/Kl</f>
        <v>3.2416688818869381E-2</v>
      </c>
      <c r="AN71" s="96">
        <f>IFERROR(Kr*_xlfn.LOGNORM.DIST((Tabella34[[#This Row],[Day]]-pr),mu_r,sigma_r,FALSE),0)</f>
        <v>565.61933768960068</v>
      </c>
      <c r="AO71" s="209">
        <f>Tabella34[[#This Row],[Lombardy velocity]]/Tabella34[[#This Row],[Lombardy cumul. Fit]]</f>
        <v>0.20055631634398277</v>
      </c>
      <c r="AP71" s="266">
        <f>(LN(Tabella34[[#This Row],[Day]]-pr)-mu_r)/sigma_r</f>
        <v>-1.8464053041942889</v>
      </c>
      <c r="AQ71" s="269">
        <f>EXP(mu_r+sigma_r*Tabella34[[#This Row],[x_r_alpha©+plus]])-(Tabella34[[#This Row],[Day]]-pr)</f>
        <v>72.141594877848391</v>
      </c>
      <c r="AR71" s="269">
        <f>EXP(mu_r+sigma_r*Tabella34[[#This Row],[x_r_alpha©-minus]])-(Tabella34[[#This Row],[Day]]-pr)</f>
        <v>-4.2276464089283792</v>
      </c>
      <c r="AS71" s="269">
        <f>-sigma_r+SQRT(sigma_r^2-2*Tabella34[[#This Row],[c_r]])</f>
        <v>1.571185662873916</v>
      </c>
      <c r="AT71" s="269">
        <f>-sigma_r-SQRT(sigma_r^2-2*Tabella34[[#This Row],[c_r]])</f>
        <v>-2.2520402600676452</v>
      </c>
      <c r="AU71" s="269">
        <f>mu_r-LN(alpha*Kr/(Tabella34[[#This Row],[Lombardy velocity]]*sigma_r*SQRTPI(2)))</f>
        <v>-1.7691866844165647</v>
      </c>
      <c r="AV71" s="269">
        <f>Tabella34[[#This Row],[t_alpha_r+plus]]</f>
        <v>72.141594877848391</v>
      </c>
      <c r="AW71" s="91">
        <f>IFERROR(-Kl*_xlfn.LOGNORM.DIST((Tabella34[[#This Row],[Day]]-pl),mu_l,sigma_l,FALSE)*(1+(LN((Tabella34[[#This Row],[Day]]-pl))-mu_l)/sigma_l^2)/(Tabella34[[#This Row],[Day]]-pl),0)</f>
        <v>76.337671212250299</v>
      </c>
      <c r="AX71" s="96">
        <f>Tabella34[[#This Row],[Lombardy acc. fit]]/y_l_peak</f>
        <v>4.3424145746303246E-2</v>
      </c>
      <c r="AY71" s="163">
        <f>Tabella34[[#This Row],[Lombardy acc. fit]]*NOT(ISBLANK(Tabella34[[#This Row],[Lombardy data]]))</f>
        <v>76.337671212250299</v>
      </c>
      <c r="AZ71" s="96">
        <f>Tabella34[[#This Row],[Lombardy acc. fit]]+CIl</f>
        <v>825.29304301587388</v>
      </c>
      <c r="BA71" s="96">
        <f>MAX(Tabella34[[#This Row],[Lombardy acc. fit]]-CIl,0)</f>
        <v>0</v>
      </c>
      <c r="BB71" s="10">
        <f>Tabella8[[#This Row],[rest of Italy ]]</f>
        <v>1269</v>
      </c>
      <c r="BC71" s="10">
        <f>(Tabella34[[#This Row],[rest of Italy cum. Data]]-BB70)</f>
        <v>287</v>
      </c>
      <c r="BD71" s="10">
        <f>Tabella34[[#This Row],[rest of Italy data]]-BC70</f>
        <v>87</v>
      </c>
      <c r="BE71" s="96">
        <f>Tabella34[[#This Row],[rest of Italy data]]*NOT(ISBLANK(Tabella34[[#This Row],[rest of Italy data]]))</f>
        <v>287</v>
      </c>
      <c r="BF71" s="96">
        <f>Tabella8[[#This Row],[rest of Italy fit]]</f>
        <v>1146.3254735417293</v>
      </c>
      <c r="BG71" s="163">
        <f>_xlfn.LOGNORM.INV(alpha*Tabella34[[#This Row],[rest of Italy cumul. Fit]]/Ko,mu_o,sigma_o)-(Tabella34[[#This Row],[Day]]-po)</f>
        <v>2.3224321686080316</v>
      </c>
      <c r="BH71" s="96">
        <f>Tabella34[[#This Row],[rest of Italy cumul. Fit]]/Ka</f>
        <v>7.7454432904541801E-3</v>
      </c>
      <c r="BI71" s="163">
        <f>IFERROR(Ko*_xlfn.LOGNORM.DIST((Tabella34[[#This Row],[Day]]-po),mu_o,sigma_o,FALSE),0)</f>
        <v>373.17284739564866</v>
      </c>
      <c r="BJ71" s="206">
        <f>Tabella34[[#This Row],[rest of Italy velocity]]/Tabella34[[#This Row],[rest of Italy cumul. Fit]]</f>
        <v>0.32553830130170636</v>
      </c>
      <c r="BK71" s="261">
        <f>(LN(Tabella34[[#This Row],[Day]]-po)-mu_o)/sigma_o</f>
        <v>-2.4206945742870638</v>
      </c>
      <c r="BL71" s="269">
        <f>EXP(mu_o+sigma_o*Tabella34[[#This Row],[x_o_alpha©+plus]])-(Tabella34[[#This Row],[Day]]-po)</f>
        <v>85.610683421159749</v>
      </c>
      <c r="BM71" s="269">
        <f>EXP(mu_o+sigma_o*Tabella34[[#This Row],[x_o_alpha©-minus]])-(Tabella34[[#This Row],[Day]]-po)</f>
        <v>-2.475074378334579</v>
      </c>
      <c r="BN71" s="269">
        <f>-sigma_o+SQRT(sigma_o^2-2*Tabella34[[#This Row],[c_o]])</f>
        <v>2.0853724289315236</v>
      </c>
      <c r="BO71" s="269">
        <f>-sigma_o-SQRT(sigma_o^2-2*Tabella34[[#This Row],[c_o]])</f>
        <v>-2.72834520623055</v>
      </c>
      <c r="BP71" s="269">
        <f>mu_o-LN(alpha*Ko/(Tabella34[[#This Row],[rest of Italy velocity]]*sigma_o*SQRTPI(2)))</f>
        <v>-2.8448079348403406</v>
      </c>
      <c r="BQ71" s="269">
        <f>Tabella34[[#This Row],[t_alpha_o+plus]]</f>
        <v>85.610683421159749</v>
      </c>
      <c r="BR71" s="91">
        <f>IFERROR(-Ka*_xlfn.LOGNORM.DIST((Tabella34[[#This Row],[Day]]-pa),mu_a,sigma_a,FALSE)*(1+(LN((Tabella34[[#This Row],[Day]]-pa))-mu_a)/sigma_a^2)/(Tabella34[[#This Row],[Day]]-pa),0)</f>
        <v>92.711808392393735</v>
      </c>
      <c r="BS71" s="96">
        <f>Tabella34[[#This Row],[rest of Italy acc. fit]]/y_a_peak</f>
        <v>2.7436436049368303E-2</v>
      </c>
      <c r="BT71" s="96">
        <f>Tabella34[[#This Row],[rest of Italy acc. fit]]*NOT(ISBLANK(Tabella34[[#This Row],[rest of Italy data]]))</f>
        <v>92.711808392393735</v>
      </c>
      <c r="BU71" s="96">
        <f>Tabella34[[#This Row],[rest of Italy acc. fit]]+CIa</f>
        <v>787.36384425599113</v>
      </c>
      <c r="BV71" s="96">
        <f>MAX(Tabella34[[#This Row],[rest of Italy acc. fit]]-CIa,0)</f>
        <v>0</v>
      </c>
    </row>
    <row r="72" spans="2:74" x14ac:dyDescent="0.3">
      <c r="B72" s="288">
        <v>43895</v>
      </c>
      <c r="C72" s="30">
        <v>65</v>
      </c>
      <c r="D72" s="10">
        <f>Tabella8[[#This Row],[Italy cumulative]]</f>
        <v>3858</v>
      </c>
      <c r="E72" s="91">
        <f>(Tabella34[[#This Row],[Italy cumul. Data]]-D71)</f>
        <v>769</v>
      </c>
      <c r="F72" s="91">
        <f>Tabella34[[#This Row],[Italy data]]-E71</f>
        <v>182</v>
      </c>
      <c r="G72" s="96">
        <f>Tabella34[[#This Row],[Italy data]]*NOT(ISBLANK(Tabella34[[#This Row],[Italy data]]))</f>
        <v>769</v>
      </c>
      <c r="H72" s="163">
        <f>Tabella8[[#This Row],[Italy fit]]</f>
        <v>5011.860906359665</v>
      </c>
      <c r="I72" s="163">
        <f>_xlfn.LOGNORM.INV(alpha*Tabella34[[#This Row],[Italy cumul. Fit]]/Kt,mu_t,sigma_t)-(Tabella34[[#This Row],[Day]]-pt)</f>
        <v>3.3341172553798941</v>
      </c>
      <c r="J72" s="163">
        <f>Tabella34[[#This Row],[Italy d.t.]]/Italy_dt_at_lockdown</f>
        <v>0.65484884038429436</v>
      </c>
      <c r="K72" s="96">
        <f>Tabella34[[#This Row],[Italy cumul. Fit]]/Kf</f>
        <v>2.1327073505814573E-2</v>
      </c>
      <c r="L72" s="166">
        <f>Tabella34[[#This Row],[Lombardy acc. fit]]+Tabella34[[#This Row],[rest of Italy acc. fit]]</f>
        <v>186.28641265195134</v>
      </c>
      <c r="M72" s="96">
        <f>Tabella34[[#This Row],[Italy (fitted Lombardy + fitted sum of the other regions)]]/(y_l_peak+y_a_peak)</f>
        <v>3.6262927106853131E-2</v>
      </c>
      <c r="N72" s="163">
        <f>IFERROR(Kt*_xlfn.LOGNORM.DIST((Tabella34[[#This Row],[Day]]-pt),mu_t,sigma_t,FALSE),0)</f>
        <v>1158.1760028398501</v>
      </c>
      <c r="O72" s="163">
        <f>Kt*EXP(-0.5*Tabella34[[#This Row],[x_t]]^2)/(sigma_t*SQRTPI(2)*(Tabella34[[#This Row],[Day]]-D_bk))</f>
        <v>1158.1760028398517</v>
      </c>
      <c r="P72" s="206">
        <f>Tabella34[[#This Row],[Italy velocity]]/Tabella34[[#This Row],[Italy cumul. Fit]]</f>
        <v>0.23108702026630748</v>
      </c>
      <c r="Q72" s="269">
        <f>(LN(Tabella34[[#This Row],[Day]]-D_bk)-mu_t)/sigma_t</f>
        <v>-2.0270808299691772</v>
      </c>
      <c r="R72" s="269">
        <f>EXP(mu_t+sigma_t*Tabella34[[#This Row],[x_t_alpha©+plus]])-(Tabella34[[#This Row],[Day]]-D_bk)</f>
        <v>75.148667246551412</v>
      </c>
      <c r="S72" s="269">
        <f>EXP(mu_t+sigma_t*Tabella34[[#This Row],[x_t_alpha©-minus]])-(Tabella34[[#This Row],[Day]]-D_bk)</f>
        <v>-3.5787705050229874</v>
      </c>
      <c r="T72" s="269">
        <f>-sigma_t+SQRT(sigma_t^2-2*Tabella34[[#This Row],[c_t]])</f>
        <v>1.7726810878523678</v>
      </c>
      <c r="U72" s="269">
        <f>-sigma_t-SQRT(sigma_t^2-2*Tabella34[[#This Row],[c_t]])</f>
        <v>-2.3919179937446051</v>
      </c>
      <c r="V72" s="269">
        <f>mu_t-LN(alpha*Kt/(Tabella34[[#This Row],[Italy velocity]]*sigma_t*SQRTPI(2)))</f>
        <v>-2.1200538956024202</v>
      </c>
      <c r="W72" s="269">
        <f>Tabella34[[#This Row],[Italy g.r.]]/Italy_gr_at_lockdown</f>
        <v>1.4611482071295545</v>
      </c>
      <c r="X72" s="269">
        <f>Tabella34[[#This Row],[t_alpha_t+plus]]</f>
        <v>75.148667246551412</v>
      </c>
      <c r="Y72" s="269">
        <f>Tabella34[[#This Row],[Italy h.t.]]/Italy_ht_at_lockdown</f>
        <v>1.3383509660522224</v>
      </c>
      <c r="Z72" s="91">
        <f>IFERROR(-Kf*_xlfn.LOGNORM.DIST((Tabella34[[#This Row],[Day]]-D_bk),mu_f,sigma_f,FALSE)*(1+(LN((Tabella34[[#This Row],[Day]]-D_bk))-mu_f)/sigma_f^2)/(Tabella34[[#This Row],[Day]]-D_bk),0)</f>
        <v>191.74712913069516</v>
      </c>
      <c r="AA72" s="91">
        <f>Tabella34[[#This Row],[Italy acc. fit]]/Itali_acc_at_lockdown</f>
        <v>0.78919032323323934</v>
      </c>
      <c r="AB72" s="96">
        <f>Tabella34[[#This Row],[Italy acc. fit]]/y_f_peak</f>
        <v>3.7882626515869836E-2</v>
      </c>
      <c r="AC72" s="163">
        <f>Tabella34[[#This Row],[Italy (fitted Lombardy + fitted sum of the other regions)]]*NOT(ISBLANK(Tabella34[[#This Row],[Italy data]]))</f>
        <v>186.28641265195134</v>
      </c>
      <c r="AD72" s="163">
        <f>Tabella34[[#This Row],[Italy acc. fit]]*NOT(ISBLANK(Tabella34[[#This Row],[Italy data]]))</f>
        <v>191.74712913069516</v>
      </c>
      <c r="AE72" s="96">
        <f>Tabella34[[#This Row],[Italy acc. fit]]+CIf</f>
        <v>1205.510131151013</v>
      </c>
      <c r="AF72" s="96">
        <f>MAX(Tabella34[[#This Row],[Italy acc. fit]]-CIf,0)</f>
        <v>0</v>
      </c>
      <c r="AG72" s="4">
        <f>Tabella8[[#This Row],[Lombardy]]</f>
        <v>2251</v>
      </c>
      <c r="AH72" s="91">
        <f>(Tabella34[[#This Row],[Lombardy cumul. Data]]-AG71)</f>
        <v>431</v>
      </c>
      <c r="AI72" s="91">
        <f>Tabella34[[#This Row],[Lombardy data]]-AH71</f>
        <v>131</v>
      </c>
      <c r="AJ72" s="96">
        <f>Tabella34[[#This Row],[Lombardy data]]*NOT(ISBLANK(Tabella34[[#This Row],[Lombardy data]]))</f>
        <v>431</v>
      </c>
      <c r="AK72" s="96">
        <f>Tabella8[[#This Row],[Lombardy fit]]</f>
        <v>3424.5766475447799</v>
      </c>
      <c r="AL72" s="163">
        <f>_xlfn.LOGNORM.INV(alpha*Tabella34[[#This Row],[Lombardy cumul. Fit]]/Kr,mu_r,sigma_r)-(Tabella34[[#This Row],[Day]]-pr)</f>
        <v>4.202141639148941</v>
      </c>
      <c r="AM72" s="96">
        <f>Tabella34[[#This Row],[Lombardy cumul. Fit]]/Kl</f>
        <v>3.9362949971779082E-2</v>
      </c>
      <c r="AN72" s="96">
        <f>IFERROR(Kr*_xlfn.LOGNORM.DIST((Tabella34[[#This Row],[Day]]-pr),mu_r,sigma_r,FALSE),0)</f>
        <v>643.53083024248861</v>
      </c>
      <c r="AO72" s="209">
        <f>Tabella34[[#This Row],[Lombardy velocity]]/Tabella34[[#This Row],[Lombardy cumul. Fit]]</f>
        <v>0.18791544078999148</v>
      </c>
      <c r="AP72" s="266">
        <f>(LN(Tabella34[[#This Row],[Day]]-pr)-mu_r)/sigma_r</f>
        <v>-1.7581270159050846</v>
      </c>
      <c r="AQ72" s="269">
        <f>EXP(mu_r+sigma_r*Tabella34[[#This Row],[x_r_alpha©+plus]])-(Tabella34[[#This Row],[Day]]-pr)</f>
        <v>68.714752200541227</v>
      </c>
      <c r="AR72" s="269">
        <f>EXP(mu_r+sigma_r*Tabella34[[#This Row],[x_r_alpha©-minus]])-(Tabella34[[#This Row],[Day]]-pr)</f>
        <v>-4.5516294482645776</v>
      </c>
      <c r="AS72" s="269">
        <f>-sigma_r+SQRT(sigma_r^2-2*Tabella34[[#This Row],[c_r]])</f>
        <v>1.5024418908942665</v>
      </c>
      <c r="AT72" s="269">
        <f>-sigma_r-SQRT(sigma_r^2-2*Tabella34[[#This Row],[c_r]])</f>
        <v>-2.1832964880879957</v>
      </c>
      <c r="AU72" s="269">
        <f>mu_r-LN(alpha*Kr/(Tabella34[[#This Row],[Lombardy velocity]]*sigma_r*SQRTPI(2)))</f>
        <v>-1.6401380519728699</v>
      </c>
      <c r="AV72" s="269">
        <f>Tabella34[[#This Row],[t_alpha_r+plus]]</f>
        <v>68.714752200541227</v>
      </c>
      <c r="AW72" s="91">
        <f>IFERROR(-Kl*_xlfn.LOGNORM.DIST((Tabella34[[#This Row],[Day]]-pl),mu_l,sigma_l,FALSE)*(1+(LN((Tabella34[[#This Row],[Day]]-pl))-mu_l)/sigma_l^2)/(Tabella34[[#This Row],[Day]]-pl),0)</f>
        <v>79.341073915082191</v>
      </c>
      <c r="AX72" s="96">
        <f>Tabella34[[#This Row],[Lombardy acc. fit]]/y_l_peak</f>
        <v>4.5132610186356587E-2</v>
      </c>
      <c r="AY72" s="163">
        <f>Tabella34[[#This Row],[Lombardy acc. fit]]*NOT(ISBLANK(Tabella34[[#This Row],[Lombardy data]]))</f>
        <v>79.341073915082191</v>
      </c>
      <c r="AZ72" s="96">
        <f>Tabella34[[#This Row],[Lombardy acc. fit]]+CIl</f>
        <v>828.29644571870585</v>
      </c>
      <c r="BA72" s="96">
        <f>MAX(Tabella34[[#This Row],[Lombardy acc. fit]]-CIl,0)</f>
        <v>0</v>
      </c>
      <c r="BB72" s="10">
        <f>Tabella8[[#This Row],[rest of Italy ]]</f>
        <v>1607</v>
      </c>
      <c r="BC72" s="10">
        <f>(Tabella34[[#This Row],[rest of Italy cum. Data]]-BB71)</f>
        <v>338</v>
      </c>
      <c r="BD72" s="10">
        <f>Tabella34[[#This Row],[rest of Italy data]]-BC71</f>
        <v>51</v>
      </c>
      <c r="BE72" s="96">
        <f>Tabella34[[#This Row],[rest of Italy data]]*NOT(ISBLANK(Tabella34[[#This Row],[rest of Italy data]]))</f>
        <v>338</v>
      </c>
      <c r="BF72" s="96">
        <f>Tabella8[[#This Row],[rest of Italy fit]]</f>
        <v>1568.2328388552471</v>
      </c>
      <c r="BG72" s="163">
        <f>_xlfn.LOGNORM.INV(alpha*Tabella34[[#This Row],[rest of Italy cumul. Fit]]/Ko,mu_o,sigma_o)-(Tabella34[[#This Row],[Day]]-po)</f>
        <v>2.5200990582817298</v>
      </c>
      <c r="BH72" s="96">
        <f>Tabella34[[#This Row],[rest of Italy cumul. Fit]]/Ka</f>
        <v>1.0596169063619012E-2</v>
      </c>
      <c r="BI72" s="163">
        <f>IFERROR(Ko*_xlfn.LOGNORM.DIST((Tabella34[[#This Row],[Day]]-po),mu_o,sigma_o,FALSE),0)</f>
        <v>473.01542232477493</v>
      </c>
      <c r="BJ72" s="206">
        <f>Tabella34[[#This Row],[rest of Italy velocity]]/Tabella34[[#This Row],[rest of Italy cumul. Fit]]</f>
        <v>0.30162320964408512</v>
      </c>
      <c r="BK72" s="261">
        <f>(LN(Tabella34[[#This Row],[Day]]-po)-mu_o)/sigma_o</f>
        <v>-2.3045402054570254</v>
      </c>
      <c r="BL72" s="269">
        <f>EXP(mu_o+sigma_o*Tabella34[[#This Row],[x_o_alpha©+plus]])-(Tabella34[[#This Row],[Day]]-po)</f>
        <v>81.049528483947128</v>
      </c>
      <c r="BM72" s="269">
        <f>EXP(mu_o+sigma_o*Tabella34[[#This Row],[x_o_alpha©-minus]])-(Tabella34[[#This Row],[Day]]-po)</f>
        <v>-2.6924605969812632</v>
      </c>
      <c r="BN72" s="269">
        <f>-sigma_o+SQRT(sigma_o^2-2*Tabella34[[#This Row],[c_o]])</f>
        <v>1.9847652891763774</v>
      </c>
      <c r="BO72" s="269">
        <f>-sigma_o-SQRT(sigma_o^2-2*Tabella34[[#This Row],[c_o]])</f>
        <v>-2.6277380664754038</v>
      </c>
      <c r="BP72" s="269">
        <f>mu_o-LN(alpha*Ko/(Tabella34[[#This Row],[rest of Italy velocity]]*sigma_o*SQRTPI(2)))</f>
        <v>-2.6077216516939146</v>
      </c>
      <c r="BQ72" s="269">
        <f>Tabella34[[#This Row],[t_alpha_o+plus]]</f>
        <v>81.049528483947128</v>
      </c>
      <c r="BR72" s="91">
        <f>IFERROR(-Ka*_xlfn.LOGNORM.DIST((Tabella34[[#This Row],[Day]]-pa),mu_a,sigma_a,FALSE)*(1+(LN((Tabella34[[#This Row],[Day]]-pa))-mu_a)/sigma_a^2)/(Tabella34[[#This Row],[Day]]-pa),0)</f>
        <v>106.94533873686915</v>
      </c>
      <c r="BS72" s="96">
        <f>Tabella34[[#This Row],[rest of Italy acc. fit]]/y_a_peak</f>
        <v>3.1648600085691654E-2</v>
      </c>
      <c r="BT72" s="96">
        <f>Tabella34[[#This Row],[rest of Italy acc. fit]]*NOT(ISBLANK(Tabella34[[#This Row],[rest of Italy data]]))</f>
        <v>106.94533873686915</v>
      </c>
      <c r="BU72" s="96">
        <f>Tabella34[[#This Row],[rest of Italy acc. fit]]+CIa</f>
        <v>801.59737460046654</v>
      </c>
      <c r="BV72" s="96">
        <f>MAX(Tabella34[[#This Row],[rest of Italy acc. fit]]-CIa,0)</f>
        <v>0</v>
      </c>
    </row>
    <row r="73" spans="2:74" x14ac:dyDescent="0.3">
      <c r="B73" s="288">
        <v>43896</v>
      </c>
      <c r="C73" s="30">
        <v>66</v>
      </c>
      <c r="D73" s="10">
        <f>Tabella8[[#This Row],[Italy cumulative]]</f>
        <v>4636</v>
      </c>
      <c r="E73" s="91">
        <f>(Tabella34[[#This Row],[Italy cumul. Data]]-D72)</f>
        <v>778</v>
      </c>
      <c r="F73" s="91">
        <f>Tabella34[[#This Row],[Italy data]]-E72</f>
        <v>9</v>
      </c>
      <c r="G73" s="96">
        <f>Tabella34[[#This Row],[Italy data]]*NOT(ISBLANK(Tabella34[[#This Row],[Italy data]]))</f>
        <v>778</v>
      </c>
      <c r="H73" s="163">
        <f>Tabella8[[#This Row],[Italy fit]]</f>
        <v>6268.3827280753967</v>
      </c>
      <c r="I73" s="163">
        <f>_xlfn.LOGNORM.INV(alpha*Tabella34[[#This Row],[Italy cumul. Fit]]/Kt,mu_t,sigma_t)-(Tabella34[[#This Row],[Day]]-pt)</f>
        <v>3.5804184633240794</v>
      </c>
      <c r="J73" s="163">
        <f>Tabella34[[#This Row],[Italy d.t.]]/Italy_dt_at_lockdown</f>
        <v>0.70322448168702445</v>
      </c>
      <c r="K73" s="96">
        <f>Tabella34[[#This Row],[Italy cumul. Fit]]/Kf</f>
        <v>2.6673976333741606E-2</v>
      </c>
      <c r="L73" s="166">
        <f>Tabella34[[#This Row],[Lombardy acc. fit]]+Tabella34[[#This Row],[rest of Italy acc. fit]]</f>
        <v>202.23593834639738</v>
      </c>
      <c r="M73" s="96">
        <f>Tabella34[[#This Row],[Italy (fitted Lombardy + fitted sum of the other regions)]]/(y_l_peak+y_a_peak)</f>
        <v>3.9367697226224047E-2</v>
      </c>
      <c r="N73" s="163">
        <f>IFERROR(Kt*_xlfn.LOGNORM.DIST((Tabella34[[#This Row],[Day]]-pt),mu_t,sigma_t,FALSE),0)</f>
        <v>1357.2655406278111</v>
      </c>
      <c r="O73" s="163">
        <f>Kt*EXP(-0.5*Tabella34[[#This Row],[x_t]]^2)/(sigma_t*SQRTPI(2)*(Tabella34[[#This Row],[Day]]-D_bk))</f>
        <v>1357.2655406278116</v>
      </c>
      <c r="P73" s="206">
        <f>Tabella34[[#This Row],[Italy velocity]]/Tabella34[[#This Row],[Italy cumul. Fit]]</f>
        <v>0.21652563340600886</v>
      </c>
      <c r="Q73" s="269">
        <f>(LN(Tabella34[[#This Row],[Day]]-D_bk)-mu_t)/sigma_t</f>
        <v>-1.9320936118679233</v>
      </c>
      <c r="R73" s="269">
        <f>EXP(mu_t+sigma_t*Tabella34[[#This Row],[x_t_alpha©+plus]])-(Tabella34[[#This Row],[Day]]-D_bk)</f>
        <v>71.56840841958666</v>
      </c>
      <c r="S73" s="269">
        <f>EXP(mu_t+sigma_t*Tabella34[[#This Row],[x_t_alpha©-minus]])-(Tabella34[[#This Row],[Day]]-D_bk)</f>
        <v>-3.8508131982231113</v>
      </c>
      <c r="T73" s="269">
        <f>-sigma_t+SQRT(sigma_t^2-2*Tabella34[[#This Row],[c_t]])</f>
        <v>1.6950560848375653</v>
      </c>
      <c r="U73" s="269">
        <f>-sigma_t-SQRT(sigma_t^2-2*Tabella34[[#This Row],[c_t]])</f>
        <v>-2.3142929907298027</v>
      </c>
      <c r="V73" s="269">
        <f>mu_t-LN(alpha*Kt/(Tabella34[[#This Row],[Italy velocity]]*sigma_t*SQRTPI(2)))</f>
        <v>-1.9614282080167396</v>
      </c>
      <c r="W73" s="269">
        <f>Tabella34[[#This Row],[Italy g.r.]]/Italy_gr_at_lockdown</f>
        <v>1.3690775045876027</v>
      </c>
      <c r="X73" s="269">
        <f>Tabella34[[#This Row],[t_alpha_t+plus]]</f>
        <v>71.56840841958666</v>
      </c>
      <c r="Y73" s="269">
        <f>Tabella34[[#This Row],[Italy h.t.]]/Italy_ht_at_lockdown</f>
        <v>1.2745887858918663</v>
      </c>
      <c r="Z73" s="91">
        <f>IFERROR(-Kf*_xlfn.LOGNORM.DIST((Tabella34[[#This Row],[Day]]-D_bk),mu_f,sigma_f,FALSE)*(1+(LN((Tabella34[[#This Row],[Day]]-D_bk))-mu_f)/sigma_f^2)/(Tabella34[[#This Row],[Day]]-D_bk),0)</f>
        <v>206.12821542670176</v>
      </c>
      <c r="AA73" s="91">
        <f>Tabella34[[#This Row],[Italy acc. fit]]/Itali_acc_at_lockdown</f>
        <v>0.84837980989645179</v>
      </c>
      <c r="AB73" s="96">
        <f>Tabella34[[#This Row],[Italy acc. fit]]/y_f_peak</f>
        <v>4.0723833701155926E-2</v>
      </c>
      <c r="AC73" s="163">
        <f>Tabella34[[#This Row],[Italy (fitted Lombardy + fitted sum of the other regions)]]*NOT(ISBLANK(Tabella34[[#This Row],[Italy data]]))</f>
        <v>202.23593834639738</v>
      </c>
      <c r="AD73" s="163">
        <f>Tabella34[[#This Row],[Italy acc. fit]]*NOT(ISBLANK(Tabella34[[#This Row],[Italy data]]))</f>
        <v>206.12821542670176</v>
      </c>
      <c r="AE73" s="96">
        <f>Tabella34[[#This Row],[Italy acc. fit]]+CIf</f>
        <v>1219.8912174470195</v>
      </c>
      <c r="AF73" s="96">
        <f>MAX(Tabella34[[#This Row],[Italy acc. fit]]-CIf,0)</f>
        <v>0</v>
      </c>
      <c r="AG73" s="4">
        <f>Tabella8[[#This Row],[Lombardy]]</f>
        <v>2612</v>
      </c>
      <c r="AH73" s="91">
        <f>(Tabella34[[#This Row],[Lombardy cumul. Data]]-AG72)</f>
        <v>361</v>
      </c>
      <c r="AI73" s="91">
        <f>Tabella34[[#This Row],[Lombardy data]]-AH72</f>
        <v>-70</v>
      </c>
      <c r="AJ73" s="96">
        <f>Tabella34[[#This Row],[Lombardy data]]*NOT(ISBLANK(Tabella34[[#This Row],[Lombardy data]]))</f>
        <v>361</v>
      </c>
      <c r="AK73" s="96">
        <f>Tabella8[[#This Row],[Lombardy fit]]</f>
        <v>4108.168218034295</v>
      </c>
      <c r="AL73" s="163">
        <f>_xlfn.LOGNORM.INV(alpha*Tabella34[[#This Row],[Lombardy cumul. Fit]]/Kr,mu_r,sigma_r)-(Tabella34[[#This Row],[Day]]-pr)</f>
        <v>4.5146416020071101</v>
      </c>
      <c r="AM73" s="96">
        <f>Tabella34[[#This Row],[Lombardy cumul. Fit]]/Kl</f>
        <v>4.7220324345221783E-2</v>
      </c>
      <c r="AN73" s="96">
        <f>IFERROR(Kr*_xlfn.LOGNORM.DIST((Tabella34[[#This Row],[Day]]-pr),mu_r,sigma_r,FALSE),0)</f>
        <v>724.00473902404099</v>
      </c>
      <c r="AO73" s="209">
        <f>Tabella34[[#This Row],[Lombardy velocity]]/Tabella34[[#This Row],[Lombardy cumul. Fit]]</f>
        <v>0.17623541700307194</v>
      </c>
      <c r="AP73" s="266">
        <f>(LN(Tabella34[[#This Row],[Day]]-pr)-mu_r)/sigma_r</f>
        <v>-1.6724244775605082</v>
      </c>
      <c r="AQ73" s="269">
        <f>EXP(mu_r+sigma_r*Tabella34[[#This Row],[x_r_alpha©+plus]])-(Tabella34[[#This Row],[Day]]-pr)</f>
        <v>65.46877228460248</v>
      </c>
      <c r="AR73" s="269">
        <f>EXP(mu_r+sigma_r*Tabella34[[#This Row],[x_r_alpha©-minus]])-(Tabella34[[#This Row],[Day]]-pr)</f>
        <v>-4.896830330989566</v>
      </c>
      <c r="AS73" s="269">
        <f>-sigma_r+SQRT(sigma_r^2-2*Tabella34[[#This Row],[c_r]])</f>
        <v>1.4373552656912987</v>
      </c>
      <c r="AT73" s="269">
        <f>-sigma_r-SQRT(sigma_r^2-2*Tabella34[[#This Row],[c_r]])</f>
        <v>-2.1182098628850277</v>
      </c>
      <c r="AU73" s="269">
        <f>mu_r-LN(alpha*Kr/(Tabella34[[#This Row],[Lombardy velocity]]*sigma_r*SQRTPI(2)))</f>
        <v>-1.5223100501285192</v>
      </c>
      <c r="AV73" s="269">
        <f>Tabella34[[#This Row],[t_alpha_r+plus]]</f>
        <v>65.46877228460248</v>
      </c>
      <c r="AW73" s="91">
        <f>IFERROR(-Kl*_xlfn.LOGNORM.DIST((Tabella34[[#This Row],[Day]]-pl),mu_l,sigma_l,FALSE)*(1+(LN((Tabella34[[#This Row],[Day]]-pl))-mu_l)/sigma_l^2)/(Tabella34[[#This Row],[Day]]-pl),0)</f>
        <v>81.455127216322992</v>
      </c>
      <c r="AX73" s="96">
        <f>Tabella34[[#This Row],[Lombardy acc. fit]]/y_l_peak</f>
        <v>4.6335174493214858E-2</v>
      </c>
      <c r="AY73" s="163">
        <f>Tabella34[[#This Row],[Lombardy acc. fit]]*NOT(ISBLANK(Tabella34[[#This Row],[Lombardy data]]))</f>
        <v>81.455127216322992</v>
      </c>
      <c r="AZ73" s="96">
        <f>Tabella34[[#This Row],[Lombardy acc. fit]]+CIl</f>
        <v>830.41049901994666</v>
      </c>
      <c r="BA73" s="96">
        <f>MAX(Tabella34[[#This Row],[Lombardy acc. fit]]-CIl,0)</f>
        <v>0</v>
      </c>
      <c r="BB73" s="10">
        <f>Tabella8[[#This Row],[rest of Italy ]]</f>
        <v>2024</v>
      </c>
      <c r="BC73" s="10">
        <f>(Tabella34[[#This Row],[rest of Italy cum. Data]]-BB72)</f>
        <v>417</v>
      </c>
      <c r="BD73" s="10">
        <f>Tabella34[[#This Row],[rest of Italy data]]-BC72</f>
        <v>79</v>
      </c>
      <c r="BE73" s="96">
        <f>Tabella34[[#This Row],[rest of Italy data]]*NOT(ISBLANK(Tabella34[[#This Row],[rest of Italy data]]))</f>
        <v>417</v>
      </c>
      <c r="BF73" s="96">
        <f>Tabella8[[#This Row],[rest of Italy fit]]</f>
        <v>2097.0523245860077</v>
      </c>
      <c r="BG73" s="163">
        <f>_xlfn.LOGNORM.INV(alpha*Tabella34[[#This Row],[rest of Italy cumul. Fit]]/Ko,mu_o,sigma_o)-(Tabella34[[#This Row],[Day]]-po)</f>
        <v>2.7314675949398151</v>
      </c>
      <c r="BH73" s="96">
        <f>Tabella34[[#This Row],[rest of Italy cumul. Fit]]/Ka</f>
        <v>1.4169274112885499E-2</v>
      </c>
      <c r="BI73" s="163">
        <f>IFERROR(Ko*_xlfn.LOGNORM.DIST((Tabella34[[#This Row],[Day]]-po),mu_o,sigma_o,FALSE),0)</f>
        <v>586.9307141643676</v>
      </c>
      <c r="BJ73" s="206">
        <f>Tabella34[[#This Row],[rest of Italy velocity]]/Tabella34[[#This Row],[rest of Italy cumul. Fit]]</f>
        <v>0.27988367637905137</v>
      </c>
      <c r="BK73" s="261">
        <f>(LN(Tabella34[[#This Row],[Day]]-po)-mu_o)/sigma_o</f>
        <v>-2.1925675918075052</v>
      </c>
      <c r="BL73" s="269">
        <f>EXP(mu_o+sigma_o*Tabella34[[#This Row],[x_o_alpha©+plus]])-(Tabella34[[#This Row],[Day]]-po)</f>
        <v>76.7726569608527</v>
      </c>
      <c r="BM73" s="269">
        <f>EXP(mu_o+sigma_o*Tabella34[[#This Row],[x_o_alpha©-minus]])-(Tabella34[[#This Row],[Day]]-po)</f>
        <v>-2.925448397588454</v>
      </c>
      <c r="BN73" s="269">
        <f>-sigma_o+SQRT(sigma_o^2-2*Tabella34[[#This Row],[c_o]])</f>
        <v>1.889223730278577</v>
      </c>
      <c r="BO73" s="269">
        <f>-sigma_o-SQRT(sigma_o^2-2*Tabella34[[#This Row],[c_o]])</f>
        <v>-2.5321965075776034</v>
      </c>
      <c r="BP73" s="269">
        <f>mu_o-LN(alpha*Ko/(Tabella34[[#This Row],[rest of Italy velocity]]*sigma_o*SQRTPI(2)))</f>
        <v>-2.3919428659220721</v>
      </c>
      <c r="BQ73" s="269">
        <f>Tabella34[[#This Row],[t_alpha_o+plus]]</f>
        <v>76.7726569608527</v>
      </c>
      <c r="BR73" s="91">
        <f>IFERROR(-Ka*_xlfn.LOGNORM.DIST((Tabella34[[#This Row],[Day]]-pa),mu_a,sigma_a,FALSE)*(1+(LN((Tabella34[[#This Row],[Day]]-pa))-mu_a)/sigma_a^2)/(Tabella34[[#This Row],[Day]]-pa),0)</f>
        <v>120.78081113007438</v>
      </c>
      <c r="BS73" s="96">
        <f>Tabella34[[#This Row],[rest of Italy acc. fit]]/y_a_peak</f>
        <v>3.5742965842450201E-2</v>
      </c>
      <c r="BT73" s="96">
        <f>Tabella34[[#This Row],[rest of Italy acc. fit]]*NOT(ISBLANK(Tabella34[[#This Row],[rest of Italy data]]))</f>
        <v>120.78081113007438</v>
      </c>
      <c r="BU73" s="96">
        <f>Tabella34[[#This Row],[rest of Italy acc. fit]]+CIa</f>
        <v>815.43284699367177</v>
      </c>
      <c r="BV73" s="96">
        <f>MAX(Tabella34[[#This Row],[rest of Italy acc. fit]]-CIa,0)</f>
        <v>0</v>
      </c>
    </row>
    <row r="74" spans="2:74" x14ac:dyDescent="0.3">
      <c r="B74" s="288">
        <v>43897</v>
      </c>
      <c r="C74" s="30">
        <v>67</v>
      </c>
      <c r="D74" s="10">
        <f>Tabella8[[#This Row],[Italy cumulative]]</f>
        <v>5883</v>
      </c>
      <c r="E74" s="91">
        <f>(Tabella34[[#This Row],[Italy cumul. Data]]-D73)</f>
        <v>1247</v>
      </c>
      <c r="F74" s="91">
        <f>Tabella34[[#This Row],[Italy data]]-E73</f>
        <v>469</v>
      </c>
      <c r="G74" s="96">
        <f>Tabella34[[#This Row],[Italy data]]*NOT(ISBLANK(Tabella34[[#This Row],[Italy data]]))</f>
        <v>1247</v>
      </c>
      <c r="H74" s="163">
        <f>Tabella8[[#This Row],[Italy fit]]</f>
        <v>7730.8658351714957</v>
      </c>
      <c r="I74" s="163">
        <f>_xlfn.LOGNORM.INV(alpha*Tabella34[[#This Row],[Italy cumul. Fit]]/Kt,mu_t,sigma_t)-(Tabella34[[#This Row],[Day]]-pt)</f>
        <v>3.8432880350713958</v>
      </c>
      <c r="J74" s="163">
        <f>Tabella34[[#This Row],[Italy d.t.]]/Italy_dt_at_lockdown</f>
        <v>0.75485428983287872</v>
      </c>
      <c r="K74" s="96">
        <f>Tabella34[[#This Row],[Italy cumul. Fit]]/Kf</f>
        <v>3.2897310402425009E-2</v>
      </c>
      <c r="L74" s="166">
        <f>Tabella34[[#This Row],[Lombardy acc. fit]]+Tabella34[[#This Row],[rest of Italy acc. fit]]</f>
        <v>216.41836379653176</v>
      </c>
      <c r="M74" s="96">
        <f>Tabella34[[#This Row],[Italy (fitted Lombardy + fitted sum of the other regions)]]/(y_l_peak+y_a_peak)</f>
        <v>4.2128479684671448E-2</v>
      </c>
      <c r="N74" s="163">
        <f>IFERROR(Kt*_xlfn.LOGNORM.DIST((Tabella34[[#This Row],[Day]]-pt),mu_t,sigma_t,FALSE),0)</f>
        <v>1569.7650899071803</v>
      </c>
      <c r="O74" s="163">
        <f>Kt*EXP(-0.5*Tabella34[[#This Row],[x_t]]^2)/(sigma_t*SQRTPI(2)*(Tabella34[[#This Row],[Day]]-D_bk))</f>
        <v>1569.7650899071816</v>
      </c>
      <c r="P74" s="206">
        <f>Tabella34[[#This Row],[Italy velocity]]/Tabella34[[#This Row],[Italy cumul. Fit]]</f>
        <v>0.20305165338215417</v>
      </c>
      <c r="Q74" s="269">
        <f>(LN(Tabella34[[#This Row],[Day]]-D_bk)-mu_t)/sigma_t</f>
        <v>-1.8398203223604457</v>
      </c>
      <c r="R74" s="269">
        <f>EXP(mu_t+sigma_t*Tabella34[[#This Row],[x_t_alpha©+plus]])-(Tabella34[[#This Row],[Day]]-D_bk)</f>
        <v>68.168275569164223</v>
      </c>
      <c r="S74" s="269">
        <f>EXP(mu_t+sigma_t*Tabella34[[#This Row],[x_t_alpha©-minus]])-(Tabella34[[#This Row],[Day]]-D_bk)</f>
        <v>-4.141144680693376</v>
      </c>
      <c r="T74" s="269">
        <f>-sigma_t+SQRT(sigma_t^2-2*Tabella34[[#This Row],[c_t]])</f>
        <v>1.6211358354808147</v>
      </c>
      <c r="U74" s="269">
        <f>-sigma_t-SQRT(sigma_t^2-2*Tabella34[[#This Row],[c_t]])</f>
        <v>-2.2403727413730521</v>
      </c>
      <c r="V74" s="269">
        <f>mu_t-LN(alpha*Kt/(Tabella34[[#This Row],[Italy velocity]]*sigma_t*SQRTPI(2)))</f>
        <v>-1.8159742679371229</v>
      </c>
      <c r="W74" s="269">
        <f>Tabella34[[#This Row],[Italy g.r.]]/Italy_gr_at_lockdown</f>
        <v>1.2838824047846513</v>
      </c>
      <c r="X74" s="269">
        <f>Tabella34[[#This Row],[t_alpha_t+plus]]</f>
        <v>68.168275569164223</v>
      </c>
      <c r="Y74" s="269">
        <f>Tabella34[[#This Row],[Italy h.t.]]/Italy_ht_at_lockdown</f>
        <v>1.2140345372032098</v>
      </c>
      <c r="Z74" s="91">
        <f>IFERROR(-Kf*_xlfn.LOGNORM.DIST((Tabella34[[#This Row],[Day]]-D_bk),mu_f,sigma_f,FALSE)*(1+(LN((Tabella34[[#This Row],[Day]]-D_bk))-mu_f)/sigma_f^2)/(Tabella34[[#This Row],[Day]]-D_bk),0)</f>
        <v>218.50952701435034</v>
      </c>
      <c r="AA74" s="91">
        <f>Tabella34[[#This Row],[Italy acc. fit]]/Itali_acc_at_lockdown</f>
        <v>0.89933865000115953</v>
      </c>
      <c r="AB74" s="96">
        <f>Tabella34[[#This Row],[Italy acc. fit]]/y_f_peak</f>
        <v>4.3169954301646413E-2</v>
      </c>
      <c r="AC74" s="163">
        <f>Tabella34[[#This Row],[Italy (fitted Lombardy + fitted sum of the other regions)]]*NOT(ISBLANK(Tabella34[[#This Row],[Italy data]]))</f>
        <v>216.41836379653176</v>
      </c>
      <c r="AD74" s="163">
        <f>Tabella34[[#This Row],[Italy acc. fit]]*NOT(ISBLANK(Tabella34[[#This Row],[Italy data]]))</f>
        <v>218.50952701435034</v>
      </c>
      <c r="AE74" s="96">
        <f>Tabella34[[#This Row],[Italy acc. fit]]+CIf</f>
        <v>1232.272529034668</v>
      </c>
      <c r="AF74" s="96">
        <f>MAX(Tabella34[[#This Row],[Italy acc. fit]]-CIf,0)</f>
        <v>0</v>
      </c>
      <c r="AG74" s="4">
        <f>Tabella8[[#This Row],[Lombardy]]</f>
        <v>3420</v>
      </c>
      <c r="AH74" s="91">
        <f>(Tabella34[[#This Row],[Lombardy cumul. Data]]-AG73)</f>
        <v>808</v>
      </c>
      <c r="AI74" s="91">
        <f>Tabella34[[#This Row],[Lombardy data]]-AH73</f>
        <v>447</v>
      </c>
      <c r="AJ74" s="96">
        <f>Tabella34[[#This Row],[Lombardy data]]*NOT(ISBLANK(Tabella34[[#This Row],[Lombardy data]]))</f>
        <v>808</v>
      </c>
      <c r="AK74" s="96">
        <f>Tabella8[[#This Row],[Lombardy fit]]</f>
        <v>4873.1381029957529</v>
      </c>
      <c r="AL74" s="163">
        <f>_xlfn.LOGNORM.INV(alpha*Tabella34[[#This Row],[Lombardy cumul. Fit]]/Kr,mu_r,sigma_r)-(Tabella34[[#This Row],[Day]]-pr)</f>
        <v>4.8486271131660743</v>
      </c>
      <c r="AM74" s="96">
        <f>Tabella34[[#This Row],[Lombardy cumul. Fit]]/Kl</f>
        <v>5.6013081643629344E-2</v>
      </c>
      <c r="AN74" s="96">
        <f>IFERROR(Kr*_xlfn.LOGNORM.DIST((Tabella34[[#This Row],[Day]]-pr),mu_r,sigma_r,FALSE),0)</f>
        <v>806.13397412127313</v>
      </c>
      <c r="AO74" s="209">
        <f>Tabella34[[#This Row],[Lombardy velocity]]/Tabella34[[#This Row],[Lombardy cumul. Fit]]</f>
        <v>0.16542399519227738</v>
      </c>
      <c r="AP74" s="266">
        <f>(LN(Tabella34[[#This Row],[Day]]-pr)-mu_r)/sigma_r</f>
        <v>-1.5891516322058303</v>
      </c>
      <c r="AQ74" s="269">
        <f>EXP(mu_r+sigma_r*Tabella34[[#This Row],[x_r_alpha©+plus]])-(Tabella34[[#This Row],[Day]]-pr)</f>
        <v>62.391615158997027</v>
      </c>
      <c r="AR74" s="269">
        <f>EXP(mu_r+sigma_r*Tabella34[[#This Row],[x_r_alpha©-minus]])-(Tabella34[[#This Row],[Day]]-pr)</f>
        <v>-5.2645820260378215</v>
      </c>
      <c r="AS74" s="269">
        <f>-sigma_r+SQRT(sigma_r^2-2*Tabella34[[#This Row],[c_r]])</f>
        <v>1.3758497252157389</v>
      </c>
      <c r="AT74" s="269">
        <f>-sigma_r-SQRT(sigma_r^2-2*Tabella34[[#This Row],[c_r]])</f>
        <v>-2.0567043224094679</v>
      </c>
      <c r="AU74" s="269">
        <f>mu_r-LN(alpha*Kr/(Tabella34[[#This Row],[Lombardy velocity]]*sigma_r*SQRTPI(2)))</f>
        <v>-1.4148580384185445</v>
      </c>
      <c r="AV74" s="269">
        <f>Tabella34[[#This Row],[t_alpha_r+plus]]</f>
        <v>62.391615158997027</v>
      </c>
      <c r="AW74" s="91">
        <f>IFERROR(-Kl*_xlfn.LOGNORM.DIST((Tabella34[[#This Row],[Day]]-pl),mu_l,sigma_l,FALSE)*(1+(LN((Tabella34[[#This Row],[Day]]-pl))-mu_l)/sigma_l^2)/(Tabella34[[#This Row],[Day]]-pl),0)</f>
        <v>82.648691069935524</v>
      </c>
      <c r="AX74" s="96">
        <f>Tabella34[[#This Row],[Lombardy acc. fit]]/y_l_peak</f>
        <v>4.7014124871366719E-2</v>
      </c>
      <c r="AY74" s="163">
        <f>Tabella34[[#This Row],[Lombardy acc. fit]]*NOT(ISBLANK(Tabella34[[#This Row],[Lombardy data]]))</f>
        <v>82.648691069935524</v>
      </c>
      <c r="AZ74" s="96">
        <f>Tabella34[[#This Row],[Lombardy acc. fit]]+CIl</f>
        <v>831.60406287355909</v>
      </c>
      <c r="BA74" s="96">
        <f>MAX(Tabella34[[#This Row],[Lombardy acc. fit]]-CIl,0)</f>
        <v>0</v>
      </c>
      <c r="BB74" s="10">
        <f>Tabella8[[#This Row],[rest of Italy ]]</f>
        <v>2463</v>
      </c>
      <c r="BC74" s="10">
        <f>(Tabella34[[#This Row],[rest of Italy cum. Data]]-BB73)</f>
        <v>439</v>
      </c>
      <c r="BD74" s="10">
        <f>Tabella34[[#This Row],[rest of Italy data]]-BC73</f>
        <v>22</v>
      </c>
      <c r="BE74" s="96">
        <f>Tabella34[[#This Row],[rest of Italy data]]*NOT(ISBLANK(Tabella34[[#This Row],[rest of Italy data]]))</f>
        <v>439</v>
      </c>
      <c r="BF74" s="96">
        <f>Tabella8[[#This Row],[rest of Italy fit]]</f>
        <v>2746.5819261065622</v>
      </c>
      <c r="BG74" s="163">
        <f>_xlfn.LOGNORM.INV(alpha*Tabella34[[#This Row],[rest of Italy cumul. Fit]]/Ko,mu_o,sigma_o)-(Tabella34[[#This Row],[Day]]-po)</f>
        <v>2.9576569680619542</v>
      </c>
      <c r="BH74" s="96">
        <f>Tabella34[[#This Row],[rest of Italy cumul. Fit]]/Ka</f>
        <v>1.8557988147569836E-2</v>
      </c>
      <c r="BI74" s="163">
        <f>IFERROR(Ko*_xlfn.LOGNORM.DIST((Tabella34[[#This Row],[Day]]-po),mu_o,sigma_o,FALSE),0)</f>
        <v>714.29445601251996</v>
      </c>
      <c r="BJ74" s="206">
        <f>Tabella34[[#This Row],[rest of Italy velocity]]/Tabella34[[#This Row],[rest of Italy cumul. Fit]]</f>
        <v>0.26006668478484946</v>
      </c>
      <c r="BK74" s="261">
        <f>(LN(Tabella34[[#This Row],[Day]]-po)-mu_o)/sigma_o</f>
        <v>-2.0844860669092911</v>
      </c>
      <c r="BL74" s="269">
        <f>EXP(mu_o+sigma_o*Tabella34[[#This Row],[x_o_alpha©+plus]])-(Tabella34[[#This Row],[Day]]-po)</f>
        <v>72.753750298235076</v>
      </c>
      <c r="BM74" s="269">
        <f>EXP(mu_o+sigma_o*Tabella34[[#This Row],[x_o_alpha©-minus]])-(Tabella34[[#This Row],[Day]]-po)</f>
        <v>-3.1752175634694808</v>
      </c>
      <c r="BN74" s="269">
        <f>-sigma_o+SQRT(sigma_o^2-2*Tabella34[[#This Row],[c_o]])</f>
        <v>1.7985282873996811</v>
      </c>
      <c r="BO74" s="269">
        <f>-sigma_o-SQRT(sigma_o^2-2*Tabella34[[#This Row],[c_o]])</f>
        <v>-2.4415010646987074</v>
      </c>
      <c r="BP74" s="269">
        <f>mu_o-LN(alpha*Ko/(Tabella34[[#This Row],[rest of Italy velocity]]*sigma_o*SQRTPI(2)))</f>
        <v>-2.1955543642885322</v>
      </c>
      <c r="BQ74" s="269">
        <f>Tabella34[[#This Row],[t_alpha_o+plus]]</f>
        <v>72.753750298235076</v>
      </c>
      <c r="BR74" s="91">
        <f>IFERROR(-Ka*_xlfn.LOGNORM.DIST((Tabella34[[#This Row],[Day]]-pa),mu_a,sigma_a,FALSE)*(1+(LN((Tabella34[[#This Row],[Day]]-pa))-mu_a)/sigma_a^2)/(Tabella34[[#This Row],[Day]]-pa),0)</f>
        <v>133.76967272659624</v>
      </c>
      <c r="BS74" s="96">
        <f>Tabella34[[#This Row],[rest of Italy acc. fit]]/y_a_peak</f>
        <v>3.9586791960465009E-2</v>
      </c>
      <c r="BT74" s="96">
        <f>Tabella34[[#This Row],[rest of Italy acc. fit]]*NOT(ISBLANK(Tabella34[[#This Row],[rest of Italy data]]))</f>
        <v>133.76967272659624</v>
      </c>
      <c r="BU74" s="96">
        <f>Tabella34[[#This Row],[rest of Italy acc. fit]]+CIa</f>
        <v>828.42170859019359</v>
      </c>
      <c r="BV74" s="96">
        <f>MAX(Tabella34[[#This Row],[rest of Italy acc. fit]]-CIa,0)</f>
        <v>0</v>
      </c>
    </row>
    <row r="75" spans="2:74" x14ac:dyDescent="0.3">
      <c r="B75" s="288">
        <v>43898</v>
      </c>
      <c r="C75" s="213">
        <v>68</v>
      </c>
      <c r="D75" s="191">
        <f>Tabella8[[#This Row],[Italy cumulative]]</f>
        <v>7375</v>
      </c>
      <c r="E75" s="188">
        <f>(Tabella34[[#This Row],[Italy cumul. Data]]-D74)</f>
        <v>1492</v>
      </c>
      <c r="F75" s="188">
        <f>Tabella34[[#This Row],[Italy data]]-E74</f>
        <v>245</v>
      </c>
      <c r="G75" s="189">
        <f>Tabella34[[#This Row],[Italy data]]*NOT(ISBLANK(Tabella34[[#This Row],[Italy data]]))</f>
        <v>1492</v>
      </c>
      <c r="H75" s="214">
        <f>Tabella8[[#This Row],[Italy fit]]</f>
        <v>9411.6656426695663</v>
      </c>
      <c r="I75" s="214">
        <f>_xlfn.LOGNORM.INV(alpha*Tabella34[[#This Row],[Italy cumul. Fit]]/Kt,mu_t,sigma_t)-(Tabella34[[#This Row],[Day]]-pt)</f>
        <v>4.1241390439450072</v>
      </c>
      <c r="J75" s="214">
        <f>Tabella34[[#This Row],[Italy d.t.]]/Italy_dt_at_lockdown</f>
        <v>0.81001580437915943</v>
      </c>
      <c r="K75" s="189">
        <f>Tabella34[[#This Row],[Italy cumul. Fit]]/Kf</f>
        <v>4.0049651960344913E-2</v>
      </c>
      <c r="L75" s="188">
        <f>Tabella34[[#This Row],[Lombardy acc. fit]]+Tabella34[[#This Row],[rest of Italy acc. fit]]</f>
        <v>228.41327305407043</v>
      </c>
      <c r="M75" s="189">
        <f>Tabella34[[#This Row],[Italy (fitted Lombardy + fitted sum of the other regions)]]/(y_l_peak+y_a_peak)</f>
        <v>4.4463435379331374E-2</v>
      </c>
      <c r="N75" s="214">
        <f>IFERROR(Kt*_xlfn.LOGNORM.DIST((Tabella34[[#This Row],[Day]]-pt),mu_t,sigma_t,FALSE),0)</f>
        <v>1793.5137063892312</v>
      </c>
      <c r="O75" s="214">
        <f>Kt*EXP(-0.5*Tabella34[[#This Row],[x_t]]^2)/(sigma_t*SQRTPI(2)*(Tabella34[[#This Row],[Day]]-D_bk))</f>
        <v>1793.5137063892312</v>
      </c>
      <c r="P75" s="215">
        <f>Tabella34[[#This Row],[Italy velocity]]/Tabella34[[#This Row],[Italy cumul. Fit]]</f>
        <v>0.19056283706658655</v>
      </c>
      <c r="Q75" s="269">
        <f>(LN(Tabella34[[#This Row],[Day]]-D_bk)-mu_t)/sigma_t</f>
        <v>-1.7501101775063641</v>
      </c>
      <c r="R75" s="269">
        <f>EXP(mu_t+sigma_t*Tabella34[[#This Row],[x_t_alpha©+plus]])-(Tabella34[[#This Row],[Day]]-D_bk)</f>
        <v>64.936265764419574</v>
      </c>
      <c r="S75" s="269">
        <f>EXP(mu_t+sigma_t*Tabella34[[#This Row],[x_t_alpha©-minus]])-(Tabella34[[#This Row],[Day]]-D_bk)</f>
        <v>-4.4510506484323358</v>
      </c>
      <c r="T75" s="269">
        <f>-sigma_t+SQRT(sigma_t^2-2*Tabella34[[#This Row],[c_t]])</f>
        <v>1.55084137452838</v>
      </c>
      <c r="U75" s="269">
        <f>-sigma_t-SQRT(sigma_t^2-2*Tabella34[[#This Row],[c_t]])</f>
        <v>-2.1700782804206171</v>
      </c>
      <c r="V75" s="269">
        <f>mu_t-LN(alpha*Kt/(Tabella34[[#This Row],[Italy velocity]]*sigma_t*SQRTPI(2)))</f>
        <v>-1.6827235916208467</v>
      </c>
      <c r="W75" s="269">
        <f>Tabella34[[#This Row],[Italy g.r.]]/Italy_gr_at_lockdown</f>
        <v>1.2049164310677687</v>
      </c>
      <c r="X75" s="269">
        <f>Tabella34[[#This Row],[t_alpha_t+plus]]</f>
        <v>64.936265764419574</v>
      </c>
      <c r="Y75" s="269">
        <f>Tabella34[[#This Row],[Italy h.t.]]/Italy_ht_at_lockdown</f>
        <v>1.1564744552621857</v>
      </c>
      <c r="Z75" s="188">
        <f>IFERROR(-Kf*_xlfn.LOGNORM.DIST((Tabella34[[#This Row],[Day]]-D_bk),mu_f,sigma_f,FALSE)*(1+(LN((Tabella34[[#This Row],[Day]]-D_bk))-mu_f)/sigma_f^2)/(Tabella34[[#This Row],[Day]]-D_bk),0)</f>
        <v>228.58068122836551</v>
      </c>
      <c r="AA75" s="188">
        <f>Tabella34[[#This Row],[Italy acc. fit]]/Itali_acc_at_lockdown</f>
        <v>0.94078937463794421</v>
      </c>
      <c r="AB75" s="189">
        <f>Tabella34[[#This Row],[Italy acc. fit]]/y_f_peak</f>
        <v>4.5159667396194071E-2</v>
      </c>
      <c r="AC75" s="214">
        <f>Tabella34[[#This Row],[Italy (fitted Lombardy + fitted sum of the other regions)]]*NOT(ISBLANK(Tabella34[[#This Row],[Italy data]]))</f>
        <v>228.41327305407043</v>
      </c>
      <c r="AD75" s="214">
        <f>Tabella34[[#This Row],[Italy acc. fit]]*NOT(ISBLANK(Tabella34[[#This Row],[Italy data]]))</f>
        <v>228.58068122836551</v>
      </c>
      <c r="AE75" s="189">
        <f>Tabella34[[#This Row],[Italy acc. fit]]+CIf</f>
        <v>1242.3436832486832</v>
      </c>
      <c r="AF75" s="189">
        <f>MAX(Tabella34[[#This Row],[Italy acc. fit]]-CIf,0)</f>
        <v>0</v>
      </c>
      <c r="AG75" s="187">
        <f>Tabella8[[#This Row],[Lombardy]]</f>
        <v>4189</v>
      </c>
      <c r="AH75" s="188">
        <f>(Tabella34[[#This Row],[Lombardy cumul. Data]]-AG74)</f>
        <v>769</v>
      </c>
      <c r="AI75" s="188">
        <f>Tabella34[[#This Row],[Lombardy data]]-AH74</f>
        <v>-39</v>
      </c>
      <c r="AJ75" s="189">
        <f>Tabella34[[#This Row],[Lombardy data]]*NOT(ISBLANK(Tabella34[[#This Row],[Lombardy data]]))</f>
        <v>769</v>
      </c>
      <c r="AK75" s="189">
        <f>Tabella8[[#This Row],[Lombardy fit]]</f>
        <v>5720.6793780428634</v>
      </c>
      <c r="AL75" s="214">
        <f>_xlfn.LOGNORM.INV(alpha*Tabella34[[#This Row],[Lombardy cumul. Fit]]/Kr,mu_r,sigma_r)-(Tabella34[[#This Row],[Day]]-pr)</f>
        <v>5.2060023424234387</v>
      </c>
      <c r="AM75" s="189">
        <f>Tabella34[[#This Row],[Lombardy cumul. Fit]]/Kl</f>
        <v>6.5754935379803023E-2</v>
      </c>
      <c r="AN75" s="189">
        <f>IFERROR(Kr*_xlfn.LOGNORM.DIST((Tabella34[[#This Row],[Day]]-pr),mu_r,sigma_r,FALSE),0)</f>
        <v>888.99304505859823</v>
      </c>
      <c r="AO75" s="216">
        <f>Tabella34[[#This Row],[Lombardy velocity]]/Tabella34[[#This Row],[Lombardy cumul. Fit]]</f>
        <v>0.15539990730309677</v>
      </c>
      <c r="AP75" s="267">
        <f>(LN(Tabella34[[#This Row],[Day]]-pr)-mu_r)/sigma_r</f>
        <v>-1.5081745042959596</v>
      </c>
      <c r="AQ75" s="269">
        <f>EXP(mu_r+sigma_r*Tabella34[[#This Row],[x_r_alpha©+plus]])-(Tabella34[[#This Row],[Day]]-pr)</f>
        <v>59.472738953723649</v>
      </c>
      <c r="AR75" s="269">
        <f>EXP(mu_r+sigma_r*Tabella34[[#This Row],[x_r_alpha©-minus]])-(Tabella34[[#This Row],[Day]]-pr)</f>
        <v>-5.6562626552431965</v>
      </c>
      <c r="AS75" s="269">
        <f>-sigma_r+SQRT(sigma_r^2-2*Tabella34[[#This Row],[c_r]])</f>
        <v>1.3178633567280498</v>
      </c>
      <c r="AT75" s="269">
        <f>-sigma_r-SQRT(sigma_r^2-2*Tabella34[[#This Row],[c_r]])</f>
        <v>-1.998717953921779</v>
      </c>
      <c r="AU75" s="269">
        <f>mu_r-LN(alpha*Kr/(Tabella34[[#This Row],[Lombardy velocity]]*sigma_r*SQRTPI(2)))</f>
        <v>-1.3170185759539876</v>
      </c>
      <c r="AV75" s="269">
        <f>Tabella34[[#This Row],[t_alpha_r+plus]]</f>
        <v>59.472738953723649</v>
      </c>
      <c r="AW75" s="190">
        <f>IFERROR(-Kl*_xlfn.LOGNORM.DIST((Tabella34[[#This Row],[Day]]-pl),mu_l,sigma_l,FALSE)*(1+(LN((Tabella34[[#This Row],[Day]]-pl))-mu_l)/sigma_l^2)/(Tabella34[[#This Row],[Day]]-pl),0)</f>
        <v>82.915793368882433</v>
      </c>
      <c r="AX75" s="189">
        <f>Tabella34[[#This Row],[Lombardy acc. fit]]/y_l_peak</f>
        <v>4.7166064129854107E-2</v>
      </c>
      <c r="AY75" s="214">
        <f>Tabella34[[#This Row],[Lombardy acc. fit]]*NOT(ISBLANK(Tabella34[[#This Row],[Lombardy data]]))</f>
        <v>82.915793368882433</v>
      </c>
      <c r="AZ75" s="189">
        <f>Tabella34[[#This Row],[Lombardy acc. fit]]+CIl</f>
        <v>831.87116517250604</v>
      </c>
      <c r="BA75" s="189">
        <f>MAX(Tabella34[[#This Row],[Lombardy acc. fit]]-CIl,0)</f>
        <v>0</v>
      </c>
      <c r="BB75" s="191">
        <f>Tabella8[[#This Row],[rest of Italy ]]</f>
        <v>3186</v>
      </c>
      <c r="BC75" s="191">
        <f>(Tabella34[[#This Row],[rest of Italy cum. Data]]-BB74)</f>
        <v>723</v>
      </c>
      <c r="BD75" s="191">
        <f>Tabella34[[#This Row],[rest of Italy data]]-BC74</f>
        <v>284</v>
      </c>
      <c r="BE75" s="189">
        <f>Tabella34[[#This Row],[rest of Italy data]]*NOT(ISBLANK(Tabella34[[#This Row],[rest of Italy data]]))</f>
        <v>723</v>
      </c>
      <c r="BF75" s="189">
        <f>Tabella8[[#This Row],[rest of Italy fit]]</f>
        <v>3529.7758891787362</v>
      </c>
      <c r="BG75" s="214">
        <f>_xlfn.LOGNORM.INV(alpha*Tabella34[[#This Row],[rest of Italy cumul. Fit]]/Ko,mu_o,sigma_o)-(Tabella34[[#This Row],[Day]]-po)</f>
        <v>3.1999152315051376</v>
      </c>
      <c r="BH75" s="189">
        <f>Tabella34[[#This Row],[rest of Italy cumul. Fit]]/Ka</f>
        <v>2.3849839865441275E-2</v>
      </c>
      <c r="BI75" s="214">
        <f>IFERROR(Ko*_xlfn.LOGNORM.DIST((Tabella34[[#This Row],[Day]]-po),mu_o,sigma_o,FALSE),0)</f>
        <v>854.04911286766855</v>
      </c>
      <c r="BJ75" s="215">
        <f>Tabella34[[#This Row],[rest of Italy velocity]]/Tabella34[[#This Row],[rest of Italy cumul. Fit]]</f>
        <v>0.24195561975646504</v>
      </c>
      <c r="BK75" s="263">
        <f>(LN(Tabella34[[#This Row],[Day]]-po)-mu_o)/sigma_o</f>
        <v>-1.980034254782955</v>
      </c>
      <c r="BL75" s="269">
        <f>EXP(mu_o+sigma_o*Tabella34[[#This Row],[x_o_alpha©+plus]])-(Tabella34[[#This Row],[Day]]-po)</f>
        <v>68.970208245958005</v>
      </c>
      <c r="BM75" s="269">
        <f>EXP(mu_o+sigma_o*Tabella34[[#This Row],[x_o_alpha©-minus]])-(Tabella34[[#This Row],[Day]]-po)</f>
        <v>-3.4430373261782812</v>
      </c>
      <c r="BN75" s="269">
        <f>-sigma_o+SQRT(sigma_o^2-2*Tabella34[[#This Row],[c_o]])</f>
        <v>1.7124937944829792</v>
      </c>
      <c r="BO75" s="269">
        <f>-sigma_o-SQRT(sigma_o^2-2*Tabella34[[#This Row],[c_o]])</f>
        <v>-2.3554665717820056</v>
      </c>
      <c r="BP75" s="269">
        <f>mu_o-LN(alpha*Ko/(Tabella34[[#This Row],[rest of Italy velocity]]*sigma_o*SQRTPI(2)))</f>
        <v>-2.0168609436443905</v>
      </c>
      <c r="BQ75" s="269">
        <f>Tabella34[[#This Row],[t_alpha_o+plus]]</f>
        <v>68.970208245958005</v>
      </c>
      <c r="BR75" s="188">
        <f>IFERROR(-Ka*_xlfn.LOGNORM.DIST((Tabella34[[#This Row],[Day]]-pa),mu_a,sigma_a,FALSE)*(1+(LN((Tabella34[[#This Row],[Day]]-pa))-mu_a)/sigma_a^2)/(Tabella34[[#This Row],[Day]]-pa),0)</f>
        <v>145.49747968518801</v>
      </c>
      <c r="BS75" s="189">
        <f>Tabella34[[#This Row],[rest of Italy acc. fit]]/y_a_peak</f>
        <v>4.3057431042995711E-2</v>
      </c>
      <c r="BT75" s="189">
        <f>Tabella34[[#This Row],[rest of Italy acc. fit]]*NOT(ISBLANK(Tabella34[[#This Row],[rest of Italy data]]))</f>
        <v>145.49747968518801</v>
      </c>
      <c r="BU75" s="189">
        <f>Tabella34[[#This Row],[rest of Italy acc. fit]]+CIa</f>
        <v>840.1495155487853</v>
      </c>
      <c r="BV75" s="189">
        <f>MAX(Tabella34[[#This Row],[rest of Italy acc. fit]]-CIa,0)</f>
        <v>0</v>
      </c>
    </row>
    <row r="76" spans="2:74" x14ac:dyDescent="0.3">
      <c r="B76" s="288">
        <v>43899</v>
      </c>
      <c r="C76" s="30">
        <v>69</v>
      </c>
      <c r="D76" s="10">
        <f>Tabella8[[#This Row],[Italy cumulative]]</f>
        <v>9172</v>
      </c>
      <c r="E76" s="91">
        <f>(Tabella34[[#This Row],[Italy cumul. Data]]-D75)</f>
        <v>1797</v>
      </c>
      <c r="F76" s="91">
        <f>Tabella34[[#This Row],[Italy data]]-E75</f>
        <v>305</v>
      </c>
      <c r="G76" s="96">
        <f>Tabella34[[#This Row],[Italy data]]*NOT(ISBLANK(Tabella34[[#This Row],[Italy data]]))</f>
        <v>1797</v>
      </c>
      <c r="H76" s="163">
        <f>Tabella8[[#This Row],[Italy fit]]</f>
        <v>11320.833652693669</v>
      </c>
      <c r="I76" s="163">
        <f>_xlfn.LOGNORM.INV(alpha*Tabella34[[#This Row],[Italy cumul. Fit]]/Kt,mu_t,sigma_t)-(Tabella34[[#This Row],[Day]]-pt)</f>
        <v>4.4245545305575718</v>
      </c>
      <c r="J76" s="163">
        <f>Tabella34[[#This Row],[Italy d.t.]]/Italy_dt_at_lockdown</f>
        <v>0.86901994789699322</v>
      </c>
      <c r="K76" s="96">
        <f>Tabella34[[#This Row],[Italy cumul. Fit]]/Kf</f>
        <v>4.8173773368636007E-2</v>
      </c>
      <c r="L76" s="166">
        <f>Tabella34[[#This Row],[Lombardy acc. fit]]+Tabella34[[#This Row],[rest of Italy acc. fit]]</f>
        <v>237.87613028349674</v>
      </c>
      <c r="M76" s="96">
        <f>Tabella34[[#This Row],[Italy (fitted Lombardy + fitted sum of the other regions)]]/(y_l_peak+y_a_peak)</f>
        <v>4.6305496198734079E-2</v>
      </c>
      <c r="N76" s="163">
        <f>IFERROR(Kt*_xlfn.LOGNORM.DIST((Tabella34[[#This Row],[Day]]-pt),mu_t,sigma_t,FALSE),0)</f>
        <v>2026.0769743118701</v>
      </c>
      <c r="O76" s="163">
        <f>Kt*EXP(-0.5*Tabella34[[#This Row],[x_t]]^2)/(sigma_t*SQRTPI(2)*(Tabella34[[#This Row],[Day]]-D_bk))</f>
        <v>2026.0769743118708</v>
      </c>
      <c r="P76" s="206">
        <f>Tabella34[[#This Row],[Italy velocity]]/Tabella34[[#This Row],[Italy cumul. Fit]]</f>
        <v>0.17896888484266238</v>
      </c>
      <c r="Q76" s="269">
        <f>(LN(Tabella34[[#This Row],[Day]]-D_bk)-mu_t)/sigma_t</f>
        <v>-1.6628246206334123</v>
      </c>
      <c r="R76" s="269">
        <f>EXP(mu_t+sigma_t*Tabella34[[#This Row],[x_t_alpha©+plus]])-(Tabella34[[#This Row],[Day]]-D_bk)</f>
        <v>61.861866116381599</v>
      </c>
      <c r="S76" s="269">
        <f>EXP(mu_t+sigma_t*Tabella34[[#This Row],[x_t_alpha©-minus]])-(Tabella34[[#This Row],[Day]]-D_bk)</f>
        <v>-4.7818907899885374</v>
      </c>
      <c r="T76" s="269">
        <f>-sigma_t+SQRT(sigma_t^2-2*Tabella34[[#This Row],[c_t]])</f>
        <v>1.4841098691213075</v>
      </c>
      <c r="U76" s="269">
        <f>-sigma_t-SQRT(sigma_t^2-2*Tabella34[[#This Row],[c_t]])</f>
        <v>-2.1033467750135446</v>
      </c>
      <c r="V76" s="269">
        <f>mu_t-LN(alpha*Kt/(Tabella34[[#This Row],[Italy velocity]]*sigma_t*SQRTPI(2)))</f>
        <v>-1.560798853491038</v>
      </c>
      <c r="W76" s="269">
        <f>Tabella34[[#This Row],[Italy g.r.]]/Italy_gr_at_lockdown</f>
        <v>1.1316086248309229</v>
      </c>
      <c r="X76" s="269">
        <f>Tabella34[[#This Row],[t_alpha_t+plus]]</f>
        <v>61.861866116381599</v>
      </c>
      <c r="Y76" s="269">
        <f>Tabella34[[#This Row],[Italy h.t.]]/Italy_ht_at_lockdown</f>
        <v>1.1017213120629488</v>
      </c>
      <c r="Z76" s="91">
        <f>IFERROR(-Kf*_xlfn.LOGNORM.DIST((Tabella34[[#This Row],[Day]]-D_bk),mu_f,sigma_f,FALSE)*(1+(LN((Tabella34[[#This Row],[Day]]-D_bk))-mu_f)/sigma_f^2)/(Tabella34[[#This Row],[Day]]-D_bk),0)</f>
        <v>236.10602033449027</v>
      </c>
      <c r="AA76" s="91">
        <f>Tabella34[[#This Row],[Italy acc. fit]]/Itali_acc_at_lockdown</f>
        <v>0.97176206678998345</v>
      </c>
      <c r="AB76" s="96">
        <f>Tabella34[[#This Row],[Italy acc. fit]]/y_f_peak</f>
        <v>4.6646415135547625E-2</v>
      </c>
      <c r="AC76" s="163">
        <f>Tabella34[[#This Row],[Italy (fitted Lombardy + fitted sum of the other regions)]]*NOT(ISBLANK(Tabella34[[#This Row],[Italy data]]))</f>
        <v>237.87613028349674</v>
      </c>
      <c r="AD76" s="163">
        <f>Tabella34[[#This Row],[Italy acc. fit]]*NOT(ISBLANK(Tabella34[[#This Row],[Italy data]]))</f>
        <v>236.10602033449027</v>
      </c>
      <c r="AE76" s="96">
        <f>Tabella34[[#This Row],[Italy acc. fit]]+CIf</f>
        <v>1249.8690223548078</v>
      </c>
      <c r="AF76" s="96">
        <f>MAX(Tabella34[[#This Row],[Italy acc. fit]]-CIf,0)</f>
        <v>0</v>
      </c>
      <c r="AG76" s="4">
        <f>Tabella8[[#This Row],[Lombardy]]</f>
        <v>5469</v>
      </c>
      <c r="AH76" s="91">
        <f>(Tabella34[[#This Row],[Lombardy cumul. Data]]-AG75)</f>
        <v>1280</v>
      </c>
      <c r="AI76" s="91">
        <f>Tabella34[[#This Row],[Lombardy data]]-AH75</f>
        <v>511</v>
      </c>
      <c r="AJ76" s="96">
        <f>Tabella34[[#This Row],[Lombardy data]]*NOT(ISBLANK(Tabella34[[#This Row],[Lombardy data]]))</f>
        <v>1280</v>
      </c>
      <c r="AK76" s="96">
        <f>Tabella8[[#This Row],[Lombardy fit]]</f>
        <v>6651.0605708092144</v>
      </c>
      <c r="AL76" s="163">
        <f>_xlfn.LOGNORM.INV(alpha*Tabella34[[#This Row],[Lombardy cumul. Fit]]/Kr,mu_r,sigma_r)-(Tabella34[[#This Row],[Day]]-pr)</f>
        <v>5.5889130770940909</v>
      </c>
      <c r="AM76" s="96">
        <f>Tabella34[[#This Row],[Lombardy cumul. Fit]]/Kl</f>
        <v>7.6448972078266828E-2</v>
      </c>
      <c r="AN76" s="96">
        <f>IFERROR(Kr*_xlfn.LOGNORM.DIST((Tabella34[[#This Row],[Day]]-pr),mu_r,sigma_r,FALSE),0)</f>
        <v>971.66217028128381</v>
      </c>
      <c r="AO76" s="209">
        <f>Tabella34[[#This Row],[Lombardy velocity]]/Tabella34[[#This Row],[Lombardy cumul. Fit]]</f>
        <v>0.14609131279691001</v>
      </c>
      <c r="AP76" s="266">
        <f>(LN(Tabella34[[#This Row],[Day]]-pr)-mu_r)/sigma_r</f>
        <v>-1.4293699029183311</v>
      </c>
      <c r="AQ76" s="269">
        <f>EXP(mu_r+sigma_r*Tabella34[[#This Row],[x_r_alpha©+plus]])-(Tabella34[[#This Row],[Day]]-pr)</f>
        <v>56.702896630891004</v>
      </c>
      <c r="AR76" s="269">
        <f>EXP(mu_r+sigma_r*Tabella34[[#This Row],[x_r_alpha©-minus]])-(Tabella34[[#This Row],[Day]]-pr)</f>
        <v>-6.0732843619705079</v>
      </c>
      <c r="AS76" s="269">
        <f>-sigma_r+SQRT(sigma_r^2-2*Tabella34[[#This Row],[c_r]])</f>
        <v>1.2633464873923901</v>
      </c>
      <c r="AT76" s="269">
        <f>-sigma_r-SQRT(sigma_r^2-2*Tabella34[[#This Row],[c_r]])</f>
        <v>-1.9442010845861193</v>
      </c>
      <c r="AU76" s="269">
        <f>mu_r-LN(alpha*Kr/(Tabella34[[#This Row],[Lombardy velocity]]*sigma_r*SQRTPI(2)))</f>
        <v>-1.2280998054981742</v>
      </c>
      <c r="AV76" s="269">
        <f>Tabella34[[#This Row],[t_alpha_r+plus]]</f>
        <v>56.702896630891004</v>
      </c>
      <c r="AW76" s="91">
        <f>IFERROR(-Kl*_xlfn.LOGNORM.DIST((Tabella34[[#This Row],[Day]]-pl),mu_l,sigma_l,FALSE)*(1+(LN((Tabella34[[#This Row],[Day]]-pl))-mu_l)/sigma_l^2)/(Tabella34[[#This Row],[Day]]-pl),0)</f>
        <v>82.273395921496956</v>
      </c>
      <c r="AX76" s="96">
        <f>Tabella34[[#This Row],[Lombardy acc. fit]]/y_l_peak</f>
        <v>4.6800640873690597E-2</v>
      </c>
      <c r="AY76" s="163">
        <f>Tabella34[[#This Row],[Lombardy acc. fit]]*NOT(ISBLANK(Tabella34[[#This Row],[Lombardy data]]))</f>
        <v>82.273395921496956</v>
      </c>
      <c r="AZ76" s="96">
        <f>Tabella34[[#This Row],[Lombardy acc. fit]]+CIl</f>
        <v>831.22876772512063</v>
      </c>
      <c r="BA76" s="96">
        <f>MAX(Tabella34[[#This Row],[Lombardy acc. fit]]-CIl,0)</f>
        <v>0</v>
      </c>
      <c r="BB76" s="10">
        <f>Tabella8[[#This Row],[rest of Italy ]]</f>
        <v>3703</v>
      </c>
      <c r="BC76" s="10">
        <f>(Tabella34[[#This Row],[rest of Italy cum. Data]]-BB75)</f>
        <v>517</v>
      </c>
      <c r="BD76" s="10">
        <f>Tabella34[[#This Row],[rest of Italy data]]-BC75</f>
        <v>-206</v>
      </c>
      <c r="BE76" s="96">
        <f>Tabella34[[#This Row],[rest of Italy data]]*NOT(ISBLANK(Tabella34[[#This Row],[rest of Italy data]]))</f>
        <v>517</v>
      </c>
      <c r="BF76" s="96">
        <f>Tabella8[[#This Row],[rest of Italy fit]]</f>
        <v>4458.3318388133321</v>
      </c>
      <c r="BG76" s="163">
        <f>_xlfn.LOGNORM.INV(alpha*Tabella34[[#This Row],[rest of Italy cumul. Fit]]/Ko,mu_o,sigma_o)-(Tabella34[[#This Row],[Day]]-po)</f>
        <v>3.4596386398690271</v>
      </c>
      <c r="BH76" s="96">
        <f>Tabella34[[#This Row],[rest of Italy cumul. Fit]]/Ka</f>
        <v>3.0123867282530494E-2</v>
      </c>
      <c r="BI76" s="163">
        <f>IFERROR(Ko*_xlfn.LOGNORM.DIST((Tabella34[[#This Row],[Day]]-po),mu_o,sigma_o,FALSE),0)</f>
        <v>1004.7478170397067</v>
      </c>
      <c r="BJ76" s="206">
        <f>Tabella34[[#This Row],[rest of Italy velocity]]/Tabella34[[#This Row],[rest of Italy cumul. Fit]]</f>
        <v>0.22536407189177263</v>
      </c>
      <c r="BK76" s="261">
        <f>(LN(Tabella34[[#This Row],[Day]]-po)-mu_o)/sigma_o</f>
        <v>-1.8789762619963062</v>
      </c>
      <c r="BL76" s="269">
        <f>EXP(mu_o+sigma_o*Tabella34[[#This Row],[x_o_alpha©+plus]])-(Tabella34[[#This Row],[Day]]-po)</f>
        <v>65.402571027928062</v>
      </c>
      <c r="BM76" s="269">
        <f>EXP(mu_o+sigma_o*Tabella34[[#This Row],[x_o_alpha©-minus]])-(Tabella34[[#This Row],[Day]]-po)</f>
        <v>-3.7302681175175501</v>
      </c>
      <c r="BN76" s="269">
        <f>-sigma_o+SQRT(sigma_o^2-2*Tabella34[[#This Row],[c_o]])</f>
        <v>1.6309656764977212</v>
      </c>
      <c r="BO76" s="269">
        <f>-sigma_o-SQRT(sigma_o^2-2*Tabella34[[#This Row],[c_o]])</f>
        <v>-2.2739384537967471</v>
      </c>
      <c r="BP76" s="269">
        <f>mu_o-LN(alpha*Ko/(Tabella34[[#This Row],[rest of Italy velocity]]*sigma_o*SQRTPI(2)))</f>
        <v>-1.8543577843053969</v>
      </c>
      <c r="BQ76" s="269">
        <f>Tabella34[[#This Row],[t_alpha_o+plus]]</f>
        <v>65.402571027928062</v>
      </c>
      <c r="BR76" s="91">
        <f>IFERROR(-Ka*_xlfn.LOGNORM.DIST((Tabella34[[#This Row],[Day]]-pa),mu_a,sigma_a,FALSE)*(1+(LN((Tabella34[[#This Row],[Day]]-pa))-mu_a)/sigma_a^2)/(Tabella34[[#This Row],[Day]]-pa),0)</f>
        <v>155.60273436199978</v>
      </c>
      <c r="BS76" s="96">
        <f>Tabella34[[#This Row],[rest of Italy acc. fit]]/y_a_peak</f>
        <v>4.6047904193184767E-2</v>
      </c>
      <c r="BT76" s="96">
        <f>Tabella34[[#This Row],[rest of Italy acc. fit]]*NOT(ISBLANK(Tabella34[[#This Row],[rest of Italy data]]))</f>
        <v>155.60273436199978</v>
      </c>
      <c r="BU76" s="96">
        <f>Tabella34[[#This Row],[rest of Italy acc. fit]]+CIa</f>
        <v>850.2547702255971</v>
      </c>
      <c r="BV76" s="96">
        <f>MAX(Tabella34[[#This Row],[rest of Italy acc. fit]]-CIa,0)</f>
        <v>0</v>
      </c>
    </row>
    <row r="77" spans="2:74" x14ac:dyDescent="0.3">
      <c r="B77" s="288">
        <v>43900</v>
      </c>
      <c r="C77" s="30">
        <v>70</v>
      </c>
      <c r="D77" s="10">
        <f>Tabella8[[#This Row],[Italy cumulative]]</f>
        <v>10149</v>
      </c>
      <c r="E77" s="91">
        <f>(Tabella34[[#This Row],[Italy cumul. Data]]-D76)</f>
        <v>977</v>
      </c>
      <c r="F77" s="91">
        <f>Tabella34[[#This Row],[Italy data]]-E76</f>
        <v>-820</v>
      </c>
      <c r="G77" s="96">
        <f>Tabella34[[#This Row],[Italy data]]*NOT(ISBLANK(Tabella34[[#This Row],[Italy data]]))</f>
        <v>977</v>
      </c>
      <c r="H77" s="163">
        <f>Tabella8[[#This Row],[Italy fit]]</f>
        <v>13465.882078228418</v>
      </c>
      <c r="I77" s="163">
        <f>_xlfn.LOGNORM.INV(alpha*Tabella34[[#This Row],[Italy cumul. Fit]]/Kt,mu_t,sigma_t)-(Tabella34[[#This Row],[Day]]-pt)</f>
        <v>4.7463147857228805</v>
      </c>
      <c r="J77" s="163">
        <f>Tabella34[[#This Row],[Italy d.t.]]/Italy_dt_at_lockdown</f>
        <v>0.93221638456602962</v>
      </c>
      <c r="K77" s="96">
        <f>Tabella34[[#This Row],[Italy cumul. Fit]]/Kf</f>
        <v>5.7301641499784901E-2</v>
      </c>
      <c r="L77" s="166">
        <f>Tabella34[[#This Row],[Lombardy acc. fit]]+Tabella34[[#This Row],[rest of Italy acc. fit]]</f>
        <v>244.54916139761366</v>
      </c>
      <c r="M77" s="96">
        <f>Tabella34[[#This Row],[Italy (fitted Lombardy + fitted sum of the other regions)]]/(y_l_peak+y_a_peak)</f>
        <v>4.7604483266165003E-2</v>
      </c>
      <c r="N77" s="163">
        <f>IFERROR(Kt*_xlfn.LOGNORM.DIST((Tabella34[[#This Row],[Day]]-pt),mu_t,sigma_t,FALSE),0)</f>
        <v>2264.82376222627</v>
      </c>
      <c r="O77" s="163">
        <f>Kt*EXP(-0.5*Tabella34[[#This Row],[x_t]]^2)/(sigma_t*SQRTPI(2)*(Tabella34[[#This Row],[Day]]-D_bk))</f>
        <v>2264.8237622262709</v>
      </c>
      <c r="P77" s="206">
        <f>Tabella34[[#This Row],[Italy velocity]]/Tabella34[[#This Row],[Italy cumul. Fit]]</f>
        <v>0.16818978133545573</v>
      </c>
      <c r="Q77" s="269">
        <f>(LN(Tabella34[[#This Row],[Day]]-D_bk)-mu_t)/sigma_t</f>
        <v>-1.577836035024144</v>
      </c>
      <c r="R77" s="269">
        <f>EXP(mu_t+sigma_t*Tabella34[[#This Row],[x_t_alpha©+plus]])-(Tabella34[[#This Row],[Day]]-D_bk)</f>
        <v>58.935866033510344</v>
      </c>
      <c r="S77" s="269">
        <f>EXP(mu_t+sigma_t*Tabella34[[#This Row],[x_t_alpha©-minus]])-(Tabella34[[#This Row],[Day]]-D_bk)</f>
        <v>-5.1350947916026186</v>
      </c>
      <c r="T77" s="269">
        <f>-sigma_t+SQRT(sigma_t^2-2*Tabella34[[#This Row],[c_t]])</f>
        <v>1.4208930889430782</v>
      </c>
      <c r="U77" s="269">
        <f>-sigma_t-SQRT(sigma_t^2-2*Tabella34[[#This Row],[c_t]])</f>
        <v>-2.0401299948353153</v>
      </c>
      <c r="V77" s="269">
        <f>mu_t-LN(alpha*Kt/(Tabella34[[#This Row],[Italy velocity]]*sigma_t*SQRTPI(2)))</f>
        <v>-1.4494033051034885</v>
      </c>
      <c r="W77" s="269">
        <f>Tabella34[[#This Row],[Italy g.r.]]/Italy_gr_at_lockdown</f>
        <v>1.063453054059927</v>
      </c>
      <c r="X77" s="269">
        <f>Tabella34[[#This Row],[t_alpha_t+plus]]</f>
        <v>58.935866033510344</v>
      </c>
      <c r="Y77" s="269">
        <f>Tabella34[[#This Row],[Italy h.t.]]/Italy_ht_at_lockdown</f>
        <v>1.0496110727059182</v>
      </c>
      <c r="Z77" s="91">
        <f>IFERROR(-Kf*_xlfn.LOGNORM.DIST((Tabella34[[#This Row],[Day]]-D_bk),mu_f,sigma_f,FALSE)*(1+(LN((Tabella34[[#This Row],[Day]]-D_bk))-mu_f)/sigma_f^2)/(Tabella34[[#This Row],[Day]]-D_bk),0)</f>
        <v>240.92801045738867</v>
      </c>
      <c r="AA77" s="91">
        <f>Tabella34[[#This Row],[Italy acc. fit]]/Itali_acc_at_lockdown</f>
        <v>0.99160835059600516</v>
      </c>
      <c r="AB77" s="96">
        <f>Tabella34[[#This Row],[Italy acc. fit]]/y_f_peak</f>
        <v>4.7599074253403123E-2</v>
      </c>
      <c r="AC77" s="163">
        <f>Tabella34[[#This Row],[Italy (fitted Lombardy + fitted sum of the other regions)]]*NOT(ISBLANK(Tabella34[[#This Row],[Italy data]]))</f>
        <v>244.54916139761366</v>
      </c>
      <c r="AD77" s="163">
        <f>Tabella34[[#This Row],[Italy acc. fit]]*NOT(ISBLANK(Tabella34[[#This Row],[Italy data]]))</f>
        <v>240.92801045738867</v>
      </c>
      <c r="AE77" s="96">
        <f>Tabella34[[#This Row],[Italy acc. fit]]+CIf</f>
        <v>1254.6910124777064</v>
      </c>
      <c r="AF77" s="96">
        <f>MAX(Tabella34[[#This Row],[Italy acc. fit]]-CIf,0)</f>
        <v>0</v>
      </c>
      <c r="AG77" s="4">
        <f>Tabella8[[#This Row],[Lombardy]]</f>
        <v>5791</v>
      </c>
      <c r="AH77" s="91">
        <f>(Tabella34[[#This Row],[Lombardy cumul. Data]]-AG76)</f>
        <v>322</v>
      </c>
      <c r="AI77" s="91">
        <f>Tabella34[[#This Row],[Lombardy data]]-AH76</f>
        <v>-958</v>
      </c>
      <c r="AJ77" s="96">
        <f>Tabella34[[#This Row],[Lombardy data]]*NOT(ISBLANK(Tabella34[[#This Row],[Lombardy data]]))</f>
        <v>322</v>
      </c>
      <c r="AK77" s="96">
        <f>Tabella8[[#This Row],[Lombardy fit]]</f>
        <v>7663.6423871361549</v>
      </c>
      <c r="AL77" s="163">
        <f>_xlfn.LOGNORM.INV(alpha*Tabella34[[#This Row],[Lombardy cumul. Fit]]/Kr,mu_r,sigma_r)-(Tabella34[[#This Row],[Day]]-pr)</f>
        <v>5.9997881919861697</v>
      </c>
      <c r="AM77" s="96">
        <f>Tabella34[[#This Row],[Lombardy cumul. Fit]]/Kl</f>
        <v>8.8087843530300636E-2</v>
      </c>
      <c r="AN77" s="96">
        <f>IFERROR(Kr*_xlfn.LOGNORM.DIST((Tabella34[[#This Row],[Day]]-pr),mu_r,sigma_r,FALSE),0)</f>
        <v>1053.2488417170159</v>
      </c>
      <c r="AO77" s="209">
        <f>Tabella34[[#This Row],[Lombardy velocity]]/Tabella34[[#This Row],[Lombardy cumul. Fit]]</f>
        <v>0.13743449765935739</v>
      </c>
      <c r="AP77" s="266">
        <f>(LN(Tabella34[[#This Row],[Day]]-pr)-mu_r)/sigma_r</f>
        <v>-1.3526242944681128</v>
      </c>
      <c r="AQ77" s="269">
        <f>EXP(mu_r+sigma_r*Tabella34[[#This Row],[x_r_alpha©+plus]])-(Tabella34[[#This Row],[Day]]-pr)</f>
        <v>54.073959118774027</v>
      </c>
      <c r="AR77" s="269">
        <f>EXP(mu_r+sigma_r*Tabella34[[#This Row],[x_r_alpha©-minus]])-(Tabella34[[#This Row],[Day]]-pr)</f>
        <v>-6.517078874459969</v>
      </c>
      <c r="AS77" s="269">
        <f>-sigma_r+SQRT(sigma_r^2-2*Tabella34[[#This Row],[c_r]])</f>
        <v>1.2122597656793435</v>
      </c>
      <c r="AT77" s="269">
        <f>-sigma_r-SQRT(sigma_r^2-2*Tabella34[[#This Row],[c_r]])</f>
        <v>-1.8931143628730727</v>
      </c>
      <c r="AU77" s="269">
        <f>mu_r-LN(alpha*Kr/(Tabella34[[#This Row],[Lombardy velocity]]*sigma_r*SQRTPI(2)))</f>
        <v>-1.1474731869703554</v>
      </c>
      <c r="AV77" s="269">
        <f>Tabella34[[#This Row],[t_alpha_r+plus]]</f>
        <v>54.073959118774027</v>
      </c>
      <c r="AW77" s="91">
        <f>IFERROR(-Kl*_xlfn.LOGNORM.DIST((Tabella34[[#This Row],[Day]]-pl),mu_l,sigma_l,FALSE)*(1+(LN((Tabella34[[#This Row],[Day]]-pl))-mu_l)/sigma_l^2)/(Tabella34[[#This Row],[Day]]-pl),0)</f>
        <v>80.758578415298345</v>
      </c>
      <c r="AX77" s="96">
        <f>Tabella34[[#This Row],[Lombardy acc. fit]]/y_l_peak</f>
        <v>4.5938947621543491E-2</v>
      </c>
      <c r="AY77" s="163">
        <f>Tabella34[[#This Row],[Lombardy acc. fit]]*NOT(ISBLANK(Tabella34[[#This Row],[Lombardy data]]))</f>
        <v>80.758578415298345</v>
      </c>
      <c r="AZ77" s="96">
        <f>Tabella34[[#This Row],[Lombardy acc. fit]]+CIl</f>
        <v>829.71395021892192</v>
      </c>
      <c r="BA77" s="96">
        <f>MAX(Tabella34[[#This Row],[Lombardy acc. fit]]-CIl,0)</f>
        <v>0</v>
      </c>
      <c r="BB77" s="10">
        <f>Tabella8[[#This Row],[rest of Italy ]]</f>
        <v>4358</v>
      </c>
      <c r="BC77" s="10">
        <f>(Tabella34[[#This Row],[rest of Italy cum. Data]]-BB76)</f>
        <v>655</v>
      </c>
      <c r="BD77" s="10">
        <f>Tabella34[[#This Row],[rest of Italy data]]-BC76</f>
        <v>138</v>
      </c>
      <c r="BE77" s="96">
        <f>Tabella34[[#This Row],[rest of Italy data]]*NOT(ISBLANK(Tabella34[[#This Row],[rest of Italy data]]))</f>
        <v>655</v>
      </c>
      <c r="BF77" s="96">
        <f>Tabella8[[#This Row],[rest of Italy fit]]</f>
        <v>5542.3304236886052</v>
      </c>
      <c r="BG77" s="163">
        <f>_xlfn.LOGNORM.INV(alpha*Tabella34[[#This Row],[rest of Italy cumul. Fit]]/Ko,mu_o,sigma_o)-(Tabella34[[#This Row],[Day]]-po)</f>
        <v>3.7383947744129458</v>
      </c>
      <c r="BH77" s="96">
        <f>Tabella34[[#This Row],[rest of Italy cumul. Fit]]/Ka</f>
        <v>3.7448182897835865E-2</v>
      </c>
      <c r="BI77" s="163">
        <f>IFERROR(Ko*_xlfn.LOGNORM.DIST((Tabella34[[#This Row],[Day]]-po),mu_o,sigma_o,FALSE),0)</f>
        <v>1164.6146057079882</v>
      </c>
      <c r="BJ77" s="206">
        <f>Tabella34[[#This Row],[rest of Italy velocity]]/Tabella34[[#This Row],[rest of Italy cumul. Fit]]</f>
        <v>0.21013085050474101</v>
      </c>
      <c r="BK77" s="261">
        <f>(LN(Tabella34[[#This Row],[Day]]-po)-mu_o)/sigma_o</f>
        <v>-1.7810984691399185</v>
      </c>
      <c r="BL77" s="269">
        <f>EXP(mu_o+sigma_o*Tabella34[[#This Row],[x_o_alpha©+plus]])-(Tabella34[[#This Row],[Day]]-po)</f>
        <v>62.034047416134513</v>
      </c>
      <c r="BM77" s="269">
        <f>EXP(mu_o+sigma_o*Tabella34[[#This Row],[x_o_alpha©-minus]])-(Tabella34[[#This Row],[Day]]-po)</f>
        <v>-4.0383615691765264</v>
      </c>
      <c r="BN77" s="269">
        <f>-sigma_o+SQRT(sigma_o^2-2*Tabella34[[#This Row],[c_o]])</f>
        <v>1.5538167299511634</v>
      </c>
      <c r="BO77" s="269">
        <f>-sigma_o-SQRT(sigma_o^2-2*Tabella34[[#This Row],[c_o]])</f>
        <v>-2.1967895072501893</v>
      </c>
      <c r="BP77" s="269">
        <f>mu_o-LN(alpha*Ko/(Tabella34[[#This Row],[rest of Italy velocity]]*sigma_o*SQRTPI(2)))</f>
        <v>-1.7067041442732584</v>
      </c>
      <c r="BQ77" s="269">
        <f>Tabella34[[#This Row],[t_alpha_o+plus]]</f>
        <v>62.034047416134513</v>
      </c>
      <c r="BR77" s="91">
        <f>IFERROR(-Ka*_xlfn.LOGNORM.DIST((Tabella34[[#This Row],[Day]]-pa),mu_a,sigma_a,FALSE)*(1+(LN((Tabella34[[#This Row],[Day]]-pa))-mu_a)/sigma_a^2)/(Tabella34[[#This Row],[Day]]-pa),0)</f>
        <v>163.7905829823153</v>
      </c>
      <c r="BS77" s="96">
        <f>Tabella34[[#This Row],[rest of Italy acc. fit]]/y_a_peak</f>
        <v>4.8470954600123288E-2</v>
      </c>
      <c r="BT77" s="96">
        <f>Tabella34[[#This Row],[rest of Italy acc. fit]]*NOT(ISBLANK(Tabella34[[#This Row],[rest of Italy data]]))</f>
        <v>163.7905829823153</v>
      </c>
      <c r="BU77" s="96">
        <f>Tabella34[[#This Row],[rest of Italy acc. fit]]+CIa</f>
        <v>858.44261884591265</v>
      </c>
      <c r="BV77" s="96">
        <f>MAX(Tabella34[[#This Row],[rest of Italy acc. fit]]-CIa,0)</f>
        <v>0</v>
      </c>
    </row>
    <row r="78" spans="2:74" x14ac:dyDescent="0.3">
      <c r="B78" s="288">
        <v>43901</v>
      </c>
      <c r="C78" s="271">
        <v>71</v>
      </c>
      <c r="D78" s="272">
        <f>Tabella8[[#This Row],[Italy cumulative]]</f>
        <v>12462</v>
      </c>
      <c r="E78" s="273">
        <f>(Tabella34[[#This Row],[Italy cumul. Data]]-D77)</f>
        <v>2313</v>
      </c>
      <c r="F78" s="273">
        <f>Tabella34[[#This Row],[Italy data]]-E77</f>
        <v>1336</v>
      </c>
      <c r="G78" s="274">
        <f>Tabella34[[#This Row],[Italy data]]*NOT(ISBLANK(Tabella34[[#This Row],[Italy data]]))</f>
        <v>2313</v>
      </c>
      <c r="H78" s="275">
        <f>Tabella8[[#This Row],[Italy fit]]</f>
        <v>15851.626278701038</v>
      </c>
      <c r="I78" s="275">
        <f>_xlfn.LOGNORM.INV(alpha*Tabella34[[#This Row],[Italy cumul. Fit]]/Kt,mu_t,sigma_t)-(Tabella34[[#This Row],[Day]]-pt)</f>
        <v>5.0914303420363183</v>
      </c>
      <c r="J78" s="275">
        <f>Tabella34[[#This Row],[Italy d.t.]]/Italy_dt_at_lockdown</f>
        <v>1</v>
      </c>
      <c r="K78" s="274">
        <f>Tabella34[[#This Row],[Italy cumul. Fit]]/Kf</f>
        <v>6.7453747250562301E-2</v>
      </c>
      <c r="L78" s="273">
        <f>Tabella34[[#This Row],[Lombardy acc. fit]]+Tabella34[[#This Row],[rest of Italy acc. fit]]</f>
        <v>248.26658490956783</v>
      </c>
      <c r="M78" s="274">
        <f>Tabella34[[#This Row],[Italy (fitted Lombardy + fitted sum of the other regions)]]/(y_l_peak+y_a_peak)</f>
        <v>4.8328125188945269E-2</v>
      </c>
      <c r="N78" s="275">
        <f>IFERROR(Kt*_xlfn.LOGNORM.DIST((Tabella34[[#This Row],[Day]]-pt),mu_t,sigma_t,FALSE),0)</f>
        <v>2507.0044676140956</v>
      </c>
      <c r="O78" s="275">
        <f>Kt*EXP(-0.5*Tabella34[[#This Row],[x_t]]^2)/(sigma_t*SQRTPI(2)*(Tabella34[[#This Row],[Day]]-D_bk))</f>
        <v>2507.0044676140951</v>
      </c>
      <c r="P78" s="276">
        <f>Tabella34[[#This Row],[Italy velocity]]/Tabella34[[#This Row],[Italy cumul. Fit]]</f>
        <v>0.15815440154444091</v>
      </c>
      <c r="Q78" s="277">
        <f>(LN(Tabella34[[#This Row],[Day]]-D_bk)-mu_t)/sigma_t</f>
        <v>-1.4950266216808787</v>
      </c>
      <c r="R78" s="277">
        <f>EXP(mu_t+sigma_t*Tabella34[[#This Row],[x_t_alpha©+plus]])-(Tabella34[[#This Row],[Day]]-D_bk)</f>
        <v>56.150194644548201</v>
      </c>
      <c r="S78" s="277">
        <f>EXP(mu_t+sigma_t*Tabella34[[#This Row],[x_t_alpha©-minus]])-(Tabella34[[#This Row],[Day]]-D_bk)</f>
        <v>-5.5121556177909952</v>
      </c>
      <c r="T78" s="277">
        <f>-sigma_t+SQRT(sigma_t^2-2*Tabella34[[#This Row],[c_t]])</f>
        <v>1.3611558847856378</v>
      </c>
      <c r="U78" s="277">
        <f>-sigma_t-SQRT(sigma_t^2-2*Tabella34[[#This Row],[c_t]])</f>
        <v>-1.9803927906778749</v>
      </c>
      <c r="V78" s="277">
        <f>mu_t-LN(alpha*Kt/(Tabella34[[#This Row],[Italy velocity]]*sigma_t*SQRTPI(2)))</f>
        <v>-1.3478116506091204</v>
      </c>
      <c r="W78" s="277">
        <f>Tabella34[[#This Row],[Italy g.r.]]/Italy_gr_at_lockdown</f>
        <v>1</v>
      </c>
      <c r="X78" s="277">
        <f>Tabella34[[#This Row],[t_alpha_t+plus]]</f>
        <v>56.150194644548201</v>
      </c>
      <c r="Y78" s="277">
        <f>Tabella34[[#This Row],[Italy h.t.]]/Italy_ht_at_lockdown</f>
        <v>1</v>
      </c>
      <c r="Z78" s="278">
        <f>IFERROR(-Kf*_xlfn.LOGNORM.DIST((Tabella34[[#This Row],[Day]]-D_bk),mu_f,sigma_f,FALSE)*(1+(LN((Tabella34[[#This Row],[Day]]-D_bk))-mu_f)/sigma_f^2)/(Tabella34[[#This Row],[Day]]-D_bk),0)</f>
        <v>242.9669035285747</v>
      </c>
      <c r="AA78" s="278">
        <f>Tabella34[[#This Row],[Italy acc. fit]]/Itali_acc_at_lockdown</f>
        <v>1</v>
      </c>
      <c r="AB78" s="274">
        <f>Tabella34[[#This Row],[Italy acc. fit]]/y_f_peak</f>
        <v>4.8001889278961554E-2</v>
      </c>
      <c r="AC78" s="275">
        <f>Tabella34[[#This Row],[Italy (fitted Lombardy + fitted sum of the other regions)]]*NOT(ISBLANK(Tabella34[[#This Row],[Italy data]]))</f>
        <v>248.26658490956783</v>
      </c>
      <c r="AD78" s="275">
        <f>Tabella34[[#This Row],[Italy acc. fit]]*NOT(ISBLANK(Tabella34[[#This Row],[Italy data]]))</f>
        <v>242.9669035285747</v>
      </c>
      <c r="AE78" s="274">
        <f>Tabella34[[#This Row],[Italy acc. fit]]+CIf</f>
        <v>1256.7299055488925</v>
      </c>
      <c r="AF78" s="274">
        <f>MAX(Tabella34[[#This Row],[Italy acc. fit]]-CIf,0)</f>
        <v>0</v>
      </c>
      <c r="AG78" s="279">
        <f>Tabella8[[#This Row],[Lombardy]]</f>
        <v>7280</v>
      </c>
      <c r="AH78" s="273">
        <f>(Tabella34[[#This Row],[Lombardy cumul. Data]]-AG77)</f>
        <v>1489</v>
      </c>
      <c r="AI78" s="273">
        <f>Tabella34[[#This Row],[Lombardy data]]-AH77</f>
        <v>1167</v>
      </c>
      <c r="AJ78" s="274">
        <f>Tabella34[[#This Row],[Lombardy data]]*NOT(ISBLANK(Tabella34[[#This Row],[Lombardy data]]))</f>
        <v>1489</v>
      </c>
      <c r="AK78" s="274">
        <f>Tabella8[[#This Row],[Lombardy fit]]</f>
        <v>8756.9145256784268</v>
      </c>
      <c r="AL78" s="275">
        <f>_xlfn.LOGNORM.INV(alpha*Tabella34[[#This Row],[Lombardy cumul. Fit]]/Kr,mu_r,sigma_r)-(Tabella34[[#This Row],[Day]]-pr)</f>
        <v>6.4413904418615999</v>
      </c>
      <c r="AM78" s="274">
        <f>Tabella34[[#This Row],[Lombardy cumul. Fit]]/Kl</f>
        <v>0.10065418995032674</v>
      </c>
      <c r="AN78" s="274">
        <f>IFERROR(Kr*_xlfn.LOGNORM.DIST((Tabella34[[#This Row],[Day]]-pr),mu_r,sigma_r,FALSE),0)</f>
        <v>1132.9063779653745</v>
      </c>
      <c r="AO78" s="280">
        <f>Tabella34[[#This Row],[Lombardy velocity]]/Tabella34[[#This Row],[Lombardy cumul. Fit]]</f>
        <v>0.1293727801776853</v>
      </c>
      <c r="AP78" s="281">
        <f>(LN(Tabella34[[#This Row],[Day]]-pr)-mu_r)/sigma_r</f>
        <v>-1.2778328188798438</v>
      </c>
      <c r="AQ78" s="277">
        <f>EXP(mu_r+sigma_r*Tabella34[[#This Row],[x_r_alpha©+plus]])-(Tabella34[[#This Row],[Day]]-pr)</f>
        <v>51.578759342402293</v>
      </c>
      <c r="AR78" s="277">
        <f>EXP(mu_r+sigma_r*Tabella34[[#This Row],[x_r_alpha©-minus]])-(Tabella34[[#This Row],[Day]]-pr)</f>
        <v>-6.9890794823984237</v>
      </c>
      <c r="AS78" s="277">
        <f>-sigma_r+SQRT(sigma_r^2-2*Tabella34[[#This Row],[c_r]])</f>
        <v>1.1645721932890614</v>
      </c>
      <c r="AT78" s="277">
        <f>-sigma_r-SQRT(sigma_r^2-2*Tabella34[[#This Row],[c_r]])</f>
        <v>-1.8454267904827906</v>
      </c>
      <c r="AU78" s="277">
        <f>mu_r-LN(alpha*Kr/(Tabella34[[#This Row],[Lombardy velocity]]*sigma_r*SQRTPI(2)))</f>
        <v>-1.074566362473468</v>
      </c>
      <c r="AV78" s="277">
        <f>Tabella34[[#This Row],[t_alpha_r+plus]]</f>
        <v>51.578759342402293</v>
      </c>
      <c r="AW78" s="273">
        <f>IFERROR(-Kl*_xlfn.LOGNORM.DIST((Tabella34[[#This Row],[Day]]-pl),mu_l,sigma_l,FALSE)*(1+(LN((Tabella34[[#This Row],[Day]]-pl))-mu_l)/sigma_l^2)/(Tabella34[[#This Row],[Day]]-pl),0)</f>
        <v>78.425367396800439</v>
      </c>
      <c r="AX78" s="274">
        <f>Tabella34[[#This Row],[Lombardy acc. fit]]/y_l_peak</f>
        <v>4.4611716993267859E-2</v>
      </c>
      <c r="AY78" s="275">
        <f>Tabella34[[#This Row],[Lombardy acc. fit]]*NOT(ISBLANK(Tabella34[[#This Row],[Lombardy data]]))</f>
        <v>78.425367396800439</v>
      </c>
      <c r="AZ78" s="274">
        <f>Tabella34[[#This Row],[Lombardy acc. fit]]+CIl</f>
        <v>827.38073920042405</v>
      </c>
      <c r="BA78" s="274">
        <f>MAX(Tabella34[[#This Row],[Lombardy acc. fit]]-CIl,0)</f>
        <v>0</v>
      </c>
      <c r="BB78" s="272">
        <f>Tabella8[[#This Row],[rest of Italy ]]</f>
        <v>5182</v>
      </c>
      <c r="BC78" s="272">
        <f>(Tabella34[[#This Row],[rest of Italy cum. Data]]-BB77)</f>
        <v>824</v>
      </c>
      <c r="BD78" s="272">
        <f>Tabella34[[#This Row],[rest of Italy data]]-BC77</f>
        <v>169</v>
      </c>
      <c r="BE78" s="274">
        <f>Tabella34[[#This Row],[rest of Italy data]]*NOT(ISBLANK(Tabella34[[#This Row],[rest of Italy data]]))</f>
        <v>824</v>
      </c>
      <c r="BF78" s="274">
        <f>Tabella8[[#This Row],[rest of Italy fit]]</f>
        <v>6789.9411612720642</v>
      </c>
      <c r="BG78" s="275">
        <f>_xlfn.LOGNORM.INV(alpha*Tabella34[[#This Row],[rest of Italy cumul. Fit]]/Ko,mu_o,sigma_o)-(Tabella34[[#This Row],[Day]]-po)</f>
        <v>4.0379503817983462</v>
      </c>
      <c r="BH78" s="274">
        <f>Tabella34[[#This Row],[rest of Italy cumul. Fit]]/Ka</f>
        <v>4.5877986160131265E-2</v>
      </c>
      <c r="BI78" s="275">
        <f>IFERROR(Ko*_xlfn.LOGNORM.DIST((Tabella34[[#This Row],[Day]]-po),mu_o,sigma_o,FALSE),0)</f>
        <v>1331.6157009039941</v>
      </c>
      <c r="BJ78" s="276">
        <f>Tabella34[[#This Row],[rest of Italy velocity]]/Tabella34[[#This Row],[rest of Italy cumul. Fit]]</f>
        <v>0.19611594110699512</v>
      </c>
      <c r="BK78" s="282">
        <f>(LN(Tabella34[[#This Row],[Day]]-po)-mu_o)/sigma_o</f>
        <v>-1.6862068119142506</v>
      </c>
      <c r="BL78" s="277">
        <f>EXP(mu_o+sigma_o*Tabella34[[#This Row],[x_o_alpha©+plus]])-(Tabella34[[#This Row],[Day]]-po)</f>
        <v>58.850125483065497</v>
      </c>
      <c r="BM78" s="277">
        <f>EXP(mu_o+sigma_o*Tabella34[[#This Row],[x_o_alpha©-minus]])-(Tabella34[[#This Row],[Day]]-po)</f>
        <v>-4.3688581659445731</v>
      </c>
      <c r="BN78" s="277">
        <f>-sigma_o+SQRT(sigma_o^2-2*Tabella34[[#This Row],[c_o]])</f>
        <v>1.4809442465749818</v>
      </c>
      <c r="BO78" s="277">
        <f>-sigma_o-SQRT(sigma_o^2-2*Tabella34[[#This Row],[c_o]])</f>
        <v>-2.1239170238740082</v>
      </c>
      <c r="BP78" s="277">
        <f>mu_o-LN(alpha*Ko/(Tabella34[[#This Row],[rest of Italy velocity]]*sigma_o*SQRTPI(2)))</f>
        <v>-1.5727013483544354</v>
      </c>
      <c r="BQ78" s="277">
        <f>Tabella34[[#This Row],[t_alpha_o+plus]]</f>
        <v>58.850125483065497</v>
      </c>
      <c r="BR78" s="273">
        <f>IFERROR(-Ka*_xlfn.LOGNORM.DIST((Tabella34[[#This Row],[Day]]-pa),mu_a,sigma_a,FALSE)*(1+(LN((Tabella34[[#This Row],[Day]]-pa))-mu_a)/sigma_a^2)/(Tabella34[[#This Row],[Day]]-pa),0)</f>
        <v>169.84121751276737</v>
      </c>
      <c r="BS78" s="274">
        <f>Tabella34[[#This Row],[rest of Italy acc. fit]]/y_a_peak</f>
        <v>5.0261533925792738E-2</v>
      </c>
      <c r="BT78" s="274">
        <f>Tabella34[[#This Row],[rest of Italy acc. fit]]*NOT(ISBLANK(Tabella34[[#This Row],[rest of Italy data]]))</f>
        <v>169.84121751276737</v>
      </c>
      <c r="BU78" s="274">
        <f>Tabella34[[#This Row],[rest of Italy acc. fit]]+CIa</f>
        <v>864.49325337636469</v>
      </c>
      <c r="BV78" s="283">
        <f>MAX(Tabella34[[#This Row],[rest of Italy acc. fit]]-CIa,0)</f>
        <v>0</v>
      </c>
    </row>
    <row r="79" spans="2:74" x14ac:dyDescent="0.3">
      <c r="B79" s="288">
        <v>43902</v>
      </c>
      <c r="C79" s="30">
        <v>72</v>
      </c>
      <c r="D79" s="10">
        <f>Tabella8[[#This Row],[Italy cumulative]]</f>
        <v>15113</v>
      </c>
      <c r="E79" s="91">
        <f>(Tabella34[[#This Row],[Italy cumul. Data]]-D78)</f>
        <v>2651</v>
      </c>
      <c r="F79" s="91">
        <f>Tabella34[[#This Row],[Italy data]]-E78</f>
        <v>338</v>
      </c>
      <c r="G79" s="96">
        <f>Tabella34[[#This Row],[Italy data]]*NOT(ISBLANK(Tabella34[[#This Row],[Italy data]]))</f>
        <v>2651</v>
      </c>
      <c r="H79" s="163">
        <f>Tabella8[[#This Row],[Italy fit]]</f>
        <v>18480.104716344176</v>
      </c>
      <c r="I79" s="163">
        <f>_xlfn.LOGNORM.INV(alpha*Tabella34[[#This Row],[Italy cumul. Fit]]/Kt,mu_t,sigma_t)-(Tabella34[[#This Row],[Day]]-pt)</f>
        <v>5.4621821715318006</v>
      </c>
      <c r="J79" s="163">
        <f>Tabella34[[#This Row],[Italy d.t.]]/Italy_dt_at_lockdown</f>
        <v>1.0728187964066696</v>
      </c>
      <c r="K79" s="96">
        <f>Tabella34[[#This Row],[Italy cumul. Fit]]/Kf</f>
        <v>7.8638764930707997E-2</v>
      </c>
      <c r="L79" s="166">
        <f>Tabella34[[#This Row],[Lombardy acc. fit]]+Tabella34[[#This Row],[rest of Italy acc. fit]]</f>
        <v>248.95467679850617</v>
      </c>
      <c r="M79" s="96">
        <f>Tabella34[[#This Row],[Italy (fitted Lombardy + fitted sum of the other regions)]]/(y_l_peak+y_a_peak)</f>
        <v>4.8462070685324585E-2</v>
      </c>
      <c r="N79" s="163">
        <f>IFERROR(Kt*_xlfn.LOGNORM.DIST((Tabella34[[#This Row],[Day]]-pt),mu_t,sigma_t,FALSE),0)</f>
        <v>2749.8272842197771</v>
      </c>
      <c r="O79" s="163">
        <f>Kt*EXP(-0.5*Tabella34[[#This Row],[x_t]]^2)/(sigma_t*SQRTPI(2)*(Tabella34[[#This Row],[Day]]-D_bk))</f>
        <v>2749.8272842197784</v>
      </c>
      <c r="P79" s="206">
        <f>Tabella34[[#This Row],[Italy velocity]]/Tabella34[[#This Row],[Italy cumul. Fit]]</f>
        <v>0.14879933455072766</v>
      </c>
      <c r="Q79" s="269">
        <f>(LN(Tabella34[[#This Row],[Day]]-D_bk)-mu_t)/sigma_t</f>
        <v>-1.4142874174003071</v>
      </c>
      <c r="R79" s="269">
        <f>EXP(mu_t+sigma_t*Tabella34[[#This Row],[x_t_alpha©+plus]])-(Tabella34[[#This Row],[Day]]-D_bk)</f>
        <v>53.497778019220299</v>
      </c>
      <c r="S79" s="269">
        <f>EXP(mu_t+sigma_t*Tabella34[[#This Row],[x_t_alpha©-minus]])-(Tabella34[[#This Row],[Day]]-D_bk)</f>
        <v>-5.9146195158567068</v>
      </c>
      <c r="T79" s="269">
        <f>-sigma_t+SQRT(sigma_t^2-2*Tabella34[[#This Row],[c_t]])</f>
        <v>1.3048746198628609</v>
      </c>
      <c r="U79" s="269">
        <f>-sigma_t-SQRT(sigma_t^2-2*Tabella34[[#This Row],[c_t]])</f>
        <v>-1.924111525755098</v>
      </c>
      <c r="V79" s="269">
        <f>mu_t-LN(alpha*Kt/(Tabella34[[#This Row],[Italy velocity]]*sigma_t*SQRTPI(2)))</f>
        <v>-1.2553621478717165</v>
      </c>
      <c r="W79" s="269">
        <f>Tabella34[[#This Row],[Italy g.r.]]/Italy_gr_at_lockdown</f>
        <v>0.94084851953308113</v>
      </c>
      <c r="X79" s="269">
        <f>Tabella34[[#This Row],[t_alpha_t+plus]]</f>
        <v>53.497778019220299</v>
      </c>
      <c r="Y79" s="269">
        <f>Tabella34[[#This Row],[Italy h.t.]]/Italy_ht_at_lockdown</f>
        <v>0.95276211165217339</v>
      </c>
      <c r="Z79" s="91">
        <f>IFERROR(-Kf*_xlfn.LOGNORM.DIST((Tabella34[[#This Row],[Day]]-D_bk),mu_f,sigma_f,FALSE)*(1+(LN((Tabella34[[#This Row],[Day]]-D_bk))-mu_f)/sigma_f^2)/(Tabella34[[#This Row],[Day]]-D_bk),0)</f>
        <v>242.21722288010722</v>
      </c>
      <c r="AA79" s="91">
        <f>Tabella34[[#This Row],[Italy acc. fit]]/Itali_acc_at_lockdown</f>
        <v>0.99691447420377022</v>
      </c>
      <c r="AB79" s="96">
        <f>Tabella34[[#This Row],[Italy acc. fit]]/y_f_peak</f>
        <v>4.7853778211323549E-2</v>
      </c>
      <c r="AC79" s="163">
        <f>Tabella34[[#This Row],[Italy (fitted Lombardy + fitted sum of the other regions)]]*NOT(ISBLANK(Tabella34[[#This Row],[Italy data]]))</f>
        <v>248.95467679850617</v>
      </c>
      <c r="AD79" s="163">
        <f>Tabella34[[#This Row],[Italy acc. fit]]*NOT(ISBLANK(Tabella34[[#This Row],[Italy data]]))</f>
        <v>242.21722288010722</v>
      </c>
      <c r="AE79" s="96">
        <f>Tabella34[[#This Row],[Italy acc. fit]]+CIf</f>
        <v>1255.9802249004249</v>
      </c>
      <c r="AF79" s="96">
        <f>MAX(Tabella34[[#This Row],[Italy acc. fit]]-CIf,0)</f>
        <v>0</v>
      </c>
      <c r="AG79" s="4">
        <f>Tabella8[[#This Row],[Lombardy]]</f>
        <v>8725</v>
      </c>
      <c r="AH79" s="91">
        <f>(Tabella34[[#This Row],[Lombardy cumul. Data]]-AG78)</f>
        <v>1445</v>
      </c>
      <c r="AI79" s="91">
        <f>Tabella34[[#This Row],[Lombardy data]]-AH78</f>
        <v>-44</v>
      </c>
      <c r="AJ79" s="96">
        <f>Tabella34[[#This Row],[Lombardy data]]*NOT(ISBLANK(Tabella34[[#This Row],[Lombardy data]]))</f>
        <v>1445</v>
      </c>
      <c r="AK79" s="96">
        <f>Tabella8[[#This Row],[Lombardy fit]]</f>
        <v>9928.5494264847639</v>
      </c>
      <c r="AL79" s="163">
        <f>_xlfn.LOGNORM.INV(alpha*Tabella34[[#This Row],[Lombardy cumul. Fit]]/Kr,mu_r,sigma_r)-(Tabella34[[#This Row],[Day]]-pr)</f>
        <v>6.9168792118976725</v>
      </c>
      <c r="AM79" s="96">
        <f>Tabella34[[#This Row],[Lombardy cumul. Fit]]/Kl</f>
        <v>0.11412125777568694</v>
      </c>
      <c r="AN79" s="96">
        <f>IFERROR(Kr*_xlfn.LOGNORM.DIST((Tabella34[[#This Row],[Day]]-pr),mu_r,sigma_r,FALSE),0)</f>
        <v>1209.8492131042087</v>
      </c>
      <c r="AO79" s="209">
        <f>Tabella34[[#This Row],[Lombardy velocity]]/Tabella34[[#This Row],[Lombardy cumul. Fit]]</f>
        <v>0.12185558646431192</v>
      </c>
      <c r="AP79" s="266">
        <f>(LN(Tabella34[[#This Row],[Day]]-pr)-mu_r)/sigma_r</f>
        <v>-1.204898428022253</v>
      </c>
      <c r="AQ79" s="269">
        <f>EXP(mu_r+sigma_r*Tabella34[[#This Row],[x_r_alpha©+plus]])-(Tabella34[[#This Row],[Day]]-pr)</f>
        <v>49.210952806937058</v>
      </c>
      <c r="AR79" s="269">
        <f>EXP(mu_r+sigma_r*Tabella34[[#This Row],[x_r_alpha©-minus]])-(Tabella34[[#This Row],[Day]]-pr)</f>
        <v>-7.4906992833825186</v>
      </c>
      <c r="AS79" s="269">
        <f>-sigma_r+SQRT(sigma_r^2-2*Tabella34[[#This Row],[c_r]])</f>
        <v>1.1202590793535481</v>
      </c>
      <c r="AT79" s="269">
        <f>-sigma_r-SQRT(sigma_r^2-2*Tabella34[[#This Row],[c_r]])</f>
        <v>-1.8011136765472773</v>
      </c>
      <c r="AU79" s="269">
        <f>mu_r-LN(alpha*Kr/(Tabella34[[#This Row],[Lombardy velocity]]*sigma_r*SQRTPI(2)))</f>
        <v>-1.0088569745499685</v>
      </c>
      <c r="AV79" s="269">
        <f>Tabella34[[#This Row],[t_alpha_r+plus]]</f>
        <v>49.210952806937058</v>
      </c>
      <c r="AW79" s="91">
        <f>IFERROR(-Kl*_xlfn.LOGNORM.DIST((Tabella34[[#This Row],[Day]]-pl),mu_l,sigma_l,FALSE)*(1+(LN((Tabella34[[#This Row],[Day]]-pl))-mu_l)/sigma_l^2)/(Tabella34[[#This Row],[Day]]-pl),0)</f>
        <v>75.341408964180644</v>
      </c>
      <c r="AX79" s="96">
        <f>Tabella34[[#This Row],[Lombardy acc. fit]]/y_l_peak</f>
        <v>4.2857428994603673E-2</v>
      </c>
      <c r="AY79" s="163">
        <f>Tabella34[[#This Row],[Lombardy acc. fit]]*NOT(ISBLANK(Tabella34[[#This Row],[Lombardy data]]))</f>
        <v>75.341408964180644</v>
      </c>
      <c r="AZ79" s="96">
        <f>Tabella34[[#This Row],[Lombardy acc. fit]]+CIl</f>
        <v>824.29678076780431</v>
      </c>
      <c r="BA79" s="96">
        <f>MAX(Tabella34[[#This Row],[Lombardy acc. fit]]-CIl,0)</f>
        <v>0</v>
      </c>
      <c r="BB79" s="10">
        <f>Tabella8[[#This Row],[rest of Italy ]]</f>
        <v>6388</v>
      </c>
      <c r="BC79" s="10">
        <f>(Tabella34[[#This Row],[rest of Italy cum. Data]]-BB78)</f>
        <v>1206</v>
      </c>
      <c r="BD79" s="10">
        <f>Tabella34[[#This Row],[rest of Italy data]]-BC78</f>
        <v>382</v>
      </c>
      <c r="BE79" s="96">
        <f>Tabella34[[#This Row],[rest of Italy data]]*NOT(ISBLANK(Tabella34[[#This Row],[rest of Italy data]]))</f>
        <v>1206</v>
      </c>
      <c r="BF79" s="96">
        <f>Tabella8[[#This Row],[rest of Italy fit]]</f>
        <v>8207.2029099055053</v>
      </c>
      <c r="BG79" s="163">
        <f>_xlfn.LOGNORM.INV(alpha*Tabella34[[#This Row],[rest of Italy cumul. Fit]]/Ko,mu_o,sigma_o)-(Tabella34[[#This Row],[Day]]-po)</f>
        <v>4.3603051242150386</v>
      </c>
      <c r="BH79" s="96">
        <f>Tabella34[[#This Row],[rest of Italy cumul. Fit]]/Ka</f>
        <v>5.5454080171070688E-2</v>
      </c>
      <c r="BI79" s="163">
        <f>IFERROR(Ko*_xlfn.LOGNORM.DIST((Tabella34[[#This Row],[Day]]-po),mu_o,sigma_o,FALSE),0)</f>
        <v>1503.53664763659</v>
      </c>
      <c r="BJ79" s="206">
        <f>Tabella34[[#This Row],[rest of Italy velocity]]/Tabella34[[#This Row],[rest of Italy cumul. Fit]]</f>
        <v>0.1831972066661017</v>
      </c>
      <c r="BK79" s="261">
        <f>(LN(Tabella34[[#This Row],[Day]]-po)-mu_o)/sigma_o</f>
        <v>-1.5941244648212749</v>
      </c>
      <c r="BL79" s="269">
        <f>EXP(mu_o+sigma_o*Tabella34[[#This Row],[x_o_alpha©+plus]])-(Tabella34[[#This Row],[Day]]-po)</f>
        <v>55.838247993008139</v>
      </c>
      <c r="BM79" s="269">
        <f>EXP(mu_o+sigma_o*Tabella34[[#This Row],[x_o_alpha©-minus]])-(Tabella34[[#This Row],[Day]]-po)</f>
        <v>-4.7233818651901842</v>
      </c>
      <c r="BN79" s="269">
        <f>-sigma_o+SQRT(sigma_o^2-2*Tabella34[[#This Row],[c_o]])</f>
        <v>1.4122673522381759</v>
      </c>
      <c r="BO79" s="269">
        <f>-sigma_o-SQRT(sigma_o^2-2*Tabella34[[#This Row],[c_o]])</f>
        <v>-2.0552401295372018</v>
      </c>
      <c r="BP79" s="269">
        <f>mu_o-LN(alpha*Ko/(Tabella34[[#This Row],[rest of Italy velocity]]*sigma_o*SQRTPI(2)))</f>
        <v>-1.451274267977575</v>
      </c>
      <c r="BQ79" s="269">
        <f>Tabella34[[#This Row],[t_alpha_o+plus]]</f>
        <v>55.838247993008139</v>
      </c>
      <c r="BR79" s="91">
        <f>IFERROR(-Ka*_xlfn.LOGNORM.DIST((Tabella34[[#This Row],[Day]]-pa),mu_a,sigma_a,FALSE)*(1+(LN((Tabella34[[#This Row],[Day]]-pa))-mu_a)/sigma_a^2)/(Tabella34[[#This Row],[Day]]-pa),0)</f>
        <v>173.61326783432554</v>
      </c>
      <c r="BS79" s="96">
        <f>Tabella34[[#This Row],[rest of Italy acc. fit]]/y_a_peak</f>
        <v>5.1377806159254212E-2</v>
      </c>
      <c r="BT79" s="96">
        <f>Tabella34[[#This Row],[rest of Italy acc. fit]]*NOT(ISBLANK(Tabella34[[#This Row],[rest of Italy data]]))</f>
        <v>173.61326783432554</v>
      </c>
      <c r="BU79" s="96">
        <f>Tabella34[[#This Row],[rest of Italy acc. fit]]+CIa</f>
        <v>868.26530369792295</v>
      </c>
      <c r="BV79" s="96">
        <f>MAX(Tabella34[[#This Row],[rest of Italy acc. fit]]-CIa,0)</f>
        <v>0</v>
      </c>
    </row>
    <row r="80" spans="2:74" x14ac:dyDescent="0.3">
      <c r="B80" s="288">
        <v>43903</v>
      </c>
      <c r="C80" s="196">
        <v>73</v>
      </c>
      <c r="D80" s="149">
        <f>Tabella8[[#This Row],[Italy cumulative]]</f>
        <v>17660</v>
      </c>
      <c r="E80" s="147">
        <f>(Tabella34[[#This Row],[Italy cumul. Data]]-D79)</f>
        <v>2547</v>
      </c>
      <c r="F80" s="147">
        <f>Tabella34[[#This Row],[Italy data]]-E79</f>
        <v>-104</v>
      </c>
      <c r="G80" s="148">
        <f>Tabella34[[#This Row],[Italy data]]*NOT(ISBLANK(Tabella34[[#This Row],[Italy data]]))</f>
        <v>2547</v>
      </c>
      <c r="H80" s="217">
        <f>Tabella8[[#This Row],[Italy fit]]</f>
        <v>21350.572972603877</v>
      </c>
      <c r="I80" s="217">
        <f>_xlfn.LOGNORM.INV(alpha*Tabella34[[#This Row],[Italy cumul. Fit]]/Kt,mu_t,sigma_t)-(Tabella34[[#This Row],[Day]]-pt)</f>
        <v>5.8611710672516253</v>
      </c>
      <c r="J80" s="217">
        <f>Tabella34[[#This Row],[Italy d.t.]]/Italy_dt_at_lockdown</f>
        <v>1.1511835915459956</v>
      </c>
      <c r="K80" s="148">
        <f>Tabella34[[#This Row],[Italy cumul. Fit]]/Kf</f>
        <v>9.085352680083017E-2</v>
      </c>
      <c r="L80" s="147">
        <f>Tabella34[[#This Row],[Lombardy acc. fit]]+Tabella34[[#This Row],[rest of Italy acc. fit]]</f>
        <v>246.62743446200327</v>
      </c>
      <c r="M80" s="148">
        <f>Tabella34[[#This Row],[Italy (fitted Lombardy + fitted sum of the other regions)]]/(y_l_peak+y_a_peak)</f>
        <v>4.8009044519823928E-2</v>
      </c>
      <c r="N80" s="217">
        <f>IFERROR(Kt*_xlfn.LOGNORM.DIST((Tabella34[[#This Row],[Day]]-pt),mu_t,sigma_t,FALSE),0)</f>
        <v>2990.5296322107793</v>
      </c>
      <c r="O80" s="217">
        <f>Kt*EXP(-0.5*Tabella34[[#This Row],[x_t]]^2)/(sigma_t*SQRTPI(2)*(Tabella34[[#This Row],[Day]]-D_bk))</f>
        <v>2990.5296322107802</v>
      </c>
      <c r="P80" s="218">
        <f>Tabella34[[#This Row],[Italy velocity]]/Tabella34[[#This Row],[Italy cumul. Fit]]</f>
        <v>0.14006788651752328</v>
      </c>
      <c r="Q80" s="269">
        <f>(LN(Tabella34[[#This Row],[Day]]-D_bk)-mu_t)/sigma_t</f>
        <v>-1.335517432619278</v>
      </c>
      <c r="R80" s="269">
        <f>EXP(mu_t+sigma_t*Tabella34[[#This Row],[x_t_alpha©+plus]])-(Tabella34[[#This Row],[Day]]-D_bk)</f>
        <v>50.972411750783003</v>
      </c>
      <c r="S80" s="269">
        <f>EXP(mu_t+sigma_t*Tabella34[[#This Row],[x_t_alpha©-minus]])-(Tabella34[[#This Row],[Day]]-D_bk)</f>
        <v>-6.3440721979914514</v>
      </c>
      <c r="T80" s="269">
        <f>-sigma_t+SQRT(sigma_t^2-2*Tabella34[[#This Row],[c_t]])</f>
        <v>1.2520355028374031</v>
      </c>
      <c r="U80" s="269">
        <f>-sigma_t-SQRT(sigma_t^2-2*Tabella34[[#This Row],[c_t]])</f>
        <v>-1.8712724087296402</v>
      </c>
      <c r="V80" s="269">
        <f>mu_t-LN(alpha*Kt/(Tabella34[[#This Row],[Italy velocity]]*sigma_t*SQRTPI(2)))</f>
        <v>-1.1714497456047868</v>
      </c>
      <c r="W80" s="269">
        <f>Tabella34[[#This Row],[Italy g.r.]]/Italy_gr_at_lockdown</f>
        <v>0.88564014121456258</v>
      </c>
      <c r="X80" s="269">
        <f>Tabella34[[#This Row],[t_alpha_t+plus]]</f>
        <v>50.972411750783003</v>
      </c>
      <c r="Y80" s="269">
        <f>Tabella34[[#This Row],[Italy h.t.]]/Italy_ht_at_lockdown</f>
        <v>0.90778691104202747</v>
      </c>
      <c r="Z80" s="147">
        <f>IFERROR(-Kf*_xlfn.LOGNORM.DIST((Tabella34[[#This Row],[Day]]-D_bk),mu_f,sigma_f,FALSE)*(1+(LN((Tabella34[[#This Row],[Day]]-D_bk))-mu_f)/sigma_f^2)/(Tabella34[[#This Row],[Day]]-D_bk),0)</f>
        <v>238.74171360018968</v>
      </c>
      <c r="AA80" s="147">
        <f>Tabella34[[#This Row],[Italy acc. fit]]/Itali_acc_at_lockdown</f>
        <v>0.98261001861972486</v>
      </c>
      <c r="AB80" s="148">
        <f>Tabella34[[#This Row],[Italy acc. fit]]/y_f_peak</f>
        <v>4.7167137318182381E-2</v>
      </c>
      <c r="AC80" s="217">
        <f>Tabella34[[#This Row],[Italy (fitted Lombardy + fitted sum of the other regions)]]*NOT(ISBLANK(Tabella34[[#This Row],[Italy data]]))</f>
        <v>246.62743446200327</v>
      </c>
      <c r="AD80" s="217">
        <f>Tabella34[[#This Row],[Italy acc. fit]]*NOT(ISBLANK(Tabella34[[#This Row],[Italy data]]))</f>
        <v>238.74171360018968</v>
      </c>
      <c r="AE80" s="148">
        <f>Tabella34[[#This Row],[Italy acc. fit]]+CIf</f>
        <v>1252.5047156205073</v>
      </c>
      <c r="AF80" s="148">
        <f>MAX(Tabella34[[#This Row],[Italy acc. fit]]-CIf,0)</f>
        <v>0</v>
      </c>
      <c r="AG80" s="146">
        <f>Tabella8[[#This Row],[Lombardy]]</f>
        <v>9820</v>
      </c>
      <c r="AH80" s="147">
        <f>(Tabella34[[#This Row],[Lombardy cumul. Data]]-AG79)</f>
        <v>1095</v>
      </c>
      <c r="AI80" s="147">
        <f>Tabella34[[#This Row],[Lombardy data]]-AH79</f>
        <v>-350</v>
      </c>
      <c r="AJ80" s="148">
        <f>Tabella34[[#This Row],[Lombardy data]]*NOT(ISBLANK(Tabella34[[#This Row],[Lombardy data]]))</f>
        <v>1095</v>
      </c>
      <c r="AK80" s="148">
        <f>Tabella8[[#This Row],[Lombardy fit]]</f>
        <v>11175.46964004266</v>
      </c>
      <c r="AL80" s="217">
        <f>_xlfn.LOGNORM.INV(alpha*Tabella34[[#This Row],[Lombardy cumul. Fit]]/Kr,mu_r,sigma_r)-(Tabella34[[#This Row],[Day]]-pr)</f>
        <v>7.4298887754686476</v>
      </c>
      <c r="AM80" s="148">
        <f>Tabella34[[#This Row],[Lombardy cumul. Fit]]/Kl</f>
        <v>0.12845367402347885</v>
      </c>
      <c r="AN80" s="148">
        <f>IFERROR(Kr*_xlfn.LOGNORM.DIST((Tabella34[[#This Row],[Day]]-pr),mu_r,sigma_r,FALSE),0)</f>
        <v>1283.3648504414211</v>
      </c>
      <c r="AO80" s="210">
        <f>Tabella34[[#This Row],[Lombardy velocity]]/Tabella34[[#This Row],[Lombardy cumul. Fit]]</f>
        <v>0.11483766604698344</v>
      </c>
      <c r="AP80" s="268">
        <f>(LN(Tabella34[[#This Row],[Day]]-pr)-mu_r)/sigma_r</f>
        <v>-1.1337311284924254</v>
      </c>
      <c r="AQ80" s="269">
        <f>EXP(mu_r+sigma_r*Tabella34[[#This Row],[x_r_alpha©+plus]])-(Tabella34[[#This Row],[Day]]-pr)</f>
        <v>46.964891395265752</v>
      </c>
      <c r="AR80" s="269">
        <f>EXP(mu_r+sigma_r*Tabella34[[#This Row],[x_r_alpha©-minus]])-(Tabella34[[#This Row],[Day]]-pr)</f>
        <v>-8.0233057571671651</v>
      </c>
      <c r="AS80" s="269">
        <f>-sigma_r+SQRT(sigma_r^2-2*Tabella34[[#This Row],[c_r]])</f>
        <v>1.0792999032439872</v>
      </c>
      <c r="AT80" s="269">
        <f>-sigma_r-SQRT(sigma_r^2-2*Tabella34[[#This Row],[c_r]])</f>
        <v>-1.7601545004377164</v>
      </c>
      <c r="AU80" s="269">
        <f>mu_r-LN(alpha*Kr/(Tabella34[[#This Row],[Lombardy velocity]]*sigma_r*SQRTPI(2)))</f>
        <v>-0.9498672910084478</v>
      </c>
      <c r="AV80" s="269">
        <f>Tabella34[[#This Row],[t_alpha_r+plus]]</f>
        <v>46.964891395265752</v>
      </c>
      <c r="AW80" s="147">
        <f>IFERROR(-Kl*_xlfn.LOGNORM.DIST((Tabella34[[#This Row],[Day]]-pl),mu_l,sigma_l,FALSE)*(1+(LN((Tabella34[[#This Row],[Day]]-pl))-mu_l)/sigma_l^2)/(Tabella34[[#This Row],[Day]]-pl),0)</f>
        <v>71.584650660600403</v>
      </c>
      <c r="AX80" s="148">
        <f>Tabella34[[#This Row],[Lombardy acc. fit]]/y_l_peak</f>
        <v>4.0720423535598731E-2</v>
      </c>
      <c r="AY80" s="217">
        <f>Tabella34[[#This Row],[Lombardy acc. fit]]*NOT(ISBLANK(Tabella34[[#This Row],[Lombardy data]]))</f>
        <v>71.584650660600403</v>
      </c>
      <c r="AZ80" s="148">
        <f>Tabella34[[#This Row],[Lombardy acc. fit]]+CIl</f>
        <v>820.54002246422397</v>
      </c>
      <c r="BA80" s="148">
        <f>MAX(Tabella34[[#This Row],[Lombardy acc. fit]]-CIl,0)</f>
        <v>0</v>
      </c>
      <c r="BB80" s="149">
        <f>Tabella8[[#This Row],[rest of Italy ]]</f>
        <v>7840</v>
      </c>
      <c r="BC80" s="149">
        <f>(Tabella34[[#This Row],[rest of Italy cum. Data]]-BB79)</f>
        <v>1452</v>
      </c>
      <c r="BD80" s="149">
        <f>Tabella34[[#This Row],[rest of Italy data]]-BC79</f>
        <v>246</v>
      </c>
      <c r="BE80" s="148">
        <f>Tabella34[[#This Row],[rest of Italy data]]*NOT(ISBLANK(Tabella34[[#This Row],[rest of Italy data]]))</f>
        <v>1452</v>
      </c>
      <c r="BF80" s="148">
        <f>Tabella8[[#This Row],[rest of Italy fit]]</f>
        <v>9797.8824105135063</v>
      </c>
      <c r="BG80" s="217">
        <f>_xlfn.LOGNORM.INV(alpha*Tabella34[[#This Row],[rest of Italy cumul. Fit]]/Ko,mu_o,sigma_o)-(Tabella34[[#This Row],[Day]]-po)</f>
        <v>4.7077328125698372</v>
      </c>
      <c r="BH80" s="148">
        <f>Tabella34[[#This Row],[rest of Italy cumul. Fit]]/Ka</f>
        <v>6.6201915885809995E-2</v>
      </c>
      <c r="BI80" s="217">
        <f>IFERROR(Ko*_xlfn.LOGNORM.DIST((Tabella34[[#This Row],[Day]]-po),mu_o,sigma_o,FALSE),0)</f>
        <v>1678.0605794728556</v>
      </c>
      <c r="BJ80" s="218">
        <f>Tabella34[[#This Row],[rest of Italy velocity]]/Tabella34[[#This Row],[rest of Italy cumul. Fit]]</f>
        <v>0.17126767899074108</v>
      </c>
      <c r="BK80" s="264">
        <f>(LN(Tabella34[[#This Row],[Day]]-po)-mu_o)/sigma_o</f>
        <v>-1.5046898579744565</v>
      </c>
      <c r="BL80" s="269">
        <f>EXP(mu_o+sigma_o*Tabella34[[#This Row],[x_o_alpha©+plus]])-(Tabella34[[#This Row],[Day]]-po)</f>
        <v>52.987538249240416</v>
      </c>
      <c r="BM80" s="269">
        <f>EXP(mu_o+sigma_o*Tabella34[[#This Row],[x_o_alpha©-minus]])-(Tabella34[[#This Row],[Day]]-po)</f>
        <v>-5.1036309189981175</v>
      </c>
      <c r="BN80" s="269">
        <f>-sigma_o+SQRT(sigma_o^2-2*Tabella34[[#This Row],[c_o]])</f>
        <v>1.3477244461291473</v>
      </c>
      <c r="BO80" s="269">
        <f>-sigma_o-SQRT(sigma_o^2-2*Tabella34[[#This Row],[c_o]])</f>
        <v>-1.9906972234281732</v>
      </c>
      <c r="BP80" s="269">
        <f>mu_o-LN(alpha*Ko/(Tabella34[[#This Row],[rest of Italy velocity]]*sigma_o*SQRTPI(2)))</f>
        <v>-1.3414556564277831</v>
      </c>
      <c r="BQ80" s="269">
        <f>Tabella34[[#This Row],[t_alpha_o+plus]]</f>
        <v>52.987538249240416</v>
      </c>
      <c r="BR80" s="177">
        <f>IFERROR(-Ka*_xlfn.LOGNORM.DIST((Tabella34[[#This Row],[Day]]-pa),mu_a,sigma_a,FALSE)*(1+(LN((Tabella34[[#This Row],[Day]]-pa))-mu_a)/sigma_a^2)/(Tabella34[[#This Row],[Day]]-pa),0)</f>
        <v>175.04278380140286</v>
      </c>
      <c r="BS80" s="148">
        <f>Tabella34[[#This Row],[rest of Italy acc. fit]]/y_a_peak</f>
        <v>5.1800846374868058E-2</v>
      </c>
      <c r="BT80" s="148">
        <f>Tabella34[[#This Row],[rest of Italy acc. fit]]*NOT(ISBLANK(Tabella34[[#This Row],[rest of Italy data]]))</f>
        <v>175.04278380140286</v>
      </c>
      <c r="BU80" s="148">
        <f>Tabella34[[#This Row],[rest of Italy acc. fit]]+CIa</f>
        <v>869.69481966500018</v>
      </c>
      <c r="BV80" s="148">
        <f>MAX(Tabella34[[#This Row],[rest of Italy acc. fit]]-CIa,0)</f>
        <v>0</v>
      </c>
    </row>
    <row r="81" spans="2:74" x14ac:dyDescent="0.3">
      <c r="B81" s="288">
        <v>43904</v>
      </c>
      <c r="C81" s="30">
        <v>74</v>
      </c>
      <c r="D81" s="10">
        <f>Tabella8[[#This Row],[Italy cumulative]]</f>
        <v>21157</v>
      </c>
      <c r="E81" s="91">
        <f>(Tabella34[[#This Row],[Italy cumul. Data]]-D80)</f>
        <v>3497</v>
      </c>
      <c r="F81" s="91">
        <f>Tabella34[[#This Row],[Italy data]]-E80</f>
        <v>950</v>
      </c>
      <c r="G81" s="96">
        <f>Tabella34[[#This Row],[Italy data]]*NOT(ISBLANK(Tabella34[[#This Row],[Italy data]]))</f>
        <v>3497</v>
      </c>
      <c r="H81" s="163">
        <f>Tabella8[[#This Row],[Italy fit]]</f>
        <v>24459.565830411917</v>
      </c>
      <c r="I81" s="163">
        <f>_xlfn.LOGNORM.INV(alpha*Tabella34[[#This Row],[Italy cumul. Fit]]/Kt,mu_t,sigma_t)-(Tabella34[[#This Row],[Day]]-pt)</f>
        <v>6.2913788517644207</v>
      </c>
      <c r="J81" s="163">
        <f>Tabella34[[#This Row],[Italy d.t.]]/Italy_dt_at_lockdown</f>
        <v>1.2356800406009645</v>
      </c>
      <c r="K81" s="96">
        <f>Tabella34[[#This Row],[Italy cumul. Fit]]/Kf</f>
        <v>0.10408328725235981</v>
      </c>
      <c r="L81" s="166">
        <f>Tabella34[[#This Row],[Lombardy acc. fit]]+Tabella34[[#This Row],[rest of Italy acc. fit]]</f>
        <v>241.3787598925112</v>
      </c>
      <c r="M81" s="96">
        <f>Tabella34[[#This Row],[Italy (fitted Lombardy + fitted sum of the other regions)]]/(y_l_peak+y_a_peak)</f>
        <v>4.6987325862990412E-2</v>
      </c>
      <c r="N81" s="163">
        <f>IFERROR(Kt*_xlfn.LOGNORM.DIST((Tabella34[[#This Row],[Day]]-pt),mu_t,sigma_t,FALSE),0)</f>
        <v>3226.4425478219187</v>
      </c>
      <c r="O81" s="163">
        <f>Kt*EXP(-0.5*Tabella34[[#This Row],[x_t]]^2)/(sigma_t*SQRTPI(2)*(Tabella34[[#This Row],[Day]]-D_bk))</f>
        <v>3226.4425478219182</v>
      </c>
      <c r="P81" s="206">
        <f>Tabella34[[#This Row],[Italy velocity]]/Tabella34[[#This Row],[Italy cumul. Fit]]</f>
        <v>0.13190923216675851</v>
      </c>
      <c r="Q81" s="269">
        <f>(LN(Tabella34[[#This Row],[Day]]-D_bk)-mu_t)/sigma_t</f>
        <v>-1.2586228919174203</v>
      </c>
      <c r="R81" s="269">
        <f>EXP(mu_t+sigma_t*Tabella34[[#This Row],[x_t_alpha©+plus]])-(Tabella34[[#This Row],[Day]]-D_bk)</f>
        <v>48.568645252223924</v>
      </c>
      <c r="S81" s="269">
        <f>EXP(mu_t+sigma_t*Tabella34[[#This Row],[x_t_alpha©-minus]])-(Tabella34[[#This Row],[Day]]-D_bk)</f>
        <v>-6.8021207106488291</v>
      </c>
      <c r="T81" s="269">
        <f>-sigma_t+SQRT(sigma_t^2-2*Tabella34[[#This Row],[c_t]])</f>
        <v>1.2026327782675064</v>
      </c>
      <c r="U81" s="269">
        <f>-sigma_t-SQRT(sigma_t^2-2*Tabella34[[#This Row],[c_t]])</f>
        <v>-1.8218696841597435</v>
      </c>
      <c r="V81" s="269">
        <f>mu_t-LN(alpha*Kt/(Tabella34[[#This Row],[Italy velocity]]*sigma_t*SQRTPI(2)))</f>
        <v>-1.0955200999511883</v>
      </c>
      <c r="W81" s="269">
        <f>Tabella34[[#This Row],[Italy g.r.]]/Italy_gr_at_lockdown</f>
        <v>0.83405350011515433</v>
      </c>
      <c r="X81" s="269">
        <f>Tabella34[[#This Row],[t_alpha_t+plus]]</f>
        <v>48.568645252223924</v>
      </c>
      <c r="Y81" s="269">
        <f>Tabella34[[#This Row],[Italy h.t.]]/Italy_ht_at_lockdown</f>
        <v>0.86497732660913595</v>
      </c>
      <c r="Z81" s="91">
        <f>IFERROR(-Kf*_xlfn.LOGNORM.DIST((Tabella34[[#This Row],[Day]]-D_bk),mu_f,sigma_f,FALSE)*(1+(LN((Tabella34[[#This Row],[Day]]-D_bk))-mu_f)/sigma_f^2)/(Tabella34[[#This Row],[Day]]-D_bk),0)</f>
        <v>232.66342093123816</v>
      </c>
      <c r="AA81" s="91">
        <f>Tabella34[[#This Row],[Italy acc. fit]]/Itali_acc_at_lockdown</f>
        <v>0.95759306124537746</v>
      </c>
      <c r="AB81" s="96">
        <f>Tabella34[[#This Row],[Italy acc. fit]]/y_f_peak</f>
        <v>4.5966276100202458E-2</v>
      </c>
      <c r="AC81" s="163">
        <f>Tabella34[[#This Row],[Italy (fitted Lombardy + fitted sum of the other regions)]]*NOT(ISBLANK(Tabella34[[#This Row],[Italy data]]))</f>
        <v>241.3787598925112</v>
      </c>
      <c r="AD81" s="163">
        <f>Tabella34[[#This Row],[Italy acc. fit]]*NOT(ISBLANK(Tabella34[[#This Row],[Italy data]]))</f>
        <v>232.66342093123816</v>
      </c>
      <c r="AE81" s="96">
        <f>Tabella34[[#This Row],[Italy acc. fit]]+CIf</f>
        <v>1246.4264229515559</v>
      </c>
      <c r="AF81" s="96">
        <f>MAX(Tabella34[[#This Row],[Italy acc. fit]]-CIf,0)</f>
        <v>0</v>
      </c>
      <c r="AG81" s="4">
        <f>Tabella8[[#This Row],[Lombardy]]</f>
        <v>11685</v>
      </c>
      <c r="AH81" s="91">
        <f>(Tabella34[[#This Row],[Lombardy cumul. Data]]-AG80)</f>
        <v>1865</v>
      </c>
      <c r="AI81" s="91">
        <f>Tabella34[[#This Row],[Lombardy data]]-AH80</f>
        <v>770</v>
      </c>
      <c r="AJ81" s="96">
        <f>Tabella34[[#This Row],[Lombardy data]]*NOT(ISBLANK(Tabella34[[#This Row],[Lombardy data]]))</f>
        <v>1865</v>
      </c>
      <c r="AK81" s="96">
        <f>Tabella8[[#This Row],[Lombardy fit]]</f>
        <v>12493.925509581044</v>
      </c>
      <c r="AL81" s="163">
        <f>_xlfn.LOGNORM.INV(alpha*Tabella34[[#This Row],[Lombardy cumul. Fit]]/Kr,mu_r,sigma_r)-(Tabella34[[#This Row],[Day]]-pr)</f>
        <v>7.9846269035611996</v>
      </c>
      <c r="AM81" s="96">
        <f>Tabella34[[#This Row],[Lombardy cumul. Fit]]/Kl</f>
        <v>0.14360833919058671</v>
      </c>
      <c r="AN81" s="96">
        <f>IFERROR(Kr*_xlfn.LOGNORM.DIST((Tabella34[[#This Row],[Day]]-pr),mu_r,sigma_r,FALSE),0)</f>
        <v>1352.822558718497</v>
      </c>
      <c r="AO81" s="209">
        <f>Tabella34[[#This Row],[Lombardy velocity]]/Tabella34[[#This Row],[Lombardy cumul. Fit]]</f>
        <v>0.10827842359721744</v>
      </c>
      <c r="AP81" s="266">
        <f>(LN(Tabella34[[#This Row],[Day]]-pr)-mu_r)/sigma_r</f>
        <v>-1.0642473139879247</v>
      </c>
      <c r="AQ81" s="269">
        <f>EXP(mu_r+sigma_r*Tabella34[[#This Row],[x_r_alpha©+plus]])-(Tabella34[[#This Row],[Day]]-pr)</f>
        <v>44.835507941912041</v>
      </c>
      <c r="AR81" s="269">
        <f>EXP(mu_r+sigma_r*Tabella34[[#This Row],[x_r_alpha©-minus]])-(Tabella34[[#This Row],[Day]]-pr)</f>
        <v>-8.5881919914007341</v>
      </c>
      <c r="AS81" s="269">
        <f>-sigma_r+SQRT(sigma_r^2-2*Tabella34[[#This Row],[c_r]])</f>
        <v>1.0416760896489665</v>
      </c>
      <c r="AT81" s="269">
        <f>-sigma_r-SQRT(sigma_r^2-2*Tabella34[[#This Row],[c_r]])</f>
        <v>-1.7225306868426957</v>
      </c>
      <c r="AU81" s="269">
        <f>mu_r-LN(alpha*Kr/(Tabella34[[#This Row],[Lombardy velocity]]*sigma_r*SQRTPI(2)))</f>
        <v>-0.89715951508532399</v>
      </c>
      <c r="AV81" s="269">
        <f>Tabella34[[#This Row],[t_alpha_r+plus]]</f>
        <v>44.835507941912041</v>
      </c>
      <c r="AW81" s="91">
        <f>IFERROR(-Kl*_xlfn.LOGNORM.DIST((Tabella34[[#This Row],[Day]]-pl),mu_l,sigma_l,FALSE)*(1+(LN((Tabella34[[#This Row],[Day]]-pl))-mu_l)/sigma_l^2)/(Tabella34[[#This Row],[Day]]-pl),0)</f>
        <v>67.240163440892744</v>
      </c>
      <c r="AX81" s="96">
        <f>Tabella34[[#This Row],[Lombardy acc. fit]]/y_l_peak</f>
        <v>3.8249092628778215E-2</v>
      </c>
      <c r="AY81" s="163">
        <f>Tabella34[[#This Row],[Lombardy acc. fit]]*NOT(ISBLANK(Tabella34[[#This Row],[Lombardy data]]))</f>
        <v>67.240163440892744</v>
      </c>
      <c r="AZ81" s="96">
        <f>Tabella34[[#This Row],[Lombardy acc. fit]]+CIl</f>
        <v>816.19553524451635</v>
      </c>
      <c r="BA81" s="96">
        <f>MAX(Tabella34[[#This Row],[Lombardy acc. fit]]-CIl,0)</f>
        <v>0</v>
      </c>
      <c r="BB81" s="10">
        <f>Tabella8[[#This Row],[rest of Italy ]]</f>
        <v>9472</v>
      </c>
      <c r="BC81" s="10">
        <f>(Tabella34[[#This Row],[rest of Italy cum. Data]]-BB80)</f>
        <v>1632</v>
      </c>
      <c r="BD81" s="10">
        <f>Tabella34[[#This Row],[rest of Italy data]]-BC80</f>
        <v>180</v>
      </c>
      <c r="BE81" s="96">
        <f>Tabella34[[#This Row],[rest of Italy data]]*NOT(ISBLANK(Tabella34[[#This Row],[rest of Italy data]]))</f>
        <v>1632</v>
      </c>
      <c r="BF81" s="96">
        <f>Tabella8[[#This Row],[rest of Italy fit]]</f>
        <v>11563.409946216672</v>
      </c>
      <c r="BG81" s="163">
        <f>_xlfn.LOGNORM.INV(alpha*Tabella34[[#This Row],[rest of Italy cumul. Fit]]/Ko,mu_o,sigma_o)-(Tabella34[[#This Row],[Day]]-po)</f>
        <v>5.08283220639251</v>
      </c>
      <c r="BH81" s="96">
        <f>Tabella34[[#This Row],[rest of Italy cumul. Fit]]/Ka</f>
        <v>7.8131157380613422E-2</v>
      </c>
      <c r="BI81" s="163">
        <f>IFERROR(Ko*_xlfn.LOGNORM.DIST((Tabella34[[#This Row],[Day]]-po),mu_o,sigma_o,FALSE),0)</f>
        <v>1852.8435850697485</v>
      </c>
      <c r="BJ81" s="206">
        <f>Tabella34[[#This Row],[rest of Italy velocity]]/Tabella34[[#This Row],[rest of Italy cumul. Fit]]</f>
        <v>0.16023332163156281</v>
      </c>
      <c r="BK81" s="261">
        <f>(LN(Tabella34[[#This Row],[Day]]-po)-mu_o)/sigma_o</f>
        <v>-1.4177549711421229</v>
      </c>
      <c r="BL81" s="269">
        <f>EXP(mu_o+sigma_o*Tabella34[[#This Row],[x_o_alpha©+plus]])-(Tabella34[[#This Row],[Day]]-po)</f>
        <v>50.288565131153732</v>
      </c>
      <c r="BM81" s="269">
        <f>EXP(mu_o+sigma_o*Tabella34[[#This Row],[x_o_alpha©-minus]])-(Tabella34[[#This Row],[Day]]-po)</f>
        <v>-5.5113640947715652</v>
      </c>
      <c r="BN81" s="269">
        <f>-sigma_o+SQRT(sigma_o^2-2*Tabella34[[#This Row],[c_o]])</f>
        <v>1.2872706365349145</v>
      </c>
      <c r="BO81" s="269">
        <f>-sigma_o-SQRT(sigma_o^2-2*Tabella34[[#This Row],[c_o]])</f>
        <v>-1.9302434138339404</v>
      </c>
      <c r="BP81" s="269">
        <f>mu_o-LN(alpha*Ko/(Tabella34[[#This Row],[rest of Italy velocity]]*sigma_o*SQRTPI(2)))</f>
        <v>-1.2423728339966713</v>
      </c>
      <c r="BQ81" s="269">
        <f>Tabella34[[#This Row],[t_alpha_o+plus]]</f>
        <v>50.288565131153732</v>
      </c>
      <c r="BR81" s="91">
        <f>IFERROR(-Ka*_xlfn.LOGNORM.DIST((Tabella34[[#This Row],[Day]]-pa),mu_a,sigma_a,FALSE)*(1+(LN((Tabella34[[#This Row],[Day]]-pa))-mu_a)/sigma_a^2)/(Tabella34[[#This Row],[Day]]-pa),0)</f>
        <v>174.13859645161847</v>
      </c>
      <c r="BS81" s="96">
        <f>Tabella34[[#This Row],[rest of Italy acc. fit]]/y_a_peak</f>
        <v>5.1533267963561363E-2</v>
      </c>
      <c r="BT81" s="96">
        <f>Tabella34[[#This Row],[rest of Italy acc. fit]]*NOT(ISBLANK(Tabella34[[#This Row],[rest of Italy data]]))</f>
        <v>174.13859645161847</v>
      </c>
      <c r="BU81" s="96">
        <f>Tabella34[[#This Row],[rest of Italy acc. fit]]+CIa</f>
        <v>868.79063231521582</v>
      </c>
      <c r="BV81" s="96">
        <f>MAX(Tabella34[[#This Row],[rest of Italy acc. fit]]-CIa,0)</f>
        <v>0</v>
      </c>
    </row>
    <row r="82" spans="2:74" x14ac:dyDescent="0.3">
      <c r="B82" s="288">
        <v>43905</v>
      </c>
      <c r="C82" s="30">
        <v>75</v>
      </c>
      <c r="D82" s="10">
        <f>Tabella8[[#This Row],[Italy cumulative]]</f>
        <v>24747</v>
      </c>
      <c r="E82" s="91">
        <f>(Tabella34[[#This Row],[Italy cumul. Data]]-D81)</f>
        <v>3590</v>
      </c>
      <c r="F82" s="91">
        <f>Tabella34[[#This Row],[Italy data]]-E81</f>
        <v>93</v>
      </c>
      <c r="G82" s="96">
        <f>Tabella34[[#This Row],[Italy data]]*NOT(ISBLANK(Tabella34[[#This Row],[Italy data]]))</f>
        <v>3590</v>
      </c>
      <c r="H82" s="163">
        <f>Tabella8[[#This Row],[Italy fit]]</f>
        <v>27801.019554172199</v>
      </c>
      <c r="I82" s="163">
        <f>_xlfn.LOGNORM.INV(alpha*Tabella34[[#This Row],[Italy cumul. Fit]]/Kt,mu_t,sigma_t)-(Tabella34[[#This Row],[Day]]-pt)</f>
        <v>6.7562449897055359</v>
      </c>
      <c r="J82" s="163">
        <f>Tabella34[[#This Row],[Italy d.t.]]/Italy_dt_at_lockdown</f>
        <v>1.3269836835287772</v>
      </c>
      <c r="K82" s="96">
        <f>Tabella34[[#This Row],[Italy cumul. Fit]]/Kf</f>
        <v>0.11830224314806025</v>
      </c>
      <c r="L82" s="166">
        <f>Tabella34[[#This Row],[Lombardy acc. fit]]+Tabella34[[#This Row],[rest of Italy acc. fit]]</f>
        <v>233.37213106440132</v>
      </c>
      <c r="M82" s="96">
        <f>Tabella34[[#This Row],[Italy (fitted Lombardy + fitted sum of the other regions)]]/(y_l_peak+y_a_peak)</f>
        <v>4.5428737700643644E-2</v>
      </c>
      <c r="N82" s="163">
        <f>IFERROR(Kt*_xlfn.LOGNORM.DIST((Tabella34[[#This Row],[Day]]-pt),mu_t,sigma_t,FALSE),0)</f>
        <v>3455.0464839391898</v>
      </c>
      <c r="O82" s="163">
        <f>Kt*EXP(-0.5*Tabella34[[#This Row],[x_t]]^2)/(sigma_t*SQRTPI(2)*(Tabella34[[#This Row],[Day]]-D_bk))</f>
        <v>3455.0464839391907</v>
      </c>
      <c r="P82" s="206">
        <f>Tabella34[[#This Row],[Italy velocity]]/Tabella34[[#This Row],[Italy cumul. Fit]]</f>
        <v>0.12427768978784372</v>
      </c>
      <c r="Q82" s="269">
        <f>(LN(Tabella34[[#This Row],[Day]]-D_bk)-mu_t)/sigma_t</f>
        <v>-1.1835165628491147</v>
      </c>
      <c r="R82" s="269">
        <f>EXP(mu_t+sigma_t*Tabella34[[#This Row],[x_t_alpha©+plus]])-(Tabella34[[#This Row],[Day]]-D_bk)</f>
        <v>46.281674822900435</v>
      </c>
      <c r="S82" s="269">
        <f>EXP(mu_t+sigma_t*Tabella34[[#This Row],[x_t_alpha©-minus]])-(Tabella34[[#This Row],[Day]]-D_bk)</f>
        <v>-7.2903706253906932</v>
      </c>
      <c r="T82" s="269">
        <f>-sigma_t+SQRT(sigma_t^2-2*Tabella34[[#This Row],[c_t]])</f>
        <v>1.1566667401905784</v>
      </c>
      <c r="U82" s="269">
        <f>-sigma_t-SQRT(sigma_t^2-2*Tabella34[[#This Row],[c_t]])</f>
        <v>-1.7759036460828155</v>
      </c>
      <c r="V82" s="269">
        <f>mu_t-LN(alpha*Kt/(Tabella34[[#This Row],[Italy velocity]]*sigma_t*SQRTPI(2)))</f>
        <v>-1.0270643406035864</v>
      </c>
      <c r="W82" s="269">
        <f>Tabella34[[#This Row],[Italy g.r.]]/Italy_gr_at_lockdown</f>
        <v>0.78579975374837774</v>
      </c>
      <c r="X82" s="269">
        <f>Tabella34[[#This Row],[t_alpha_t+plus]]</f>
        <v>46.281674822900435</v>
      </c>
      <c r="Y82" s="269">
        <f>Tabella34[[#This Row],[Italy h.t.]]/Italy_ht_at_lockdown</f>
        <v>0.82424780743647996</v>
      </c>
      <c r="Z82" s="91">
        <f>IFERROR(-Kf*_xlfn.LOGNORM.DIST((Tabella34[[#This Row],[Day]]-D_bk),mu_f,sigma_f,FALSE)*(1+(LN((Tabella34[[#This Row],[Day]]-D_bk))-mu_f)/sigma_f^2)/(Tabella34[[#This Row],[Day]]-D_bk),0)</f>
        <v>224.15653650106316</v>
      </c>
      <c r="AA82" s="91">
        <f>Tabella34[[#This Row],[Italy acc. fit]]/Itali_acc_at_lockdown</f>
        <v>0.92258053770150916</v>
      </c>
      <c r="AB82" s="96">
        <f>Tabella34[[#This Row],[Italy acc. fit]]/y_f_peak</f>
        <v>4.4285608821672658E-2</v>
      </c>
      <c r="AC82" s="163">
        <f>Tabella34[[#This Row],[Italy (fitted Lombardy + fitted sum of the other regions)]]*NOT(ISBLANK(Tabella34[[#This Row],[Italy data]]))</f>
        <v>233.37213106440132</v>
      </c>
      <c r="AD82" s="163">
        <f>Tabella34[[#This Row],[Italy acc. fit]]*NOT(ISBLANK(Tabella34[[#This Row],[Italy data]]))</f>
        <v>224.15653650106316</v>
      </c>
      <c r="AE82" s="96">
        <f>Tabella34[[#This Row],[Italy acc. fit]]+CIf</f>
        <v>1237.9195385213809</v>
      </c>
      <c r="AF82" s="96">
        <f>MAX(Tabella34[[#This Row],[Italy acc. fit]]-CIf,0)</f>
        <v>0</v>
      </c>
      <c r="AG82" s="4">
        <f>Tabella8[[#This Row],[Lombardy]]</f>
        <v>13272</v>
      </c>
      <c r="AH82" s="91">
        <f>(Tabella34[[#This Row],[Lombardy cumul. Data]]-AG81)</f>
        <v>1587</v>
      </c>
      <c r="AI82" s="91">
        <f>Tabella34[[#This Row],[Lombardy data]]-AH81</f>
        <v>-278</v>
      </c>
      <c r="AJ82" s="96">
        <f>Tabella34[[#This Row],[Lombardy data]]*NOT(ISBLANK(Tabella34[[#This Row],[Lombardy data]]))</f>
        <v>1587</v>
      </c>
      <c r="AK82" s="96">
        <f>Tabella8[[#This Row],[Lombardy fit]]</f>
        <v>13879.579996701837</v>
      </c>
      <c r="AL82" s="163">
        <f>_xlfn.LOGNORM.INV(alpha*Tabella34[[#This Row],[Lombardy cumul. Fit]]/Kr,mu_r,sigma_r)-(Tabella34[[#This Row],[Day]]-pr)</f>
        <v>8.5860005352132518</v>
      </c>
      <c r="AM82" s="96">
        <f>Tabella34[[#This Row],[Lombardy cumul. Fit]]/Kl</f>
        <v>0.15953540226094065</v>
      </c>
      <c r="AN82" s="96">
        <f>IFERROR(Kr*_xlfn.LOGNORM.DIST((Tabella34[[#This Row],[Day]]-pr),mu_r,sigma_r,FALSE),0)</f>
        <v>1417.679002228017</v>
      </c>
      <c r="AO82" s="209">
        <f>Tabella34[[#This Row],[Lombardy velocity]]/Tabella34[[#This Row],[Lombardy cumul. Fit]]</f>
        <v>0.10214134740135478</v>
      </c>
      <c r="AP82" s="266">
        <f>(LN(Tabella34[[#This Row],[Day]]-pr)-mu_r)/sigma_r</f>
        <v>-0.99636917483366583</v>
      </c>
      <c r="AQ82" s="269">
        <f>EXP(mu_r+sigma_r*Tabella34[[#This Row],[x_r_alpha©+plus]])-(Tabella34[[#This Row],[Day]]-pr)</f>
        <v>42.818209972147045</v>
      </c>
      <c r="AR82" s="269">
        <f>EXP(mu_r+sigma_r*Tabella34[[#This Row],[x_r_alpha©-minus]])-(Tabella34[[#This Row],[Day]]-pr)</f>
        <v>-9.1865452049247693</v>
      </c>
      <c r="AS82" s="269">
        <f>-sigma_r+SQRT(sigma_r^2-2*Tabella34[[#This Row],[c_r]])</f>
        <v>1.0073687193973078</v>
      </c>
      <c r="AT82" s="269">
        <f>-sigma_r-SQRT(sigma_r^2-2*Tabella34[[#This Row],[c_r]])</f>
        <v>-1.688223316591037</v>
      </c>
      <c r="AU82" s="269">
        <f>mu_r-LN(alpha*Kr/(Tabella34[[#This Row],[Lombardy velocity]]*sigma_r*SQRTPI(2)))</f>
        <v>-0.85033168024549433</v>
      </c>
      <c r="AV82" s="269">
        <f>Tabella34[[#This Row],[t_alpha_r+plus]]</f>
        <v>42.818209972147045</v>
      </c>
      <c r="AW82" s="91">
        <f>IFERROR(-Kl*_xlfn.LOGNORM.DIST((Tabella34[[#This Row],[Day]]-pl),mu_l,sigma_l,FALSE)*(1+(LN((Tabella34[[#This Row],[Day]]-pl))-mu_l)/sigma_l^2)/(Tabella34[[#This Row],[Day]]-pl),0)</f>
        <v>62.397201106535142</v>
      </c>
      <c r="AX82" s="96">
        <f>Tabella34[[#This Row],[Lombardy acc. fit]]/y_l_peak</f>
        <v>3.5494207669473178E-2</v>
      </c>
      <c r="AY82" s="163">
        <f>Tabella34[[#This Row],[Lombardy acc. fit]]*NOT(ISBLANK(Tabella34[[#This Row],[Lombardy data]]))</f>
        <v>62.397201106535142</v>
      </c>
      <c r="AZ82" s="96">
        <f>Tabella34[[#This Row],[Lombardy acc. fit]]+CIl</f>
        <v>811.35257291015876</v>
      </c>
      <c r="BA82" s="96">
        <f>MAX(Tabella34[[#This Row],[Lombardy acc. fit]]-CIl,0)</f>
        <v>0</v>
      </c>
      <c r="BB82" s="10">
        <f>Tabella8[[#This Row],[rest of Italy ]]</f>
        <v>11475</v>
      </c>
      <c r="BC82" s="10">
        <f>(Tabella34[[#This Row],[rest of Italy cum. Data]]-BB81)</f>
        <v>2003</v>
      </c>
      <c r="BD82" s="10">
        <f>Tabella34[[#This Row],[rest of Italy data]]-BC81</f>
        <v>371</v>
      </c>
      <c r="BE82" s="96">
        <f>Tabella34[[#This Row],[rest of Italy data]]*NOT(ISBLANK(Tabella34[[#This Row],[rest of Italy data]]))</f>
        <v>2003</v>
      </c>
      <c r="BF82" s="96">
        <f>Tabella8[[#This Row],[rest of Italy fit]]</f>
        <v>13502.887554047407</v>
      </c>
      <c r="BG82" s="163">
        <f>_xlfn.LOGNORM.INV(alpha*Tabella34[[#This Row],[rest of Italy cumul. Fit]]/Ko,mu_o,sigma_o)-(Tabella34[[#This Row],[Day]]-po)</f>
        <v>5.4885901760191018</v>
      </c>
      <c r="BH82" s="96">
        <f>Tabella34[[#This Row],[rest of Italy cumul. Fit]]/Ka</f>
        <v>9.1235737337426057E-2</v>
      </c>
      <c r="BI82" s="163">
        <f>IFERROR(Ko*_xlfn.LOGNORM.DIST((Tabella34[[#This Row],[Day]]-po),mu_o,sigma_o,FALSE),0)</f>
        <v>2025.5839876535661</v>
      </c>
      <c r="BJ82" s="206">
        <f>Tabella34[[#This Row],[rest of Italy velocity]]/Tabella34[[#This Row],[rest of Italy cumul. Fit]]</f>
        <v>0.15001117202123257</v>
      </c>
      <c r="BK82" s="261">
        <f>(LN(Tabella34[[#This Row],[Day]]-po)-mu_o)/sigma_o</f>
        <v>-1.3331838597804266</v>
      </c>
      <c r="BL82" s="269">
        <f>EXP(mu_o+sigma_o*Tabella34[[#This Row],[x_o_alpha©+plus]])-(Tabella34[[#This Row],[Day]]-po)</f>
        <v>47.733138318953664</v>
      </c>
      <c r="BM82" s="269">
        <f>EXP(mu_o+sigma_o*Tabella34[[#This Row],[x_o_alpha©-minus]])-(Tabella34[[#This Row],[Day]]-po)</f>
        <v>-5.948381509819999</v>
      </c>
      <c r="BN82" s="269">
        <f>-sigma_o+SQRT(sigma_o^2-2*Tabella34[[#This Row],[c_o]])</f>
        <v>1.2308750815669369</v>
      </c>
      <c r="BO82" s="269">
        <f>-sigma_o-SQRT(sigma_o^2-2*Tabella34[[#This Row],[c_o]])</f>
        <v>-1.8738478588659633</v>
      </c>
      <c r="BP82" s="269">
        <f>mu_o-LN(alpha*Ko/(Tabella34[[#This Row],[rest of Italy velocity]]*sigma_o*SQRTPI(2)))</f>
        <v>-1.1532363180628362</v>
      </c>
      <c r="BQ82" s="269">
        <f>Tabella34[[#This Row],[t_alpha_o+plus]]</f>
        <v>47.733138318953664</v>
      </c>
      <c r="BR82" s="91">
        <f>IFERROR(-Ka*_xlfn.LOGNORM.DIST((Tabella34[[#This Row],[Day]]-pa),mu_a,sigma_a,FALSE)*(1+(LN((Tabella34[[#This Row],[Day]]-pa))-mu_a)/sigma_a^2)/(Tabella34[[#This Row],[Day]]-pa),0)</f>
        <v>170.97492995786618</v>
      </c>
      <c r="BS82" s="96">
        <f>Tabella34[[#This Row],[rest of Italy acc. fit]]/y_a_peak</f>
        <v>5.0597036269428158E-2</v>
      </c>
      <c r="BT82" s="96">
        <f>Tabella34[[#This Row],[rest of Italy acc. fit]]*NOT(ISBLANK(Tabella34[[#This Row],[rest of Italy data]]))</f>
        <v>170.97492995786618</v>
      </c>
      <c r="BU82" s="96">
        <f>Tabella34[[#This Row],[rest of Italy acc. fit]]+CIa</f>
        <v>865.6269658214635</v>
      </c>
      <c r="BV82" s="96">
        <f>MAX(Tabella34[[#This Row],[rest of Italy acc. fit]]-CIa,0)</f>
        <v>0</v>
      </c>
    </row>
    <row r="83" spans="2:74" x14ac:dyDescent="0.3">
      <c r="B83" s="288">
        <v>43906</v>
      </c>
      <c r="C83" s="30">
        <v>76</v>
      </c>
      <c r="D83" s="10">
        <f>Tabella8[[#This Row],[Italy cumulative]]</f>
        <v>27980</v>
      </c>
      <c r="E83" s="91">
        <f>(Tabella34[[#This Row],[Italy cumul. Data]]-D82)</f>
        <v>3233</v>
      </c>
      <c r="F83" s="91">
        <f>Tabella34[[#This Row],[Italy data]]-E82</f>
        <v>-357</v>
      </c>
      <c r="G83" s="96">
        <f>Tabella34[[#This Row],[Italy data]]*NOT(ISBLANK(Tabella34[[#This Row],[Italy data]]))</f>
        <v>3233</v>
      </c>
      <c r="H83" s="163">
        <f>Tabella8[[#This Row],[Italy fit]]</f>
        <v>31366.445262399022</v>
      </c>
      <c r="I83" s="163">
        <f>_xlfn.LOGNORM.INV(alpha*Tabella34[[#This Row],[Italy cumul. Fit]]/Kt,mu_t,sigma_t)-(Tabella34[[#This Row],[Day]]-pt)</f>
        <v>7.2597635131701637</v>
      </c>
      <c r="J83" s="163">
        <f>Tabella34[[#This Row],[Italy d.t.]]/Italy_dt_at_lockdown</f>
        <v>1.4258789820281859</v>
      </c>
      <c r="K83" s="96">
        <f>Tabella34[[#This Row],[Italy cumul. Fit]]/Kf</f>
        <v>0.13347427157813607</v>
      </c>
      <c r="L83" s="166">
        <f>Tabella34[[#This Row],[Lombardy acc. fit]]+Tabella34[[#This Row],[rest of Italy acc. fit]]</f>
        <v>222.82869698618438</v>
      </c>
      <c r="M83" s="96">
        <f>Tabella34[[#This Row],[Italy (fitted Lombardy + fitted sum of the other regions)]]/(y_l_peak+y_a_peak)</f>
        <v>4.3376329390282166E-2</v>
      </c>
      <c r="N83" s="163">
        <f>IFERROR(Kt*_xlfn.LOGNORM.DIST((Tabella34[[#This Row],[Day]]-pt),mu_t,sigma_t,FALSE),0)</f>
        <v>3674.0175869115842</v>
      </c>
      <c r="O83" s="163">
        <f>Kt*EXP(-0.5*Tabella34[[#This Row],[x_t]]^2)/(sigma_t*SQRTPI(2)*(Tabella34[[#This Row],[Day]]-D_bk))</f>
        <v>3674.0175869115851</v>
      </c>
      <c r="P83" s="206">
        <f>Tabella34[[#This Row],[Italy velocity]]/Tabella34[[#This Row],[Italy cumul. Fit]]</f>
        <v>0.11713209948326105</v>
      </c>
      <c r="Q83" s="269">
        <f>(LN(Tabella34[[#This Row],[Day]]-D_bk)-mu_t)/sigma_t</f>
        <v>-1.1101171610572598</v>
      </c>
      <c r="R83" s="269">
        <f>EXP(mu_t+sigma_t*Tabella34[[#This Row],[x_t_alpha©+plus]])-(Tabella34[[#This Row],[Day]]-D_bk)</f>
        <v>44.107243214776624</v>
      </c>
      <c r="S83" s="269">
        <f>EXP(mu_t+sigma_t*Tabella34[[#This Row],[x_t_alpha©-minus]])-(Tabella34[[#This Row],[Day]]-D_bk)</f>
        <v>-7.8103983946701447</v>
      </c>
      <c r="T83" s="269">
        <f>-sigma_t+SQRT(sigma_t^2-2*Tabella34[[#This Row],[c_t]])</f>
        <v>1.1141415488826649</v>
      </c>
      <c r="U83" s="269">
        <f>-sigma_t-SQRT(sigma_t^2-2*Tabella34[[#This Row],[c_t]])</f>
        <v>-1.733378454774902</v>
      </c>
      <c r="V83" s="269">
        <f>mu_t-LN(alpha*Kt/(Tabella34[[#This Row],[Italy velocity]]*sigma_t*SQRTPI(2)))</f>
        <v>-0.96561447820137492</v>
      </c>
      <c r="W83" s="269">
        <f>Tabella34[[#This Row],[Italy g.r.]]/Italy_gr_at_lockdown</f>
        <v>0.7406186507578626</v>
      </c>
      <c r="X83" s="269">
        <f>Tabella34[[#This Row],[t_alpha_t+plus]]</f>
        <v>44.107243214776624</v>
      </c>
      <c r="Y83" s="269">
        <f>Tabella34[[#This Row],[Italy h.t.]]/Italy_ht_at_lockdown</f>
        <v>0.78552253458767185</v>
      </c>
      <c r="Z83" s="91">
        <f>IFERROR(-Kf*_xlfn.LOGNORM.DIST((Tabella34[[#This Row],[Day]]-D_bk),mu_f,sigma_f,FALSE)*(1+(LN((Tabella34[[#This Row],[Day]]-D_bk))-mu_f)/sigma_f^2)/(Tabella34[[#This Row],[Day]]-D_bk),0)</f>
        <v>213.43659580506943</v>
      </c>
      <c r="AA83" s="91">
        <f>Tabella34[[#This Row],[Italy acc. fit]]/Itali_acc_at_lockdown</f>
        <v>0.87845954615776589</v>
      </c>
      <c r="AB83" s="96">
        <f>Tabella34[[#This Row],[Italy acc. fit]]/y_f_peak</f>
        <v>4.2167717870711892E-2</v>
      </c>
      <c r="AC83" s="163">
        <f>Tabella34[[#This Row],[Italy (fitted Lombardy + fitted sum of the other regions)]]*NOT(ISBLANK(Tabella34[[#This Row],[Italy data]]))</f>
        <v>222.82869698618438</v>
      </c>
      <c r="AD83" s="163">
        <f>Tabella34[[#This Row],[Italy acc. fit]]*NOT(ISBLANK(Tabella34[[#This Row],[Italy data]]))</f>
        <v>213.43659580506943</v>
      </c>
      <c r="AE83" s="96">
        <f>Tabella34[[#This Row],[Italy acc. fit]]+CIf</f>
        <v>1227.1995978253872</v>
      </c>
      <c r="AF83" s="96">
        <f>MAX(Tabella34[[#This Row],[Italy acc. fit]]-CIf,0)</f>
        <v>0</v>
      </c>
      <c r="AG83" s="4">
        <f>Tabella8[[#This Row],[Lombardy]]</f>
        <v>14649</v>
      </c>
      <c r="AH83" s="91">
        <f>(Tabella34[[#This Row],[Lombardy cumul. Data]]-AG82)</f>
        <v>1377</v>
      </c>
      <c r="AI83" s="91">
        <f>Tabella34[[#This Row],[Lombardy data]]-AH82</f>
        <v>-210</v>
      </c>
      <c r="AJ83" s="96">
        <f>Tabella34[[#This Row],[Lombardy data]]*NOT(ISBLANK(Tabella34[[#This Row],[Lombardy data]]))</f>
        <v>1377</v>
      </c>
      <c r="AK83" s="96">
        <f>Tabella8[[#This Row],[Lombardy fit]]</f>
        <v>15327.597715323067</v>
      </c>
      <c r="AL83" s="163">
        <f>_xlfn.LOGNORM.INV(alpha*Tabella34[[#This Row],[Lombardy cumul. Fit]]/Kr,mu_r,sigma_r)-(Tabella34[[#This Row],[Day]]-pr)</f>
        <v>9.2397779525181605</v>
      </c>
      <c r="AM83" s="96">
        <f>Tabella34[[#This Row],[Lombardy cumul. Fit]]/Kl</f>
        <v>0.17617928408417319</v>
      </c>
      <c r="AN83" s="96">
        <f>IFERROR(Kr*_xlfn.LOGNORM.DIST((Tabella34[[#This Row],[Day]]-pr),mu_r,sigma_r,FALSE),0)</f>
        <v>1477.4810780998919</v>
      </c>
      <c r="AO83" s="209">
        <f>Tabella34[[#This Row],[Lombardy velocity]]/Tabella34[[#This Row],[Lombardy cumul. Fit]]</f>
        <v>9.6393518771884748E-2</v>
      </c>
      <c r="AP83" s="266">
        <f>(LN(Tabella34[[#This Row],[Day]]-pr)-mu_r)/sigma_r</f>
        <v>-0.93002417420510208</v>
      </c>
      <c r="AQ83" s="269">
        <f>EXP(mu_r+sigma_r*Tabella34[[#This Row],[x_r_alpha©+plus]])-(Tabella34[[#This Row],[Day]]-pr)</f>
        <v>40.908781756597364</v>
      </c>
      <c r="AR83" s="269">
        <f>EXP(mu_r+sigma_r*Tabella34[[#This Row],[x_r_alpha©-minus]])-(Tabella34[[#This Row],[Day]]-pr)</f>
        <v>-9.8194135730638337</v>
      </c>
      <c r="AS83" s="269">
        <f>-sigma_r+SQRT(sigma_r^2-2*Tabella34[[#This Row],[c_r]])</f>
        <v>0.97635622075887407</v>
      </c>
      <c r="AT83" s="269">
        <f>-sigma_r-SQRT(sigma_r^2-2*Tabella34[[#This Row],[c_r]])</f>
        <v>-1.6572108179526033</v>
      </c>
      <c r="AU83" s="269">
        <f>mu_r-LN(alpha*Kr/(Tabella34[[#This Row],[Lombardy velocity]]*sigma_r*SQRTPI(2)))</f>
        <v>-0.80901404560846313</v>
      </c>
      <c r="AV83" s="269">
        <f>Tabella34[[#This Row],[t_alpha_r+plus]]</f>
        <v>40.908781756597364</v>
      </c>
      <c r="AW83" s="91">
        <f>IFERROR(-Kl*_xlfn.LOGNORM.DIST((Tabella34[[#This Row],[Day]]-pl),mu_l,sigma_l,FALSE)*(1+(LN((Tabella34[[#This Row],[Day]]-pl))-mu_l)/sigma_l^2)/(Tabella34[[#This Row],[Day]]-pl),0)</f>
        <v>57.146563978544599</v>
      </c>
      <c r="AX83" s="96">
        <f>Tabella34[[#This Row],[Lombardy acc. fit]]/y_l_peak</f>
        <v>3.2507419779744841E-2</v>
      </c>
      <c r="AY83" s="163">
        <f>Tabella34[[#This Row],[Lombardy acc. fit]]*NOT(ISBLANK(Tabella34[[#This Row],[Lombardy data]]))</f>
        <v>57.146563978544599</v>
      </c>
      <c r="AZ83" s="96">
        <f>Tabella34[[#This Row],[Lombardy acc. fit]]+CIl</f>
        <v>806.1019357821682</v>
      </c>
      <c r="BA83" s="96">
        <f>MAX(Tabella34[[#This Row],[Lombardy acc. fit]]-CIl,0)</f>
        <v>0</v>
      </c>
      <c r="BB83" s="10">
        <f>Tabella8[[#This Row],[rest of Italy ]]</f>
        <v>13331</v>
      </c>
      <c r="BC83" s="10">
        <f>(Tabella34[[#This Row],[rest of Italy cum. Data]]-BB82)</f>
        <v>1856</v>
      </c>
      <c r="BD83" s="10">
        <f>Tabella34[[#This Row],[rest of Italy data]]-BC82</f>
        <v>-147</v>
      </c>
      <c r="BE83" s="96">
        <f>Tabella34[[#This Row],[rest of Italy data]]*NOT(ISBLANK(Tabella34[[#This Row],[rest of Italy data]]))</f>
        <v>1856</v>
      </c>
      <c r="BF83" s="96">
        <f>Tabella8[[#This Row],[rest of Italy fit]]</f>
        <v>15613.162473367664</v>
      </c>
      <c r="BG83" s="163">
        <f>_xlfn.LOGNORM.INV(alpha*Tabella34[[#This Row],[rest of Italy cumul. Fit]]/Ko,mu_o,sigma_o)-(Tabella34[[#This Row],[Day]]-po)</f>
        <v>5.9284610269048201</v>
      </c>
      <c r="BH83" s="96">
        <f>Tabella34[[#This Row],[rest of Italy cumul. Fit]]/Ka</f>
        <v>0.10549435331702446</v>
      </c>
      <c r="BI83" s="163">
        <f>IFERROR(Ko*_xlfn.LOGNORM.DIST((Tabella34[[#This Row],[Day]]-po),mu_o,sigma_o,FALSE),0)</f>
        <v>2194.0832257012048</v>
      </c>
      <c r="BJ83" s="206">
        <f>Tabella34[[#This Row],[rest of Italy velocity]]/Tabella34[[#This Row],[rest of Italy cumul. Fit]]</f>
        <v>0.14052779053851441</v>
      </c>
      <c r="BK83" s="261">
        <f>(LN(Tabella34[[#This Row],[Day]]-po)-mu_o)/sigma_o</f>
        <v>-1.2508513761987405</v>
      </c>
      <c r="BL83" s="269">
        <f>EXP(mu_o+sigma_o*Tabella34[[#This Row],[x_o_alpha©+plus]])-(Tabella34[[#This Row],[Day]]-po)</f>
        <v>45.314126529506694</v>
      </c>
      <c r="BM83" s="269">
        <f>EXP(mu_o+sigma_o*Tabella34[[#This Row],[x_o_alpha©-minus]])-(Tabella34[[#This Row],[Day]]-po)</f>
        <v>-6.4164994048026038</v>
      </c>
      <c r="BN83" s="269">
        <f>-sigma_o+SQRT(sigma_o^2-2*Tabella34[[#This Row],[c_o]])</f>
        <v>1.1785181584110176</v>
      </c>
      <c r="BO83" s="269">
        <f>-sigma_o-SQRT(sigma_o^2-2*Tabella34[[#This Row],[c_o]])</f>
        <v>-1.8214909357100439</v>
      </c>
      <c r="BP83" s="269">
        <f>mu_o-LN(alpha*Ko/(Tabella34[[#This Row],[rest of Italy velocity]]*sigma_o*SQRTPI(2)))</f>
        <v>-1.073330071557681</v>
      </c>
      <c r="BQ83" s="269">
        <f>Tabella34[[#This Row],[t_alpha_o+plus]]</f>
        <v>45.314126529506694</v>
      </c>
      <c r="BR83" s="91">
        <f>IFERROR(-Ka*_xlfn.LOGNORM.DIST((Tabella34[[#This Row],[Day]]-pa),mu_a,sigma_a,FALSE)*(1+(LN((Tabella34[[#This Row],[Day]]-pa))-mu_a)/sigma_a^2)/(Tabella34[[#This Row],[Day]]-pa),0)</f>
        <v>165.68213300763978</v>
      </c>
      <c r="BS83" s="96">
        <f>Tabella34[[#This Row],[rest of Italy acc. fit]]/y_a_peak</f>
        <v>4.9030725703760325E-2</v>
      </c>
      <c r="BT83" s="96">
        <f>Tabella34[[#This Row],[rest of Italy acc. fit]]*NOT(ISBLANK(Tabella34[[#This Row],[rest of Italy data]]))</f>
        <v>165.68213300763978</v>
      </c>
      <c r="BU83" s="96">
        <f>Tabella34[[#This Row],[rest of Italy acc. fit]]+CIa</f>
        <v>860.33416887123713</v>
      </c>
      <c r="BV83" s="96">
        <f>MAX(Tabella34[[#This Row],[rest of Italy acc. fit]]-CIa,0)</f>
        <v>0</v>
      </c>
    </row>
    <row r="84" spans="2:74" x14ac:dyDescent="0.3">
      <c r="B84" s="288">
        <v>43907</v>
      </c>
      <c r="C84" s="30">
        <v>77</v>
      </c>
      <c r="D84" s="10">
        <f>Tabella8[[#This Row],[Italy cumulative]]</f>
        <v>31506</v>
      </c>
      <c r="E84" s="91">
        <f>(Tabella34[[#This Row],[Italy cumul. Data]]-D83)</f>
        <v>3526</v>
      </c>
      <c r="F84" s="91">
        <f>Tabella34[[#This Row],[Italy data]]-E83</f>
        <v>293</v>
      </c>
      <c r="G84" s="96">
        <f>Tabella34[[#This Row],[Italy data]]*NOT(ISBLANK(Tabella34[[#This Row],[Italy data]]))</f>
        <v>3526</v>
      </c>
      <c r="H84" s="163">
        <f>Tabella8[[#This Row],[Italy fit]]</f>
        <v>35145.1436326927</v>
      </c>
      <c r="I84" s="163">
        <f>_xlfn.LOGNORM.INV(alpha*Tabella34[[#This Row],[Italy cumul. Fit]]/Kt,mu_t,sigma_t)-(Tabella34[[#This Row],[Day]]-pt)</f>
        <v>7.8066070996822177</v>
      </c>
      <c r="J84" s="163">
        <f>Tabella34[[#This Row],[Italy d.t.]]/Italy_dt_at_lockdown</f>
        <v>1.53328368950246</v>
      </c>
      <c r="K84" s="96">
        <f>Tabella34[[#This Row],[Italy cumul. Fit]]/Kf</f>
        <v>0.14955384349867648</v>
      </c>
      <c r="L84" s="166">
        <f>Tabella34[[#This Row],[Lombardy acc. fit]]+Tabella34[[#This Row],[rest of Italy acc. fit]]</f>
        <v>210.01464047083181</v>
      </c>
      <c r="M84" s="96">
        <f>Tabella34[[#This Row],[Italy (fitted Lombardy + fitted sum of the other regions)]]/(y_l_peak+y_a_peak)</f>
        <v>4.0881916669868124E-2</v>
      </c>
      <c r="N84" s="163">
        <f>IFERROR(Kt*_xlfn.LOGNORM.DIST((Tabella34[[#This Row],[Day]]-pt),mu_t,sigma_t,FALSE),0)</f>
        <v>3881.2640608588599</v>
      </c>
      <c r="O84" s="163">
        <f>Kt*EXP(-0.5*Tabella34[[#This Row],[x_t]]^2)/(sigma_t*SQRTPI(2)*(Tabella34[[#This Row],[Day]]-D_bk))</f>
        <v>3881.2640608588617</v>
      </c>
      <c r="P84" s="206">
        <f>Tabella34[[#This Row],[Italy velocity]]/Tabella34[[#This Row],[Italy cumul. Fit]]</f>
        <v>0.1104352880563684</v>
      </c>
      <c r="Q84" s="269">
        <f>(LN(Tabella34[[#This Row],[Day]]-D_bk)-mu_t)/sigma_t</f>
        <v>-1.0383488214958878</v>
      </c>
      <c r="R84" s="269">
        <f>EXP(mu_t+sigma_t*Tabella34[[#This Row],[x_t_alpha©+plus]])-(Tabella34[[#This Row],[Day]]-D_bk)</f>
        <v>42.041544103610683</v>
      </c>
      <c r="S84" s="269">
        <f>EXP(mu_t+sigma_t*Tabella34[[#This Row],[x_t_alpha©-minus]])-(Tabella34[[#This Row],[Day]]-D_bk)</f>
        <v>-8.3637190206525105</v>
      </c>
      <c r="T84" s="269">
        <f>-sigma_t+SQRT(sigma_t^2-2*Tabella34[[#This Row],[c_t]])</f>
        <v>1.0750628501581641</v>
      </c>
      <c r="U84" s="269">
        <f>-sigma_t-SQRT(sigma_t^2-2*Tabella34[[#This Row],[c_t]])</f>
        <v>-1.6942997560504012</v>
      </c>
      <c r="V84" s="269">
        <f>mu_t-LN(alpha*Kt/(Tabella34[[#This Row],[Italy velocity]]*sigma_t*SQRTPI(2)))</f>
        <v>-0.91073936238091324</v>
      </c>
      <c r="W84" s="269">
        <f>Tabella34[[#This Row],[Italy g.r.]]/Italy_gr_at_lockdown</f>
        <v>0.69827514743771724</v>
      </c>
      <c r="X84" s="269">
        <f>Tabella34[[#This Row],[t_alpha_t+plus]]</f>
        <v>42.041544103610683</v>
      </c>
      <c r="Y84" s="269">
        <f>Tabella34[[#This Row],[Italy h.t.]]/Italy_ht_at_lockdown</f>
        <v>0.74873371979829151</v>
      </c>
      <c r="Z84" s="91">
        <f>IFERROR(-Kf*_xlfn.LOGNORM.DIST((Tabella34[[#This Row],[Day]]-D_bk),mu_f,sigma_f,FALSE)*(1+(LN((Tabella34[[#This Row],[Day]]-D_bk))-mu_f)/sigma_f^2)/(Tabella34[[#This Row],[Day]]-D_bk),0)</f>
        <v>200.75053285798234</v>
      </c>
      <c r="AA84" s="91">
        <f>Tabella34[[#This Row],[Italy acc. fit]]/Itali_acc_at_lockdown</f>
        <v>0.82624641439846391</v>
      </c>
      <c r="AB84" s="96">
        <f>Tabella34[[#This Row],[Italy acc. fit]]/y_f_peak</f>
        <v>3.9661388901094045E-2</v>
      </c>
      <c r="AC84" s="163">
        <f>Tabella34[[#This Row],[Italy (fitted Lombardy + fitted sum of the other regions)]]*NOT(ISBLANK(Tabella34[[#This Row],[Italy data]]))</f>
        <v>210.01464047083181</v>
      </c>
      <c r="AD84" s="163">
        <f>Tabella34[[#This Row],[Italy acc. fit]]*NOT(ISBLANK(Tabella34[[#This Row],[Italy data]]))</f>
        <v>200.75053285798234</v>
      </c>
      <c r="AE84" s="96">
        <f>Tabella34[[#This Row],[Italy acc. fit]]+CIf</f>
        <v>1214.5135348783001</v>
      </c>
      <c r="AF84" s="96">
        <f>MAX(Tabella34[[#This Row],[Italy acc. fit]]-CIf,0)</f>
        <v>0</v>
      </c>
      <c r="AG84" s="4">
        <f>Tabella8[[#This Row],[Lombardy]]</f>
        <v>16220</v>
      </c>
      <c r="AH84" s="91">
        <f>(Tabella34[[#This Row],[Lombardy cumul. Data]]-AG83)</f>
        <v>1571</v>
      </c>
      <c r="AI84" s="91">
        <f>Tabella34[[#This Row],[Lombardy data]]-AH83</f>
        <v>194</v>
      </c>
      <c r="AJ84" s="96">
        <f>Tabella34[[#This Row],[Lombardy data]]*NOT(ISBLANK(Tabella34[[#This Row],[Lombardy data]]))</f>
        <v>1571</v>
      </c>
      <c r="AK84" s="96">
        <f>Tabella8[[#This Row],[Lombardy fit]]</f>
        <v>16832.735540922957</v>
      </c>
      <c r="AL84" s="163">
        <f>_xlfn.LOGNORM.INV(alpha*Tabella34[[#This Row],[Lombardy cumul. Fit]]/Kr,mu_r,sigma_r)-(Tabella34[[#This Row],[Day]]-pr)</f>
        <v>9.9528009911198438</v>
      </c>
      <c r="AM84" s="96">
        <f>Tabella34[[#This Row],[Lombardy cumul. Fit]]/Kl</f>
        <v>0.1934797188611834</v>
      </c>
      <c r="AN84" s="96">
        <f>IFERROR(Kr*_xlfn.LOGNORM.DIST((Tabella34[[#This Row],[Day]]-pr),mu_r,sigma_r,FALSE),0)</f>
        <v>1531.8662870557482</v>
      </c>
      <c r="AO84" s="209">
        <f>Tabella34[[#This Row],[Lombardy velocity]]/Tabella34[[#This Row],[Lombardy cumul. Fit]]</f>
        <v>9.1005189461424538E-2</v>
      </c>
      <c r="AP84" s="266">
        <f>(LN(Tabella34[[#This Row],[Day]]-pr)-mu_r)/sigma_r</f>
        <v>-0.86514458220674573</v>
      </c>
      <c r="AQ84" s="269">
        <f>EXP(mu_r+sigma_r*Tabella34[[#This Row],[x_r_alpha©+plus]])-(Tabella34[[#This Row],[Day]]-pr)</f>
        <v>39.103294515078701</v>
      </c>
      <c r="AR84" s="269">
        <f>EXP(mu_r+sigma_r*Tabella34[[#This Row],[x_r_alpha©-minus]])-(Tabella34[[#This Row],[Day]]-pr)</f>
        <v>-10.487672718902438</v>
      </c>
      <c r="AS84" s="269">
        <f>-sigma_r+SQRT(sigma_r^2-2*Tabella34[[#This Row],[c_r]])</f>
        <v>0.94861210686707431</v>
      </c>
      <c r="AT84" s="269">
        <f>-sigma_r-SQRT(sigma_r^2-2*Tabella34[[#This Row],[c_r]])</f>
        <v>-1.6294667040608035</v>
      </c>
      <c r="AU84" s="269">
        <f>mu_r-LN(alpha*Kr/(Tabella34[[#This Row],[Lombardy velocity]]*sigma_r*SQRTPI(2)))</f>
        <v>-0.77286592160443313</v>
      </c>
      <c r="AV84" s="269">
        <f>Tabella34[[#This Row],[t_alpha_r+plus]]</f>
        <v>39.103294515078701</v>
      </c>
      <c r="AW84" s="91">
        <f>IFERROR(-Kl*_xlfn.LOGNORM.DIST((Tabella34[[#This Row],[Day]]-pl),mu_l,sigma_l,FALSE)*(1+(LN((Tabella34[[#This Row],[Day]]-pl))-mu_l)/sigma_l^2)/(Tabella34[[#This Row],[Day]]-pl),0)</f>
        <v>51.578306828231305</v>
      </c>
      <c r="AX84" s="96">
        <f>Tabella34[[#This Row],[Lombardy acc. fit]]/y_l_peak</f>
        <v>2.9339955980963183E-2</v>
      </c>
      <c r="AY84" s="163">
        <f>Tabella34[[#This Row],[Lombardy acc. fit]]*NOT(ISBLANK(Tabella34[[#This Row],[Lombardy data]]))</f>
        <v>51.578306828231305</v>
      </c>
      <c r="AZ84" s="96">
        <f>Tabella34[[#This Row],[Lombardy acc. fit]]+CIl</f>
        <v>800.53367863185497</v>
      </c>
      <c r="BA84" s="96">
        <f>MAX(Tabella34[[#This Row],[Lombardy acc. fit]]-CIl,0)</f>
        <v>0</v>
      </c>
      <c r="BB84" s="10">
        <f>Tabella8[[#This Row],[rest of Italy ]]</f>
        <v>15286</v>
      </c>
      <c r="BC84" s="10">
        <f>(Tabella34[[#This Row],[rest of Italy cum. Data]]-BB83)</f>
        <v>1955</v>
      </c>
      <c r="BD84" s="10">
        <f>Tabella34[[#This Row],[rest of Italy data]]-BC83</f>
        <v>99</v>
      </c>
      <c r="BE84" s="96">
        <f>Tabella34[[#This Row],[rest of Italy data]]*NOT(ISBLANK(Tabella34[[#This Row],[rest of Italy data]]))</f>
        <v>1955</v>
      </c>
      <c r="BF84" s="96">
        <f>Tabella8[[#This Row],[rest of Italy fit]]</f>
        <v>17888.956629534136</v>
      </c>
      <c r="BG84" s="163">
        <f>_xlfn.LOGNORM.INV(alpha*Tabella34[[#This Row],[rest of Italy cumul. Fit]]/Ko,mu_o,sigma_o)-(Tabella34[[#This Row],[Day]]-po)</f>
        <v>6.4064672251588632</v>
      </c>
      <c r="BH84" s="96">
        <f>Tabella34[[#This Row],[rest of Italy cumul. Fit]]/Ka</f>
        <v>0.1208713426487483</v>
      </c>
      <c r="BI84" s="163">
        <f>IFERROR(Ko*_xlfn.LOGNORM.DIST((Tabella34[[#This Row],[Day]]-po),mu_o,sigma_o,FALSE),0)</f>
        <v>2356.2968636267587</v>
      </c>
      <c r="BJ84" s="206">
        <f>Tabella34[[#This Row],[rest of Italy velocity]]/Tabella34[[#This Row],[rest of Italy cumul. Fit]]</f>
        <v>0.13171795943294887</v>
      </c>
      <c r="BK84" s="261">
        <f>(LN(Tabella34[[#This Row],[Day]]-po)-mu_o)/sigma_o</f>
        <v>-1.1706420556561019</v>
      </c>
      <c r="BL84" s="269">
        <f>EXP(mu_o+sigma_o*Tabella34[[#This Row],[x_o_alpha©+plus]])-(Tabella34[[#This Row],[Day]]-po)</f>
        <v>43.025293140169225</v>
      </c>
      <c r="BM84" s="269">
        <f>EXP(mu_o+sigma_o*Tabella34[[#This Row],[x_o_alpha©-minus]])-(Tabella34[[#This Row],[Day]]-po)</f>
        <v>-6.9175184107367755</v>
      </c>
      <c r="BN84" s="269">
        <f>-sigma_o+SQRT(sigma_o^2-2*Tabella34[[#This Row],[c_o]])</f>
        <v>1.1301884054863143</v>
      </c>
      <c r="BO84" s="269">
        <f>-sigma_o-SQRT(sigma_o^2-2*Tabella34[[#This Row],[c_o]])</f>
        <v>-1.7731611827853406</v>
      </c>
      <c r="BP84" s="269">
        <f>mu_o-LN(alpha*Ko/(Tabella34[[#This Row],[rest of Italy velocity]]*sigma_o*SQRTPI(2)))</f>
        <v>-1.0020031049211955</v>
      </c>
      <c r="BQ84" s="269">
        <f>Tabella34[[#This Row],[t_alpha_o+plus]]</f>
        <v>43.025293140169225</v>
      </c>
      <c r="BR84" s="91">
        <f>IFERROR(-Ka*_xlfn.LOGNORM.DIST((Tabella34[[#This Row],[Day]]-pa),mu_a,sigma_a,FALSE)*(1+(LN((Tabella34[[#This Row],[Day]]-pa))-mu_a)/sigma_a^2)/(Tabella34[[#This Row],[Day]]-pa),0)</f>
        <v>158.43633364260052</v>
      </c>
      <c r="BS84" s="96">
        <f>Tabella34[[#This Row],[rest of Italy acc. fit]]/y_a_peak</f>
        <v>4.6886458275990431E-2</v>
      </c>
      <c r="BT84" s="96">
        <f>Tabella34[[#This Row],[rest of Italy acc. fit]]*NOT(ISBLANK(Tabella34[[#This Row],[rest of Italy data]]))</f>
        <v>158.43633364260052</v>
      </c>
      <c r="BU84" s="96">
        <f>Tabella34[[#This Row],[rest of Italy acc. fit]]+CIa</f>
        <v>853.08836950619786</v>
      </c>
      <c r="BV84" s="96">
        <f>MAX(Tabella34[[#This Row],[rest of Italy acc. fit]]-CIa,0)</f>
        <v>0</v>
      </c>
    </row>
    <row r="85" spans="2:74" x14ac:dyDescent="0.3">
      <c r="B85" s="288">
        <v>43908</v>
      </c>
      <c r="C85" s="30">
        <v>78</v>
      </c>
      <c r="D85" s="10">
        <f>Tabella8[[#This Row],[Italy cumulative]]</f>
        <v>35713</v>
      </c>
      <c r="E85" s="91">
        <f>(Tabella34[[#This Row],[Italy cumul. Data]]-D84)</f>
        <v>4207</v>
      </c>
      <c r="F85" s="91">
        <f>Tabella34[[#This Row],[Italy data]]-E84</f>
        <v>681</v>
      </c>
      <c r="G85" s="96">
        <f>Tabella34[[#This Row],[Italy data]]*NOT(ISBLANK(Tabella34[[#This Row],[Italy data]]))</f>
        <v>4207</v>
      </c>
      <c r="H85" s="163">
        <f>Tabella8[[#This Row],[Italy fit]]</f>
        <v>39124.451028498035</v>
      </c>
      <c r="I85" s="163">
        <f>_xlfn.LOGNORM.INV(alpha*Tabella34[[#This Row],[Italy cumul. Fit]]/Kt,mu_t,sigma_t)-(Tabella34[[#This Row],[Day]]-pt)</f>
        <v>8.4022879941550315</v>
      </c>
      <c r="J85" s="163">
        <f>Tabella34[[#This Row],[Italy d.t.]]/Italy_dt_at_lockdown</f>
        <v>1.6502804574940988</v>
      </c>
      <c r="K85" s="96">
        <f>Tabella34[[#This Row],[Italy cumul. Fit]]/Kf</f>
        <v>0.16648707107984942</v>
      </c>
      <c r="L85" s="166">
        <f>Tabella34[[#This Row],[Lombardy acc. fit]]+Tabella34[[#This Row],[rest of Italy acc. fit]]</f>
        <v>195.22852585614601</v>
      </c>
      <c r="M85" s="96">
        <f>Tabella34[[#This Row],[Italy (fitted Lombardy + fitted sum of the other regions)]]/(y_l_peak+y_a_peak)</f>
        <v>3.8003618736954924E-2</v>
      </c>
      <c r="N85" s="163">
        <f>IFERROR(Kt*_xlfn.LOGNORM.DIST((Tabella34[[#This Row],[Day]]-pt),mu_t,sigma_t,FALSE),0)</f>
        <v>4074.9526929418871</v>
      </c>
      <c r="O85" s="163">
        <f>Kt*EXP(-0.5*Tabella34[[#This Row],[x_t]]^2)/(sigma_t*SQRTPI(2)*(Tabella34[[#This Row],[Day]]-D_bk))</f>
        <v>4074.9526929418853</v>
      </c>
      <c r="P85" s="206">
        <f>Tabella34[[#This Row],[Italy velocity]]/Tabella34[[#This Row],[Italy cumul. Fit]]</f>
        <v>0.10415360690872605</v>
      </c>
      <c r="Q85" s="269">
        <f>(LN(Tabella34[[#This Row],[Day]]-D_bk)-mu_t)/sigma_t</f>
        <v>-0.96814062713704885</v>
      </c>
      <c r="R85" s="269">
        <f>EXP(mu_t+sigma_t*Tabella34[[#This Row],[x_t_alpha©+plus]])-(Tabella34[[#This Row],[Day]]-D_bk)</f>
        <v>40.081130569708002</v>
      </c>
      <c r="S85" s="269">
        <f>EXP(mu_t+sigma_t*Tabella34[[#This Row],[x_t_alpha©-minus]])-(Tabella34[[#This Row],[Day]]-D_bk)</f>
        <v>-8.9517495847679314</v>
      </c>
      <c r="T85" s="269">
        <f>-sigma_t+SQRT(sigma_t^2-2*Tabella34[[#This Row],[c_t]])</f>
        <v>1.0394352209382971</v>
      </c>
      <c r="U85" s="269">
        <f>-sigma_t-SQRT(sigma_t^2-2*Tabella34[[#This Row],[c_t]])</f>
        <v>-1.6586721268305342</v>
      </c>
      <c r="V85" s="269">
        <f>mu_t-LN(alpha*Kt/(Tabella34[[#This Row],[Italy velocity]]*sigma_t*SQRTPI(2)))</f>
        <v>-0.86204111430814567</v>
      </c>
      <c r="W85" s="269">
        <f>Tabella34[[#This Row],[Italy g.r.]]/Italy_gr_at_lockdown</f>
        <v>0.65855648588736371</v>
      </c>
      <c r="X85" s="269">
        <f>Tabella34[[#This Row],[t_alpha_t+plus]]</f>
        <v>40.081130569708002</v>
      </c>
      <c r="Y85" s="269">
        <f>Tabella34[[#This Row],[Italy h.t.]]/Italy_ht_at_lockdown</f>
        <v>0.71381997557509103</v>
      </c>
      <c r="Z85" s="91">
        <f>IFERROR(-Kf*_xlfn.LOGNORM.DIST((Tabella34[[#This Row],[Day]]-D_bk),mu_f,sigma_f,FALSE)*(1+(LN((Tabella34[[#This Row],[Day]]-D_bk))-mu_f)/sigma_f^2)/(Tabella34[[#This Row],[Day]]-D_bk),0)</f>
        <v>186.36700939086495</v>
      </c>
      <c r="AA85" s="91">
        <f>Tabella34[[#This Row],[Italy acc. fit]]/Itali_acc_at_lockdown</f>
        <v>0.76704689685830729</v>
      </c>
      <c r="AB85" s="96">
        <f>Tabella34[[#This Row],[Italy acc. fit]]/y_f_peak</f>
        <v>3.6819700214763509E-2</v>
      </c>
      <c r="AC85" s="163">
        <f>Tabella34[[#This Row],[Italy (fitted Lombardy + fitted sum of the other regions)]]*NOT(ISBLANK(Tabella34[[#This Row],[Italy data]]))</f>
        <v>195.22852585614601</v>
      </c>
      <c r="AD85" s="163">
        <f>Tabella34[[#This Row],[Italy acc. fit]]*NOT(ISBLANK(Tabella34[[#This Row],[Italy data]]))</f>
        <v>186.36700939086495</v>
      </c>
      <c r="AE85" s="96">
        <f>Tabella34[[#This Row],[Italy acc. fit]]+CIf</f>
        <v>1200.1300114111827</v>
      </c>
      <c r="AF85" s="96">
        <f>MAX(Tabella34[[#This Row],[Italy acc. fit]]-CIf,0)</f>
        <v>0</v>
      </c>
      <c r="AG85" s="4">
        <f>Tabella8[[#This Row],[Lombardy]]</f>
        <v>17713</v>
      </c>
      <c r="AH85" s="91">
        <f>(Tabella34[[#This Row],[Lombardy cumul. Data]]-AG84)</f>
        <v>1493</v>
      </c>
      <c r="AI85" s="91">
        <f>Tabella34[[#This Row],[Lombardy data]]-AH84</f>
        <v>-78</v>
      </c>
      <c r="AJ85" s="96">
        <f>Tabella34[[#This Row],[Lombardy data]]*NOT(ISBLANK(Tabella34[[#This Row],[Lombardy data]]))</f>
        <v>1493</v>
      </c>
      <c r="AK85" s="96">
        <f>Tabella8[[#This Row],[Lombardy fit]]</f>
        <v>18389.432504465833</v>
      </c>
      <c r="AL85" s="163">
        <f>_xlfn.LOGNORM.INV(alpha*Tabella34[[#This Row],[Lombardy cumul. Fit]]/Kr,mu_r,sigma_r)-(Tabella34[[#This Row],[Day]]-pr)</f>
        <v>10.733267061569258</v>
      </c>
      <c r="AM85" s="96">
        <f>Tabella34[[#This Row],[Lombardy cumul. Fit]]/Kl</f>
        <v>0.21137278740765325</v>
      </c>
      <c r="AN85" s="96">
        <f>IFERROR(Kr*_xlfn.LOGNORM.DIST((Tabella34[[#This Row],[Day]]-pr),mu_r,sigma_r,FALSE),0)</f>
        <v>1580.5609923813795</v>
      </c>
      <c r="AO85" s="209">
        <f>Tabella34[[#This Row],[Lombardy velocity]]/Tabella34[[#This Row],[Lombardy cumul. Fit]]</f>
        <v>8.5949416437812523E-2</v>
      </c>
      <c r="AP85" s="266">
        <f>(LN(Tabella34[[#This Row],[Day]]-pr)-mu_r)/sigma_r</f>
        <v>-0.80166706030278034</v>
      </c>
      <c r="AQ85" s="269">
        <f>EXP(mu_r+sigma_r*Tabella34[[#This Row],[x_r_alpha©+plus]])-(Tabella34[[#This Row],[Day]]-pr)</f>
        <v>37.398025178104874</v>
      </c>
      <c r="AR85" s="269">
        <f>EXP(mu_r+sigma_r*Tabella34[[#This Row],[x_r_alpha©-minus]])-(Tabella34[[#This Row],[Day]]-pr)</f>
        <v>-11.191993547694921</v>
      </c>
      <c r="AS85" s="269">
        <f>-sigma_r+SQRT(sigma_r^2-2*Tabella34[[#This Row],[c_r]])</f>
        <v>0.92410284295707323</v>
      </c>
      <c r="AT85" s="269">
        <f>-sigma_r-SQRT(sigma_r^2-2*Tabella34[[#This Row],[c_r]])</f>
        <v>-1.6049574401508024</v>
      </c>
      <c r="AU85" s="269">
        <f>mu_r-LN(alpha*Kr/(Tabella34[[#This Row],[Lombardy velocity]]*sigma_r*SQRTPI(2)))</f>
        <v>-0.74157286663423161</v>
      </c>
      <c r="AV85" s="269">
        <f>Tabella34[[#This Row],[t_alpha_r+plus]]</f>
        <v>37.398025178104874</v>
      </c>
      <c r="AW85" s="91">
        <f>IFERROR(-Kl*_xlfn.LOGNORM.DIST((Tabella34[[#This Row],[Day]]-pl),mu_l,sigma_l,FALSE)*(1+(LN((Tabella34[[#This Row],[Day]]-pl))-mu_l)/sigma_l^2)/(Tabella34[[#This Row],[Day]]-pl),0)</f>
        <v>45.779808688402092</v>
      </c>
      <c r="AX85" s="96">
        <f>Tabella34[[#This Row],[Lombardy acc. fit]]/y_l_peak</f>
        <v>2.6041521219526485E-2</v>
      </c>
      <c r="AY85" s="163">
        <f>Tabella34[[#This Row],[Lombardy acc. fit]]*NOT(ISBLANK(Tabella34[[#This Row],[Lombardy data]]))</f>
        <v>45.779808688402092</v>
      </c>
      <c r="AZ85" s="96">
        <f>Tabella34[[#This Row],[Lombardy acc. fit]]+CIl</f>
        <v>794.73518049202573</v>
      </c>
      <c r="BA85" s="96">
        <f>MAX(Tabella34[[#This Row],[Lombardy acc. fit]]-CIl,0)</f>
        <v>0</v>
      </c>
      <c r="BB85" s="10">
        <f>Tabella8[[#This Row],[rest of Italy ]]</f>
        <v>18000</v>
      </c>
      <c r="BC85" s="10">
        <f>(Tabella34[[#This Row],[rest of Italy cum. Data]]-BB84)</f>
        <v>2714</v>
      </c>
      <c r="BD85" s="10">
        <f>Tabella34[[#This Row],[rest of Italy data]]-BC84</f>
        <v>759</v>
      </c>
      <c r="BE85" s="96">
        <f>Tabella34[[#This Row],[rest of Italy data]]*NOT(ISBLANK(Tabella34[[#This Row],[rest of Italy data]]))</f>
        <v>2714</v>
      </c>
      <c r="BF85" s="96">
        <f>Tabella8[[#This Row],[rest of Italy fit]]</f>
        <v>20323.041866037074</v>
      </c>
      <c r="BG85" s="163">
        <f>_xlfn.LOGNORM.INV(alpha*Tabella34[[#This Row],[rest of Italy cumul. Fit]]/Ko,mu_o,sigma_o)-(Tabella34[[#This Row],[Day]]-po)</f>
        <v>6.9273288618755302</v>
      </c>
      <c r="BH85" s="96">
        <f>Tabella34[[#This Row],[rest of Italy cumul. Fit]]/Ka</f>
        <v>0.13731786643157598</v>
      </c>
      <c r="BI85" s="163">
        <f>IFERROR(Ko*_xlfn.LOGNORM.DIST((Tabella34[[#This Row],[Day]]-po),mu_o,sigma_o,FALSE),0)</f>
        <v>2510.3750155728749</v>
      </c>
      <c r="BJ85" s="206">
        <f>Tabella34[[#This Row],[rest of Italy velocity]]/Tabella34[[#This Row],[rest of Italy cumul. Fit]]</f>
        <v>0.12352358628794134</v>
      </c>
      <c r="BK85" s="261">
        <f>(LN(Tabella34[[#This Row],[Day]]-po)-mu_o)/sigma_o</f>
        <v>-1.0924491425038811</v>
      </c>
      <c r="BL85" s="269">
        <f>EXP(mu_o+sigma_o*Tabella34[[#This Row],[x_o_alpha©+plus]])-(Tabella34[[#This Row],[Day]]-po)</f>
        <v>40.861144981946424</v>
      </c>
      <c r="BM85" s="269">
        <f>EXP(mu_o+sigma_o*Tabella34[[#This Row],[x_o_alpha©-minus]])-(Tabella34[[#This Row],[Day]]-po)</f>
        <v>-7.4531852409332018</v>
      </c>
      <c r="BN85" s="269">
        <f>-sigma_o+SQRT(sigma_o^2-2*Tabella34[[#This Row],[c_o]])</f>
        <v>1.0858792102446051</v>
      </c>
      <c r="BO85" s="269">
        <f>-sigma_o-SQRT(sigma_o^2-2*Tabella34[[#This Row],[c_o]])</f>
        <v>-1.7288519875436315</v>
      </c>
      <c r="BP85" s="269">
        <f>mu_o-LN(alpha*Ko/(Tabella34[[#This Row],[rest of Italy velocity]]*sigma_o*SQRTPI(2)))</f>
        <v>-0.93866221543184736</v>
      </c>
      <c r="BQ85" s="269">
        <f>Tabella34[[#This Row],[t_alpha_o+plus]]</f>
        <v>40.861144981946424</v>
      </c>
      <c r="BR85" s="91">
        <f>IFERROR(-Ka*_xlfn.LOGNORM.DIST((Tabella34[[#This Row],[Day]]-pa),mu_a,sigma_a,FALSE)*(1+(LN((Tabella34[[#This Row],[Day]]-pa))-mu_a)/sigma_a^2)/(Tabella34[[#This Row],[Day]]-pa),0)</f>
        <v>149.44871716774392</v>
      </c>
      <c r="BS85" s="96">
        <f>Tabella34[[#This Row],[rest of Italy acc. fit]]/y_a_peak</f>
        <v>4.4226730578683621E-2</v>
      </c>
      <c r="BT85" s="96">
        <f>Tabella34[[#This Row],[rest of Italy acc. fit]]*NOT(ISBLANK(Tabella34[[#This Row],[rest of Italy data]]))</f>
        <v>149.44871716774392</v>
      </c>
      <c r="BU85" s="96">
        <f>Tabella34[[#This Row],[rest of Italy acc. fit]]+CIa</f>
        <v>844.10075303134124</v>
      </c>
      <c r="BV85" s="96">
        <f>MAX(Tabella34[[#This Row],[rest of Italy acc. fit]]-CIa,0)</f>
        <v>0</v>
      </c>
    </row>
    <row r="86" spans="2:74" x14ac:dyDescent="0.3">
      <c r="B86" s="288">
        <v>43909</v>
      </c>
      <c r="C86" s="30">
        <v>79</v>
      </c>
      <c r="D86" s="10">
        <f>Tabella8[[#This Row],[Italy cumulative]]</f>
        <v>41035</v>
      </c>
      <c r="E86" s="91">
        <f>(Tabella34[[#This Row],[Italy cumul. Data]]-D85)</f>
        <v>5322</v>
      </c>
      <c r="F86" s="91">
        <f>Tabella34[[#This Row],[Italy data]]-E85</f>
        <v>1115</v>
      </c>
      <c r="G86" s="96">
        <f>Tabella34[[#This Row],[Italy data]]*NOT(ISBLANK(Tabella34[[#This Row],[Italy data]]))</f>
        <v>5322</v>
      </c>
      <c r="H86" s="163">
        <f>Tabella8[[#This Row],[Italy fit]]</f>
        <v>43290.007403986529</v>
      </c>
      <c r="I86" s="163">
        <f>_xlfn.LOGNORM.INV(alpha*Tabella34[[#This Row],[Italy cumul. Fit]]/Kt,mu_t,sigma_t)-(Tabella34[[#This Row],[Day]]-pt)</f>
        <v>9.0533697646141178</v>
      </c>
      <c r="J86" s="163">
        <f>Tabella34[[#This Row],[Italy d.t.]]/Italy_dt_at_lockdown</f>
        <v>1.7781584263005397</v>
      </c>
      <c r="K86" s="96">
        <f>Tabella34[[#This Row],[Italy cumul. Fit]]/Kf</f>
        <v>0.18421284772698815</v>
      </c>
      <c r="L86" s="166">
        <f>Tabella34[[#This Row],[Lombardy acc. fit]]+Tabella34[[#This Row],[rest of Italy acc. fit]]</f>
        <v>178.78920552586263</v>
      </c>
      <c r="M86" s="96">
        <f>Tabella34[[#This Row],[Italy (fitted Lombardy + fitted sum of the other regions)]]/(y_l_peak+y_a_peak)</f>
        <v>3.4803504105207356E-2</v>
      </c>
      <c r="N86" s="163">
        <f>IFERROR(Kt*_xlfn.LOGNORM.DIST((Tabella34[[#This Row],[Day]]-pt),mu_t,sigma_t,FALSE),0)</f>
        <v>4253.5259846613581</v>
      </c>
      <c r="O86" s="163">
        <f>Kt*EXP(-0.5*Tabella34[[#This Row],[x_t]]^2)/(sigma_t*SQRTPI(2)*(Tabella34[[#This Row],[Day]]-D_bk))</f>
        <v>4253.5259846613562</v>
      </c>
      <c r="P86" s="206">
        <f>Tabella34[[#This Row],[Italy velocity]]/Tabella34[[#This Row],[Italy cumul. Fit]]</f>
        <v>9.8256531697189217E-2</v>
      </c>
      <c r="Q86" s="269">
        <f>(LN(Tabella34[[#This Row],[Day]]-D_bk)-mu_t)/sigma_t</f>
        <v>-0.89942618782221806</v>
      </c>
      <c r="R86" s="269">
        <f>EXP(mu_t+sigma_t*Tabella34[[#This Row],[x_t_alpha©+plus]])-(Tabella34[[#This Row],[Day]]-D_bk)</f>
        <v>38.222827412953229</v>
      </c>
      <c r="S86" s="269">
        <f>EXP(mu_t+sigma_t*Tabella34[[#This Row],[x_t_alpha©-minus]])-(Tabella34[[#This Row],[Day]]-D_bk)</f>
        <v>-9.5757696628701652</v>
      </c>
      <c r="T86" s="269">
        <f>-sigma_t+SQRT(sigma_t^2-2*Tabella34[[#This Row],[c_t]])</f>
        <v>1.0072594932734871</v>
      </c>
      <c r="U86" s="269">
        <f>-sigma_t-SQRT(sigma_t^2-2*Tabella34[[#This Row],[c_t]])</f>
        <v>-1.6264963991657242</v>
      </c>
      <c r="V86" s="269">
        <f>mu_t-LN(alpha*Kt/(Tabella34[[#This Row],[Italy velocity]]*sigma_t*SQRTPI(2)))</f>
        <v>-0.8191519694174092</v>
      </c>
      <c r="W86" s="269">
        <f>Tabella34[[#This Row],[Italy g.r.]]/Italy_gr_at_lockdown</f>
        <v>0.62126966266935946</v>
      </c>
      <c r="X86" s="269">
        <f>Tabella34[[#This Row],[t_alpha_t+plus]]</f>
        <v>38.222827412953229</v>
      </c>
      <c r="Y86" s="269">
        <f>Tabella34[[#This Row],[Italy h.t.]]/Italy_ht_at_lockdown</f>
        <v>0.68072475358132001</v>
      </c>
      <c r="Z86" s="91">
        <f>IFERROR(-Kf*_xlfn.LOGNORM.DIST((Tabella34[[#This Row],[Day]]-D_bk),mu_f,sigma_f,FALSE)*(1+(LN((Tabella34[[#This Row],[Day]]-D_bk))-mu_f)/sigma_f^2)/(Tabella34[[#This Row],[Day]]-D_bk),0)</f>
        <v>170.56734449762615</v>
      </c>
      <c r="AA86" s="91">
        <f>Tabella34[[#This Row],[Italy acc. fit]]/Itali_acc_at_lockdown</f>
        <v>0.70201884298025874</v>
      </c>
      <c r="AB86" s="96">
        <f>Tabella34[[#This Row],[Italy acc. fit]]/y_f_peak</f>
        <v>3.3698230772483073E-2</v>
      </c>
      <c r="AC86" s="163">
        <f>Tabella34[[#This Row],[Italy (fitted Lombardy + fitted sum of the other regions)]]*NOT(ISBLANK(Tabella34[[#This Row],[Italy data]]))</f>
        <v>178.78920552586263</v>
      </c>
      <c r="AD86" s="163">
        <f>Tabella34[[#This Row],[Italy acc. fit]]*NOT(ISBLANK(Tabella34[[#This Row],[Italy data]]))</f>
        <v>170.56734449762615</v>
      </c>
      <c r="AE86" s="96">
        <f>Tabella34[[#This Row],[Italy acc. fit]]+CIf</f>
        <v>1184.3303465179438</v>
      </c>
      <c r="AF86" s="96">
        <f>MAX(Tabella34[[#This Row],[Italy acc. fit]]-CIf,0)</f>
        <v>0</v>
      </c>
      <c r="AG86" s="4">
        <f>Tabella8[[#This Row],[Lombardy]]</f>
        <v>19884</v>
      </c>
      <c r="AH86" s="91">
        <f>(Tabella34[[#This Row],[Lombardy cumul. Data]]-AG85)</f>
        <v>2171</v>
      </c>
      <c r="AI86" s="91">
        <f>Tabella34[[#This Row],[Lombardy data]]-AH85</f>
        <v>678</v>
      </c>
      <c r="AJ86" s="96">
        <f>Tabella34[[#This Row],[Lombardy data]]*NOT(ISBLANK(Tabella34[[#This Row],[Lombardy data]]))</f>
        <v>2171</v>
      </c>
      <c r="AK86" s="96">
        <f>Tabella8[[#This Row],[Lombardy fit]]</f>
        <v>19991.897040773845</v>
      </c>
      <c r="AL86" s="163">
        <f>_xlfn.LOGNORM.INV(alpha*Tabella34[[#This Row],[Lombardy cumul. Fit]]/Kr,mu_r,sigma_r)-(Tabella34[[#This Row],[Day]]-pr)</f>
        <v>11.591110530717224</v>
      </c>
      <c r="AM86" s="96">
        <f>Tabella34[[#This Row],[Lombardy cumul. Fit]]/Kl</f>
        <v>0.22979192000889478</v>
      </c>
      <c r="AN86" s="96">
        <f>IFERROR(Kr*_xlfn.LOGNORM.DIST((Tabella34[[#This Row],[Day]]-pr),mu_r,sigma_r,FALSE),0)</f>
        <v>1623.3769301389393</v>
      </c>
      <c r="AO86" s="209">
        <f>Tabella34[[#This Row],[Lombardy velocity]]/Tabella34[[#This Row],[Lombardy cumul. Fit]]</f>
        <v>8.120174522848092E-2</v>
      </c>
      <c r="AP86" s="266">
        <f>(LN(Tabella34[[#This Row],[Day]]-pr)-mu_r)/sigma_r</f>
        <v>-0.73953228970782614</v>
      </c>
      <c r="AQ86" s="269">
        <f>EXP(mu_r+sigma_r*Tabella34[[#This Row],[x_r_alpha©+plus]])-(Tabella34[[#This Row],[Day]]-pr)</f>
        <v>35.789384538142386</v>
      </c>
      <c r="AR86" s="269">
        <f>EXP(mu_r+sigma_r*Tabella34[[#This Row],[x_r_alpha©-minus]])-(Tabella34[[#This Row],[Day]]-pr)</f>
        <v>-11.932813312849582</v>
      </c>
      <c r="AS86" s="269">
        <f>-sigma_r+SQRT(sigma_r^2-2*Tabella34[[#This Row],[c_r]])</f>
        <v>0.9027859393673916</v>
      </c>
      <c r="AT86" s="269">
        <f>-sigma_r-SQRT(sigma_r^2-2*Tabella34[[#This Row],[c_r]])</f>
        <v>-1.5836405365611208</v>
      </c>
      <c r="AU86" s="269">
        <f>mu_r-LN(alpha*Kr/(Tabella34[[#This Row],[Lombardy velocity]]*sigma_r*SQRTPI(2)))</f>
        <v>-0.71484420470980581</v>
      </c>
      <c r="AV86" s="269">
        <f>Tabella34[[#This Row],[t_alpha_r+plus]]</f>
        <v>35.789384538142386</v>
      </c>
      <c r="AW86" s="91">
        <f>IFERROR(-Kl*_xlfn.LOGNORM.DIST((Tabella34[[#This Row],[Day]]-pl),mu_l,sigma_l,FALSE)*(1+(LN((Tabella34[[#This Row],[Day]]-pl))-mu_l)/sigma_l^2)/(Tabella34[[#This Row],[Day]]-pl),0)</f>
        <v>39.834204192229926</v>
      </c>
      <c r="AX86" s="96">
        <f>Tabella34[[#This Row],[Lombardy acc. fit]]/y_l_peak</f>
        <v>2.2659406045043351E-2</v>
      </c>
      <c r="AY86" s="163">
        <f>Tabella34[[#This Row],[Lombardy acc. fit]]*NOT(ISBLANK(Tabella34[[#This Row],[Lombardy data]]))</f>
        <v>39.834204192229926</v>
      </c>
      <c r="AZ86" s="96">
        <f>Tabella34[[#This Row],[Lombardy acc. fit]]+CIl</f>
        <v>788.78957599585351</v>
      </c>
      <c r="BA86" s="96">
        <f>MAX(Tabella34[[#This Row],[Lombardy acc. fit]]-CIl,0)</f>
        <v>0</v>
      </c>
      <c r="BB86" s="10">
        <f>Tabella8[[#This Row],[rest of Italy ]]</f>
        <v>21151</v>
      </c>
      <c r="BC86" s="10">
        <f>(Tabella34[[#This Row],[rest of Italy cum. Data]]-BB85)</f>
        <v>3151</v>
      </c>
      <c r="BD86" s="10">
        <f>Tabella34[[#This Row],[rest of Italy data]]-BC85</f>
        <v>437</v>
      </c>
      <c r="BE86" s="96">
        <f>Tabella34[[#This Row],[rest of Italy data]]*NOT(ISBLANK(Tabella34[[#This Row],[rest of Italy data]]))</f>
        <v>3151</v>
      </c>
      <c r="BF86" s="96">
        <f>Tabella8[[#This Row],[rest of Italy fit]]</f>
        <v>22906.450250895345</v>
      </c>
      <c r="BG86" s="163">
        <f>_xlfn.LOGNORM.INV(alpha*Tabella34[[#This Row],[rest of Italy cumul. Fit]]/Ko,mu_o,sigma_o)-(Tabella34[[#This Row],[Day]]-po)</f>
        <v>7.4966323122490337</v>
      </c>
      <c r="BH86" s="96">
        <f>Tabella34[[#This Row],[rest of Italy cumul. Fit]]/Ka</f>
        <v>0.15477333052344602</v>
      </c>
      <c r="BI86" s="163">
        <f>IFERROR(Ko*_xlfn.LOGNORM.DIST((Tabella34[[#This Row],[Day]]-po),mu_o,sigma_o,FALSE),0)</f>
        <v>2654.692103379326</v>
      </c>
      <c r="BJ86" s="206">
        <f>Tabella34[[#This Row],[rest of Italy velocity]]/Tabella34[[#This Row],[rest of Italy cumul. Fit]]</f>
        <v>0.11589277580342515</v>
      </c>
      <c r="BK86" s="261">
        <f>(LN(Tabella34[[#This Row],[Day]]-po)-mu_o)/sigma_o</f>
        <v>-1.0161737357630169</v>
      </c>
      <c r="BL86" s="269">
        <f>EXP(mu_o+sigma_o*Tabella34[[#This Row],[x_o_alpha©+plus]])-(Tabella34[[#This Row],[Day]]-po)</f>
        <v>38.816791423312154</v>
      </c>
      <c r="BM86" s="269">
        <f>EXP(mu_o+sigma_o*Tabella34[[#This Row],[x_o_alpha©-minus]])-(Tabella34[[#This Row],[Day]]-po)</f>
        <v>-8.0251482753446908</v>
      </c>
      <c r="BN86" s="269">
        <f>-sigma_o+SQRT(sigma_o^2-2*Tabella34[[#This Row],[c_o]])</f>
        <v>1.0455852522528528</v>
      </c>
      <c r="BO86" s="269">
        <f>-sigma_o-SQRT(sigma_o^2-2*Tabella34[[#This Row],[c_o]])</f>
        <v>-1.6885580295518792</v>
      </c>
      <c r="BP86" s="269">
        <f>mu_o-LN(alpha*Ko/(Tabella34[[#This Row],[rest of Italy velocity]]*sigma_o*SQRTPI(2)))</f>
        <v>-0.88276568663629096</v>
      </c>
      <c r="BQ86" s="269">
        <f>Tabella34[[#This Row],[t_alpha_o+plus]]</f>
        <v>38.816791423312154</v>
      </c>
      <c r="BR86" s="91">
        <f>IFERROR(-Ka*_xlfn.LOGNORM.DIST((Tabella34[[#This Row],[Day]]-pa),mu_a,sigma_a,FALSE)*(1+(LN((Tabella34[[#This Row],[Day]]-pa))-mu_a)/sigma_a^2)/(Tabella34[[#This Row],[Day]]-pa),0)</f>
        <v>138.95500133363271</v>
      </c>
      <c r="BS86" s="96">
        <f>Tabella34[[#This Row],[rest of Italy acc. fit]]/y_a_peak</f>
        <v>4.1121299152038548E-2</v>
      </c>
      <c r="BT86" s="96">
        <f>Tabella34[[#This Row],[rest of Italy acc. fit]]*NOT(ISBLANK(Tabella34[[#This Row],[rest of Italy data]]))</f>
        <v>138.95500133363271</v>
      </c>
      <c r="BU86" s="96">
        <f>Tabella34[[#This Row],[rest of Italy acc. fit]]+CIa</f>
        <v>833.60703719723006</v>
      </c>
      <c r="BV86" s="96">
        <f>MAX(Tabella34[[#This Row],[rest of Italy acc. fit]]-CIa,0)</f>
        <v>0</v>
      </c>
    </row>
    <row r="87" spans="2:74" x14ac:dyDescent="0.3">
      <c r="B87" s="288">
        <v>43910</v>
      </c>
      <c r="C87" s="30">
        <v>80</v>
      </c>
      <c r="D87" s="10">
        <f>Tabella8[[#This Row],[Italy cumulative]]</f>
        <v>47021</v>
      </c>
      <c r="E87" s="91">
        <f>(Tabella34[[#This Row],[Italy cumul. Data]]-D86)</f>
        <v>5986</v>
      </c>
      <c r="F87" s="91">
        <f>Tabella34[[#This Row],[Italy data]]-E86</f>
        <v>664</v>
      </c>
      <c r="G87" s="96">
        <f>Tabella34[[#This Row],[Italy data]]*NOT(ISBLANK(Tabella34[[#This Row],[Italy data]]))</f>
        <v>5986</v>
      </c>
      <c r="H87" s="163">
        <f>Tabella8[[#This Row],[Italy fit]]</f>
        <v>47626.036936478224</v>
      </c>
      <c r="I87" s="163">
        <f>_xlfn.LOGNORM.INV(alpha*Tabella34[[#This Row],[Italy cumul. Fit]]/Kt,mu_t,sigma_t)-(Tabella34[[#This Row],[Day]]-pt)</f>
        <v>9.7677505090125507</v>
      </c>
      <c r="J87" s="163">
        <f>Tabella34[[#This Row],[Italy d.t.]]/Italy_dt_at_lockdown</f>
        <v>1.9184688491890352</v>
      </c>
      <c r="K87" s="96">
        <f>Tabella34[[#This Row],[Italy cumul. Fit]]/Kf</f>
        <v>0.20266404226143536</v>
      </c>
      <c r="L87" s="166">
        <f>Tabella34[[#This Row],[Lombardy acc. fit]]+Tabella34[[#This Row],[rest of Italy acc. fit]]</f>
        <v>161.02471380359552</v>
      </c>
      <c r="M87" s="96">
        <f>Tabella34[[#This Row],[Italy (fitted Lombardy + fitted sum of the other regions)]]/(y_l_peak+y_a_peak)</f>
        <v>3.1345428665113681E-2</v>
      </c>
      <c r="N87" s="163">
        <f>IFERROR(Kt*_xlfn.LOGNORM.DIST((Tabella34[[#This Row],[Day]]-pt),mu_t,sigma_t,FALSE),0)</f>
        <v>4415.710615542187</v>
      </c>
      <c r="O87" s="163">
        <f>Kt*EXP(-0.5*Tabella34[[#This Row],[x_t]]^2)/(sigma_t*SQRTPI(2)*(Tabella34[[#This Row],[Day]]-D_bk))</f>
        <v>4415.710615542187</v>
      </c>
      <c r="P87" s="206">
        <f>Tabella34[[#This Row],[Italy velocity]]/Tabella34[[#This Row],[Italy cumul. Fit]]</f>
        <v>9.2716314427582797E-2</v>
      </c>
      <c r="Q87" s="269">
        <f>(LN(Tabella34[[#This Row],[Day]]-D_bk)-mu_t)/sigma_t</f>
        <v>-0.83214326298908892</v>
      </c>
      <c r="R87" s="269">
        <f>EXP(mu_t+sigma_t*Tabella34[[#This Row],[x_t_alpha©+plus]])-(Tabella34[[#This Row],[Day]]-D_bk)</f>
        <v>36.463647840393186</v>
      </c>
      <c r="S87" s="269">
        <f>EXP(mu_t+sigma_t*Tabella34[[#This Row],[x_t_alpha©-minus]])-(Tabella34[[#This Row],[Day]]-D_bk)</f>
        <v>-10.236880166571417</v>
      </c>
      <c r="T87" s="269">
        <f>-sigma_t+SQRT(sigma_t^2-2*Tabella34[[#This Row],[c_t]])</f>
        <v>0.97853003935992477</v>
      </c>
      <c r="U87" s="269">
        <f>-sigma_t-SQRT(sigma_t^2-2*Tabella34[[#This Row],[c_t]])</f>
        <v>-1.5977669452521619</v>
      </c>
      <c r="V87" s="269">
        <f>mu_t-LN(alpha*Kt/(Tabella34[[#This Row],[Italy velocity]]*sigma_t*SQRTPI(2)))</f>
        <v>-0.78173147591279246</v>
      </c>
      <c r="W87" s="269">
        <f>Tabella34[[#This Row],[Italy g.r.]]/Italy_gr_at_lockdown</f>
        <v>0.58623922902031778</v>
      </c>
      <c r="X87" s="269">
        <f>Tabella34[[#This Row],[t_alpha_t+plus]]</f>
        <v>36.463647840393186</v>
      </c>
      <c r="Y87" s="269">
        <f>Tabella34[[#This Row],[Italy h.t.]]/Italy_ht_at_lockdown</f>
        <v>0.64939486089445919</v>
      </c>
      <c r="Z87" s="91">
        <f>IFERROR(-Kf*_xlfn.LOGNORM.DIST((Tabella34[[#This Row],[Day]]-D_bk),mu_f,sigma_f,FALSE)*(1+(LN((Tabella34[[#This Row],[Day]]-D_bk))-mu_f)/sigma_f^2)/(Tabella34[[#This Row],[Day]]-D_bk),0)</f>
        <v>153.63728234860443</v>
      </c>
      <c r="AA87" s="91">
        <f>Tabella34[[#This Row],[Italy acc. fit]]/Itali_acc_at_lockdown</f>
        <v>0.63233831487890513</v>
      </c>
      <c r="AB87" s="96">
        <f>Tabella34[[#This Row],[Italy acc. fit]]/y_f_peak</f>
        <v>3.0353433777662329E-2</v>
      </c>
      <c r="AC87" s="163">
        <f>Tabella34[[#This Row],[Italy (fitted Lombardy + fitted sum of the other regions)]]*NOT(ISBLANK(Tabella34[[#This Row],[Italy data]]))</f>
        <v>161.02471380359552</v>
      </c>
      <c r="AD87" s="163">
        <f>Tabella34[[#This Row],[Italy acc. fit]]*NOT(ISBLANK(Tabella34[[#This Row],[Italy data]]))</f>
        <v>153.63728234860443</v>
      </c>
      <c r="AE87" s="96">
        <f>Tabella34[[#This Row],[Italy acc. fit]]+CIf</f>
        <v>1167.400284368922</v>
      </c>
      <c r="AF87" s="96">
        <f>MAX(Tabella34[[#This Row],[Italy acc. fit]]-CIf,0)</f>
        <v>0</v>
      </c>
      <c r="AG87" s="4">
        <f>Tabella8[[#This Row],[Lombardy]]</f>
        <v>22264</v>
      </c>
      <c r="AH87" s="91">
        <f>(Tabella34[[#This Row],[Lombardy cumul. Data]]-AG86)</f>
        <v>2380</v>
      </c>
      <c r="AI87" s="91">
        <f>Tabella34[[#This Row],[Lombardy data]]-AH86</f>
        <v>209</v>
      </c>
      <c r="AJ87" s="96">
        <f>Tabella34[[#This Row],[Lombardy data]]*NOT(ISBLANK(Tabella34[[#This Row],[Lombardy data]]))</f>
        <v>2380</v>
      </c>
      <c r="AK87" s="96">
        <f>Tabella8[[#This Row],[Lombardy fit]]</f>
        <v>21634.190021491242</v>
      </c>
      <c r="AL87" s="163">
        <f>_xlfn.LOGNORM.INV(alpha*Tabella34[[#This Row],[Lombardy cumul. Fit]]/Kr,mu_r,sigma_r)-(Tabella34[[#This Row],[Day]]-pr)</f>
        <v>12.538528732472578</v>
      </c>
      <c r="AM87" s="96">
        <f>Tabella34[[#This Row],[Lombardy cumul. Fit]]/Kl</f>
        <v>0.24866885082173842</v>
      </c>
      <c r="AN87" s="96">
        <f>IFERROR(Kr*_xlfn.LOGNORM.DIST((Tabella34[[#This Row],[Day]]-pr),mu_r,sigma_r,FALSE),0)</f>
        <v>1660.2063260677619</v>
      </c>
      <c r="AO87" s="209">
        <f>Tabella34[[#This Row],[Lombardy velocity]]/Tabella34[[#This Row],[Lombardy cumul. Fit]]</f>
        <v>7.6739934539658078E-2</v>
      </c>
      <c r="AP87" s="266">
        <f>(LN(Tabella34[[#This Row],[Day]]-pr)-mu_r)/sigma_r</f>
        <v>-0.67868463827297931</v>
      </c>
      <c r="AQ87" s="269">
        <f>EXP(mu_r+sigma_r*Tabella34[[#This Row],[x_r_alpha©+plus]])-(Tabella34[[#This Row],[Day]]-pr)</f>
        <v>34.273855851298123</v>
      </c>
      <c r="AR87" s="269">
        <f>EXP(mu_r+sigma_r*Tabella34[[#This Row],[x_r_alpha©-minus]])-(Tabella34[[#This Row],[Day]]-pr)</f>
        <v>-12.71031185738088</v>
      </c>
      <c r="AS87" s="269">
        <f>-sigma_r+SQRT(sigma_r^2-2*Tabella34[[#This Row],[c_r]])</f>
        <v>0.88460836984901925</v>
      </c>
      <c r="AT87" s="269">
        <f>-sigma_r-SQRT(sigma_r^2-2*Tabella34[[#This Row],[c_r]])</f>
        <v>-1.5654629670427485</v>
      </c>
      <c r="AU87" s="269">
        <f>mu_r-LN(alpha*Kr/(Tabella34[[#This Row],[Lombardy velocity]]*sigma_r*SQRTPI(2)))</f>
        <v>-0.69241082166734724</v>
      </c>
      <c r="AV87" s="269">
        <f>Tabella34[[#This Row],[t_alpha_r+plus]]</f>
        <v>34.273855851298123</v>
      </c>
      <c r="AW87" s="91">
        <f>IFERROR(-Kl*_xlfn.LOGNORM.DIST((Tabella34[[#This Row],[Day]]-pl),mu_l,sigma_l,FALSE)*(1+(LN((Tabella34[[#This Row],[Day]]-pl))-mu_l)/sigma_l^2)/(Tabella34[[#This Row],[Day]]-pl),0)</f>
        <v>33.819162319102674</v>
      </c>
      <c r="AX87" s="96">
        <f>Tabella34[[#This Row],[Lombardy acc. fit]]/y_l_peak</f>
        <v>1.9237791908524093E-2</v>
      </c>
      <c r="AY87" s="163">
        <f>Tabella34[[#This Row],[Lombardy acc. fit]]*NOT(ISBLANK(Tabella34[[#This Row],[Lombardy data]]))</f>
        <v>33.819162319102674</v>
      </c>
      <c r="AZ87" s="96">
        <f>Tabella34[[#This Row],[Lombardy acc. fit]]+CIl</f>
        <v>782.77453412272632</v>
      </c>
      <c r="BA87" s="96">
        <f>MAX(Tabella34[[#This Row],[Lombardy acc. fit]]-CIl,0)</f>
        <v>0</v>
      </c>
      <c r="BB87" s="10">
        <f>Tabella8[[#This Row],[rest of Italy ]]</f>
        <v>24757</v>
      </c>
      <c r="BC87" s="10">
        <f>(Tabella34[[#This Row],[rest of Italy cum. Data]]-BB86)</f>
        <v>3606</v>
      </c>
      <c r="BD87" s="10">
        <f>Tabella34[[#This Row],[rest of Italy data]]-BC86</f>
        <v>455</v>
      </c>
      <c r="BE87" s="96">
        <f>Tabella34[[#This Row],[rest of Italy data]]*NOT(ISBLANK(Tabella34[[#This Row],[rest of Italy data]]))</f>
        <v>3606</v>
      </c>
      <c r="BF87" s="96">
        <f>Tabella8[[#This Row],[rest of Italy fit]]</f>
        <v>25628.708969359228</v>
      </c>
      <c r="BG87" s="163">
        <f>_xlfn.LOGNORM.INV(alpha*Tabella34[[#This Row],[rest of Italy cumul. Fit]]/Ko,mu_o,sigma_o)-(Tabella34[[#This Row],[Day]]-po)</f>
        <v>8.121053278192349</v>
      </c>
      <c r="BH87" s="96">
        <f>Tabella34[[#This Row],[rest of Italy cumul. Fit]]/Ka</f>
        <v>0.17316697265429842</v>
      </c>
      <c r="BI87" s="163">
        <f>IFERROR(Ko*_xlfn.LOGNORM.DIST((Tabella34[[#This Row],[Day]]-po),mu_o,sigma_o,FALSE),0)</f>
        <v>2787.8663782449853</v>
      </c>
      <c r="BJ87" s="206">
        <f>Tabella34[[#This Row],[rest of Italy velocity]]/Tabella34[[#This Row],[rest of Italy cumul. Fit]]</f>
        <v>0.10877904078500635</v>
      </c>
      <c r="BK87" s="261">
        <f>(LN(Tabella34[[#This Row],[Day]]-po)-mu_o)/sigma_o</f>
        <v>-0.94172403697876905</v>
      </c>
      <c r="BL87" s="269">
        <f>EXP(mu_o+sigma_o*Tabella34[[#This Row],[x_o_alpha©+plus]])-(Tabella34[[#This Row],[Day]]-po)</f>
        <v>36.887812182076928</v>
      </c>
      <c r="BM87" s="269">
        <f>EXP(mu_o+sigma_o*Tabella34[[#This Row],[x_o_alpha©-minus]])-(Tabella34[[#This Row],[Day]]-po)</f>
        <v>-8.6349081880481933</v>
      </c>
      <c r="BN87" s="269">
        <f>-sigma_o+SQRT(sigma_o^2-2*Tabella34[[#This Row],[c_o]])</f>
        <v>1.0092987561146205</v>
      </c>
      <c r="BO87" s="269">
        <f>-sigma_o-SQRT(sigma_o^2-2*Tabella34[[#This Row],[c_o]])</f>
        <v>-1.6522715334136464</v>
      </c>
      <c r="BP87" s="269">
        <f>mu_o-LN(alpha*Ko/(Tabella34[[#This Row],[rest of Italy velocity]]*sigma_o*SQRTPI(2)))</f>
        <v>-0.833817801718995</v>
      </c>
      <c r="BQ87" s="269">
        <f>Tabella34[[#This Row],[t_alpha_o+plus]]</f>
        <v>36.887812182076928</v>
      </c>
      <c r="BR87" s="91">
        <f>IFERROR(-Ka*_xlfn.LOGNORM.DIST((Tabella34[[#This Row],[Day]]-pa),mu_a,sigma_a,FALSE)*(1+(LN((Tabella34[[#This Row],[Day]]-pa))-mu_a)/sigma_a^2)/(Tabella34[[#This Row],[Day]]-pa),0)</f>
        <v>127.20555148449284</v>
      </c>
      <c r="BS87" s="96">
        <f>Tabella34[[#This Row],[rest of Italy acc. fit]]/y_a_peak</f>
        <v>3.7644255235077986E-2</v>
      </c>
      <c r="BT87" s="96">
        <f>Tabella34[[#This Row],[rest of Italy acc. fit]]*NOT(ISBLANK(Tabella34[[#This Row],[rest of Italy data]]))</f>
        <v>127.20555148449284</v>
      </c>
      <c r="BU87" s="96">
        <f>Tabella34[[#This Row],[rest of Italy acc. fit]]+CIa</f>
        <v>821.85758734809019</v>
      </c>
      <c r="BV87" s="96">
        <f>MAX(Tabella34[[#This Row],[rest of Italy acc. fit]]-CIa,0)</f>
        <v>0</v>
      </c>
    </row>
    <row r="88" spans="2:74" x14ac:dyDescent="0.3">
      <c r="B88" s="288">
        <v>43911</v>
      </c>
      <c r="C88" s="30">
        <v>81</v>
      </c>
      <c r="D88" s="10">
        <f>Tabella8[[#This Row],[Italy cumulative]]</f>
        <v>53578</v>
      </c>
      <c r="E88" s="91">
        <f>(Tabella34[[#This Row],[Italy cumul. Data]]-D87)</f>
        <v>6557</v>
      </c>
      <c r="F88" s="91">
        <f>Tabella34[[#This Row],[Italy data]]-E87</f>
        <v>571</v>
      </c>
      <c r="G88" s="96">
        <f>Tabella34[[#This Row],[Italy data]]*NOT(ISBLANK(Tabella34[[#This Row],[Italy data]]))</f>
        <v>6557</v>
      </c>
      <c r="H88" s="163">
        <f>Tabella8[[#This Row],[Italy fit]]</f>
        <v>52115.633167139393</v>
      </c>
      <c r="I88" s="163">
        <f>_xlfn.LOGNORM.INV(alpha*Tabella34[[#This Row],[Italy cumul. Fit]]/Kt,mu_t,sigma_t)-(Tabella34[[#This Row],[Day]]-pt)</f>
        <v>10.555048612149136</v>
      </c>
      <c r="J88" s="163">
        <f>Tabella34[[#This Row],[Italy d.t.]]/Italy_dt_at_lockdown</f>
        <v>2.073100858319441</v>
      </c>
      <c r="K88" s="96">
        <f>Tabella34[[#This Row],[Italy cumul. Fit]]/Kf</f>
        <v>0.22176871228554546</v>
      </c>
      <c r="L88" s="166">
        <f>Tabella34[[#This Row],[Lombardy acc. fit]]+Tabella34[[#This Row],[rest of Italy acc. fit]]</f>
        <v>142.26244011876562</v>
      </c>
      <c r="M88" s="96">
        <f>Tabella34[[#This Row],[Italy (fitted Lombardy + fitted sum of the other regions)]]/(y_l_peak+y_a_peak)</f>
        <v>2.7693122770625311E-2</v>
      </c>
      <c r="N88" s="163">
        <f>IFERROR(Kt*_xlfn.LOGNORM.DIST((Tabella34[[#This Row],[Day]]-pt),mu_t,sigma_t,FALSE),0)</f>
        <v>4560.5181620028688</v>
      </c>
      <c r="O88" s="163">
        <f>Kt*EXP(-0.5*Tabella34[[#This Row],[x_t]]^2)/(sigma_t*SQRTPI(2)*(Tabella34[[#This Row],[Day]]-D_bk))</f>
        <v>4560.5181620028707</v>
      </c>
      <c r="P88" s="206">
        <f>Tabella34[[#This Row],[Italy velocity]]/Tabella34[[#This Row],[Italy cumul. Fit]]</f>
        <v>8.7507680226716011E-2</v>
      </c>
      <c r="Q88" s="269">
        <f>(LN(Tabella34[[#This Row],[Day]]-D_bk)-mu_t)/sigma_t</f>
        <v>-0.76623342290036744</v>
      </c>
      <c r="R88" s="269">
        <f>EXP(mu_t+sigma_t*Tabella34[[#This Row],[x_t_alpha©+plus]])-(Tabella34[[#This Row],[Day]]-D_bk)</f>
        <v>34.800715718662993</v>
      </c>
      <c r="S88" s="269">
        <f>EXP(mu_t+sigma_t*Tabella34[[#This Row],[x_t_alpha©-minus]])-(Tabella34[[#This Row],[Day]]-D_bk)</f>
        <v>-10.935962643443041</v>
      </c>
      <c r="T88" s="269">
        <f>-sigma_t+SQRT(sigma_t^2-2*Tabella34[[#This Row],[c_t]])</f>
        <v>0.95323212883551545</v>
      </c>
      <c r="U88" s="269">
        <f>-sigma_t-SQRT(sigma_t^2-2*Tabella34[[#This Row],[c_t]])</f>
        <v>-1.5724690347277526</v>
      </c>
      <c r="V88" s="269">
        <f>mu_t-LN(alpha*Kt/(Tabella34[[#This Row],[Italy velocity]]*sigma_t*SQRTPI(2)))</f>
        <v>-0.74946400275073177</v>
      </c>
      <c r="W88" s="269">
        <f>Tabella34[[#This Row],[Italy g.r.]]/Italy_gr_at_lockdown</f>
        <v>0.55330537356006892</v>
      </c>
      <c r="X88" s="269">
        <f>Tabella34[[#This Row],[t_alpha_t+plus]]</f>
        <v>34.800715718662993</v>
      </c>
      <c r="Y88" s="269">
        <f>Tabella34[[#This Row],[Italy h.t.]]/Italy_ht_at_lockdown</f>
        <v>0.61977907537034516</v>
      </c>
      <c r="Z88" s="91">
        <f>IFERROR(-Kf*_xlfn.LOGNORM.DIST((Tabella34[[#This Row],[Day]]-D_bk),mu_f,sigma_f,FALSE)*(1+(LN((Tabella34[[#This Row],[Day]]-D_bk))-mu_f)/sigma_f^2)/(Tabella34[[#This Row],[Day]]-D_bk),0)</f>
        <v>135.85975474304595</v>
      </c>
      <c r="AA88" s="91">
        <f>Tabella34[[#This Row],[Italy acc. fit]]/Itali_acc_at_lockdown</f>
        <v>0.55916979954871859</v>
      </c>
      <c r="AB88" s="96">
        <f>Tabella34[[#This Row],[Italy acc. fit]]/y_f_peak</f>
        <v>2.6841206806076712E-2</v>
      </c>
      <c r="AC88" s="163">
        <f>Tabella34[[#This Row],[Italy (fitted Lombardy + fitted sum of the other regions)]]*NOT(ISBLANK(Tabella34[[#This Row],[Italy data]]))</f>
        <v>142.26244011876562</v>
      </c>
      <c r="AD88" s="163">
        <f>Tabella34[[#This Row],[Italy acc. fit]]*NOT(ISBLANK(Tabella34[[#This Row],[Italy data]]))</f>
        <v>135.85975474304595</v>
      </c>
      <c r="AE88" s="96">
        <f>Tabella34[[#This Row],[Italy acc. fit]]+CIf</f>
        <v>1149.6227567633637</v>
      </c>
      <c r="AF88" s="96">
        <f>MAX(Tabella34[[#This Row],[Italy acc. fit]]-CIf,0)</f>
        <v>0</v>
      </c>
      <c r="AG88" s="4">
        <f>Tabella8[[#This Row],[Lombardy]]</f>
        <v>25515</v>
      </c>
      <c r="AH88" s="91">
        <f>(Tabella34[[#This Row],[Lombardy cumul. Data]]-AG87)</f>
        <v>3251</v>
      </c>
      <c r="AI88" s="91">
        <f>Tabella34[[#This Row],[Lombardy data]]-AH87</f>
        <v>871</v>
      </c>
      <c r="AJ88" s="96">
        <f>Tabella34[[#This Row],[Lombardy data]]*NOT(ISBLANK(Tabella34[[#This Row],[Lombardy data]]))</f>
        <v>3251</v>
      </c>
      <c r="AK88" s="96">
        <f>Tabella8[[#This Row],[Lombardy fit]]</f>
        <v>23310.302349365797</v>
      </c>
      <c r="AL88" s="163">
        <f>_xlfn.LOGNORM.INV(alpha*Tabella34[[#This Row],[Lombardy cumul. Fit]]/Kr,mu_r,sigma_r)-(Tabella34[[#This Row],[Day]]-pr)</f>
        <v>13.590723953151617</v>
      </c>
      <c r="AM88" s="96">
        <f>Tabella34[[#This Row],[Lombardy cumul. Fit]]/Kl</f>
        <v>0.26793450976282523</v>
      </c>
      <c r="AN88" s="96">
        <f>IFERROR(Kr*_xlfn.LOGNORM.DIST((Tabella34[[#This Row],[Day]]-pr),mu_r,sigma_r,FALSE),0)</f>
        <v>1691.0159552256368</v>
      </c>
      <c r="AO88" s="209">
        <f>Tabella34[[#This Row],[Lombardy velocity]]/Tabella34[[#This Row],[Lombardy cumul. Fit]]</f>
        <v>7.2543716073749015E-2</v>
      </c>
      <c r="AP88" s="266">
        <f>(LN(Tabella34[[#This Row],[Day]]-pr)-mu_r)/sigma_r</f>
        <v>-0.6190718611788224</v>
      </c>
      <c r="AQ88" s="269">
        <f>EXP(mu_r+sigma_r*Tabella34[[#This Row],[x_r_alpha©+plus]])-(Tabella34[[#This Row],[Day]]-pr)</f>
        <v>32.847944951181603</v>
      </c>
      <c r="AR88" s="269">
        <f>EXP(mu_r+sigma_r*Tabella34[[#This Row],[x_r_alpha©-minus]])-(Tabella34[[#This Row],[Day]]-pr)</f>
        <v>-13.524394833909021</v>
      </c>
      <c r="AS88" s="269">
        <f>-sigma_r+SQRT(sigma_r^2-2*Tabella34[[#This Row],[c_r]])</f>
        <v>0.86950540753863792</v>
      </c>
      <c r="AT88" s="269">
        <f>-sigma_r-SQRT(sigma_r^2-2*Tabella34[[#This Row],[c_r]])</f>
        <v>-1.5503600047323671</v>
      </c>
      <c r="AU88" s="269">
        <f>mu_r-LN(alpha*Kr/(Tabella34[[#This Row],[Lombardy velocity]]*sigma_r*SQRTPI(2)))</f>
        <v>-0.6740232038732108</v>
      </c>
      <c r="AV88" s="269">
        <f>Tabella34[[#This Row],[t_alpha_r+plus]]</f>
        <v>32.847944951181603</v>
      </c>
      <c r="AW88" s="91">
        <f>IFERROR(-Kl*_xlfn.LOGNORM.DIST((Tabella34[[#This Row],[Day]]-pl),mu_l,sigma_l,FALSE)*(1+(LN((Tabella34[[#This Row],[Day]]-pl))-mu_l)/sigma_l^2)/(Tabella34[[#This Row],[Day]]-pl),0)</f>
        <v>27.805988470199658</v>
      </c>
      <c r="AX88" s="96">
        <f>Tabella34[[#This Row],[Lombardy acc. fit]]/y_l_peak</f>
        <v>1.581724038440685E-2</v>
      </c>
      <c r="AY88" s="163">
        <f>Tabella34[[#This Row],[Lombardy acc. fit]]*NOT(ISBLANK(Tabella34[[#This Row],[Lombardy data]]))</f>
        <v>27.805988470199658</v>
      </c>
      <c r="AZ88" s="96">
        <f>Tabella34[[#This Row],[Lombardy acc. fit]]+CIl</f>
        <v>776.76136027382324</v>
      </c>
      <c r="BA88" s="96">
        <f>MAX(Tabella34[[#This Row],[Lombardy acc. fit]]-CIl,0)</f>
        <v>0</v>
      </c>
      <c r="BB88" s="10">
        <f>Tabella8[[#This Row],[rest of Italy ]]</f>
        <v>28063</v>
      </c>
      <c r="BC88" s="10">
        <f>(Tabella34[[#This Row],[rest of Italy cum. Data]]-BB87)</f>
        <v>3306</v>
      </c>
      <c r="BD88" s="10">
        <f>Tabella34[[#This Row],[rest of Italy data]]-BC87</f>
        <v>-300</v>
      </c>
      <c r="BE88" s="96">
        <f>Tabella34[[#This Row],[rest of Italy data]]*NOT(ISBLANK(Tabella34[[#This Row],[rest of Italy data]]))</f>
        <v>3306</v>
      </c>
      <c r="BF88" s="96">
        <f>Tabella8[[#This Row],[rest of Italy fit]]</f>
        <v>28478.089944348303</v>
      </c>
      <c r="BG88" s="163">
        <f>_xlfn.LOGNORM.INV(alpha*Tabella34[[#This Row],[rest of Italy cumul. Fit]]/Ko,mu_o,sigma_o)-(Tabella34[[#This Row],[Day]]-po)</f>
        <v>8.808656756494436</v>
      </c>
      <c r="BH88" s="96">
        <f>Tabella34[[#This Row],[rest of Italy cumul. Fit]]/Ka</f>
        <v>0.1924195490508514</v>
      </c>
      <c r="BI88" s="163">
        <f>IFERROR(Ko*_xlfn.LOGNORM.DIST((Tabella34[[#This Row],[Day]]-po),mu_o,sigma_o,FALSE),0)</f>
        <v>2908.7700141799401</v>
      </c>
      <c r="BJ88" s="206">
        <f>Tabella34[[#This Row],[rest of Italy velocity]]/Tabella34[[#This Row],[rest of Italy cumul. Fit]]</f>
        <v>0.10214062880847133</v>
      </c>
      <c r="BK88" s="261">
        <f>(LN(Tabella34[[#This Row],[Day]]-po)-mu_o)/sigma_o</f>
        <v>-0.86901468600425003</v>
      </c>
      <c r="BL88" s="269">
        <f>EXP(mu_o+sigma_o*Tabella34[[#This Row],[x_o_alpha©+plus]])-(Tabella34[[#This Row],[Day]]-po)</f>
        <v>35.070133585781235</v>
      </c>
      <c r="BM88" s="269">
        <f>EXP(mu_o+sigma_o*Tabella34[[#This Row],[x_o_alpha©-minus]])-(Tabella34[[#This Row],[Day]]-po)</f>
        <v>-9.2837655503889209</v>
      </c>
      <c r="BN88" s="269">
        <f>-sigma_o+SQRT(sigma_o^2-2*Tabella34[[#This Row],[c_o]])</f>
        <v>0.97700565889027435</v>
      </c>
      <c r="BO88" s="269">
        <f>-sigma_o-SQRT(sigma_o^2-2*Tabella34[[#This Row],[c_o]])</f>
        <v>-1.6199784361893004</v>
      </c>
      <c r="BP88" s="269">
        <f>mu_o-LN(alpha*Ko/(Tabella34[[#This Row],[rest of Italy velocity]]*sigma_o*SQRTPI(2)))</f>
        <v>-0.79136404971858187</v>
      </c>
      <c r="BQ88" s="269">
        <f>Tabella34[[#This Row],[t_alpha_o+plus]]</f>
        <v>35.070133585781235</v>
      </c>
      <c r="BR88" s="91">
        <f>IFERROR(-Ka*_xlfn.LOGNORM.DIST((Tabella34[[#This Row],[Day]]-pa),mu_a,sigma_a,FALSE)*(1+(LN((Tabella34[[#This Row],[Day]]-pa))-mu_a)/sigma_a^2)/(Tabella34[[#This Row],[Day]]-pa),0)</f>
        <v>114.45645164856597</v>
      </c>
      <c r="BS88" s="96">
        <f>Tabella34[[#This Row],[rest of Italy acc. fit]]/y_a_peak</f>
        <v>3.3871382411208906E-2</v>
      </c>
      <c r="BT88" s="96">
        <f>Tabella34[[#This Row],[rest of Italy acc. fit]]*NOT(ISBLANK(Tabella34[[#This Row],[rest of Italy data]]))</f>
        <v>114.45645164856597</v>
      </c>
      <c r="BU88" s="96">
        <f>Tabella34[[#This Row],[rest of Italy acc. fit]]+CIa</f>
        <v>809.10848751216326</v>
      </c>
      <c r="BV88" s="96">
        <f>MAX(Tabella34[[#This Row],[rest of Italy acc. fit]]-CIa,0)</f>
        <v>0</v>
      </c>
    </row>
    <row r="89" spans="2:74" x14ac:dyDescent="0.3">
      <c r="B89" s="288">
        <v>43912</v>
      </c>
      <c r="C89" s="30">
        <v>82</v>
      </c>
      <c r="D89" s="10">
        <f>Tabella8[[#This Row],[Italy cumulative]]</f>
        <v>59138</v>
      </c>
      <c r="E89" s="91">
        <f>(Tabella34[[#This Row],[Italy cumul. Data]]-D88)</f>
        <v>5560</v>
      </c>
      <c r="F89" s="91">
        <f>Tabella34[[#This Row],[Italy data]]-E88</f>
        <v>-997</v>
      </c>
      <c r="G89" s="96">
        <f>Tabella34[[#This Row],[Italy data]]*NOT(ISBLANK(Tabella34[[#This Row],[Italy data]]))</f>
        <v>5560</v>
      </c>
      <c r="H89" s="163">
        <f>Tabella8[[#This Row],[Italy fit]]</f>
        <v>56741.041419626286</v>
      </c>
      <c r="I89" s="163">
        <f>_xlfn.LOGNORM.INV(alpha*Tabella34[[#This Row],[Italy cumul. Fit]]/Kt,mu_t,sigma_t)-(Tabella34[[#This Row],[Day]]-pt)</f>
        <v>11.42713921008523</v>
      </c>
      <c r="J89" s="163">
        <f>Tabella34[[#This Row],[Italy d.t.]]/Italy_dt_at_lockdown</f>
        <v>2.2443868308949395</v>
      </c>
      <c r="K89" s="96">
        <f>Tabella34[[#This Row],[Italy cumul. Fit]]/Kf</f>
        <v>0.24145130596447512</v>
      </c>
      <c r="L89" s="166">
        <f>Tabella34[[#This Row],[Lombardy acc. fit]]+Tabella34[[#This Row],[rest of Italy acc. fit]]</f>
        <v>122.8207520492702</v>
      </c>
      <c r="M89" s="96">
        <f>Tabella34[[#This Row],[Italy (fitted Lombardy + fitted sum of the other regions)]]/(y_l_peak+y_a_peak)</f>
        <v>2.3908560562025047E-2</v>
      </c>
      <c r="N89" s="163">
        <f>IFERROR(Kt*_xlfn.LOGNORM.DIST((Tabella34[[#This Row],[Day]]-pt),mu_t,sigma_t,FALSE),0)</f>
        <v>4687.2391146868067</v>
      </c>
      <c r="O89" s="163">
        <f>Kt*EXP(-0.5*Tabella34[[#This Row],[x_t]]^2)/(sigma_t*SQRTPI(2)*(Tabella34[[#This Row],[Day]]-D_bk))</f>
        <v>4687.2391146868067</v>
      </c>
      <c r="P89" s="206">
        <f>Tabella34[[#This Row],[Italy velocity]]/Tabella34[[#This Row],[Italy cumul. Fit]]</f>
        <v>8.2607562311422911E-2</v>
      </c>
      <c r="Q89" s="269">
        <f>(LN(Tabella34[[#This Row],[Day]]-D_bk)-mu_t)/sigma_t</f>
        <v>-0.70164174375363597</v>
      </c>
      <c r="R89" s="269">
        <f>EXP(mu_t+sigma_t*Tabella34[[#This Row],[x_t_alpha©+plus]])-(Tabella34[[#This Row],[Day]]-D_bk)</f>
        <v>33.231195104554367</v>
      </c>
      <c r="S89" s="269">
        <f>EXP(mu_t+sigma_t*Tabella34[[#This Row],[x_t_alpha©-minus]])-(Tabella34[[#This Row],[Day]]-D_bk)</f>
        <v>-11.67364145671376</v>
      </c>
      <c r="T89" s="269">
        <f>-sigma_t+SQRT(sigma_t^2-2*Tabella34[[#This Row],[c_t]])</f>
        <v>0.93133949221376722</v>
      </c>
      <c r="U89" s="269">
        <f>-sigma_t-SQRT(sigma_t^2-2*Tabella34[[#This Row],[c_t]])</f>
        <v>-1.5505763981060043</v>
      </c>
      <c r="V89" s="269">
        <f>mu_t-LN(alpha*Kt/(Tabella34[[#This Row],[Italy velocity]]*sigma_t*SQRTPI(2)))</f>
        <v>-0.72205651762534906</v>
      </c>
      <c r="W89" s="269">
        <f>Tabella34[[#This Row],[Italy g.r.]]/Italy_gr_at_lockdown</f>
        <v>0.52232224651813075</v>
      </c>
      <c r="X89" s="269">
        <f>Tabella34[[#This Row],[t_alpha_t+plus]]</f>
        <v>33.231195104554367</v>
      </c>
      <c r="Y89" s="269">
        <f>Tabella34[[#This Row],[Italy h.t.]]/Italy_ht_at_lockdown</f>
        <v>0.59182689062647598</v>
      </c>
      <c r="Z89" s="91">
        <f>IFERROR(-Kf*_xlfn.LOGNORM.DIST((Tabella34[[#This Row],[Day]]-D_bk),mu_f,sigma_f,FALSE)*(1+(LN((Tabella34[[#This Row],[Day]]-D_bk))-mu_f)/sigma_f^2)/(Tabella34[[#This Row],[Day]]-D_bk),0)</f>
        <v>117.50872451069387</v>
      </c>
      <c r="AA89" s="91">
        <f>Tabella34[[#This Row],[Italy acc. fit]]/Itali_acc_at_lockdown</f>
        <v>0.4836408696169352</v>
      </c>
      <c r="AB89" s="96">
        <f>Tabella34[[#This Row],[Italy acc. fit]]/y_f_peak</f>
        <v>2.3215675474132801E-2</v>
      </c>
      <c r="AC89" s="163">
        <f>Tabella34[[#This Row],[Italy (fitted Lombardy + fitted sum of the other regions)]]*NOT(ISBLANK(Tabella34[[#This Row],[Italy data]]))</f>
        <v>122.8207520492702</v>
      </c>
      <c r="AD89" s="163">
        <f>Tabella34[[#This Row],[Italy acc. fit]]*NOT(ISBLANK(Tabella34[[#This Row],[Italy data]]))</f>
        <v>117.50872451069387</v>
      </c>
      <c r="AE89" s="96">
        <f>Tabella34[[#This Row],[Italy acc. fit]]+CIf</f>
        <v>1131.2717265310116</v>
      </c>
      <c r="AF89" s="96">
        <f>MAX(Tabella34[[#This Row],[Italy acc. fit]]-CIf,0)</f>
        <v>0</v>
      </c>
      <c r="AG89" s="4">
        <f>Tabella8[[#This Row],[Lombardy]]</f>
        <v>27206</v>
      </c>
      <c r="AH89" s="91">
        <f>(Tabella34[[#This Row],[Lombardy cumul. Data]]-AG88)</f>
        <v>1691</v>
      </c>
      <c r="AI89" s="91">
        <f>Tabella34[[#This Row],[Lombardy data]]-AH88</f>
        <v>-1560</v>
      </c>
      <c r="AJ89" s="96">
        <f>Tabella34[[#This Row],[Lombardy data]]*NOT(ISBLANK(Tabella34[[#This Row],[Lombardy data]]))</f>
        <v>1691</v>
      </c>
      <c r="AK89" s="96">
        <f>Tabella8[[#This Row],[Lombardy fit]]</f>
        <v>25014.226213352795</v>
      </c>
      <c r="AL89" s="163">
        <f>_xlfn.LOGNORM.INV(alpha*Tabella34[[#This Row],[Lombardy cumul. Fit]]/Kr,mu_r,sigma_r)-(Tabella34[[#This Row],[Day]]-pr)</f>
        <v>14.766977540909892</v>
      </c>
      <c r="AM89" s="96">
        <f>Tabella34[[#This Row],[Lombardy cumul. Fit]]/Kl</f>
        <v>0.28751984153279075</v>
      </c>
      <c r="AN89" s="96">
        <f>IFERROR(Kr*_xlfn.LOGNORM.DIST((Tabella34[[#This Row],[Day]]-pr),mu_r,sigma_r,FALSE),0)</f>
        <v>1715.840452770231</v>
      </c>
      <c r="AO89" s="209">
        <f>Tabella34[[#This Row],[Lombardy velocity]]/Tabella34[[#This Row],[Lombardy cumul. Fit]]</f>
        <v>6.8594584463072525E-2</v>
      </c>
      <c r="AP89" s="266">
        <f>(LN(Tabella34[[#This Row],[Day]]-pr)-mu_r)/sigma_r</f>
        <v>-0.56064483139994548</v>
      </c>
      <c r="AQ89" s="269">
        <f>EXP(mu_r+sigma_r*Tabella34[[#This Row],[x_r_alpha©+plus]])-(Tabella34[[#This Row],[Day]]-pr)</f>
        <v>31.508142701776976</v>
      </c>
      <c r="AR89" s="269">
        <f>EXP(mu_r+sigma_r*Tabella34[[#This Row],[x_r_alpha©-minus]])-(Tabella34[[#This Row],[Day]]-pr)</f>
        <v>-14.374685354641635</v>
      </c>
      <c r="AS89" s="269">
        <f>-sigma_r+SQRT(sigma_r^2-2*Tabella34[[#This Row],[c_r]])</f>
        <v>0.85739995225100563</v>
      </c>
      <c r="AT89" s="269">
        <f>-sigma_r-SQRT(sigma_r^2-2*Tabella34[[#This Row],[c_r]])</f>
        <v>-1.5382545494447348</v>
      </c>
      <c r="AU89" s="269">
        <f>mu_r-LN(alpha*Kr/(Tabella34[[#This Row],[Lombardy velocity]]*sigma_r*SQRTPI(2)))</f>
        <v>-0.6594496886219039</v>
      </c>
      <c r="AV89" s="269">
        <f>Tabella34[[#This Row],[t_alpha_r+plus]]</f>
        <v>31.508142701776976</v>
      </c>
      <c r="AW89" s="91">
        <f>IFERROR(-Kl*_xlfn.LOGNORM.DIST((Tabella34[[#This Row],[Day]]-pl),mu_l,sigma_l,FALSE)*(1+(LN((Tabella34[[#This Row],[Day]]-pl))-mu_l)/sigma_l^2)/(Tabella34[[#This Row],[Day]]-pl),0)</f>
        <v>21.859019154803104</v>
      </c>
      <c r="AX89" s="96">
        <f>Tabella34[[#This Row],[Lombardy acc. fit]]/y_l_peak</f>
        <v>1.2434348842136017E-2</v>
      </c>
      <c r="AY89" s="163">
        <f>Tabella34[[#This Row],[Lombardy acc. fit]]*NOT(ISBLANK(Tabella34[[#This Row],[Lombardy data]]))</f>
        <v>21.859019154803104</v>
      </c>
      <c r="AZ89" s="96">
        <f>Tabella34[[#This Row],[Lombardy acc. fit]]+CIl</f>
        <v>770.81439095842677</v>
      </c>
      <c r="BA89" s="96">
        <f>MAX(Tabella34[[#This Row],[Lombardy acc. fit]]-CIl,0)</f>
        <v>0</v>
      </c>
      <c r="BB89" s="10">
        <f>Tabella8[[#This Row],[rest of Italy ]]</f>
        <v>31932</v>
      </c>
      <c r="BC89" s="10">
        <f>(Tabella34[[#This Row],[rest of Italy cum. Data]]-BB88)</f>
        <v>3869</v>
      </c>
      <c r="BD89" s="10">
        <f>Tabella34[[#This Row],[rest of Italy data]]-BC88</f>
        <v>563</v>
      </c>
      <c r="BE89" s="96">
        <f>Tabella34[[#This Row],[rest of Italy data]]*NOT(ISBLANK(Tabella34[[#This Row],[rest of Italy data]]))</f>
        <v>3869</v>
      </c>
      <c r="BF89" s="96">
        <f>Tabella8[[#This Row],[rest of Italy fit]]</f>
        <v>31441.865272423573</v>
      </c>
      <c r="BG89" s="163">
        <f>_xlfn.LOGNORM.INV(alpha*Tabella34[[#This Row],[rest of Italy cumul. Fit]]/Ko,mu_o,sigma_o)-(Tabella34[[#This Row],[Day]]-po)</f>
        <v>9.5693082042581068</v>
      </c>
      <c r="BH89" s="96">
        <f>Tabella34[[#This Row],[rest of Italy cumul. Fit]]/Ka</f>
        <v>0.21244506035553287</v>
      </c>
      <c r="BI89" s="163">
        <f>IFERROR(Ko*_xlfn.LOGNORM.DIST((Tabella34[[#This Row],[Day]]-po),mu_o,sigma_o,FALSE),0)</f>
        <v>3016.5308387721075</v>
      </c>
      <c r="BJ89" s="206">
        <f>Tabella34[[#This Row],[rest of Italy velocity]]/Tabella34[[#This Row],[rest of Italy cumul. Fit]]</f>
        <v>9.5939945440125921E-2</v>
      </c>
      <c r="BK89" s="261">
        <f>(LN(Tabella34[[#This Row],[Day]]-po)-mu_o)/sigma_o</f>
        <v>-0.79796617265893766</v>
      </c>
      <c r="BL89" s="269">
        <f>EXP(mu_o+sigma_o*Tabella34[[#This Row],[x_o_alpha©+plus]])-(Tabella34[[#This Row],[Day]]-po)</f>
        <v>33.359914189656564</v>
      </c>
      <c r="BM89" s="269">
        <f>EXP(mu_o+sigma_o*Tabella34[[#This Row],[x_o_alpha©-minus]])-(Tabella34[[#This Row],[Day]]-po)</f>
        <v>-9.9727681314336465</v>
      </c>
      <c r="BN89" s="269">
        <f>-sigma_o+SQRT(sigma_o^2-2*Tabella34[[#This Row],[c_o]])</f>
        <v>0.94868184654201426</v>
      </c>
      <c r="BO89" s="269">
        <f>-sigma_o-SQRT(sigma_o^2-2*Tabella34[[#This Row],[c_o]])</f>
        <v>-1.5916546238410403</v>
      </c>
      <c r="BP89" s="269">
        <f>mu_o-LN(alpha*Ko/(Tabella34[[#This Row],[rest of Italy velocity]]*sigma_o*SQRTPI(2)))</f>
        <v>-0.7549869238013267</v>
      </c>
      <c r="BQ89" s="269">
        <f>Tabella34[[#This Row],[t_alpha_o+plus]]</f>
        <v>33.359914189656564</v>
      </c>
      <c r="BR89" s="91">
        <f>IFERROR(-Ka*_xlfn.LOGNORM.DIST((Tabella34[[#This Row],[Day]]-pa),mu_a,sigma_a,FALSE)*(1+(LN((Tabella34[[#This Row],[Day]]-pa))-mu_a)/sigma_a^2)/(Tabella34[[#This Row],[Day]]-pa),0)</f>
        <v>100.96173289446709</v>
      </c>
      <c r="BS89" s="96">
        <f>Tabella34[[#This Row],[rest of Italy acc. fit]]/y_a_peak</f>
        <v>2.9877856726389873E-2</v>
      </c>
      <c r="BT89" s="96">
        <f>Tabella34[[#This Row],[rest of Italy acc. fit]]*NOT(ISBLANK(Tabella34[[#This Row],[rest of Italy data]]))</f>
        <v>100.96173289446709</v>
      </c>
      <c r="BU89" s="96">
        <f>Tabella34[[#This Row],[rest of Italy acc. fit]]+CIa</f>
        <v>795.61376875806445</v>
      </c>
      <c r="BV89" s="96">
        <f>MAX(Tabella34[[#This Row],[rest of Italy acc. fit]]-CIa,0)</f>
        <v>0</v>
      </c>
    </row>
    <row r="90" spans="2:74" x14ac:dyDescent="0.3">
      <c r="B90" s="288">
        <v>43913</v>
      </c>
      <c r="C90" s="30">
        <v>83</v>
      </c>
      <c r="D90" s="10">
        <f>Tabella8[[#This Row],[Italy cumulative]]</f>
        <v>63927</v>
      </c>
      <c r="E90" s="91">
        <f>(Tabella34[[#This Row],[Italy cumul. Data]]-D89)</f>
        <v>4789</v>
      </c>
      <c r="F90" s="91">
        <f>Tabella34[[#This Row],[Italy data]]-E89</f>
        <v>-771</v>
      </c>
      <c r="G90" s="96">
        <f>Tabella34[[#This Row],[Italy data]]*NOT(ISBLANK(Tabella34[[#This Row],[Italy data]]))</f>
        <v>4789</v>
      </c>
      <c r="H90" s="163">
        <f>Tabella8[[#This Row],[Italy fit]]</f>
        <v>61483.932342251152</v>
      </c>
      <c r="I90" s="163">
        <f>_xlfn.LOGNORM.INV(alpha*Tabella34[[#This Row],[Italy cumul. Fit]]/Kt,mu_t,sigma_t)-(Tabella34[[#This Row],[Day]]-pt)</f>
        <v>12.398918198967067</v>
      </c>
      <c r="J90" s="163">
        <f>Tabella34[[#This Row],[Italy d.t.]]/Italy_dt_at_lockdown</f>
        <v>2.4352524469593582</v>
      </c>
      <c r="K90" s="96">
        <f>Tabella34[[#This Row],[Italy cumul. Fit]]/Kf</f>
        <v>0.26163382603571794</v>
      </c>
      <c r="L90" s="166">
        <f>Tabella34[[#This Row],[Lombardy acc. fit]]+Tabella34[[#This Row],[rest of Italy acc. fit]]</f>
        <v>103.00213660325727</v>
      </c>
      <c r="M90" s="96">
        <f>Tabella34[[#This Row],[Italy (fitted Lombardy + fitted sum of the other regions)]]/(y_l_peak+y_a_peak)</f>
        <v>2.0050624832593886E-2</v>
      </c>
      <c r="N90" s="163">
        <f>IFERROR(Kt*_xlfn.LOGNORM.DIST((Tabella34[[#This Row],[Day]]-pt),mu_t,sigma_t,FALSE),0)</f>
        <v>4795.4312928887284</v>
      </c>
      <c r="O90" s="163">
        <f>Kt*EXP(-0.5*Tabella34[[#This Row],[x_t]]^2)/(sigma_t*SQRTPI(2)*(Tabella34[[#This Row],[Day]]-D_bk))</f>
        <v>4795.4312928887275</v>
      </c>
      <c r="P90" s="206">
        <f>Tabella34[[#This Row],[Italy velocity]]/Tabella34[[#This Row],[Italy cumul. Fit]]</f>
        <v>7.7994869719700016E-2</v>
      </c>
      <c r="Q90" s="269">
        <f>(LN(Tabella34[[#This Row],[Day]]-D_bk)-mu_t)/sigma_t</f>
        <v>-0.63831653268566835</v>
      </c>
      <c r="R90" s="269">
        <f>EXP(mu_t+sigma_t*Tabella34[[#This Row],[x_t_alpha©+plus]])-(Tabella34[[#This Row],[Day]]-D_bk)</f>
        <v>31.752229073341248</v>
      </c>
      <c r="S90" s="269">
        <f>EXP(mu_t+sigma_t*Tabella34[[#This Row],[x_t_alpha©-minus]])-(Tabella34[[#This Row],[Day]]-D_bk)</f>
        <v>-12.450251461596373</v>
      </c>
      <c r="T90" s="269">
        <f>-sigma_t+SQRT(sigma_t^2-2*Tabella34[[#This Row],[c_t]])</f>
        <v>0.9128122357820232</v>
      </c>
      <c r="U90" s="269">
        <f>-sigma_t-SQRT(sigma_t^2-2*Tabella34[[#This Row],[c_t]])</f>
        <v>-1.5320491416742603</v>
      </c>
      <c r="V90" s="269">
        <f>mu_t-LN(alpha*Kt/(Tabella34[[#This Row],[Italy velocity]]*sigma_t*SQRTPI(2)))</f>
        <v>-0.69923660116980546</v>
      </c>
      <c r="W90" s="269">
        <f>Tabella34[[#This Row],[Italy g.r.]]/Italy_gr_at_lockdown</f>
        <v>0.49315649111279203</v>
      </c>
      <c r="X90" s="269">
        <f>Tabella34[[#This Row],[t_alpha_t+plus]]</f>
        <v>31.752229073341248</v>
      </c>
      <c r="Y90" s="269">
        <f>Tabella34[[#This Row],[Italy h.t.]]/Italy_ht_at_lockdown</f>
        <v>0.56548742661258378</v>
      </c>
      <c r="Z90" s="91">
        <f>IFERROR(-Kf*_xlfn.LOGNORM.DIST((Tabella34[[#This Row],[Day]]-D_bk),mu_f,sigma_f,FALSE)*(1+(LN((Tabella34[[#This Row],[Day]]-D_bk))-mu_f)/sigma_f^2)/(Tabella34[[#This Row],[Day]]-D_bk),0)</f>
        <v>98.844136417177793</v>
      </c>
      <c r="AA90" s="91">
        <f>Tabella34[[#This Row],[Italy acc. fit]]/Itali_acc_at_lockdown</f>
        <v>0.406821402346073</v>
      </c>
      <c r="AB90" s="96">
        <f>Tabella34[[#This Row],[Italy acc. fit]]/y_f_peak</f>
        <v>1.9528195911728066E-2</v>
      </c>
      <c r="AC90" s="163">
        <f>Tabella34[[#This Row],[Italy (fitted Lombardy + fitted sum of the other regions)]]*NOT(ISBLANK(Tabella34[[#This Row],[Italy data]]))</f>
        <v>103.00213660325727</v>
      </c>
      <c r="AD90" s="163">
        <f>Tabella34[[#This Row],[Italy acc. fit]]*NOT(ISBLANK(Tabella34[[#This Row],[Italy data]]))</f>
        <v>98.844136417177793</v>
      </c>
      <c r="AE90" s="96">
        <f>Tabella34[[#This Row],[Italy acc. fit]]+CIf</f>
        <v>1112.6071384374955</v>
      </c>
      <c r="AF90" s="96">
        <f>MAX(Tabella34[[#This Row],[Italy acc. fit]]-CIf,0)</f>
        <v>0</v>
      </c>
      <c r="AG90" s="4">
        <f>Tabella8[[#This Row],[Lombardy]]</f>
        <v>28761</v>
      </c>
      <c r="AH90" s="91">
        <f>(Tabella34[[#This Row],[Lombardy cumul. Data]]-AG89)</f>
        <v>1555</v>
      </c>
      <c r="AI90" s="91">
        <f>Tabella34[[#This Row],[Lombardy data]]-AH89</f>
        <v>-136</v>
      </c>
      <c r="AJ90" s="96">
        <f>Tabella34[[#This Row],[Lombardy data]]*NOT(ISBLANK(Tabella34[[#This Row],[Lombardy data]]))</f>
        <v>1555</v>
      </c>
      <c r="AK90" s="96">
        <f>Tabella8[[#This Row],[Lombardy fit]]</f>
        <v>26740.019396335363</v>
      </c>
      <c r="AL90" s="163">
        <f>_xlfn.LOGNORM.INV(alpha*Tabella34[[#This Row],[Lombardy cumul. Fit]]/Kr,mu_r,sigma_r)-(Tabella34[[#This Row],[Day]]-pr)</f>
        <v>16.092252467244421</v>
      </c>
      <c r="AM90" s="96">
        <f>Tabella34[[#This Row],[Lombardy cumul. Fit]]/Kl</f>
        <v>0.30735654478546393</v>
      </c>
      <c r="AN90" s="96">
        <f>IFERROR(Kr*_xlfn.LOGNORM.DIST((Tabella34[[#This Row],[Day]]-pr),mu_r,sigma_r,FALSE),0)</f>
        <v>1734.7751514208735</v>
      </c>
      <c r="AO90" s="209">
        <f>Tabella34[[#This Row],[Lombardy velocity]]/Tabella34[[#This Row],[Lombardy cumul. Fit]]</f>
        <v>6.4875613054290418E-2</v>
      </c>
      <c r="AP90" s="266">
        <f>(LN(Tabella34[[#This Row],[Day]]-pr)-mu_r)/sigma_r</f>
        <v>-0.50335729645664617</v>
      </c>
      <c r="AQ90" s="269">
        <f>EXP(mu_r+sigma_r*Tabella34[[#This Row],[x_r_alpha©+plus]])-(Tabella34[[#This Row],[Day]]-pr)</f>
        <v>30.250900170112018</v>
      </c>
      <c r="AR90" s="269">
        <f>EXP(mu_r+sigma_r*Tabella34[[#This Row],[x_r_alpha©-minus]])-(Tabella34[[#This Row],[Day]]-pr)</f>
        <v>-15.260524980272102</v>
      </c>
      <c r="AS90" s="269">
        <f>-sigma_r+SQRT(sigma_r^2-2*Tabella34[[#This Row],[c_r]])</f>
        <v>0.84820239366329453</v>
      </c>
      <c r="AT90" s="269">
        <f>-sigma_r-SQRT(sigma_r^2-2*Tabella34[[#This Row],[c_r]])</f>
        <v>-1.5290569908570237</v>
      </c>
      <c r="AU90" s="269">
        <f>mu_r-LN(alpha*Kr/(Tabella34[[#This Row],[Lombardy velocity]]*sigma_r*SQRTPI(2)))</f>
        <v>-0.64847489984626083</v>
      </c>
      <c r="AV90" s="269">
        <f>Tabella34[[#This Row],[t_alpha_r+plus]]</f>
        <v>30.250900170112018</v>
      </c>
      <c r="AW90" s="91">
        <f>IFERROR(-Kl*_xlfn.LOGNORM.DIST((Tabella34[[#This Row],[Day]]-pl),mu_l,sigma_l,FALSE)*(1+(LN((Tabella34[[#This Row],[Day]]-pl))-mu_l)/sigma_l^2)/(Tabella34[[#This Row],[Day]]-pl),0)</f>
        <v>16.035274705755985</v>
      </c>
      <c r="AX90" s="96">
        <f>Tabella34[[#This Row],[Lombardy acc. fit]]/y_l_peak</f>
        <v>9.1215528958003642E-3</v>
      </c>
      <c r="AY90" s="163">
        <f>Tabella34[[#This Row],[Lombardy acc. fit]]*NOT(ISBLANK(Tabella34[[#This Row],[Lombardy data]]))</f>
        <v>16.035274705755985</v>
      </c>
      <c r="AZ90" s="96">
        <f>Tabella34[[#This Row],[Lombardy acc. fit]]+CIl</f>
        <v>764.99064650937964</v>
      </c>
      <c r="BA90" s="96">
        <f>MAX(Tabella34[[#This Row],[Lombardy acc. fit]]-CIl,0)</f>
        <v>0</v>
      </c>
      <c r="BB90" s="10">
        <f>Tabella8[[#This Row],[rest of Italy ]]</f>
        <v>35166</v>
      </c>
      <c r="BC90" s="10">
        <f>(Tabella34[[#This Row],[rest of Italy cum. Data]]-BB89)</f>
        <v>3234</v>
      </c>
      <c r="BD90" s="10">
        <f>Tabella34[[#This Row],[rest of Italy data]]-BC89</f>
        <v>-635</v>
      </c>
      <c r="BE90" s="96">
        <f>Tabella34[[#This Row],[rest of Italy data]]*NOT(ISBLANK(Tabella34[[#This Row],[rest of Italy data]]))</f>
        <v>3234</v>
      </c>
      <c r="BF90" s="96">
        <f>Tabella8[[#This Row],[rest of Italy fit]]</f>
        <v>34506.560712151368</v>
      </c>
      <c r="BG90" s="163">
        <f>_xlfn.LOGNORM.INV(alpha*Tabella34[[#This Row],[rest of Italy cumul. Fit]]/Ko,mu_o,sigma_o)-(Tabella34[[#This Row],[Day]]-po)</f>
        <v>10.415249449034846</v>
      </c>
      <c r="BH90" s="96">
        <f>Tabella34[[#This Row],[rest of Italy cumul. Fit]]/Ka</f>
        <v>0.23315246438589535</v>
      </c>
      <c r="BI90" s="163">
        <f>IFERROR(Ko*_xlfn.LOGNORM.DIST((Tabella34[[#This Row],[Day]]-po),mu_o,sigma_o,FALSE),0)</f>
        <v>3110.5269174635955</v>
      </c>
      <c r="BJ90" s="206">
        <f>Tabella34[[#This Row],[rest of Italy velocity]]/Tabella34[[#This Row],[rest of Italy cumul. Fit]]</f>
        <v>9.0143058400144582E-2</v>
      </c>
      <c r="BK90" s="261">
        <f>(LN(Tabella34[[#This Row],[Day]]-po)-mu_o)/sigma_o</f>
        <v>-0.72850431409324556</v>
      </c>
      <c r="BL90" s="269">
        <f>EXP(mu_o+sigma_o*Tabella34[[#This Row],[x_o_alpha©+plus]])-(Tabella34[[#This Row],[Day]]-po)</f>
        <v>31.753441647094405</v>
      </c>
      <c r="BM90" s="269">
        <f>EXP(mu_o+sigma_o*Tabella34[[#This Row],[x_o_alpha©-minus]])-(Tabella34[[#This Row],[Day]]-po)</f>
        <v>-10.70266128319701</v>
      </c>
      <c r="BN90" s="269">
        <f>-sigma_o+SQRT(sigma_o^2-2*Tabella34[[#This Row],[c_o]])</f>
        <v>0.92428965573102106</v>
      </c>
      <c r="BO90" s="269">
        <f>-sigma_o-SQRT(sigma_o^2-2*Tabella34[[#This Row],[c_o]])</f>
        <v>-1.5672624330300473</v>
      </c>
      <c r="BP90" s="269">
        <f>mu_o-LN(alpha*Ko/(Tabella34[[#This Row],[rest of Italy velocity]]*sigma_o*SQRTPI(2)))</f>
        <v>-0.7243022273327524</v>
      </c>
      <c r="BQ90" s="269">
        <f>Tabella34[[#This Row],[t_alpha_o+plus]]</f>
        <v>31.753441647094405</v>
      </c>
      <c r="BR90" s="91">
        <f>IFERROR(-Ka*_xlfn.LOGNORM.DIST((Tabella34[[#This Row],[Day]]-pa),mu_a,sigma_a,FALSE)*(1+(LN((Tabella34[[#This Row],[Day]]-pa))-mu_a)/sigma_a^2)/(Tabella34[[#This Row],[Day]]-pa),0)</f>
        <v>86.966861897501289</v>
      </c>
      <c r="BS90" s="96">
        <f>Tabella34[[#This Row],[rest of Italy acc. fit]]/y_a_peak</f>
        <v>2.5736319744365986E-2</v>
      </c>
      <c r="BT90" s="96">
        <f>Tabella34[[#This Row],[rest of Italy acc. fit]]*NOT(ISBLANK(Tabella34[[#This Row],[rest of Italy data]]))</f>
        <v>86.966861897501289</v>
      </c>
      <c r="BU90" s="96">
        <f>Tabella34[[#This Row],[rest of Italy acc. fit]]+CIa</f>
        <v>781.61889776109865</v>
      </c>
      <c r="BV90" s="96">
        <f>MAX(Tabella34[[#This Row],[rest of Italy acc. fit]]-CIa,0)</f>
        <v>0</v>
      </c>
    </row>
    <row r="91" spans="2:74" x14ac:dyDescent="0.3">
      <c r="B91" s="288">
        <v>43914</v>
      </c>
      <c r="C91" s="30">
        <v>84</v>
      </c>
      <c r="D91" s="10">
        <f>Tabella8[[#This Row],[Italy cumulative]]</f>
        <v>69176</v>
      </c>
      <c r="E91" s="91">
        <f>(Tabella34[[#This Row],[Italy cumul. Data]]-D90)</f>
        <v>5249</v>
      </c>
      <c r="F91" s="91">
        <f>Tabella34[[#This Row],[Italy data]]-E90</f>
        <v>460</v>
      </c>
      <c r="G91" s="96">
        <f>Tabella34[[#This Row],[Italy data]]*NOT(ISBLANK(Tabella34[[#This Row],[Italy data]]))</f>
        <v>5249</v>
      </c>
      <c r="H91" s="163">
        <f>Tabella8[[#This Row],[Italy fit]]</f>
        <v>66325.661522775845</v>
      </c>
      <c r="I91" s="163">
        <f>_xlfn.LOGNORM.INV(alpha*Tabella34[[#This Row],[Italy cumul. Fit]]/Kt,mu_t,sigma_t)-(Tabella34[[#This Row],[Day]]-pt)</f>
        <v>13.489420676170361</v>
      </c>
      <c r="J91" s="163">
        <f>Tabella34[[#This Row],[Italy d.t.]]/Italy_dt_at_lockdown</f>
        <v>2.6494363607015914</v>
      </c>
      <c r="K91" s="96">
        <f>Tabella34[[#This Row],[Italy cumul. Fit]]/Kf</f>
        <v>0.28223693455320864</v>
      </c>
      <c r="L91" s="166">
        <f>Tabella34[[#This Row],[Lombardy acc. fit]]+Tabella34[[#This Row],[rest of Italy acc. fit]]</f>
        <v>83.087846178141035</v>
      </c>
      <c r="M91" s="96">
        <f>Tabella34[[#This Row],[Italy (fitted Lombardy + fitted sum of the other regions)]]/(y_l_peak+y_a_peak)</f>
        <v>1.6174064799093616E-2</v>
      </c>
      <c r="N91" s="163">
        <f>IFERROR(Kt*_xlfn.LOGNORM.DIST((Tabella34[[#This Row],[Day]]-pt),mu_t,sigma_t,FALSE),0)</f>
        <v>4884.9037565722474</v>
      </c>
      <c r="O91" s="163">
        <f>Kt*EXP(-0.5*Tabella34[[#This Row],[x_t]]^2)/(sigma_t*SQRTPI(2)*(Tabella34[[#This Row],[Day]]-D_bk))</f>
        <v>4884.9037565722465</v>
      </c>
      <c r="P91" s="206">
        <f>Tabella34[[#This Row],[Italy velocity]]/Tabella34[[#This Row],[Italy cumul. Fit]]</f>
        <v>7.3650283230040609E-2</v>
      </c>
      <c r="Q91" s="269">
        <f>(LN(Tabella34[[#This Row],[Day]]-D_bk)-mu_t)/sigma_t</f>
        <v>-0.57620907922139397</v>
      </c>
      <c r="R91" s="269">
        <f>EXP(mu_t+sigma_t*Tabella34[[#This Row],[x_t_alpha©+plus]])-(Tabella34[[#This Row],[Day]]-D_bk)</f>
        <v>30.360889885129232</v>
      </c>
      <c r="S91" s="269">
        <f>EXP(mu_t+sigma_t*Tabella34[[#This Row],[x_t_alpha©-minus]])-(Tabella34[[#This Row],[Day]]-D_bk)</f>
        <v>-13.265813725020081</v>
      </c>
      <c r="T91" s="269">
        <f>-sigma_t+SQRT(sigma_t^2-2*Tabella34[[#This Row],[c_t]])</f>
        <v>0.89759524940228208</v>
      </c>
      <c r="U91" s="269">
        <f>-sigma_t-SQRT(sigma_t^2-2*Tabella34[[#This Row],[c_t]])</f>
        <v>-1.5168321552945192</v>
      </c>
      <c r="V91" s="269">
        <f>mu_t-LN(alpha*Kt/(Tabella34[[#This Row],[Italy velocity]]*sigma_t*SQRTPI(2)))</f>
        <v>-0.68075066836649256</v>
      </c>
      <c r="W91" s="269">
        <f>Tabella34[[#This Row],[Italy g.r.]]/Italy_gr_at_lockdown</f>
        <v>0.46568595316232853</v>
      </c>
      <c r="X91" s="269">
        <f>Tabella34[[#This Row],[t_alpha_t+plus]]</f>
        <v>30.360889885129232</v>
      </c>
      <c r="Y91" s="269">
        <f>Tabella34[[#This Row],[Italy h.t.]]/Italy_ht_at_lockdown</f>
        <v>0.54070854210435171</v>
      </c>
      <c r="Z91" s="91">
        <f>IFERROR(-Kf*_xlfn.LOGNORM.DIST((Tabella34[[#This Row],[Day]]-D_bk),mu_f,sigma_f,FALSE)*(1+(LN((Tabella34[[#This Row],[Day]]-D_bk))-mu_f)/sigma_f^2)/(Tabella34[[#This Row],[Day]]-D_bk),0)</f>
        <v>80.107954576759781</v>
      </c>
      <c r="AA91" s="91">
        <f>Tabella34[[#This Row],[Italy acc. fit]]/Itali_acc_at_lockdown</f>
        <v>0.3297072704691999</v>
      </c>
      <c r="AB91" s="96">
        <f>Tabella34[[#This Row],[Italy acc. fit]]/y_f_peak</f>
        <v>1.5826571891531162E-2</v>
      </c>
      <c r="AC91" s="163">
        <f>Tabella34[[#This Row],[Italy (fitted Lombardy + fitted sum of the other regions)]]*NOT(ISBLANK(Tabella34[[#This Row],[Italy data]]))</f>
        <v>83.087846178141035</v>
      </c>
      <c r="AD91" s="163">
        <f>Tabella34[[#This Row],[Italy acc. fit]]*NOT(ISBLANK(Tabella34[[#This Row],[Italy data]]))</f>
        <v>80.107954576759781</v>
      </c>
      <c r="AE91" s="96">
        <f>Tabella34[[#This Row],[Italy acc. fit]]+CIf</f>
        <v>1093.8709565970776</v>
      </c>
      <c r="AF91" s="96">
        <f>MAX(Tabella34[[#This Row],[Italy acc. fit]]-CIf,0)</f>
        <v>0</v>
      </c>
      <c r="AG91" s="4">
        <f>Tabella8[[#This Row],[Lombardy]]</f>
        <v>30703</v>
      </c>
      <c r="AH91" s="91">
        <f>(Tabella34[[#This Row],[Lombardy cumul. Data]]-AG90)</f>
        <v>1942</v>
      </c>
      <c r="AI91" s="91">
        <f>Tabella34[[#This Row],[Lombardy data]]-AH90</f>
        <v>387</v>
      </c>
      <c r="AJ91" s="96">
        <f>Tabella34[[#This Row],[Lombardy data]]*NOT(ISBLANK(Tabella34[[#This Row],[Lombardy data]]))</f>
        <v>1942</v>
      </c>
      <c r="AK91" s="96">
        <f>Tabella8[[#This Row],[Lombardy fit]]</f>
        <v>28481.862285154002</v>
      </c>
      <c r="AL91" s="163">
        <f>_xlfn.LOGNORM.INV(alpha*Tabella34[[#This Row],[Lombardy cumul. Fit]]/Kr,mu_r,sigma_r)-(Tabella34[[#This Row],[Day]]-pr)</f>
        <v>17.599671131563994</v>
      </c>
      <c r="AM91" s="96">
        <f>Tabella34[[#This Row],[Lombardy cumul. Fit]]/Kl</f>
        <v>0.32737772741556326</v>
      </c>
      <c r="AN91" s="96">
        <f>IFERROR(Kr*_xlfn.LOGNORM.DIST((Tabella34[[#This Row],[Day]]-pr),mu_r,sigma_r,FALSE),0)</f>
        <v>1747.968685586088</v>
      </c>
      <c r="AO91" s="209">
        <f>Tabella34[[#This Row],[Lombardy velocity]]/Tabella34[[#This Row],[Lombardy cumul. Fit]]</f>
        <v>6.1371291950147726E-2</v>
      </c>
      <c r="AP91" s="266">
        <f>(LN(Tabella34[[#This Row],[Day]]-pr)-mu_r)/sigma_r</f>
        <v>-0.44716565843607092</v>
      </c>
      <c r="AQ91" s="269">
        <f>EXP(mu_r+sigma_r*Tabella34[[#This Row],[x_r_alpha©+plus]])-(Tabella34[[#This Row],[Day]]-pr)</f>
        <v>29.072616302125709</v>
      </c>
      <c r="AR91" s="269">
        <f>EXP(mu_r+sigma_r*Tabella34[[#This Row],[x_r_alpha©-minus]])-(Tabella34[[#This Row],[Day]]-pr)</f>
        <v>-16.180984279329486</v>
      </c>
      <c r="AS91" s="269">
        <f>-sigma_r+SQRT(sigma_r^2-2*Tabella34[[#This Row],[c_r]])</f>
        <v>0.8418110185714871</v>
      </c>
      <c r="AT91" s="269">
        <f>-sigma_r-SQRT(sigma_r^2-2*Tabella34[[#This Row],[c_r]])</f>
        <v>-1.5226656157652163</v>
      </c>
      <c r="AU91" s="269">
        <f>mu_r-LN(alpha*Kr/(Tabella34[[#This Row],[Lombardy velocity]]*sigma_r*SQRTPI(2)))</f>
        <v>-0.64089834647554866</v>
      </c>
      <c r="AV91" s="269">
        <f>Tabella34[[#This Row],[t_alpha_r+plus]]</f>
        <v>29.072616302125709</v>
      </c>
      <c r="AW91" s="91">
        <f>IFERROR(-Kl*_xlfn.LOGNORM.DIST((Tabella34[[#This Row],[Day]]-pl),mu_l,sigma_l,FALSE)*(1+(LN((Tabella34[[#This Row],[Day]]-pl))-mu_l)/sigma_l^2)/(Tabella34[[#This Row],[Day]]-pl),0)</f>
        <v>10.384333827829417</v>
      </c>
      <c r="AX91" s="96">
        <f>Tabella34[[#This Row],[Lombardy acc. fit]]/y_l_peak</f>
        <v>5.9070550418568249E-3</v>
      </c>
      <c r="AY91" s="163">
        <f>Tabella34[[#This Row],[Lombardy acc. fit]]*NOT(ISBLANK(Tabella34[[#This Row],[Lombardy data]]))</f>
        <v>10.384333827829417</v>
      </c>
      <c r="AZ91" s="96">
        <f>Tabella34[[#This Row],[Lombardy acc. fit]]+CIl</f>
        <v>759.33970563145306</v>
      </c>
      <c r="BA91" s="96">
        <f>MAX(Tabella34[[#This Row],[Lombardy acc. fit]]-CIl,0)</f>
        <v>0</v>
      </c>
      <c r="BB91" s="10">
        <f>Tabella8[[#This Row],[rest of Italy ]]</f>
        <v>38473</v>
      </c>
      <c r="BC91" s="10">
        <f>(Tabella34[[#This Row],[rest of Italy cum. Data]]-BB90)</f>
        <v>3307</v>
      </c>
      <c r="BD91" s="10">
        <f>Tabella34[[#This Row],[rest of Italy data]]-BC90</f>
        <v>73</v>
      </c>
      <c r="BE91" s="96">
        <f>Tabella34[[#This Row],[rest of Italy data]]*NOT(ISBLANK(Tabella34[[#This Row],[rest of Italy data]]))</f>
        <v>3307</v>
      </c>
      <c r="BF91" s="96">
        <f>Tabella8[[#This Row],[rest of Italy fit]]</f>
        <v>37658.20071523654</v>
      </c>
      <c r="BG91" s="163">
        <f>_xlfn.LOGNORM.INV(alpha*Tabella34[[#This Row],[rest of Italy cumul. Fit]]/Ko,mu_o,sigma_o)-(Tabella34[[#This Row],[Day]]-po)</f>
        <v>11.361925659387857</v>
      </c>
      <c r="BH91" s="96">
        <f>Tabella34[[#This Row],[rest of Italy cumul. Fit]]/Ka</f>
        <v>0.25444733175057355</v>
      </c>
      <c r="BI91" s="163">
        <f>IFERROR(Ko*_xlfn.LOGNORM.DIST((Tabella34[[#This Row],[Day]]-po),mu_o,sigma_o,FALSE),0)</f>
        <v>3190.3752687921292</v>
      </c>
      <c r="BJ91" s="206">
        <f>Tabella34[[#This Row],[rest of Italy velocity]]/Tabella34[[#This Row],[rest of Italy cumul. Fit]]</f>
        <v>8.471926985883052E-2</v>
      </c>
      <c r="BK91" s="261">
        <f>(LN(Tabella34[[#This Row],[Day]]-po)-mu_o)/sigma_o</f>
        <v>-0.66055978924549352</v>
      </c>
      <c r="BL91" s="269">
        <f>EXP(mu_o+sigma_o*Tabella34[[#This Row],[x_o_alpha©+plus]])-(Tabella34[[#This Row],[Day]]-po)</f>
        <v>30.247043375867236</v>
      </c>
      <c r="BM91" s="269">
        <f>EXP(mu_o+sigma_o*Tabella34[[#This Row],[x_o_alpha©-minus]])-(Tabella34[[#This Row],[Day]]-po)</f>
        <v>-11.473845188540849</v>
      </c>
      <c r="BN91" s="269">
        <f>-sigma_o+SQRT(sigma_o^2-2*Tabella34[[#This Row],[c_o]])</f>
        <v>0.90377486190549183</v>
      </c>
      <c r="BO91" s="269">
        <f>-sigma_o-SQRT(sigma_o^2-2*Tabella34[[#This Row],[c_o]])</f>
        <v>-1.5467476392045181</v>
      </c>
      <c r="BP91" s="269">
        <f>mu_o-LN(alpha*Ko/(Tabella34[[#This Row],[rest of Italy velocity]]*sigma_o*SQRTPI(2)))</f>
        <v>-0.69895581701235443</v>
      </c>
      <c r="BQ91" s="269">
        <f>Tabella34[[#This Row],[t_alpha_o+plus]]</f>
        <v>30.247043375867236</v>
      </c>
      <c r="BR91" s="91">
        <f>IFERROR(-Ka*_xlfn.LOGNORM.DIST((Tabella34[[#This Row],[Day]]-pa),mu_a,sigma_a,FALSE)*(1+(LN((Tabella34[[#This Row],[Day]]-pa))-mu_a)/sigma_a^2)/(Tabella34[[#This Row],[Day]]-pa),0)</f>
        <v>72.703512350311613</v>
      </c>
      <c r="BS91" s="96">
        <f>Tabella34[[#This Row],[rest of Italy acc. fit]]/y_a_peak</f>
        <v>2.1515331237217397E-2</v>
      </c>
      <c r="BT91" s="96">
        <f>Tabella34[[#This Row],[rest of Italy acc. fit]]*NOT(ISBLANK(Tabella34[[#This Row],[rest of Italy data]]))</f>
        <v>72.703512350311613</v>
      </c>
      <c r="BU91" s="96">
        <f>Tabella34[[#This Row],[rest of Italy acc. fit]]+CIa</f>
        <v>767.35554821390895</v>
      </c>
      <c r="BV91" s="96">
        <f>MAX(Tabella34[[#This Row],[rest of Italy acc. fit]]-CIa,0)</f>
        <v>0</v>
      </c>
    </row>
    <row r="92" spans="2:74" x14ac:dyDescent="0.3">
      <c r="B92" s="288">
        <v>43915</v>
      </c>
      <c r="C92" s="30">
        <v>85</v>
      </c>
      <c r="D92" s="10">
        <f>Tabella8[[#This Row],[Italy cumulative]]</f>
        <v>74386</v>
      </c>
      <c r="E92" s="91">
        <f>(Tabella34[[#This Row],[Italy cumul. Data]]-D91)</f>
        <v>5210</v>
      </c>
      <c r="F92" s="91">
        <f>Tabella34[[#This Row],[Italy data]]-E91</f>
        <v>-39</v>
      </c>
      <c r="G92" s="96">
        <f>Tabella34[[#This Row],[Italy data]]*NOT(ISBLANK(Tabella34[[#This Row],[Italy data]]))</f>
        <v>5210</v>
      </c>
      <c r="H92" s="163">
        <f>Tabella8[[#This Row],[Italy fit]]</f>
        <v>71247.51120842305</v>
      </c>
      <c r="I92" s="284">
        <f>_xlfn.LOGNORM.INV(alpha*Tabella34[[#This Row],[Italy cumul. Fit]]/Kt,mu_t,sigma_t)-(Tabella34[[#This Row],[Day]]-pt)</f>
        <v>14.723511914199371</v>
      </c>
      <c r="J92" s="284">
        <f>Tabella34[[#This Row],[Italy d.t.]]/Italy_dt_at_lockdown</f>
        <v>2.8918223220374455</v>
      </c>
      <c r="K92" s="96">
        <f>Tabella34[[#This Row],[Italy cumul. Fit]]/Kf</f>
        <v>0.30318098148339601</v>
      </c>
      <c r="L92" s="166">
        <f>Tabella34[[#This Row],[Lombardy acc. fit]]+Tabella34[[#This Row],[rest of Italy acc. fit]]</f>
        <v>63.333973551899675</v>
      </c>
      <c r="M92" s="96">
        <f>Tabella34[[#This Row],[Italy (fitted Lombardy + fitted sum of the other regions)]]/(y_l_peak+y_a_peak)</f>
        <v>1.2328732050849575E-2</v>
      </c>
      <c r="N92" s="163">
        <f>IFERROR(Kt*_xlfn.LOGNORM.DIST((Tabella34[[#This Row],[Day]]-pt),mu_t,sigma_t,FALSE),0)</f>
        <v>4955.6972763765934</v>
      </c>
      <c r="O92" s="163">
        <f>Kt*EXP(-0.5*Tabella34[[#This Row],[x_t]]^2)/(sigma_t*SQRTPI(2)*(Tabella34[[#This Row],[Day]]-D_bk))</f>
        <v>4955.6972763765934</v>
      </c>
      <c r="P92" s="206">
        <f>Tabella34[[#This Row],[Italy velocity]]/Tabella34[[#This Row],[Italy cumul. Fit]]</f>
        <v>6.9556075606339487E-2</v>
      </c>
      <c r="Q92" s="269">
        <f>(LN(Tabella34[[#This Row],[Day]]-D_bk)-mu_t)/sigma_t</f>
        <v>-0.51527343017335414</v>
      </c>
      <c r="R92" s="269">
        <f>EXP(mu_t+sigma_t*Tabella34[[#This Row],[x_t_alpha©+plus]])-(Tabella34[[#This Row],[Day]]-D_bk)</f>
        <v>29.054142225966224</v>
      </c>
      <c r="S92" s="269">
        <f>EXP(mu_t+sigma_t*Tabella34[[#This Row],[x_t_alpha©-minus]])-(Tabella34[[#This Row],[Day]]-D_bk)</f>
        <v>-14.120021456319577</v>
      </c>
      <c r="T92" s="269">
        <f>-sigma_t+SQRT(sigma_t^2-2*Tabella34[[#This Row],[c_t]])</f>
        <v>0.88561722706775425</v>
      </c>
      <c r="U92" s="269">
        <f>-sigma_t-SQRT(sigma_t^2-2*Tabella34[[#This Row],[c_t]])</f>
        <v>-1.5048541329599914</v>
      </c>
      <c r="V92" s="269">
        <f>mu_t-LN(alpha*Kt/(Tabella34[[#This Row],[Italy velocity]]*sigma_t*SQRTPI(2)))</f>
        <v>-0.66636237218673866</v>
      </c>
      <c r="W92" s="269">
        <f>Tabella34[[#This Row],[Italy g.r.]]/Italy_gr_at_lockdown</f>
        <v>0.43979854450522166</v>
      </c>
      <c r="X92" s="269">
        <f>Tabella34[[#This Row],[t_alpha_t+plus]]</f>
        <v>29.054142225966224</v>
      </c>
      <c r="Y92" s="269">
        <f>Tabella34[[#This Row],[Italy h.t.]]/Italy_ht_at_lockdown</f>
        <v>0.51743618005048508</v>
      </c>
      <c r="Z92" s="91">
        <f>IFERROR(-Kf*_xlfn.LOGNORM.DIST((Tabella34[[#This Row],[Day]]-D_bk),mu_f,sigma_f,FALSE)*(1+(LN((Tabella34[[#This Row],[Day]]-D_bk))-mu_f)/sigma_f^2)/(Tabella34[[#This Row],[Day]]-D_bk),0)</f>
        <v>61.521228981663768</v>
      </c>
      <c r="AA92" s="91">
        <f>Tabella34[[#This Row],[Italy acc. fit]]/Itali_acc_at_lockdown</f>
        <v>0.25320826864976043</v>
      </c>
      <c r="AB92" s="96">
        <f>Tabella34[[#This Row],[Italy acc. fit]]/y_f_peak</f>
        <v>1.2154475276243351E-2</v>
      </c>
      <c r="AC92" s="163">
        <f>Tabella34[[#This Row],[Italy (fitted Lombardy + fitted sum of the other regions)]]*NOT(ISBLANK(Tabella34[[#This Row],[Italy data]]))</f>
        <v>63.333973551899675</v>
      </c>
      <c r="AD92" s="163">
        <f>Tabella34[[#This Row],[Italy acc. fit]]*NOT(ISBLANK(Tabella34[[#This Row],[Italy data]]))</f>
        <v>61.521228981663768</v>
      </c>
      <c r="AE92" s="96">
        <f>Tabella34[[#This Row],[Italy acc. fit]]+CIf</f>
        <v>1075.2842310019814</v>
      </c>
      <c r="AF92" s="96">
        <f>MAX(Tabella34[[#This Row],[Italy acc. fit]]-CIf,0)</f>
        <v>0</v>
      </c>
      <c r="AG92" s="4">
        <f>Tabella8[[#This Row],[Lombardy]]</f>
        <v>32346</v>
      </c>
      <c r="AH92" s="91">
        <f>(Tabella34[[#This Row],[Lombardy cumul. Data]]-AG91)</f>
        <v>1643</v>
      </c>
      <c r="AI92" s="91">
        <f>Tabella34[[#This Row],[Lombardy data]]-AH91</f>
        <v>-299</v>
      </c>
      <c r="AJ92" s="96">
        <f>Tabella34[[#This Row],[Lombardy data]]*NOT(ISBLANK(Tabella34[[#This Row],[Lombardy data]]))</f>
        <v>1643</v>
      </c>
      <c r="AK92" s="96">
        <f>Tabella8[[#This Row],[Lombardy fit]]</f>
        <v>30234.107454482848</v>
      </c>
      <c r="AL92" s="163">
        <f>_xlfn.LOGNORM.INV(alpha*Tabella34[[#This Row],[Lombardy cumul. Fit]]/Kr,mu_r,sigma_r)-(Tabella34[[#This Row],[Day]]-pr)</f>
        <v>19.33451392052477</v>
      </c>
      <c r="AM92" s="96">
        <f>Tabella34[[#This Row],[Lombardy cumul. Fit]]/Kl</f>
        <v>0.34751847648830858</v>
      </c>
      <c r="AN92" s="96">
        <f>IFERROR(Kr*_xlfn.LOGNORM.DIST((Tabella34[[#This Row],[Day]]-pr),mu_r,sigma_r,FALSE),0)</f>
        <v>1755.6155658875773</v>
      </c>
      <c r="AO92" s="209">
        <f>Tabella34[[#This Row],[Lombardy velocity]]/Tabella34[[#This Row],[Lombardy cumul. Fit]]</f>
        <v>5.8067385271109433E-2</v>
      </c>
      <c r="AP92" s="266">
        <f>(LN(Tabella34[[#This Row],[Day]]-pr)-mu_r)/sigma_r</f>
        <v>-0.39202877466170027</v>
      </c>
      <c r="AQ92" s="269">
        <f>EXP(mu_r+sigma_r*Tabella34[[#This Row],[x_r_alpha©+plus]])-(Tabella34[[#This Row],[Day]]-pr)</f>
        <v>27.969637223739355</v>
      </c>
      <c r="AR92" s="269">
        <f>EXP(mu_r+sigma_r*Tabella34[[#This Row],[x_r_alpha©-minus]])-(Tabella34[[#This Row],[Day]]-pr)</f>
        <v>-17.134882461488836</v>
      </c>
      <c r="AS92" s="269">
        <f>-sigma_r+SQRT(sigma_r^2-2*Tabella34[[#This Row],[c_r]])</f>
        <v>0.83811293128583197</v>
      </c>
      <c r="AT92" s="269">
        <f>-sigma_r-SQRT(sigma_r^2-2*Tabella34[[#This Row],[c_r]])</f>
        <v>-1.5189675284795612</v>
      </c>
      <c r="AU92" s="269">
        <f>mu_r-LN(alpha*Kr/(Tabella34[[#This Row],[Lombardy velocity]]*sigma_r*SQRTPI(2)))</f>
        <v>-0.63653316391100034</v>
      </c>
      <c r="AV92" s="269">
        <f>Tabella34[[#This Row],[t_alpha_r+plus]]</f>
        <v>27.969637223739355</v>
      </c>
      <c r="AW92" s="91">
        <f>IFERROR(-Kl*_xlfn.LOGNORM.DIST((Tabella34[[#This Row],[Day]]-pl),mu_l,sigma_l,FALSE)*(1+(LN((Tabella34[[#This Row],[Day]]-pl))-mu_l)/sigma_l^2)/(Tabella34[[#This Row],[Day]]-pl),0)</f>
        <v>4.9483939186029984</v>
      </c>
      <c r="AX92" s="96">
        <f>Tabella34[[#This Row],[Lombardy acc. fit]]/y_l_peak</f>
        <v>2.8148589722377382E-3</v>
      </c>
      <c r="AY92" s="163">
        <f>Tabella34[[#This Row],[Lombardy acc. fit]]*NOT(ISBLANK(Tabella34[[#This Row],[Lombardy data]]))</f>
        <v>4.9483939186029984</v>
      </c>
      <c r="AZ92" s="96">
        <f>Tabella34[[#This Row],[Lombardy acc. fit]]+CIl</f>
        <v>753.90376572222658</v>
      </c>
      <c r="BA92" s="96">
        <f>MAX(Tabella34[[#This Row],[Lombardy acc. fit]]-CIl,0)</f>
        <v>0</v>
      </c>
      <c r="BB92" s="10">
        <f>Tabella8[[#This Row],[rest of Italy ]]</f>
        <v>42040</v>
      </c>
      <c r="BC92" s="10">
        <f>(Tabella34[[#This Row],[rest of Italy cum. Data]]-BB91)</f>
        <v>3567</v>
      </c>
      <c r="BD92" s="10">
        <f>Tabella34[[#This Row],[rest of Italy data]]-BC91</f>
        <v>260</v>
      </c>
      <c r="BE92" s="96">
        <f>Tabella34[[#This Row],[rest of Italy data]]*NOT(ISBLANK(Tabella34[[#This Row],[rest of Italy data]]))</f>
        <v>3567</v>
      </c>
      <c r="BF92" s="96">
        <f>Tabella8[[#This Row],[rest of Italy fit]]</f>
        <v>40882.539768465918</v>
      </c>
      <c r="BG92" s="163">
        <f>_xlfn.LOGNORM.INV(alpha*Tabella34[[#This Row],[rest of Italy cumul. Fit]]/Ko,mu_o,sigma_o)-(Tabella34[[#This Row],[Day]]-po)</f>
        <v>12.429207613467682</v>
      </c>
      <c r="BH92" s="96">
        <f>Tabella34[[#This Row],[rest of Italy cumul. Fit]]/Ka</f>
        <v>0.27623340897070586</v>
      </c>
      <c r="BI92" s="163">
        <f>IFERROR(Ko*_xlfn.LOGNORM.DIST((Tabella34[[#This Row],[Day]]-po),mu_o,sigma_o,FALSE),0)</f>
        <v>3255.9159781051599</v>
      </c>
      <c r="BJ92" s="206">
        <f>Tabella34[[#This Row],[rest of Italy velocity]]/Tabella34[[#This Row],[rest of Italy cumul. Fit]]</f>
        <v>7.964074630746297E-2</v>
      </c>
      <c r="BK92" s="261">
        <f>(LN(Tabella34[[#This Row],[Day]]-po)-mu_o)/sigma_o</f>
        <v>-0.59406772306693501</v>
      </c>
      <c r="BL92" s="269">
        <f>EXP(mu_o+sigma_o*Tabella34[[#This Row],[x_o_alpha©+plus]])-(Tabella34[[#This Row],[Day]]-po)</f>
        <v>28.837013746623839</v>
      </c>
      <c r="BM92" s="269">
        <f>EXP(mu_o+sigma_o*Tabella34[[#This Row],[x_o_alpha©-minus]])-(Tabella34[[#This Row],[Day]]-po)</f>
        <v>-12.286342724124395</v>
      </c>
      <c r="BN92" s="269">
        <f>-sigma_o+SQRT(sigma_o^2-2*Tabella34[[#This Row],[c_o]])</f>
        <v>0.88706437362432433</v>
      </c>
      <c r="BO92" s="269">
        <f>-sigma_o-SQRT(sigma_o^2-2*Tabella34[[#This Row],[c_o]])</f>
        <v>-1.5300371509233504</v>
      </c>
      <c r="BP92" s="269">
        <f>mu_o-LN(alpha*Ko/(Tabella34[[#This Row],[rest of Italy velocity]]*sigma_o*SQRTPI(2)))</f>
        <v>-0.67862072345288382</v>
      </c>
      <c r="BQ92" s="269">
        <f>Tabella34[[#This Row],[t_alpha_o+plus]]</f>
        <v>28.837013746623839</v>
      </c>
      <c r="BR92" s="91">
        <f>IFERROR(-Ka*_xlfn.LOGNORM.DIST((Tabella34[[#This Row],[Day]]-pa),mu_a,sigma_a,FALSE)*(1+(LN((Tabella34[[#This Row],[Day]]-pa))-mu_a)/sigma_a^2)/(Tabella34[[#This Row],[Day]]-pa),0)</f>
        <v>58.385579633296679</v>
      </c>
      <c r="BS92" s="96">
        <f>Tabella34[[#This Row],[rest of Italy acc. fit]]/y_a_peak</f>
        <v>1.7278189796863751E-2</v>
      </c>
      <c r="BT92" s="96">
        <f>Tabella34[[#This Row],[rest of Italy acc. fit]]*NOT(ISBLANK(Tabella34[[#This Row],[rest of Italy data]]))</f>
        <v>58.385579633296679</v>
      </c>
      <c r="BU92" s="96">
        <f>Tabella34[[#This Row],[rest of Italy acc. fit]]+CIa</f>
        <v>753.03761549689398</v>
      </c>
      <c r="BV92" s="96">
        <f>MAX(Tabella34[[#This Row],[rest of Italy acc. fit]]-CIa,0)</f>
        <v>0</v>
      </c>
    </row>
    <row r="93" spans="2:74" x14ac:dyDescent="0.3">
      <c r="B93" s="288">
        <v>43916</v>
      </c>
      <c r="C93" s="30">
        <v>86</v>
      </c>
      <c r="D93" s="10">
        <f>Tabella8[[#This Row],[Italy cumulative]]</f>
        <v>80539</v>
      </c>
      <c r="E93" s="91">
        <f>(Tabella34[[#This Row],[Italy cumul. Data]]-D92)</f>
        <v>6153</v>
      </c>
      <c r="F93" s="91">
        <f>Tabella34[[#This Row],[Italy data]]-E92</f>
        <v>943</v>
      </c>
      <c r="G93" s="96">
        <f>Tabella34[[#This Row],[Italy data]]*NOT(ISBLANK(Tabella34[[#This Row],[Italy data]]))</f>
        <v>6153</v>
      </c>
      <c r="H93" s="163">
        <f>Tabella8[[#This Row],[Italy fit]]</f>
        <v>76230.911190638726</v>
      </c>
      <c r="I93" s="163">
        <f>_xlfn.LOGNORM.INV(alpha*Tabella34[[#This Row],[Italy cumul. Fit]]/Kt,mu_t,sigma_t)-(Tabella34[[#This Row],[Day]]-pt)</f>
        <v>16.134543868658803</v>
      </c>
      <c r="J93" s="163">
        <f>Tabella34[[#This Row],[Italy d.t.]]/Italy_dt_at_lockdown</f>
        <v>3.1689609372532019</v>
      </c>
      <c r="K93" s="96">
        <f>Tabella34[[#This Row],[Italy cumul. Fit]]/Kf</f>
        <v>0.32438694464065881</v>
      </c>
      <c r="L93" s="166">
        <f>Tabella34[[#This Row],[Lombardy acc. fit]]+Tabella34[[#This Row],[rest of Italy acc. fit]]</f>
        <v>43.968836382962223</v>
      </c>
      <c r="M93" s="96">
        <f>Tabella34[[#This Row],[Italy (fitted Lombardy + fitted sum of the other regions)]]/(y_l_peak+y_a_peak)</f>
        <v>8.5590714106856761E-3</v>
      </c>
      <c r="N93" s="163">
        <f>IFERROR(Kt*_xlfn.LOGNORM.DIST((Tabella34[[#This Row],[Day]]-pt),mu_t,sigma_t,FALSE),0)</f>
        <v>5008.062350765952</v>
      </c>
      <c r="O93" s="163">
        <f>Kt*EXP(-0.5*Tabella34[[#This Row],[x_t]]^2)/(sigma_t*SQRTPI(2)*(Tabella34[[#This Row],[Day]]-D_bk))</f>
        <v>5008.0623507659502</v>
      </c>
      <c r="P93" s="206">
        <f>Tabella34[[#This Row],[Italy velocity]]/Tabella34[[#This Row],[Italy cumul. Fit]]</f>
        <v>6.5695952895561738E-2</v>
      </c>
      <c r="Q93" s="269">
        <f>(LN(Tabella34[[#This Row],[Day]]-D_bk)-mu_t)/sigma_t</f>
        <v>-0.45546618538572536</v>
      </c>
      <c r="R93" s="269">
        <f>EXP(mu_t+sigma_t*Tabella34[[#This Row],[x_t_alpha©+plus]])-(Tabella34[[#This Row],[Day]]-D_bk)</f>
        <v>27.828820645088989</v>
      </c>
      <c r="S93" s="269">
        <f>EXP(mu_t+sigma_t*Tabella34[[#This Row],[x_t_alpha©-minus]])-(Tabella34[[#This Row],[Day]]-D_bk)</f>
        <v>-15.012237637860878</v>
      </c>
      <c r="T93" s="269">
        <f>-sigma_t+SQRT(sigma_t^2-2*Tabella34[[#This Row],[c_t]])</f>
        <v>0.87679038138446974</v>
      </c>
      <c r="U93" s="269">
        <f>-sigma_t-SQRT(sigma_t^2-2*Tabella34[[#This Row],[c_t]])</f>
        <v>-1.4960272872767069</v>
      </c>
      <c r="V93" s="269">
        <f>mu_t-LN(alpha*Kt/(Tabella34[[#This Row],[Italy velocity]]*sigma_t*SQRTPI(2)))</f>
        <v>-0.6558511678864587</v>
      </c>
      <c r="W93" s="269">
        <f>Tabella34[[#This Row],[Italy g.r.]]/Italy_gr_at_lockdown</f>
        <v>0.41539123953563428</v>
      </c>
      <c r="X93" s="269">
        <f>Tabella34[[#This Row],[t_alpha_t+plus]]</f>
        <v>27.828820645088989</v>
      </c>
      <c r="Y93" s="269">
        <f>Tabella34[[#This Row],[Italy h.t.]]/Italy_ht_at_lockdown</f>
        <v>0.4956139657441237</v>
      </c>
      <c r="Z93" s="91">
        <f>IFERROR(-Kf*_xlfn.LOGNORM.DIST((Tabella34[[#This Row],[Day]]-D_bk),mu_f,sigma_f,FALSE)*(1+(LN((Tabella34[[#This Row],[Day]]-D_bk))-mu_f)/sigma_f^2)/(Tabella34[[#This Row],[Day]]-D_bk),0)</f>
        <v>43.282107669666971</v>
      </c>
      <c r="AA93" s="91">
        <f>Tabella34[[#This Row],[Italy acc. fit]]/Itali_acc_at_lockdown</f>
        <v>0.17813993198697811</v>
      </c>
      <c r="AB93" s="96">
        <f>Tabella34[[#This Row],[Italy acc. fit]]/y_f_peak</f>
        <v>8.5510532914006652E-3</v>
      </c>
      <c r="AC93" s="163">
        <f>Tabella34[[#This Row],[Italy (fitted Lombardy + fitted sum of the other regions)]]*NOT(ISBLANK(Tabella34[[#This Row],[Italy data]]))</f>
        <v>43.968836382962223</v>
      </c>
      <c r="AD93" s="163">
        <f>Tabella34[[#This Row],[Italy acc. fit]]*NOT(ISBLANK(Tabella34[[#This Row],[Italy data]]))</f>
        <v>43.282107669666971</v>
      </c>
      <c r="AE93" s="96">
        <f>Tabella34[[#This Row],[Italy acc. fit]]+CIf</f>
        <v>1057.0451096899847</v>
      </c>
      <c r="AF93" s="96">
        <f>MAX(Tabella34[[#This Row],[Italy acc. fit]]-CIf,0)</f>
        <v>0</v>
      </c>
      <c r="AG93" s="4">
        <f>Tabella8[[#This Row],[Lombardy]]</f>
        <v>34889</v>
      </c>
      <c r="AH93" s="91">
        <f>(Tabella34[[#This Row],[Lombardy cumul. Data]]-AG92)</f>
        <v>2543</v>
      </c>
      <c r="AI93" s="91">
        <f>Tabella34[[#This Row],[Lombardy data]]-AH92</f>
        <v>900</v>
      </c>
      <c r="AJ93" s="96">
        <f>Tabella34[[#This Row],[Lombardy data]]*NOT(ISBLANK(Tabella34[[#This Row],[Lombardy data]]))</f>
        <v>2543</v>
      </c>
      <c r="AK93" s="96">
        <f>Tabella8[[#This Row],[Lombardy fit]]</f>
        <v>31991.321881984775</v>
      </c>
      <c r="AL93" s="163">
        <f>_xlfn.LOGNORM.INV(alpha*Tabella34[[#This Row],[Lombardy cumul. Fit]]/Kr,mu_r,sigma_r)-(Tabella34[[#This Row],[Day]]-pr)</f>
        <v>21.36101882592969</v>
      </c>
      <c r="AM93" s="96">
        <f>Tabella34[[#This Row],[Lombardy cumul. Fit]]/Kl</f>
        <v>0.36771634347108939</v>
      </c>
      <c r="AN93" s="96">
        <f>IFERROR(Kr*_xlfn.LOGNORM.DIST((Tabella34[[#This Row],[Day]]-pr),mu_r,sigma_r,FALSE),0)</f>
        <v>1757.9488923792978</v>
      </c>
      <c r="AO93" s="209">
        <f>Tabella34[[#This Row],[Lombardy velocity]]/Tabella34[[#This Row],[Lombardy cumul. Fit]]</f>
        <v>5.4950805060957765E-2</v>
      </c>
      <c r="AP93" s="266">
        <f>(LN(Tabella34[[#This Row],[Day]]-pr)-mu_r)/sigma_r</f>
        <v>-0.33790777672817202</v>
      </c>
      <c r="AQ93" s="269">
        <f>EXP(mu_r+sigma_r*Tabella34[[#This Row],[x_r_alpha©+plus]])-(Tabella34[[#This Row],[Day]]-pr)</f>
        <v>26.938265663087549</v>
      </c>
      <c r="AR93" s="269">
        <f>EXP(mu_r+sigma_r*Tabella34[[#This Row],[x_r_alpha©-minus]])-(Tabella34[[#This Row],[Day]]-pr)</f>
        <v>-18.120814906615621</v>
      </c>
      <c r="AS93" s="269">
        <f>-sigma_r+SQRT(sigma_r^2-2*Tabella34[[#This Row],[c_r]])</f>
        <v>0.83698541965886131</v>
      </c>
      <c r="AT93" s="269">
        <f>-sigma_r-SQRT(sigma_r^2-2*Tabella34[[#This Row],[c_r]])</f>
        <v>-1.5178400168525905</v>
      </c>
      <c r="AU93" s="269">
        <f>mu_r-LN(alpha*Kr/(Tabella34[[#This Row],[Lombardy velocity]]*sigma_r*SQRTPI(2)))</f>
        <v>-0.63520498174018947</v>
      </c>
      <c r="AV93" s="269">
        <f>Tabella34[[#This Row],[t_alpha_r+plus]]</f>
        <v>26.938265663087549</v>
      </c>
      <c r="AW93" s="91">
        <f>IFERROR(-Kl*_xlfn.LOGNORM.DIST((Tabella34[[#This Row],[Day]]-pl),mu_l,sigma_l,FALSE)*(1+(LN((Tabella34[[#This Row],[Day]]-pl))-mu_l)/sigma_l^2)/(Tabella34[[#This Row],[Day]]-pl),0)</f>
        <v>-0.23751745843241842</v>
      </c>
      <c r="AX93" s="96">
        <f>Tabella34[[#This Row],[Lombardy acc. fit]]/y_l_peak</f>
        <v>-1.3511013066646604E-4</v>
      </c>
      <c r="AY93" s="163">
        <f>Tabella34[[#This Row],[Lombardy acc. fit]]*NOT(ISBLANK(Tabella34[[#This Row],[Lombardy data]]))</f>
        <v>-0.23751745843241842</v>
      </c>
      <c r="AZ93" s="96">
        <f>Tabella34[[#This Row],[Lombardy acc. fit]]+CIl</f>
        <v>748.7178543451912</v>
      </c>
      <c r="BA93" s="96">
        <f>MAX(Tabella34[[#This Row],[Lombardy acc. fit]]-CIl,0)</f>
        <v>0</v>
      </c>
      <c r="BB93" s="10">
        <f>Tabella8[[#This Row],[rest of Italy ]]</f>
        <v>45650</v>
      </c>
      <c r="BC93" s="10">
        <f>(Tabella34[[#This Row],[rest of Italy cum. Data]]-BB92)</f>
        <v>3610</v>
      </c>
      <c r="BD93" s="10">
        <f>Tabella34[[#This Row],[rest of Italy data]]-BC92</f>
        <v>43</v>
      </c>
      <c r="BE93" s="96">
        <f>Tabella34[[#This Row],[rest of Italy data]]*NOT(ISBLANK(Tabella34[[#This Row],[rest of Italy data]]))</f>
        <v>3610</v>
      </c>
      <c r="BF93" s="96">
        <f>Tabella8[[#This Row],[rest of Italy fit]]</f>
        <v>44165.276053994246</v>
      </c>
      <c r="BG93" s="163">
        <f>_xlfn.LOGNORM.INV(alpha*Tabella34[[#This Row],[rest of Italy cumul. Fit]]/Ko,mu_o,sigma_o)-(Tabella34[[#This Row],[Day]]-po)</f>
        <v>13.64326064508996</v>
      </c>
      <c r="BH93" s="96">
        <f>Tabella34[[#This Row],[rest of Italy cumul. Fit]]/Ka</f>
        <v>0.29841406213068317</v>
      </c>
      <c r="BI93" s="163">
        <f>IFERROR(Ko*_xlfn.LOGNORM.DIST((Tabella34[[#This Row],[Day]]-po),mu_o,sigma_o,FALSE),0)</f>
        <v>3307.192913674166</v>
      </c>
      <c r="BJ93" s="206">
        <f>Tabella34[[#This Row],[rest of Italy velocity]]/Tabella34[[#This Row],[rest of Italy cumul. Fit]]</f>
        <v>7.4882197263546099E-2</v>
      </c>
      <c r="BK93" s="261">
        <f>(LN(Tabella34[[#This Row],[Day]]-po)-mu_o)/sigma_o</f>
        <v>-0.52896731426382182</v>
      </c>
      <c r="BL93" s="269">
        <f>EXP(mu_o+sigma_o*Tabella34[[#This Row],[x_o_alpha©+plus]])-(Tabella34[[#This Row],[Day]]-po)</f>
        <v>27.519560161501218</v>
      </c>
      <c r="BM93" s="269">
        <f>EXP(mu_o+sigma_o*Tabella34[[#This Row],[x_o_alpha©-minus]])-(Tabella34[[#This Row],[Day]]-po)</f>
        <v>-13.139781162206432</v>
      </c>
      <c r="BN93" s="269">
        <f>-sigma_o+SQRT(sigma_o^2-2*Tabella34[[#This Row],[c_o]])</f>
        <v>0.87406482130080165</v>
      </c>
      <c r="BO93" s="269">
        <f>-sigma_o-SQRT(sigma_o^2-2*Tabella34[[#This Row],[c_o]])</f>
        <v>-1.5170375985998277</v>
      </c>
      <c r="BP93" s="269">
        <f>mu_o-LN(alpha*Ko/(Tabella34[[#This Row],[rest of Italy velocity]]*sigma_o*SQRTPI(2)))</f>
        <v>-0.66299459876337785</v>
      </c>
      <c r="BQ93" s="269">
        <f>Tabella34[[#This Row],[t_alpha_o+plus]]</f>
        <v>27.519560161501218</v>
      </c>
      <c r="BR93" s="91">
        <f>IFERROR(-Ka*_xlfn.LOGNORM.DIST((Tabella34[[#This Row],[Day]]-pa),mu_a,sigma_a,FALSE)*(1+(LN((Tabella34[[#This Row],[Day]]-pa))-mu_a)/sigma_a^2)/(Tabella34[[#This Row],[Day]]-pa),0)</f>
        <v>44.206353841394645</v>
      </c>
      <c r="BS93" s="96">
        <f>Tabella34[[#This Row],[rest of Italy acc. fit]]/y_a_peak</f>
        <v>1.3082096241849132E-2</v>
      </c>
      <c r="BT93" s="96">
        <f>Tabella34[[#This Row],[rest of Italy acc. fit]]*NOT(ISBLANK(Tabella34[[#This Row],[rest of Italy data]]))</f>
        <v>44.206353841394645</v>
      </c>
      <c r="BU93" s="96">
        <f>Tabella34[[#This Row],[rest of Italy acc. fit]]+CIa</f>
        <v>738.85838970499196</v>
      </c>
      <c r="BV93" s="96">
        <f>MAX(Tabella34[[#This Row],[rest of Italy acc. fit]]-CIa,0)</f>
        <v>0</v>
      </c>
    </row>
    <row r="94" spans="2:74" x14ac:dyDescent="0.3">
      <c r="B94" s="288">
        <v>43917</v>
      </c>
      <c r="C94" s="30">
        <v>87</v>
      </c>
      <c r="D94" s="10">
        <f>Tabella8[[#This Row],[Italy cumulative]]</f>
        <v>86498</v>
      </c>
      <c r="E94" s="91">
        <f>(Tabella34[[#This Row],[Italy cumul. Data]]-D93)</f>
        <v>5959</v>
      </c>
      <c r="F94" s="91">
        <f>Tabella34[[#This Row],[Italy data]]-E93</f>
        <v>-194</v>
      </c>
      <c r="G94" s="96">
        <f>Tabella34[[#This Row],[Italy data]]*NOT(ISBLANK(Tabella34[[#This Row],[Italy data]]))</f>
        <v>5959</v>
      </c>
      <c r="H94" s="163">
        <f>Tabella8[[#This Row],[Italy fit]]</f>
        <v>81257.636858365309</v>
      </c>
      <c r="I94" s="163">
        <f>_xlfn.LOGNORM.INV(alpha*Tabella34[[#This Row],[Italy cumul. Fit]]/Kt,mu_t,sigma_t)-(Tabella34[[#This Row],[Day]]-pt)</f>
        <v>17.768726602768304</v>
      </c>
      <c r="J94" s="163">
        <f>Tabella34[[#This Row],[Italy d.t.]]/Italy_dt_at_lockdown</f>
        <v>3.4899282537688023</v>
      </c>
      <c r="K94" s="96">
        <f>Tabella34[[#This Row],[Italy cumul. Fit]]/Kf</f>
        <v>0.34577727246742157</v>
      </c>
      <c r="L94" s="166">
        <f>Tabella34[[#This Row],[Lombardy acc. fit]]+Tabella34[[#This Row],[rest of Italy acc. fit]]</f>
        <v>25.191523703991297</v>
      </c>
      <c r="M94" s="96">
        <f>Tabella34[[#This Row],[Italy (fitted Lombardy + fitted sum of the other regions)]]/(y_l_peak+y_a_peak)</f>
        <v>4.9038379921737688E-3</v>
      </c>
      <c r="N94" s="163">
        <f>IFERROR(Kt*_xlfn.LOGNORM.DIST((Tabella34[[#This Row],[Day]]-pt),mu_t,sigma_t,FALSE),0)</f>
        <v>5042.4356667828333</v>
      </c>
      <c r="O94" s="163">
        <f>Kt*EXP(-0.5*Tabella34[[#This Row],[x_t]]^2)/(sigma_t*SQRTPI(2)*(Tabella34[[#This Row],[Day]]-D_bk))</f>
        <v>5042.4356667828361</v>
      </c>
      <c r="P94" s="206">
        <f>Tabella34[[#This Row],[Italy velocity]]/Tabella34[[#This Row],[Italy cumul. Fit]]</f>
        <v>6.2054913996231045E-2</v>
      </c>
      <c r="Q94" s="269">
        <f>(LN(Tabella34[[#This Row],[Day]]-D_bk)-mu_t)/sigma_t</f>
        <v>-0.39674631204870092</v>
      </c>
      <c r="R94" s="269">
        <f>EXP(mu_t+sigma_t*Tabella34[[#This Row],[x_t_alpha©+plus]])-(Tabella34[[#This Row],[Day]]-D_bk)</f>
        <v>26.681621453401185</v>
      </c>
      <c r="S94" s="269">
        <f>EXP(mu_t+sigma_t*Tabella34[[#This Row],[x_t_alpha©-minus]])-(Tabella34[[#This Row],[Day]]-D_bk)</f>
        <v>-15.941504935346643</v>
      </c>
      <c r="T94" s="269">
        <f>-sigma_t+SQRT(sigma_t^2-2*Tabella34[[#This Row],[c_t]])</f>
        <v>0.87101088132933091</v>
      </c>
      <c r="U94" s="269">
        <f>-sigma_t-SQRT(sigma_t^2-2*Tabella34[[#This Row],[c_t]])</f>
        <v>-1.490247787221568</v>
      </c>
      <c r="V94" s="269">
        <f>mu_t-LN(alpha*Kt/(Tabella34[[#This Row],[Italy velocity]]*sigma_t*SQRTPI(2)))</f>
        <v>-0.64901101927347149</v>
      </c>
      <c r="W94" s="269">
        <f>Tabella34[[#This Row],[Italy g.r.]]/Italy_gr_at_lockdown</f>
        <v>0.39236918726409142</v>
      </c>
      <c r="X94" s="269">
        <f>Tabella34[[#This Row],[t_alpha_t+plus]]</f>
        <v>26.681621453401185</v>
      </c>
      <c r="Y94" s="269">
        <f>Tabella34[[#This Row],[Italy h.t.]]/Italy_ht_at_lockdown</f>
        <v>0.47518306253978032</v>
      </c>
      <c r="Z94" s="91">
        <f>IFERROR(-Kf*_xlfn.LOGNORM.DIST((Tabella34[[#This Row],[Day]]-D_bk),mu_f,sigma_f,FALSE)*(1+(LN((Tabella34[[#This Row],[Day]]-D_bk))-mu_f)/sigma_f^2)/(Tabella34[[#This Row],[Day]]-D_bk),0)</f>
        <v>25.56469401991124</v>
      </c>
      <c r="AA94" s="91">
        <f>Tabella34[[#This Row],[Italy acc. fit]]/Itali_acc_at_lockdown</f>
        <v>0.10521883288891914</v>
      </c>
      <c r="AB94" s="96">
        <f>Tabella34[[#This Row],[Italy acc. fit]]/y_f_peak</f>
        <v>5.0507027663954547E-3</v>
      </c>
      <c r="AC94" s="163">
        <f>Tabella34[[#This Row],[Italy (fitted Lombardy + fitted sum of the other regions)]]*NOT(ISBLANK(Tabella34[[#This Row],[Italy data]]))</f>
        <v>25.191523703991297</v>
      </c>
      <c r="AD94" s="163">
        <f>Tabella34[[#This Row],[Italy acc. fit]]*NOT(ISBLANK(Tabella34[[#This Row],[Italy data]]))</f>
        <v>25.56469401991124</v>
      </c>
      <c r="AE94" s="96">
        <f>Tabella34[[#This Row],[Italy acc. fit]]+CIf</f>
        <v>1039.3276960402288</v>
      </c>
      <c r="AF94" s="96">
        <f>MAX(Tabella34[[#This Row],[Italy acc. fit]]-CIf,0)</f>
        <v>0</v>
      </c>
      <c r="AG94" s="4">
        <f>Tabella8[[#This Row],[Lombardy]]</f>
        <v>37298</v>
      </c>
      <c r="AH94" s="91">
        <f>(Tabella34[[#This Row],[Lombardy cumul. Data]]-AG93)</f>
        <v>2409</v>
      </c>
      <c r="AI94" s="91">
        <f>Tabella34[[#This Row],[Lombardy data]]-AH93</f>
        <v>-134</v>
      </c>
      <c r="AJ94" s="96">
        <f>Tabella34[[#This Row],[Lombardy data]]*NOT(ISBLANK(Tabella34[[#This Row],[Lombardy data]]))</f>
        <v>2409</v>
      </c>
      <c r="AK94" s="96">
        <f>Tabella8[[#This Row],[Lombardy fit]]</f>
        <v>33748.322003527355</v>
      </c>
      <c r="AL94" s="163">
        <f>_xlfn.LOGNORM.INV(alpha*Tabella34[[#This Row],[Lombardy cumul. Fit]]/Kr,mu_r,sigma_r)-(Tabella34[[#This Row],[Day]]-pr)</f>
        <v>23.774729533513465</v>
      </c>
      <c r="AM94" s="96">
        <f>Tabella34[[#This Row],[Lombardy cumul. Fit]]/Kl</f>
        <v>0.38791174716698107</v>
      </c>
      <c r="AN94" s="96">
        <f>IFERROR(Kr*_xlfn.LOGNORM.DIST((Tabella34[[#This Row],[Day]]-pr),mu_r,sigma_r,FALSE),0)</f>
        <v>1755.2333412571345</v>
      </c>
      <c r="AO94" s="209">
        <f>Tabella34[[#This Row],[Lombardy velocity]]/Tabella34[[#This Row],[Lombardy cumul. Fit]]</f>
        <v>5.2009499644861706E-2</v>
      </c>
      <c r="AP94" s="266">
        <f>(LN(Tabella34[[#This Row],[Day]]-pr)-mu_r)/sigma_r</f>
        <v>-0.28476590590762912</v>
      </c>
      <c r="AQ94" s="269">
        <f>EXP(mu_r+sigma_r*Tabella34[[#This Row],[x_r_alpha©+plus]])-(Tabella34[[#This Row],[Day]]-pr)</f>
        <v>25.974778490948722</v>
      </c>
      <c r="AR94" s="269">
        <f>EXP(mu_r+sigma_r*Tabella34[[#This Row],[x_r_alpha©-minus]])-(Tabella34[[#This Row],[Day]]-pr)</f>
        <v>-19.137186865695234</v>
      </c>
      <c r="AS94" s="269">
        <f>-sigma_r+SQRT(sigma_r^2-2*Tabella34[[#This Row],[c_r]])</f>
        <v>0.83829767006885314</v>
      </c>
      <c r="AT94" s="269">
        <f>-sigma_r-SQRT(sigma_r^2-2*Tabella34[[#This Row],[c_r]])</f>
        <v>-1.5191522672625823</v>
      </c>
      <c r="AU94" s="269">
        <f>mu_r-LN(alpha*Kr/(Tabella34[[#This Row],[Lombardy velocity]]*sigma_r*SQRTPI(2)))</f>
        <v>-0.63675090306301918</v>
      </c>
      <c r="AV94" s="269">
        <f>Tabella34[[#This Row],[t_alpha_r+plus]]</f>
        <v>25.974778490948722</v>
      </c>
      <c r="AW94" s="91">
        <f>IFERROR(-Kl*_xlfn.LOGNORM.DIST((Tabella34[[#This Row],[Day]]-pl),mu_l,sigma_l,FALSE)*(1+(LN((Tabella34[[#This Row],[Day]]-pl))-mu_l)/sigma_l^2)/(Tabella34[[#This Row],[Day]]-pl),0)</f>
        <v>-5.1452122105212963</v>
      </c>
      <c r="AX94" s="96">
        <f>Tabella34[[#This Row],[Lombardy acc. fit]]/y_l_peak</f>
        <v>-2.9268176691442153E-3</v>
      </c>
      <c r="AY94" s="163">
        <f>Tabella34[[#This Row],[Lombardy acc. fit]]*NOT(ISBLANK(Tabella34[[#This Row],[Lombardy data]]))</f>
        <v>-5.1452122105212963</v>
      </c>
      <c r="AZ94" s="96">
        <f>Tabella34[[#This Row],[Lombardy acc. fit]]+CIl</f>
        <v>743.8101595931023</v>
      </c>
      <c r="BA94" s="96">
        <f>MAX(Tabella34[[#This Row],[Lombardy acc. fit]]-CIl,0)</f>
        <v>0</v>
      </c>
      <c r="BB94" s="10">
        <f>Tabella8[[#This Row],[rest of Italy ]]</f>
        <v>49200</v>
      </c>
      <c r="BC94" s="10">
        <f>(Tabella34[[#This Row],[rest of Italy cum. Data]]-BB93)</f>
        <v>3550</v>
      </c>
      <c r="BD94" s="10">
        <f>Tabella34[[#This Row],[rest of Italy data]]-BC93</f>
        <v>-60</v>
      </c>
      <c r="BE94" s="96">
        <f>Tabella34[[#This Row],[rest of Italy data]]*NOT(ISBLANK(Tabella34[[#This Row],[rest of Italy data]]))</f>
        <v>3550</v>
      </c>
      <c r="BF94" s="96">
        <f>Tabella8[[#This Row],[rest of Italy fit]]</f>
        <v>47492.244591342511</v>
      </c>
      <c r="BG94" s="163">
        <f>_xlfn.LOGNORM.INV(alpha*Tabella34[[#This Row],[rest of Italy cumul. Fit]]/Ko,mu_o,sigma_o)-(Tabella34[[#This Row],[Day]]-po)</f>
        <v>15.039520753454553</v>
      </c>
      <c r="BH94" s="96">
        <f>Tabella34[[#This Row],[rest of Italy cumul. Fit]]/Ka</f>
        <v>0.32089358189180295</v>
      </c>
      <c r="BI94" s="163">
        <f>IFERROR(Ko*_xlfn.LOGNORM.DIST((Tabella34[[#This Row],[Day]]-po),mu_o,sigma_o,FALSE),0)</f>
        <v>3344.4321479038872</v>
      </c>
      <c r="BJ94" s="206">
        <f>Tabella34[[#This Row],[rest of Italy velocity]]/Tabella34[[#This Row],[rest of Italy cumul. Fit]]</f>
        <v>7.0420595545268305E-2</v>
      </c>
      <c r="BK94" s="261">
        <f>(LN(Tabella34[[#This Row],[Day]]-po)-mu_o)/sigma_o</f>
        <v>-0.46520150120273696</v>
      </c>
      <c r="BL94" s="269">
        <f>EXP(mu_o+sigma_o*Tabella34[[#This Row],[x_o_alpha©+plus]])-(Tabella34[[#This Row],[Day]]-po)</f>
        <v>26.29076950243747</v>
      </c>
      <c r="BM94" s="269">
        <f>EXP(mu_o+sigma_o*Tabella34[[#This Row],[x_o_alpha©-minus]])-(Tabella34[[#This Row],[Day]]-po)</f>
        <v>-14.033389907959901</v>
      </c>
      <c r="BN94" s="269">
        <f>-sigma_o+SQRT(sigma_o^2-2*Tabella34[[#This Row],[c_o]])</f>
        <v>0.86466216642108906</v>
      </c>
      <c r="BO94" s="269">
        <f>-sigma_o-SQRT(sigma_o^2-2*Tabella34[[#This Row],[c_o]])</f>
        <v>-1.5076349437201153</v>
      </c>
      <c r="BP94" s="269">
        <f>mu_o-LN(alpha*Ko/(Tabella34[[#This Row],[rest of Italy velocity]]*sigma_o*SQRTPI(2)))</f>
        <v>-0.65179744830458564</v>
      </c>
      <c r="BQ94" s="269">
        <f>Tabella34[[#This Row],[t_alpha_o+plus]]</f>
        <v>26.29076950243747</v>
      </c>
      <c r="BR94" s="91">
        <f>IFERROR(-Ka*_xlfn.LOGNORM.DIST((Tabella34[[#This Row],[Day]]-pa),mu_a,sigma_a,FALSE)*(1+(LN((Tabella34[[#This Row],[Day]]-pa))-mu_a)/sigma_a^2)/(Tabella34[[#This Row],[Day]]-pa),0)</f>
        <v>30.336735914512595</v>
      </c>
      <c r="BS94" s="96">
        <f>Tabella34[[#This Row],[rest of Italy acc. fit]]/y_a_peak</f>
        <v>8.9776257123832092E-3</v>
      </c>
      <c r="BT94" s="96">
        <f>Tabella34[[#This Row],[rest of Italy acc. fit]]*NOT(ISBLANK(Tabella34[[#This Row],[rest of Italy data]]))</f>
        <v>30.336735914512595</v>
      </c>
      <c r="BU94" s="96">
        <f>Tabella34[[#This Row],[rest of Italy acc. fit]]+CIa</f>
        <v>724.98877177810994</v>
      </c>
      <c r="BV94" s="96">
        <f>MAX(Tabella34[[#This Row],[rest of Italy acc. fit]]-CIa,0)</f>
        <v>0</v>
      </c>
    </row>
    <row r="95" spans="2:74" x14ac:dyDescent="0.3">
      <c r="B95" s="288">
        <v>43918</v>
      </c>
      <c r="C95" s="30">
        <v>88</v>
      </c>
      <c r="D95" s="10">
        <f>Tabella8[[#This Row],[Italy cumulative]]</f>
        <v>92472</v>
      </c>
      <c r="E95" s="91">
        <f>(Tabella34[[#This Row],[Italy cumul. Data]]-D94)</f>
        <v>5974</v>
      </c>
      <c r="F95" s="91">
        <f>Tabella34[[#This Row],[Italy data]]-E94</f>
        <v>15</v>
      </c>
      <c r="G95" s="96">
        <f>Tabella34[[#This Row],[Italy data]]*NOT(ISBLANK(Tabella34[[#This Row],[Italy data]]))</f>
        <v>5974</v>
      </c>
      <c r="H95" s="163">
        <f>Tabella8[[#This Row],[Italy fit]]</f>
        <v>86309.98326793914</v>
      </c>
      <c r="I95" s="163">
        <f>_xlfn.LOGNORM.INV(alpha*Tabella34[[#This Row],[Italy cumul. Fit]]/Kt,mu_t,sigma_t)-(Tabella34[[#This Row],[Day]]-pt)</f>
        <v>19.692745948218437</v>
      </c>
      <c r="J95" s="163">
        <f>Tabella34[[#This Row],[Italy d.t.]]/Italy_dt_at_lockdown</f>
        <v>3.8678219331863275</v>
      </c>
      <c r="K95" s="96">
        <f>Tabella34[[#This Row],[Italy cumul. Fit]]/Kf</f>
        <v>0.36727662475732464</v>
      </c>
      <c r="L95" s="166">
        <f>Tabella34[[#This Row],[Lombardy acc. fit]]+Tabella34[[#This Row],[rest of Italy acc. fit]]</f>
        <v>7.1714421666050452</v>
      </c>
      <c r="M95" s="96">
        <f>Tabella34[[#This Row],[Italy (fitted Lombardy + fitted sum of the other regions)]]/(y_l_peak+y_a_peak)</f>
        <v>1.3960088706227365E-3</v>
      </c>
      <c r="N95" s="163">
        <f>IFERROR(Kt*_xlfn.LOGNORM.DIST((Tabella34[[#This Row],[Day]]-pt),mu_t,sigma_t,FALSE),0)</f>
        <v>5059.4157950935632</v>
      </c>
      <c r="O95" s="163">
        <f>Kt*EXP(-0.5*Tabella34[[#This Row],[x_t]]^2)/(sigma_t*SQRTPI(2)*(Tabella34[[#This Row],[Day]]-D_bk))</f>
        <v>5059.4157950935605</v>
      </c>
      <c r="P95" s="206">
        <f>Tabella34[[#This Row],[Italy velocity]]/Tabella34[[#This Row],[Italy cumul. Fit]]</f>
        <v>5.8619126125736866E-2</v>
      </c>
      <c r="Q95" s="269">
        <f>(LN(Tabella34[[#This Row],[Day]]-D_bk)-mu_t)/sigma_t</f>
        <v>-0.33907497559331268</v>
      </c>
      <c r="R95" s="269">
        <f>EXP(mu_t+sigma_t*Tabella34[[#This Row],[x_t_alpha©+plus]])-(Tabella34[[#This Row],[Day]]-D_bk)</f>
        <v>25.609108372804805</v>
      </c>
      <c r="S95" s="269">
        <f>EXP(mu_t+sigma_t*Tabella34[[#This Row],[x_t_alpha©-minus]])-(Tabella34[[#This Row],[Day]]-D_bk)</f>
        <v>-16.90656744754066</v>
      </c>
      <c r="T95" s="269">
        <f>-sigma_t+SQRT(sigma_t^2-2*Tabella34[[#This Row],[c_t]])</f>
        <v>0.86815998455660459</v>
      </c>
      <c r="U95" s="269">
        <f>-sigma_t-SQRT(sigma_t^2-2*Tabella34[[#This Row],[c_t]])</f>
        <v>-1.4873968904488417</v>
      </c>
      <c r="V95" s="269">
        <f>mu_t-LN(alpha*Kt/(Tabella34[[#This Row],[Italy velocity]]*sigma_t*SQRTPI(2)))</f>
        <v>-0.64564923072080393</v>
      </c>
      <c r="W95" s="269">
        <f>Tabella34[[#This Row],[Italy g.r.]]/Italy_gr_at_lockdown</f>
        <v>0.37064492390535886</v>
      </c>
      <c r="X95" s="269">
        <f>Tabella34[[#This Row],[t_alpha_t+plus]]</f>
        <v>25.609108372804805</v>
      </c>
      <c r="Y95" s="269">
        <f>Tabella34[[#This Row],[Italy h.t.]]/Italy_ht_at_lockdown</f>
        <v>0.45608227246441563</v>
      </c>
      <c r="Z95" s="91">
        <f>IFERROR(-Kf*_xlfn.LOGNORM.DIST((Tabella34[[#This Row],[Day]]-D_bk),mu_f,sigma_f,FALSE)*(1+(LN((Tabella34[[#This Row],[Day]]-D_bk))-mu_f)/sigma_f^2)/(Tabella34[[#This Row],[Day]]-D_bk),0)</f>
        <v>8.5186392985251018</v>
      </c>
      <c r="AA95" s="91">
        <f>Tabella34[[#This Row],[Italy acc. fit]]/Itali_acc_at_lockdown</f>
        <v>3.5060904077098907E-2</v>
      </c>
      <c r="AB95" s="96">
        <f>Tabella34[[#This Row],[Italy acc. fit]]/y_f_peak</f>
        <v>1.6829896355291935E-3</v>
      </c>
      <c r="AC95" s="163">
        <f>Tabella34[[#This Row],[Italy (fitted Lombardy + fitted sum of the other regions)]]*NOT(ISBLANK(Tabella34[[#This Row],[Italy data]]))</f>
        <v>7.1714421666050452</v>
      </c>
      <c r="AD95" s="163">
        <f>Tabella34[[#This Row],[Italy acc. fit]]*NOT(ISBLANK(Tabella34[[#This Row],[Italy data]]))</f>
        <v>8.5186392985251018</v>
      </c>
      <c r="AE95" s="96">
        <f>Tabella34[[#This Row],[Italy acc. fit]]+CIf</f>
        <v>1022.2816413188427</v>
      </c>
      <c r="AF95" s="96">
        <f>MAX(Tabella34[[#This Row],[Italy acc. fit]]-CIf,0)</f>
        <v>0</v>
      </c>
      <c r="AG95" s="4">
        <f>Tabella8[[#This Row],[Lombardy]]</f>
        <v>39415</v>
      </c>
      <c r="AH95" s="91">
        <f>(Tabella34[[#This Row],[Lombardy cumul. Data]]-AG94)</f>
        <v>2117</v>
      </c>
      <c r="AI95" s="91">
        <f>Tabella34[[#This Row],[Lombardy data]]-AH94</f>
        <v>-292</v>
      </c>
      <c r="AJ95" s="96">
        <f>Tabella34[[#This Row],[Lombardy data]]*NOT(ISBLANK(Tabella34[[#This Row],[Lombardy data]]))</f>
        <v>2117</v>
      </c>
      <c r="AK95" s="96">
        <f>Tabella8[[#This Row],[Lombardy fit]]</f>
        <v>35500.201936379526</v>
      </c>
      <c r="AL95" s="163">
        <f>_xlfn.LOGNORM.INV(alpha*Tabella34[[#This Row],[Lombardy cumul. Fit]]/Kr,mu_r,sigma_r)-(Tabella34[[#This Row],[Day]]-pr)</f>
        <v>26.726912334079998</v>
      </c>
      <c r="AM95" s="96">
        <f>Tabella34[[#This Row],[Lombardy cumul. Fit]]/Kl</f>
        <v>0.40804829811930488</v>
      </c>
      <c r="AN95" s="96">
        <f>IFERROR(Kr*_xlfn.LOGNORM.DIST((Tabella34[[#This Row],[Day]]-pr),mu_r,sigma_r,FALSE),0)</f>
        <v>1747.7585290314307</v>
      </c>
      <c r="AO95" s="209">
        <f>Tabella34[[#This Row],[Lombardy velocity]]/Tabella34[[#This Row],[Lombardy cumul. Fit]]</f>
        <v>4.9232354569802628E-2</v>
      </c>
      <c r="AP95" s="266">
        <f>(LN(Tabella34[[#This Row],[Day]]-pr)-mu_r)/sigma_r</f>
        <v>-0.23256836318180291</v>
      </c>
      <c r="AQ95" s="269">
        <f>EXP(mu_r+sigma_r*Tabella34[[#This Row],[x_r_alpha©+plus]])-(Tabella34[[#This Row],[Day]]-pr)</f>
        <v>25.075450070806539</v>
      </c>
      <c r="AR95" s="269">
        <f>EXP(mu_r+sigma_r*Tabella34[[#This Row],[x_r_alpha©-minus]])-(Tabella34[[#This Row],[Day]]-pr)</f>
        <v>-20.182251264885529</v>
      </c>
      <c r="AS95" s="269">
        <f>-sigma_r+SQRT(sigma_r^2-2*Tabella34[[#This Row],[c_r]])</f>
        <v>0.84191271640252707</v>
      </c>
      <c r="AT95" s="269">
        <f>-sigma_r-SQRT(sigma_r^2-2*Tabella34[[#This Row],[c_r]])</f>
        <v>-1.5227673135962563</v>
      </c>
      <c r="AU95" s="269">
        <f>mu_r-LN(alpha*Kr/(Tabella34[[#This Row],[Lombardy velocity]]*sigma_r*SQRTPI(2)))</f>
        <v>-0.64101858271940149</v>
      </c>
      <c r="AV95" s="269">
        <f>Tabella34[[#This Row],[t_alpha_r+plus]]</f>
        <v>25.075450070806539</v>
      </c>
      <c r="AW95" s="91">
        <f>IFERROR(-Kl*_xlfn.LOGNORM.DIST((Tabella34[[#This Row],[Day]]-pl),mu_l,sigma_l,FALSE)*(1+(LN((Tabella34[[#This Row],[Day]]-pl))-mu_l)/sigma_l^2)/(Tabella34[[#This Row],[Day]]-pl),0)</f>
        <v>-9.7529217709528435</v>
      </c>
      <c r="AX95" s="96">
        <f>Tabella34[[#This Row],[Lombardy acc. fit]]/y_l_peak</f>
        <v>-5.5478807475880538E-3</v>
      </c>
      <c r="AY95" s="163">
        <f>Tabella34[[#This Row],[Lombardy acc. fit]]*NOT(ISBLANK(Tabella34[[#This Row],[Lombardy data]]))</f>
        <v>-9.7529217709528435</v>
      </c>
      <c r="AZ95" s="96">
        <f>Tabella34[[#This Row],[Lombardy acc. fit]]+CIl</f>
        <v>739.20245003267075</v>
      </c>
      <c r="BA95" s="96">
        <f>MAX(Tabella34[[#This Row],[Lombardy acc. fit]]-CIl,0)</f>
        <v>0</v>
      </c>
      <c r="BB95" s="10">
        <f>Tabella8[[#This Row],[rest of Italy ]]</f>
        <v>53057</v>
      </c>
      <c r="BC95" s="10">
        <f>(Tabella34[[#This Row],[rest of Italy cum. Data]]-BB94)</f>
        <v>3857</v>
      </c>
      <c r="BD95" s="10">
        <f>Tabella34[[#This Row],[rest of Italy data]]-BC94</f>
        <v>307</v>
      </c>
      <c r="BE95" s="96">
        <f>Tabella34[[#This Row],[rest of Italy data]]*NOT(ISBLANK(Tabella34[[#This Row],[rest of Italy data]]))</f>
        <v>3857</v>
      </c>
      <c r="BF95" s="96">
        <f>Tabella8[[#This Row],[rest of Italy fit]]</f>
        <v>50849.58806611818</v>
      </c>
      <c r="BG95" s="163">
        <f>_xlfn.LOGNORM.INV(alpha*Tabella34[[#This Row],[rest of Italy cumul. Fit]]/Ko,mu_o,sigma_o)-(Tabella34[[#This Row],[Day]]-po)</f>
        <v>16.66767361753179</v>
      </c>
      <c r="BH95" s="96">
        <f>Tabella34[[#This Row],[rest of Italy cumul. Fit]]/Ka</f>
        <v>0.34357833774051322</v>
      </c>
      <c r="BI95" s="163">
        <f>IFERROR(Ko*_xlfn.LOGNORM.DIST((Tabella34[[#This Row],[Day]]-po),mu_o,sigma_o,FALSE),0)</f>
        <v>3368.0190612821943</v>
      </c>
      <c r="BJ95" s="206">
        <f>Tabella34[[#This Row],[rest of Italy velocity]]/Tabella34[[#This Row],[rest of Italy cumul. Fit]]</f>
        <v>6.6234933052021217E-2</v>
      </c>
      <c r="BK95" s="261">
        <f>(LN(Tabella34[[#This Row],[Day]]-po)-mu_o)/sigma_o</f>
        <v>-0.40271666137844897</v>
      </c>
      <c r="BL95" s="269">
        <f>EXP(mu_o+sigma_o*Tabella34[[#This Row],[x_o_alpha©+plus]])-(Tabella34[[#This Row],[Day]]-po)</f>
        <v>25.146595131334891</v>
      </c>
      <c r="BM95" s="269">
        <f>EXP(mu_o+sigma_o*Tabella34[[#This Row],[x_o_alpha©-minus]])-(Tabella34[[#This Row],[Day]]-po)</f>
        <v>-14.966015057492633</v>
      </c>
      <c r="BN95" s="269">
        <f>-sigma_o+SQRT(sigma_o^2-2*Tabella34[[#This Row],[c_o]])</f>
        <v>0.85872237183632072</v>
      </c>
      <c r="BO95" s="269">
        <f>-sigma_o-SQRT(sigma_o^2-2*Tabella34[[#This Row],[c_o]])</f>
        <v>-1.501695149135347</v>
      </c>
      <c r="BP95" s="269">
        <f>mu_o-LN(alpha*Ko/(Tabella34[[#This Row],[rest of Italy velocity]]*sigma_o*SQRTPI(2)))</f>
        <v>-0.6447696101203011</v>
      </c>
      <c r="BQ95" s="269">
        <f>Tabella34[[#This Row],[t_alpha_o+plus]]</f>
        <v>25.146595131334891</v>
      </c>
      <c r="BR95" s="91">
        <f>IFERROR(-Ka*_xlfn.LOGNORM.DIST((Tabella34[[#This Row],[Day]]-pa),mu_a,sigma_a,FALSE)*(1+(LN((Tabella34[[#This Row],[Day]]-pa))-mu_a)/sigma_a^2)/(Tabella34[[#This Row],[Day]]-pa),0)</f>
        <v>16.924363937557889</v>
      </c>
      <c r="BS95" s="96">
        <f>Tabella34[[#This Row],[rest of Italy acc. fit]]/y_a_peak</f>
        <v>5.0084691141364665E-3</v>
      </c>
      <c r="BT95" s="96">
        <f>Tabella34[[#This Row],[rest of Italy acc. fit]]*NOT(ISBLANK(Tabella34[[#This Row],[rest of Italy data]]))</f>
        <v>16.924363937557889</v>
      </c>
      <c r="BU95" s="96">
        <f>Tabella34[[#This Row],[rest of Italy acc. fit]]+CIa</f>
        <v>711.57639980115528</v>
      </c>
      <c r="BV95" s="96">
        <f>MAX(Tabella34[[#This Row],[rest of Italy acc. fit]]-CIa,0)</f>
        <v>0</v>
      </c>
    </row>
    <row r="96" spans="2:74" x14ac:dyDescent="0.3">
      <c r="B96" s="288">
        <v>43919</v>
      </c>
      <c r="C96" s="30">
        <v>89</v>
      </c>
      <c r="D96" s="10">
        <f>Tabella8[[#This Row],[Italy cumulative]]</f>
        <v>97689</v>
      </c>
      <c r="E96" s="91">
        <f>(Tabella34[[#This Row],[Italy cumul. Data]]-D95)</f>
        <v>5217</v>
      </c>
      <c r="F96" s="91">
        <f>Tabella34[[#This Row],[Italy data]]-E95</f>
        <v>-757</v>
      </c>
      <c r="G96" s="96">
        <f>Tabella34[[#This Row],[Italy data]]*NOT(ISBLANK(Tabella34[[#This Row],[Italy data]]))</f>
        <v>5217</v>
      </c>
      <c r="H96" s="163">
        <f>Tabella8[[#This Row],[Italy fit]]</f>
        <v>91370.914812723233</v>
      </c>
      <c r="I96" s="163">
        <f>_xlfn.LOGNORM.INV(alpha*Tabella34[[#This Row],[Italy cumul. Fit]]/Kt,mu_t,sigma_t)-(Tabella34[[#This Row],[Day]]-pt)</f>
        <v>22.008040500817835</v>
      </c>
      <c r="J96" s="163">
        <f>Tabella34[[#This Row],[Italy d.t.]]/Italy_dt_at_lockdown</f>
        <v>4.3225653740390202</v>
      </c>
      <c r="K96" s="96">
        <f>Tabella34[[#This Row],[Italy cumul. Fit]]/Kf</f>
        <v>0.38881250954745222</v>
      </c>
      <c r="L96" s="166">
        <f>Tabella34[[#This Row],[Lombardy acc. fit]]+Tabella34[[#This Row],[rest of Italy acc. fit]]</f>
        <v>-9.9513043339522333</v>
      </c>
      <c r="M96" s="96">
        <f>Tabella34[[#This Row],[Italy (fitted Lombardy + fitted sum of the other regions)]]/(y_l_peak+y_a_peak)</f>
        <v>-1.937143018339408E-3</v>
      </c>
      <c r="N96" s="163">
        <f>IFERROR(Kt*_xlfn.LOGNORM.DIST((Tabella34[[#This Row],[Day]]-pt),mu_t,sigma_t,FALSE),0)</f>
        <v>5059.7387981126558</v>
      </c>
      <c r="O96" s="163">
        <f>Kt*EXP(-0.5*Tabella34[[#This Row],[x_t]]^2)/(sigma_t*SQRTPI(2)*(Tabella34[[#This Row],[Day]]-D_bk))</f>
        <v>5059.7387981126549</v>
      </c>
      <c r="P96" s="206">
        <f>Tabella34[[#This Row],[Italy velocity]]/Tabella34[[#This Row],[Italy cumul. Fit]]</f>
        <v>5.5375814157965469E-2</v>
      </c>
      <c r="Q96" s="269">
        <f>(LN(Tabella34[[#This Row],[Day]]-D_bk)-mu_t)/sigma_t</f>
        <v>-0.28241538542117972</v>
      </c>
      <c r="R96" s="269">
        <f>EXP(mu_t+sigma_t*Tabella34[[#This Row],[x_t_alpha©+plus]])-(Tabella34[[#This Row],[Day]]-D_bk)</f>
        <v>24.607730280610816</v>
      </c>
      <c r="S96" s="269">
        <f>EXP(mu_t+sigma_t*Tabella34[[#This Row],[x_t_alpha©-minus]])-(Tabella34[[#This Row],[Day]]-D_bk)</f>
        <v>-17.905902872193529</v>
      </c>
      <c r="T96" s="269">
        <f>-sigma_t+SQRT(sigma_t^2-2*Tabella34[[#This Row],[c_t]])</f>
        <v>0.86810577963239854</v>
      </c>
      <c r="U96" s="269">
        <f>-sigma_t-SQRT(sigma_t^2-2*Tabella34[[#This Row],[c_t]])</f>
        <v>-1.4873426855246357</v>
      </c>
      <c r="V96" s="269">
        <f>mu_t-LN(alpha*Kt/(Tabella34[[#This Row],[Italy velocity]]*sigma_t*SQRTPI(2)))</f>
        <v>-0.64558539079895461</v>
      </c>
      <c r="W96" s="269">
        <f>Tabella34[[#This Row],[Italy g.r.]]/Italy_gr_at_lockdown</f>
        <v>0.35013767316747763</v>
      </c>
      <c r="X96" s="269">
        <f>Tabella34[[#This Row],[t_alpha_t+plus]]</f>
        <v>24.607730280610816</v>
      </c>
      <c r="Y96" s="269">
        <f>Tabella34[[#This Row],[Italy h.t.]]/Italy_ht_at_lockdown</f>
        <v>0.43824835223434189</v>
      </c>
      <c r="Z96" s="91">
        <f>IFERROR(-Kf*_xlfn.LOGNORM.DIST((Tabella34[[#This Row],[Day]]-D_bk),mu_f,sigma_f,FALSE)*(1+(LN((Tabella34[[#This Row],[Day]]-D_bk))-mu_f)/sigma_f^2)/(Tabella34[[#This Row],[Day]]-D_bk),0)</f>
        <v>-7.7306425439410038</v>
      </c>
      <c r="AA96" s="91">
        <f>Tabella34[[#This Row],[Italy acc. fit]]/Itali_acc_at_lockdown</f>
        <v>-3.1817677353046657E-2</v>
      </c>
      <c r="AB96" s="96">
        <f>Tabella34[[#This Row],[Italy acc. fit]]/y_f_peak</f>
        <v>-1.5273086254146682E-3</v>
      </c>
      <c r="AC96" s="163">
        <f>Tabella34[[#This Row],[Italy (fitted Lombardy + fitted sum of the other regions)]]*NOT(ISBLANK(Tabella34[[#This Row],[Italy data]]))</f>
        <v>-9.9513043339522333</v>
      </c>
      <c r="AD96" s="163">
        <f>Tabella34[[#This Row],[Italy acc. fit]]*NOT(ISBLANK(Tabella34[[#This Row],[Italy data]]))</f>
        <v>-7.7306425439410038</v>
      </c>
      <c r="AE96" s="96">
        <f>Tabella34[[#This Row],[Italy acc. fit]]+CIf</f>
        <v>1006.0323594763767</v>
      </c>
      <c r="AF96" s="96">
        <f>MAX(Tabella34[[#This Row],[Italy acc. fit]]-CIf,0)</f>
        <v>0</v>
      </c>
      <c r="AG96" s="4">
        <f>Tabella8[[#This Row],[Lombardy]]</f>
        <v>41007</v>
      </c>
      <c r="AH96" s="91">
        <f>(Tabella34[[#This Row],[Lombardy cumul. Data]]-AG95)</f>
        <v>1592</v>
      </c>
      <c r="AI96" s="91">
        <f>Tabella34[[#This Row],[Lombardy data]]-AH95</f>
        <v>-525</v>
      </c>
      <c r="AJ96" s="96">
        <f>Tabella34[[#This Row],[Lombardy data]]*NOT(ISBLANK(Tabella34[[#This Row],[Lombardy data]]))</f>
        <v>1592</v>
      </c>
      <c r="AK96" s="96">
        <f>Tabella8[[#This Row],[Lombardy fit]]</f>
        <v>37242.355288164421</v>
      </c>
      <c r="AL96" s="163">
        <f>_xlfn.LOGNORM.INV(alpha*Tabella34[[#This Row],[Lombardy cumul. Fit]]/Kr,mu_r,sigma_r)-(Tabella34[[#This Row],[Day]]-pr)</f>
        <v>30.478740815269546</v>
      </c>
      <c r="AM96" s="96">
        <f>Tabella34[[#This Row],[Lombardy cumul. Fit]]/Kl</f>
        <v>0.42807304928924622</v>
      </c>
      <c r="AN96" s="96">
        <f>IFERROR(Kr*_xlfn.LOGNORM.DIST((Tabella34[[#This Row],[Day]]-pr),mu_r,sigma_r,FALSE),0)</f>
        <v>1735.8328304500953</v>
      </c>
      <c r="AO96" s="209">
        <f>Tabella34[[#This Row],[Lombardy velocity]]/Tabella34[[#This Row],[Lombardy cumul. Fit]]</f>
        <v>4.6609104526795092E-2</v>
      </c>
      <c r="AP96" s="266">
        <f>(LN(Tabella34[[#This Row],[Day]]-pr)-mu_r)/sigma_r</f>
        <v>-0.18128217236746549</v>
      </c>
      <c r="AQ96" s="269">
        <f>EXP(mu_r+sigma_r*Tabella34[[#This Row],[x_r_alpha©+plus]])-(Tabella34[[#This Row],[Day]]-pr)</f>
        <v>24.236579026940362</v>
      </c>
      <c r="AR96" s="269">
        <f>EXP(mu_r+sigma_r*Tabella34[[#This Row],[x_r_alpha©-minus]])-(Tabella34[[#This Row],[Day]]-pr)</f>
        <v>-21.254148427709083</v>
      </c>
      <c r="AS96" s="269">
        <f>-sigma_r+SQRT(sigma_r^2-2*Tabella34[[#This Row],[c_r]])</f>
        <v>0.84768950219439709</v>
      </c>
      <c r="AT96" s="269">
        <f>-sigma_r-SQRT(sigma_r^2-2*Tabella34[[#This Row],[c_r]])</f>
        <v>-1.5285440993881263</v>
      </c>
      <c r="AU96" s="269">
        <f>mu_r-LN(alpha*Kr/(Tabella34[[#This Row],[Lombardy velocity]]*sigma_r*SQRTPI(2)))</f>
        <v>-0.64786539334625193</v>
      </c>
      <c r="AV96" s="269">
        <f>Tabella34[[#This Row],[t_alpha_r+plus]]</f>
        <v>24.236579026940362</v>
      </c>
      <c r="AW96" s="91">
        <f>IFERROR(-Kl*_xlfn.LOGNORM.DIST((Tabella34[[#This Row],[Day]]-pl),mu_l,sigma_l,FALSE)*(1+(LN((Tabella34[[#This Row],[Day]]-pl))-mu_l)/sigma_l^2)/(Tabella34[[#This Row],[Day]]-pl),0)</f>
        <v>-14.044813596877981</v>
      </c>
      <c r="AX96" s="96">
        <f>Tabella34[[#This Row],[Lombardy acc. fit]]/y_l_peak</f>
        <v>-7.989293135688684E-3</v>
      </c>
      <c r="AY96" s="163">
        <f>Tabella34[[#This Row],[Lombardy acc. fit]]*NOT(ISBLANK(Tabella34[[#This Row],[Lombardy data]]))</f>
        <v>-14.044813596877981</v>
      </c>
      <c r="AZ96" s="96">
        <f>Tabella34[[#This Row],[Lombardy acc. fit]]+CIl</f>
        <v>734.91055820674569</v>
      </c>
      <c r="BA96" s="96">
        <f>MAX(Tabella34[[#This Row],[Lombardy acc. fit]]-CIl,0)</f>
        <v>0</v>
      </c>
      <c r="BB96" s="10">
        <f>Tabella8[[#This Row],[rest of Italy ]]</f>
        <v>56682</v>
      </c>
      <c r="BC96" s="10">
        <f>(Tabella34[[#This Row],[rest of Italy cum. Data]]-BB95)</f>
        <v>3625</v>
      </c>
      <c r="BD96" s="10">
        <f>Tabella34[[#This Row],[rest of Italy data]]-BC95</f>
        <v>-232</v>
      </c>
      <c r="BE96" s="96">
        <f>Tabella34[[#This Row],[rest of Italy data]]*NOT(ISBLANK(Tabella34[[#This Row],[rest of Italy data]]))</f>
        <v>3625</v>
      </c>
      <c r="BF96" s="96">
        <f>Tabella8[[#This Row],[rest of Italy fit]]</f>
        <v>54223.904460029429</v>
      </c>
      <c r="BG96" s="163">
        <f>_xlfn.LOGNORM.INV(alpha*Tabella34[[#This Row],[rest of Italy cumul. Fit]]/Ko,mu_o,sigma_o)-(Tabella34[[#This Row],[Day]]-po)</f>
        <v>18.600512695785355</v>
      </c>
      <c r="BH96" s="96">
        <f>Tabella34[[#This Row],[rest of Italy cumul. Fit]]/Ka</f>
        <v>0.36637777548862505</v>
      </c>
      <c r="BI96" s="163">
        <f>IFERROR(Ko*_xlfn.LOGNORM.DIST((Tabella34[[#This Row],[Day]]-po),mu_o,sigma_o,FALSE),0)</f>
        <v>3378.4749693188419</v>
      </c>
      <c r="BJ96" s="206">
        <f>Tabella34[[#This Row],[rest of Italy velocity]]/Tabella34[[#This Row],[rest of Italy cumul. Fit]]</f>
        <v>6.230600697168992E-2</v>
      </c>
      <c r="BK96" s="261">
        <f>(LN(Tabella34[[#This Row],[Day]]-po)-mu_o)/sigma_o</f>
        <v>-0.34146234047788798</v>
      </c>
      <c r="BL96" s="269">
        <f>EXP(mu_o+sigma_o*Tabella34[[#This Row],[x_o_alpha©+plus]])-(Tabella34[[#This Row],[Day]]-po)</f>
        <v>24.082863132712205</v>
      </c>
      <c r="BM96" s="269">
        <f>EXP(mu_o+sigma_o*Tabella34[[#This Row],[x_o_alpha©-minus]])-(Tabella34[[#This Row],[Day]]-po)</f>
        <v>-15.936149976225074</v>
      </c>
      <c r="BN96" s="269">
        <f>-sigma_o+SQRT(sigma_o^2-2*Tabella34[[#This Row],[c_o]])</f>
        <v>0.85609307778633614</v>
      </c>
      <c r="BO96" s="269">
        <f>-sigma_o-SQRT(sigma_o^2-2*Tabella34[[#This Row],[c_o]])</f>
        <v>-1.4990658550853624</v>
      </c>
      <c r="BP96" s="269">
        <f>mu_o-LN(alpha*Ko/(Tabella34[[#This Row],[rest of Italy velocity]]*sigma_o*SQRTPI(2)))</f>
        <v>-0.64166995084221679</v>
      </c>
      <c r="BQ96" s="269">
        <f>Tabella34[[#This Row],[t_alpha_o+plus]]</f>
        <v>24.082863132712205</v>
      </c>
      <c r="BR96" s="91">
        <f>IFERROR(-Ka*_xlfn.LOGNORM.DIST((Tabella34[[#This Row],[Day]]-pa),mu_a,sigma_a,FALSE)*(1+(LN((Tabella34[[#This Row],[Day]]-pa))-mu_a)/sigma_a^2)/(Tabella34[[#This Row],[Day]]-pa),0)</f>
        <v>4.0935092629257488</v>
      </c>
      <c r="BS96" s="96">
        <f>Tabella34[[#This Row],[rest of Italy acc. fit]]/y_a_peak</f>
        <v>1.2114023775095873E-3</v>
      </c>
      <c r="BT96" s="96">
        <f>Tabella34[[#This Row],[rest of Italy acc. fit]]*NOT(ISBLANK(Tabella34[[#This Row],[rest of Italy data]]))</f>
        <v>4.0935092629257488</v>
      </c>
      <c r="BU96" s="96">
        <f>Tabella34[[#This Row],[rest of Italy acc. fit]]+CIa</f>
        <v>698.7455451265231</v>
      </c>
      <c r="BV96" s="96">
        <f>MAX(Tabella34[[#This Row],[rest of Italy acc. fit]]-CIa,0)</f>
        <v>0</v>
      </c>
    </row>
    <row r="97" spans="2:74" x14ac:dyDescent="0.3">
      <c r="B97" s="288">
        <v>43920</v>
      </c>
      <c r="C97" s="30">
        <v>90</v>
      </c>
      <c r="D97" s="10">
        <f>Tabella8[[#This Row],[Italy cumulative]]</f>
        <v>101739</v>
      </c>
      <c r="E97" s="91">
        <f>(Tabella34[[#This Row],[Italy cumul. Data]]-D96)</f>
        <v>4050</v>
      </c>
      <c r="F97" s="91">
        <f>Tabella34[[#This Row],[Italy data]]-E96</f>
        <v>-1167</v>
      </c>
      <c r="G97" s="96">
        <f>Tabella34[[#This Row],[Italy data]]*NOT(ISBLANK(Tabella34[[#This Row],[Italy data]]))</f>
        <v>4050</v>
      </c>
      <c r="H97" s="163">
        <f>Tabella8[[#This Row],[Italy fit]]</f>
        <v>96424.190697983926</v>
      </c>
      <c r="I97" s="163">
        <f>_xlfn.LOGNORM.INV(alpha*Tabella34[[#This Row],[Italy cumul. Fit]]/Kt,mu_t,sigma_t)-(Tabella34[[#This Row],[Day]]-pt)</f>
        <v>24.880254110019045</v>
      </c>
      <c r="J97" s="163">
        <f>Tabella34[[#This Row],[Italy d.t.]]/Italy_dt_at_lockdown</f>
        <v>4.8866924299445849</v>
      </c>
      <c r="K97" s="96">
        <f>Tabella34[[#This Row],[Italy cumul. Fit]]/Kf</f>
        <v>0.41031581705412329</v>
      </c>
      <c r="L97" s="166">
        <f>Tabella34[[#This Row],[Lombardy acc. fit]]+Tabella34[[#This Row],[rest of Italy acc. fit]]</f>
        <v>-26.064864069246148</v>
      </c>
      <c r="M97" s="96">
        <f>Tabella34[[#This Row],[Italy (fitted Lombardy + fitted sum of the other regions)]]/(y_l_peak+y_a_peak)</f>
        <v>-5.0738443686660769E-3</v>
      </c>
      <c r="N97" s="163">
        <f>IFERROR(Kt*_xlfn.LOGNORM.DIST((Tabella34[[#This Row],[Day]]-pt),mu_t,sigma_t,FALSE),0)</f>
        <v>5044.2543175289993</v>
      </c>
      <c r="O97" s="163">
        <f>Kt*EXP(-0.5*Tabella34[[#This Row],[x_t]]^2)/(sigma_t*SQRTPI(2)*(Tabella34[[#This Row],[Day]]-D_bk))</f>
        <v>5044.254317529002</v>
      </c>
      <c r="P97" s="206">
        <f>Tabella34[[#This Row],[Italy velocity]]/Tabella34[[#This Row],[Italy cumul. Fit]]</f>
        <v>5.2313162091537954E-2</v>
      </c>
      <c r="Q97" s="269">
        <f>(LN(Tabella34[[#This Row],[Day]]-D_bk)-mu_t)/sigma_t</f>
        <v>-0.22673265393443462</v>
      </c>
      <c r="R97" s="269">
        <f>EXP(mu_t+sigma_t*Tabella34[[#This Row],[x_t_alpha©+plus]])-(Tabella34[[#This Row],[Day]]-D_bk)</f>
        <v>23.673848622205092</v>
      </c>
      <c r="S97" s="269">
        <f>EXP(mu_t+sigma_t*Tabella34[[#This Row],[x_t_alpha©-minus]])-(Tabella34[[#This Row],[Day]]-D_bk)</f>
        <v>-18.93776286211623</v>
      </c>
      <c r="T97" s="269">
        <f>-sigma_t+SQRT(sigma_t^2-2*Tabella34[[#This Row],[c_t]])</f>
        <v>0.87070540803344199</v>
      </c>
      <c r="U97" s="269">
        <f>-sigma_t-SQRT(sigma_t^2-2*Tabella34[[#This Row],[c_t]])</f>
        <v>-1.4899423139256791</v>
      </c>
      <c r="V97" s="269">
        <f>mu_t-LN(alpha*Kt/(Tabella34[[#This Row],[Italy velocity]]*sigma_t*SQRTPI(2)))</f>
        <v>-0.64865041519647448</v>
      </c>
      <c r="W97" s="269">
        <f>Tabella34[[#This Row],[Italy g.r.]]/Italy_gr_at_lockdown</f>
        <v>0.33077272324183854</v>
      </c>
      <c r="X97" s="269">
        <f>Tabella34[[#This Row],[t_alpha_t+plus]]</f>
        <v>23.673848622205092</v>
      </c>
      <c r="Y97" s="269">
        <f>Tabella34[[#This Row],[Italy h.t.]]/Italy_ht_at_lockdown</f>
        <v>0.421616501457732</v>
      </c>
      <c r="Z97" s="91">
        <f>IFERROR(-Kf*_xlfn.LOGNORM.DIST((Tabella34[[#This Row],[Day]]-D_bk),mu_f,sigma_f,FALSE)*(1+(LN((Tabella34[[#This Row],[Day]]-D_bk))-mu_f)/sigma_f^2)/(Tabella34[[#This Row],[Day]]-D_bk),0)</f>
        <v>-23.081249044341472</v>
      </c>
      <c r="AA97" s="91">
        <f>Tabella34[[#This Row],[Italy acc. fit]]/Itali_acc_at_lockdown</f>
        <v>-9.4997502578070048E-2</v>
      </c>
      <c r="AB97" s="96">
        <f>Tabella34[[#This Row],[Italy acc. fit]]/y_f_peak</f>
        <v>-4.5600596005303832E-3</v>
      </c>
      <c r="AC97" s="163">
        <f>Tabella34[[#This Row],[Italy (fitted Lombardy + fitted sum of the other regions)]]*NOT(ISBLANK(Tabella34[[#This Row],[Italy data]]))</f>
        <v>-26.064864069246148</v>
      </c>
      <c r="AD97" s="163">
        <f>Tabella34[[#This Row],[Italy acc. fit]]*NOT(ISBLANK(Tabella34[[#This Row],[Italy data]]))</f>
        <v>-23.081249044341472</v>
      </c>
      <c r="AE97" s="96">
        <f>Tabella34[[#This Row],[Italy acc. fit]]+CIf</f>
        <v>990.68175297597622</v>
      </c>
      <c r="AF97" s="96">
        <f>MAX(Tabella34[[#This Row],[Italy acc. fit]]-CIf,0)</f>
        <v>0</v>
      </c>
      <c r="AG97" s="4">
        <f>Tabella8[[#This Row],[Lombardy]]</f>
        <v>42161</v>
      </c>
      <c r="AH97" s="91">
        <f>(Tabella34[[#This Row],[Lombardy cumul. Data]]-AG96)</f>
        <v>1154</v>
      </c>
      <c r="AI97" s="91">
        <f>Tabella34[[#This Row],[Lombardy data]]-AH96</f>
        <v>-438</v>
      </c>
      <c r="AJ97" s="96">
        <f>Tabella34[[#This Row],[Lombardy data]]*NOT(ISBLANK(Tabella34[[#This Row],[Lombardy data]]))</f>
        <v>1154</v>
      </c>
      <c r="AK97" s="96">
        <f>Tabella8[[#This Row],[Lombardy fit]]</f>
        <v>38970.491033185979</v>
      </c>
      <c r="AL97" s="163">
        <f>_xlfn.LOGNORM.INV(alpha*Tabella34[[#This Row],[Lombardy cumul. Fit]]/Kr,mu_r,sigma_r)-(Tabella34[[#This Row],[Day]]-pr)</f>
        <v>35.543386013479832</v>
      </c>
      <c r="AM97" s="96">
        <f>Tabella34[[#This Row],[Lombardy cumul. Fit]]/Kl</f>
        <v>0.44793667854236757</v>
      </c>
      <c r="AN97" s="96">
        <f>IFERROR(Kr*_xlfn.LOGNORM.DIST((Tabella34[[#This Row],[Day]]-pr),mu_r,sigma_r,FALSE),0)</f>
        <v>1719.7777021380912</v>
      </c>
      <c r="AO97" s="209">
        <f>Tabella34[[#This Row],[Lombardy velocity]]/Tabella34[[#This Row],[Lombardy cumul. Fit]]</f>
        <v>4.4130254881150598E-2</v>
      </c>
      <c r="AP97" s="266">
        <f>(LN(Tabella34[[#This Row],[Day]]-pr)-mu_r)/sigma_r</f>
        <v>-0.13087605498698482</v>
      </c>
      <c r="AQ97" s="269">
        <f>EXP(mu_r+sigma_r*Tabella34[[#This Row],[x_r_alpha©+plus]])-(Tabella34[[#This Row],[Day]]-pr)</f>
        <v>23.454516168964588</v>
      </c>
      <c r="AR97" s="269">
        <f>EXP(mu_r+sigma_r*Tabella34[[#This Row],[x_r_alpha©-minus]])-(Tabella34[[#This Row],[Day]]-pr)</f>
        <v>-22.350945632319792</v>
      </c>
      <c r="AS97" s="269">
        <f>-sigma_r+SQRT(sigma_r^2-2*Tabella34[[#This Row],[c_r]])</f>
        <v>0.85548494100031336</v>
      </c>
      <c r="AT97" s="269">
        <f>-sigma_r-SQRT(sigma_r^2-2*Tabella34[[#This Row],[c_r]])</f>
        <v>-1.5363395381940426</v>
      </c>
      <c r="AU97" s="269">
        <f>mu_r-LN(alpha*Kr/(Tabella34[[#This Row],[Lombardy velocity]]*sigma_r*SQRTPI(2)))</f>
        <v>-0.65715766959418964</v>
      </c>
      <c r="AV97" s="269">
        <f>Tabella34[[#This Row],[t_alpha_r+plus]]</f>
        <v>23.454516168964588</v>
      </c>
      <c r="AW97" s="91">
        <f>IFERROR(-Kl*_xlfn.LOGNORM.DIST((Tabella34[[#This Row],[Day]]-pl),mu_l,sigma_l,FALSE)*(1+(LN((Tabella34[[#This Row],[Day]]-pl))-mu_l)/sigma_l^2)/(Tabella34[[#This Row],[Day]]-pl),0)</f>
        <v>-18.010466723107886</v>
      </c>
      <c r="AX97" s="96">
        <f>Tabella34[[#This Row],[Lombardy acc. fit]]/y_l_peak</f>
        <v>-1.0245126940912964E-2</v>
      </c>
      <c r="AY97" s="163">
        <f>Tabella34[[#This Row],[Lombardy acc. fit]]*NOT(ISBLANK(Tabella34[[#This Row],[Lombardy data]]))</f>
        <v>-18.010466723107886</v>
      </c>
      <c r="AZ97" s="96">
        <f>Tabella34[[#This Row],[Lombardy acc. fit]]+CIl</f>
        <v>730.9449050805157</v>
      </c>
      <c r="BA97" s="96">
        <f>MAX(Tabella34[[#This Row],[Lombardy acc. fit]]-CIl,0)</f>
        <v>0</v>
      </c>
      <c r="BB97" s="10">
        <f>Tabella8[[#This Row],[rest of Italy ]]</f>
        <v>59578</v>
      </c>
      <c r="BC97" s="10">
        <f>(Tabella34[[#This Row],[rest of Italy cum. Data]]-BB96)</f>
        <v>2896</v>
      </c>
      <c r="BD97" s="10">
        <f>Tabella34[[#This Row],[rest of Italy data]]-BC96</f>
        <v>-729</v>
      </c>
      <c r="BE97" s="96">
        <f>Tabella34[[#This Row],[rest of Italy data]]*NOT(ISBLANK(Tabella34[[#This Row],[rest of Italy data]]))</f>
        <v>2896</v>
      </c>
      <c r="BF97" s="96">
        <f>Tabella8[[#This Row],[rest of Italy fit]]</f>
        <v>57602.371366640451</v>
      </c>
      <c r="BG97" s="163">
        <f>_xlfn.LOGNORM.INV(alpha*Tabella34[[#This Row],[rest of Italy cumul. Fit]]/Ko,mu_o,sigma_o)-(Tabella34[[#This Row],[Day]]-po)</f>
        <v>20.950992319485024</v>
      </c>
      <c r="BH97" s="96">
        <f>Tabella34[[#This Row],[rest of Italy cumul. Fit]]/Ka</f>
        <v>0.38920525724472965</v>
      </c>
      <c r="BI97" s="163">
        <f>IFERROR(Ko*_xlfn.LOGNORM.DIST((Tabella34[[#This Row],[Day]]-po),mu_o,sigma_o,FALSE),0)</f>
        <v>3376.4339720750772</v>
      </c>
      <c r="BJ97" s="206">
        <f>Tabella34[[#This Row],[rest of Italy velocity]]/Tabella34[[#This Row],[rest of Italy cumul. Fit]]</f>
        <v>5.8616232144055244E-2</v>
      </c>
      <c r="BK97" s="261">
        <f>(LN(Tabella34[[#This Row],[Day]]-po)-mu_o)/sigma_o</f>
        <v>-0.28139100761018687</v>
      </c>
      <c r="BL97" s="269">
        <f>EXP(mu_o+sigma_o*Tabella34[[#This Row],[x_o_alpha©+plus]])-(Tabella34[[#This Row],[Day]]-po)</f>
        <v>23.095295067926685</v>
      </c>
      <c r="BM97" s="269">
        <f>EXP(mu_o+sigma_o*Tabella34[[#This Row],[x_o_alpha©-minus]])-(Tabella34[[#This Row],[Day]]-po)</f>
        <v>-16.941979597871793</v>
      </c>
      <c r="BN97" s="269">
        <f>-sigma_o+SQRT(sigma_o^2-2*Tabella34[[#This Row],[c_o]])</f>
        <v>0.85660613772546579</v>
      </c>
      <c r="BO97" s="269">
        <f>-sigma_o-SQRT(sigma_o^2-2*Tabella34[[#This Row],[c_o]])</f>
        <v>-1.4995789150244918</v>
      </c>
      <c r="BP97" s="269">
        <f>mu_o-LN(alpha*Ko/(Tabella34[[#This Row],[rest of Italy velocity]]*sigma_o*SQRTPI(2)))</f>
        <v>-0.64227425130683713</v>
      </c>
      <c r="BQ97" s="269">
        <f>Tabella34[[#This Row],[t_alpha_o+plus]]</f>
        <v>23.095295067926685</v>
      </c>
      <c r="BR97" s="91">
        <f>IFERROR(-Ka*_xlfn.LOGNORM.DIST((Tabella34[[#This Row],[Day]]-pa),mu_a,sigma_a,FALSE)*(1+(LN((Tabella34[[#This Row],[Day]]-pa))-mu_a)/sigma_a^2)/(Tabella34[[#This Row],[Day]]-pa),0)</f>
        <v>-8.0543973461382627</v>
      </c>
      <c r="BS97" s="96">
        <f>Tabella34[[#This Row],[rest of Italy acc. fit]]/y_a_peak</f>
        <v>-2.3835578394526729E-3</v>
      </c>
      <c r="BT97" s="96">
        <f>Tabella34[[#This Row],[rest of Italy acc. fit]]*NOT(ISBLANK(Tabella34[[#This Row],[rest of Italy data]]))</f>
        <v>-8.0543973461382627</v>
      </c>
      <c r="BU97" s="96">
        <f>Tabella34[[#This Row],[rest of Italy acc. fit]]+CIa</f>
        <v>686.59763851745913</v>
      </c>
      <c r="BV97" s="96">
        <f>MAX(Tabella34[[#This Row],[rest of Italy acc. fit]]-CIa,0)</f>
        <v>0</v>
      </c>
    </row>
    <row r="98" spans="2:74" x14ac:dyDescent="0.3">
      <c r="B98" s="288">
        <v>43921</v>
      </c>
      <c r="C98" s="30">
        <v>91</v>
      </c>
      <c r="D98" s="10">
        <f>Tabella8[[#This Row],[Italy cumulative]]</f>
        <v>105792</v>
      </c>
      <c r="E98" s="91">
        <f>(Tabella34[[#This Row],[Italy cumul. Data]]-D97)</f>
        <v>4053</v>
      </c>
      <c r="F98" s="91">
        <f>Tabella34[[#This Row],[Italy data]]-E97</f>
        <v>3</v>
      </c>
      <c r="G98" s="96">
        <f>Tabella34[[#This Row],[Italy data]]*NOT(ISBLANK(Tabella34[[#This Row],[Italy data]]))</f>
        <v>4053</v>
      </c>
      <c r="H98" s="163">
        <f>Tabella8[[#This Row],[Italy fit]]</f>
        <v>101454.46693801886</v>
      </c>
      <c r="I98" s="163">
        <f>_xlfn.LOGNORM.INV(alpha*Tabella34[[#This Row],[Italy cumul. Fit]]/Kt,mu_t,sigma_t)-(Tabella34[[#This Row],[Day]]-pt)</f>
        <v>28.608651405796714</v>
      </c>
      <c r="J98" s="163">
        <f>Tabella34[[#This Row],[Italy d.t.]]/Italy_dt_at_lockdown</f>
        <v>5.6189812064392655</v>
      </c>
      <c r="K98" s="96">
        <f>Tabella34[[#This Row],[Italy cumul. Fit]]/Kf</f>
        <v>0.43172125370334197</v>
      </c>
      <c r="L98" s="166">
        <f>Tabella34[[#This Row],[Lombardy acc. fit]]+Tabella34[[#This Row],[rest of Italy acc. fit]]</f>
        <v>-41.084068555310438</v>
      </c>
      <c r="M98" s="96">
        <f>Tabella34[[#This Row],[Italy (fitted Lombardy + fitted sum of the other regions)]]/(y_l_peak+y_a_peak)</f>
        <v>-7.9975160939821412E-3</v>
      </c>
      <c r="N98" s="163">
        <f>IFERROR(Kt*_xlfn.LOGNORM.DIST((Tabella34[[#This Row],[Day]]-pt),mu_t,sigma_t,FALSE),0)</f>
        <v>5013.90259879731</v>
      </c>
      <c r="O98" s="163">
        <f>Kt*EXP(-0.5*Tabella34[[#This Row],[x_t]]^2)/(sigma_t*SQRTPI(2)*(Tabella34[[#This Row],[Day]]-D_bk))</f>
        <v>5013.9025987973109</v>
      </c>
      <c r="P98" s="206">
        <f>Tabella34[[#This Row],[Italy velocity]]/Tabella34[[#This Row],[Italy cumul. Fit]]</f>
        <v>4.942022515243643E-2</v>
      </c>
      <c r="Q98" s="269">
        <f>(LN(Tabella34[[#This Row],[Day]]-D_bk)-mu_t)/sigma_t</f>
        <v>-0.17199366751308087</v>
      </c>
      <c r="R98" s="269">
        <f>EXP(mu_t+sigma_t*Tabella34[[#This Row],[x_t_alpha©+plus]])-(Tabella34[[#This Row],[Day]]-D_bk)</f>
        <v>22.803771575886039</v>
      </c>
      <c r="S98" s="269">
        <f>EXP(mu_t+sigma_t*Tabella34[[#This Row],[x_t_alpha©-minus]])-(Tabella34[[#This Row],[Day]]-D_bk)</f>
        <v>-20.000218829107951</v>
      </c>
      <c r="T98" s="269">
        <f>-sigma_t+SQRT(sigma_t^2-2*Tabella34[[#This Row],[c_t]])</f>
        <v>0.87580760661448509</v>
      </c>
      <c r="U98" s="269">
        <f>-sigma_t-SQRT(sigma_t^2-2*Tabella34[[#This Row],[c_t]])</f>
        <v>-1.4950445125067222</v>
      </c>
      <c r="V98" s="269">
        <f>mu_t-LN(alpha*Kt/(Tabella34[[#This Row],[Italy velocity]]*sigma_t*SQRTPI(2)))</f>
        <v>-0.65468567814031609</v>
      </c>
      <c r="W98" s="269">
        <f>Tabella34[[#This Row],[Italy g.r.]]/Italy_gr_at_lockdown</f>
        <v>0.31248087103380107</v>
      </c>
      <c r="X98" s="269">
        <f>Tabella34[[#This Row],[t_alpha_t+plus]]</f>
        <v>22.803771575886039</v>
      </c>
      <c r="Y98" s="269">
        <f>Tabella34[[#This Row],[Italy h.t.]]/Italy_ht_at_lockdown</f>
        <v>0.4061209710891025</v>
      </c>
      <c r="Z98" s="91">
        <f>IFERROR(-Kf*_xlfn.LOGNORM.DIST((Tabella34[[#This Row],[Day]]-D_bk),mu_f,sigma_f,FALSE)*(1+(LN((Tabella34[[#This Row],[Day]]-D_bk))-mu_f)/sigma_f^2)/(Tabella34[[#This Row],[Day]]-D_bk),0)</f>
        <v>-37.453658150625778</v>
      </c>
      <c r="AA98" s="91">
        <f>Tabella34[[#This Row],[Italy acc. fit]]/Itali_acc_at_lockdown</f>
        <v>-0.15415127577744739</v>
      </c>
      <c r="AB98" s="96">
        <f>Tabella34[[#This Row],[Italy acc. fit]]/y_f_peak</f>
        <v>-7.3995524720796976E-3</v>
      </c>
      <c r="AC98" s="163">
        <f>Tabella34[[#This Row],[Italy (fitted Lombardy + fitted sum of the other regions)]]*NOT(ISBLANK(Tabella34[[#This Row],[Italy data]]))</f>
        <v>-41.084068555310438</v>
      </c>
      <c r="AD98" s="163">
        <f>Tabella34[[#This Row],[Italy acc. fit]]*NOT(ISBLANK(Tabella34[[#This Row],[Italy data]]))</f>
        <v>-37.453658150625778</v>
      </c>
      <c r="AE98" s="96">
        <f>Tabella34[[#This Row],[Italy acc. fit]]+CIf</f>
        <v>976.30934386969193</v>
      </c>
      <c r="AF98" s="96">
        <f>MAX(Tabella34[[#This Row],[Italy acc. fit]]-CIf,0)</f>
        <v>0</v>
      </c>
      <c r="AG98" s="4">
        <f>Tabella8[[#This Row],[Lombardy]]</f>
        <v>43208</v>
      </c>
      <c r="AH98" s="91">
        <f>(Tabella34[[#This Row],[Lombardy cumul. Data]]-AG97)</f>
        <v>1047</v>
      </c>
      <c r="AI98" s="91">
        <f>Tabella34[[#This Row],[Lombardy data]]-AH97</f>
        <v>-107</v>
      </c>
      <c r="AJ98" s="96">
        <f>Tabella34[[#This Row],[Lombardy data]]*NOT(ISBLANK(Tabella34[[#This Row],[Lombardy data]]))</f>
        <v>1047</v>
      </c>
      <c r="AK98" s="96">
        <f>Tabella8[[#This Row],[Lombardy fit]]</f>
        <v>40680.643978973909</v>
      </c>
      <c r="AL98" s="163">
        <f>_xlfn.LOGNORM.INV(alpha*Tabella34[[#This Row],[Lombardy cumul. Fit]]/Kr,mu_r,sigma_r)-(Tabella34[[#This Row],[Day]]-pr)</f>
        <v>43.174187218562636</v>
      </c>
      <c r="AM98" s="96">
        <f>Tabella34[[#This Row],[Lombardy cumul. Fit]]/Kl</f>
        <v>0.46759360895372309</v>
      </c>
      <c r="AN98" s="96">
        <f>IFERROR(Kr*_xlfn.LOGNORM.DIST((Tabella34[[#This Row],[Day]]-pr),mu_r,sigma_r,FALSE),0)</f>
        <v>1699.9225430030324</v>
      </c>
      <c r="AO98" s="209">
        <f>Tabella34[[#This Row],[Lombardy velocity]]/Tabella34[[#This Row],[Lombardy cumul. Fit]]</f>
        <v>4.1787011628470039E-2</v>
      </c>
      <c r="AP98" s="266">
        <f>(LN(Tabella34[[#This Row],[Day]]-pr)-mu_r)/sigma_r</f>
        <v>-8.132031569493274E-2</v>
      </c>
      <c r="AQ98" s="269">
        <f>EXP(mu_r+sigma_r*Tabella34[[#This Row],[x_r_alpha©+plus]])-(Tabella34[[#This Row],[Day]]-pr)</f>
        <v>22.725691613092152</v>
      </c>
      <c r="AR98" s="269">
        <f>EXP(mu_r+sigma_r*Tabella34[[#This Row],[x_r_alpha©-minus]])-(Tabella34[[#This Row],[Day]]-pr)</f>
        <v>-23.470674698753058</v>
      </c>
      <c r="AS98" s="269">
        <f>-sigma_r+SQRT(sigma_r^2-2*Tabella34[[#This Row],[c_r]])</f>
        <v>0.86515587551781747</v>
      </c>
      <c r="AT98" s="269">
        <f>-sigma_r-SQRT(sigma_r^2-2*Tabella34[[#This Row],[c_r]])</f>
        <v>-1.5460104727115467</v>
      </c>
      <c r="AU98" s="269">
        <f>mu_r-LN(alpha*Kr/(Tabella34[[#This Row],[Lombardy velocity]]*sigma_r*SQRTPI(2)))</f>
        <v>-0.66877002203923652</v>
      </c>
      <c r="AV98" s="269">
        <f>Tabella34[[#This Row],[t_alpha_r+plus]]</f>
        <v>22.725691613092152</v>
      </c>
      <c r="AW98" s="91">
        <f>IFERROR(-Kl*_xlfn.LOGNORM.DIST((Tabella34[[#This Row],[Day]]-pl),mu_l,sigma_l,FALSE)*(1+(LN((Tabella34[[#This Row],[Day]]-pl))-mu_l)/sigma_l^2)/(Tabella34[[#This Row],[Day]]-pl),0)</f>
        <v>-21.644325606604944</v>
      </c>
      <c r="AX98" s="96">
        <f>Tabella34[[#This Row],[Lombardy acc. fit]]/y_l_peak</f>
        <v>-1.2312221931795427E-2</v>
      </c>
      <c r="AY98" s="163">
        <f>Tabella34[[#This Row],[Lombardy acc. fit]]*NOT(ISBLANK(Tabella34[[#This Row],[Lombardy data]]))</f>
        <v>-21.644325606604944</v>
      </c>
      <c r="AZ98" s="96">
        <f>Tabella34[[#This Row],[Lombardy acc. fit]]+CIl</f>
        <v>727.31104619701864</v>
      </c>
      <c r="BA98" s="96">
        <f>MAX(Tabella34[[#This Row],[Lombardy acc. fit]]-CIl,0)</f>
        <v>0</v>
      </c>
      <c r="BB98" s="10">
        <f>Tabella8[[#This Row],[rest of Italy ]]</f>
        <v>62584</v>
      </c>
      <c r="BC98" s="10">
        <f>(Tabella34[[#This Row],[rest of Italy cum. Data]]-BB97)</f>
        <v>3006</v>
      </c>
      <c r="BD98" s="10">
        <f>Tabella34[[#This Row],[rest of Italy data]]-BC97</f>
        <v>110</v>
      </c>
      <c r="BE98" s="96">
        <f>Tabella34[[#This Row],[rest of Italy data]]*NOT(ISBLANK(Tabella34[[#This Row],[rest of Italy data]]))</f>
        <v>3006</v>
      </c>
      <c r="BF98" s="96">
        <f>Tabella8[[#This Row],[rest of Italy fit]]</f>
        <v>60972.847507879022</v>
      </c>
      <c r="BG98" s="163">
        <f>_xlfn.LOGNORM.INV(alpha*Tabella34[[#This Row],[rest of Italy cumul. Fit]]/Ko,mu_o,sigma_o)-(Tabella34[[#This Row],[Day]]-po)</f>
        <v>23.908707735389129</v>
      </c>
      <c r="BH98" s="96">
        <f>Tabella34[[#This Row],[rest of Italy cumul. Fit]]/Ka</f>
        <v>0.41197874733662709</v>
      </c>
      <c r="BI98" s="163">
        <f>IFERROR(Ko*_xlfn.LOGNORM.DIST((Tabella34[[#This Row],[Day]]-po),mu_o,sigma_o,FALSE),0)</f>
        <v>3362.6205888789086</v>
      </c>
      <c r="BJ98" s="206">
        <f>Tabella34[[#This Row],[rest of Italy velocity]]/Tabella34[[#This Row],[rest of Italy cumul. Fit]]</f>
        <v>5.5149475976899141E-2</v>
      </c>
      <c r="BK98" s="261">
        <f>(LN(Tabella34[[#This Row],[Day]]-po)-mu_o)/sigma_o</f>
        <v>-0.22245783372771555</v>
      </c>
      <c r="BL98" s="269">
        <f>EXP(mu_o+sigma_o*Tabella34[[#This Row],[x_o_alpha©+plus]])-(Tabella34[[#This Row],[Day]]-po)</f>
        <v>22.179543406737338</v>
      </c>
      <c r="BM98" s="269">
        <f>EXP(mu_o+sigma_o*Tabella34[[#This Row],[x_o_alpha©-minus]])-(Tabella34[[#This Row],[Day]]-po)</f>
        <v>-17.981434976255166</v>
      </c>
      <c r="BN98" s="269">
        <f>-sigma_o+SQRT(sigma_o^2-2*Tabella34[[#This Row],[c_o]])</f>
        <v>0.86008079767963908</v>
      </c>
      <c r="BO98" s="269">
        <f>-sigma_o-SQRT(sigma_o^2-2*Tabella34[[#This Row],[c_o]])</f>
        <v>-1.5030535749786651</v>
      </c>
      <c r="BP98" s="269">
        <f>mu_o-LN(alpha*Ko/(Tabella34[[#This Row],[rest of Italy velocity]]*sigma_o*SQRTPI(2)))</f>
        <v>-0.64637375886144177</v>
      </c>
      <c r="BQ98" s="269">
        <f>Tabella34[[#This Row],[t_alpha_o+plus]]</f>
        <v>22.179543406737338</v>
      </c>
      <c r="BR98" s="91">
        <f>IFERROR(-Ka*_xlfn.LOGNORM.DIST((Tabella34[[#This Row],[Day]]-pa),mu_a,sigma_a,FALSE)*(1+(LN((Tabella34[[#This Row],[Day]]-pa))-mu_a)/sigma_a^2)/(Tabella34[[#This Row],[Day]]-pa),0)</f>
        <v>-19.439742948705497</v>
      </c>
      <c r="BS98" s="96">
        <f>Tabella34[[#This Row],[rest of Italy acc. fit]]/y_a_peak</f>
        <v>-5.7528514811288536E-3</v>
      </c>
      <c r="BT98" s="96">
        <f>Tabella34[[#This Row],[rest of Italy acc. fit]]*NOT(ISBLANK(Tabella34[[#This Row],[rest of Italy data]]))</f>
        <v>-19.439742948705497</v>
      </c>
      <c r="BU98" s="96">
        <f>Tabella34[[#This Row],[rest of Italy acc. fit]]+CIa</f>
        <v>675.2122929148918</v>
      </c>
      <c r="BV98" s="96">
        <f>MAX(Tabella34[[#This Row],[rest of Italy acc. fit]]-CIa,0)</f>
        <v>0</v>
      </c>
    </row>
    <row r="99" spans="2:74" x14ac:dyDescent="0.3">
      <c r="B99" s="288">
        <v>43922</v>
      </c>
      <c r="C99" s="30">
        <v>92</v>
      </c>
      <c r="D99" s="10">
        <f>Tabella8[[#This Row],[Italy cumulative]]</f>
        <v>110574</v>
      </c>
      <c r="E99" s="91">
        <f>(Tabella34[[#This Row],[Italy cumul. Data]]-D98)</f>
        <v>4782</v>
      </c>
      <c r="F99" s="91">
        <f>Tabella34[[#This Row],[Italy data]]-E98</f>
        <v>729</v>
      </c>
      <c r="G99" s="96">
        <f>Tabella34[[#This Row],[Italy data]]*NOT(ISBLANK(Tabella34[[#This Row],[Italy data]]))</f>
        <v>4782</v>
      </c>
      <c r="H99" s="163">
        <f>Tabella8[[#This Row],[Italy fit]]</f>
        <v>106447.37599845715</v>
      </c>
      <c r="I99" s="163">
        <f>_xlfn.LOGNORM.INV(alpha*Tabella34[[#This Row],[Italy cumul. Fit]]/Kt,mu_t,sigma_t)-(Tabella34[[#This Row],[Day]]-pt)</f>
        <v>33.826035309187809</v>
      </c>
      <c r="J99" s="163">
        <f>Tabella34[[#This Row],[Italy d.t.]]/Italy_dt_at_lockdown</f>
        <v>6.6437195516376404</v>
      </c>
      <c r="K99" s="96">
        <f>Tabella34[[#This Row],[Italy cumul. Fit]]/Kf</f>
        <v>0.45296768103429502</v>
      </c>
      <c r="L99" s="166">
        <f>Tabella34[[#This Row],[Lombardy acc. fit]]+Tabella34[[#This Row],[rest of Italy acc. fit]]</f>
        <v>-54.948484258927166</v>
      </c>
      <c r="M99" s="96">
        <f>Tabella34[[#This Row],[Italy (fitted Lombardy + fitted sum of the other regions)]]/(y_l_peak+y_a_peak)</f>
        <v>-1.0696394068398367E-2</v>
      </c>
      <c r="N99" s="163">
        <f>IFERROR(Kt*_xlfn.LOGNORM.DIST((Tabella34[[#This Row],[Day]]-pt),mu_t,sigma_t,FALSE),0)</f>
        <v>4969.6928082093418</v>
      </c>
      <c r="O99" s="163">
        <f>Kt*EXP(-0.5*Tabella34[[#This Row],[x_t]]^2)/(sigma_t*SQRTPI(2)*(Tabella34[[#This Row],[Day]]-D_bk))</f>
        <v>4969.6928082093391</v>
      </c>
      <c r="P99" s="206">
        <f>Tabella34[[#This Row],[Italy velocity]]/Tabella34[[#This Row],[Italy cumul. Fit]]</f>
        <v>4.6686851240761183E-2</v>
      </c>
      <c r="Q99" s="269">
        <f>(LN(Tabella34[[#This Row],[Day]]-D_bk)-mu_t)/sigma_t</f>
        <v>-0.11816696824494304</v>
      </c>
      <c r="R99" s="269">
        <f>EXP(mu_t+sigma_t*Tabella34[[#This Row],[x_t_alpha©+plus]])-(Tabella34[[#This Row],[Day]]-D_bk)</f>
        <v>21.993791895820415</v>
      </c>
      <c r="S99" s="269">
        <f>EXP(mu_t+sigma_t*Tabella34[[#This Row],[x_t_alpha©-minus]])-(Tabella34[[#This Row],[Day]]-D_bk)</f>
        <v>-21.091210272507006</v>
      </c>
      <c r="T99" s="269">
        <f>-sigma_t+SQRT(sigma_t^2-2*Tabella34[[#This Row],[c_t]])</f>
        <v>0.88325540128750224</v>
      </c>
      <c r="U99" s="269">
        <f>-sigma_t-SQRT(sigma_t^2-2*Tabella34[[#This Row],[c_t]])</f>
        <v>-1.5024923071797394</v>
      </c>
      <c r="V99" s="269">
        <f>mu_t-LN(alpha*Kt/(Tabella34[[#This Row],[Italy velocity]]*sigma_t*SQRTPI(2)))</f>
        <v>-0.66354222285471298</v>
      </c>
      <c r="W99" s="269">
        <f>Tabella34[[#This Row],[Italy g.r.]]/Italy_gr_at_lockdown</f>
        <v>0.2951979254756455</v>
      </c>
      <c r="X99" s="269">
        <f>Tabella34[[#This Row],[t_alpha_t+plus]]</f>
        <v>21.993791895820415</v>
      </c>
      <c r="Y99" s="269">
        <f>Tabella34[[#This Row],[Italy h.t.]]/Italy_ht_at_lockdown</f>
        <v>0.39169573738879038</v>
      </c>
      <c r="Z99" s="91">
        <f>IFERROR(-Kf*_xlfn.LOGNORM.DIST((Tabella34[[#This Row],[Day]]-D_bk),mu_f,sigma_f,FALSE)*(1+(LN((Tabella34[[#This Row],[Day]]-D_bk))-mu_f)/sigma_f^2)/(Tabella34[[#This Row],[Day]]-D_bk),0)</f>
        <v>-50.789289665678716</v>
      </c>
      <c r="AA99" s="91">
        <f>Tabella34[[#This Row],[Italy acc. fit]]/Itali_acc_at_lockdown</f>
        <v>-0.20903789334297343</v>
      </c>
      <c r="AB99" s="96">
        <f>Tabella34[[#This Row],[Italy acc. fit]]/y_f_peak</f>
        <v>-1.0034213811356784E-2</v>
      </c>
      <c r="AC99" s="163">
        <f>Tabella34[[#This Row],[Italy (fitted Lombardy + fitted sum of the other regions)]]*NOT(ISBLANK(Tabella34[[#This Row],[Italy data]]))</f>
        <v>-54.948484258927166</v>
      </c>
      <c r="AD99" s="163">
        <f>Tabella34[[#This Row],[Italy acc. fit]]*NOT(ISBLANK(Tabella34[[#This Row],[Italy data]]))</f>
        <v>-50.789289665678716</v>
      </c>
      <c r="AE99" s="96">
        <f>Tabella34[[#This Row],[Italy acc. fit]]+CIf</f>
        <v>962.97371235463902</v>
      </c>
      <c r="AF99" s="96">
        <f>MAX(Tabella34[[#This Row],[Italy acc. fit]]-CIf,0)</f>
        <v>0</v>
      </c>
      <c r="AG99" s="4">
        <f>Tabella8[[#This Row],[Lombardy]]</f>
        <v>44773</v>
      </c>
      <c r="AH99" s="91">
        <f>(Tabella34[[#This Row],[Lombardy cumul. Data]]-AG98)</f>
        <v>1565</v>
      </c>
      <c r="AI99" s="91">
        <f>Tabella34[[#This Row],[Lombardy data]]-AH98</f>
        <v>518</v>
      </c>
      <c r="AJ99" s="96">
        <f>Tabella34[[#This Row],[Lombardy data]]*NOT(ISBLANK(Tabella34[[#This Row],[Lombardy data]]))</f>
        <v>1565</v>
      </c>
      <c r="AK99" s="96">
        <f>Tabella8[[#This Row],[Lombardy fit]]</f>
        <v>42369.180367868961</v>
      </c>
      <c r="AL99" s="163">
        <f>_xlfn.LOGNORM.INV(alpha*Tabella34[[#This Row],[Lombardy cumul. Fit]]/Kr,mu_r,sigma_r)-(Tabella34[[#This Row],[Day]]-pr)</f>
        <v>58.307140641134268</v>
      </c>
      <c r="AM99" s="96">
        <f>Tabella34[[#This Row],[Lombardy cumul. Fit]]/Kl</f>
        <v>0.4870020731938961</v>
      </c>
      <c r="AN99" s="96">
        <f>IFERROR(Kr*_xlfn.LOGNORM.DIST((Tabella34[[#This Row],[Day]]-pr),mu_r,sigma_r,FALSE),0)</f>
        <v>1676.6001048543555</v>
      </c>
      <c r="AO99" s="209">
        <f>Tabella34[[#This Row],[Lombardy velocity]]/Tabella34[[#This Row],[Lombardy cumul. Fit]]</f>
        <v>3.9571218756117826E-2</v>
      </c>
      <c r="AP99" s="266">
        <f>(LN(Tabella34[[#This Row],[Day]]-pr)-mu_r)/sigma_r</f>
        <v>-3.2586737209861147E-2</v>
      </c>
      <c r="AQ99" s="269">
        <f>EXP(mu_r+sigma_r*Tabella34[[#This Row],[x_r_alpha©+plus]])-(Tabella34[[#This Row],[Day]]-pr)</f>
        <v>22.046639553959395</v>
      </c>
      <c r="AR99" s="269">
        <f>EXP(mu_r+sigma_r*Tabella34[[#This Row],[x_r_alpha©-minus]])-(Tabella34[[#This Row],[Day]]-pr)</f>
        <v>-24.611366194290696</v>
      </c>
      <c r="AS99" s="269">
        <f>-sigma_r+SQRT(sigma_r^2-2*Tabella34[[#This Row],[c_r]])</f>
        <v>0.87656085761294644</v>
      </c>
      <c r="AT99" s="269">
        <f>-sigma_r-SQRT(sigma_r^2-2*Tabella34[[#This Row],[c_r]])</f>
        <v>-1.5574154548066756</v>
      </c>
      <c r="AU99" s="269">
        <f>mu_r-LN(alpha*Kr/(Tabella34[[#This Row],[Lombardy velocity]]*sigma_r*SQRTPI(2)))</f>
        <v>-0.68258471336249826</v>
      </c>
      <c r="AV99" s="269">
        <f>Tabella34[[#This Row],[t_alpha_r+plus]]</f>
        <v>22.046639553959395</v>
      </c>
      <c r="AW99" s="91">
        <f>IFERROR(-Kl*_xlfn.LOGNORM.DIST((Tabella34[[#This Row],[Day]]-pl),mu_l,sigma_l,FALSE)*(1+(LN((Tabella34[[#This Row],[Day]]-pl))-mu_l)/sigma_l^2)/(Tabella34[[#This Row],[Day]]-pl),0)</f>
        <v>-24.945148263272305</v>
      </c>
      <c r="AX99" s="96">
        <f>Tabella34[[#This Row],[Lombardy acc. fit]]/y_l_peak</f>
        <v>-1.4189871614444138E-2</v>
      </c>
      <c r="AY99" s="163">
        <f>Tabella34[[#This Row],[Lombardy acc. fit]]*NOT(ISBLANK(Tabella34[[#This Row],[Lombardy data]]))</f>
        <v>-24.945148263272305</v>
      </c>
      <c r="AZ99" s="96">
        <f>Tabella34[[#This Row],[Lombardy acc. fit]]+CIl</f>
        <v>724.01022354035126</v>
      </c>
      <c r="BA99" s="96">
        <f>MAX(Tabella34[[#This Row],[Lombardy acc. fit]]-CIl,0)</f>
        <v>0</v>
      </c>
      <c r="BB99" s="10">
        <f>Tabella8[[#This Row],[rest of Italy ]]</f>
        <v>65801</v>
      </c>
      <c r="BC99" s="10">
        <f>(Tabella34[[#This Row],[rest of Italy cum. Data]]-BB98)</f>
        <v>3217</v>
      </c>
      <c r="BD99" s="10">
        <f>Tabella34[[#This Row],[rest of Italy data]]-BC98</f>
        <v>211</v>
      </c>
      <c r="BE99" s="96">
        <f>Tabella34[[#This Row],[rest of Italy data]]*NOT(ISBLANK(Tabella34[[#This Row],[rest of Italy data]]))</f>
        <v>3217</v>
      </c>
      <c r="BF99" s="96">
        <f>Tabella8[[#This Row],[rest of Italy fit]]</f>
        <v>64323.952463805501</v>
      </c>
      <c r="BG99" s="163">
        <f>_xlfn.LOGNORM.INV(alpha*Tabella34[[#This Row],[rest of Italy cumul. Fit]]/Ko,mu_o,sigma_o)-(Tabella34[[#This Row],[Day]]-po)</f>
        <v>27.830509376180089</v>
      </c>
      <c r="BH99" s="96">
        <f>Tabella34[[#This Row],[rest of Italy cumul. Fit]]/Ka</f>
        <v>0.43462135102604393</v>
      </c>
      <c r="BI99" s="163">
        <f>IFERROR(Ko*_xlfn.LOGNORM.DIST((Tabella34[[#This Row],[Day]]-po),mu_o,sigma_o,FALSE),0)</f>
        <v>3337.828612374286</v>
      </c>
      <c r="BJ99" s="206">
        <f>Tabella34[[#This Row],[rest of Italy velocity]]/Tabella34[[#This Row],[rest of Italy cumul. Fit]]</f>
        <v>5.1890912864106908E-2</v>
      </c>
      <c r="BK99" s="261">
        <f>(LN(Tabella34[[#This Row],[Day]]-po)-mu_o)/sigma_o</f>
        <v>-0.16462049065037396</v>
      </c>
      <c r="BL99" s="269">
        <f>EXP(mu_o+sigma_o*Tabella34[[#This Row],[x_o_alpha©+plus]])-(Tabella34[[#This Row],[Day]]-po)</f>
        <v>21.331235188430639</v>
      </c>
      <c r="BM99" s="269">
        <f>EXP(mu_o+sigma_o*Tabella34[[#This Row],[x_o_alpha©-minus]])-(Tabella34[[#This Row],[Day]]-po)</f>
        <v>-19.052253954650801</v>
      </c>
      <c r="BN99" s="269">
        <f>-sigma_o+SQRT(sigma_o^2-2*Tabella34[[#This Row],[c_o]])</f>
        <v>0.86632726301263474</v>
      </c>
      <c r="BO99" s="269">
        <f>-sigma_o-SQRT(sigma_o^2-2*Tabella34[[#This Row],[c_o]])</f>
        <v>-1.5093000403116608</v>
      </c>
      <c r="BP99" s="269">
        <f>mu_o-LN(alpha*Ko/(Tabella34[[#This Row],[rest of Italy velocity]]*sigma_o*SQRTPI(2)))</f>
        <v>-0.65377388649403034</v>
      </c>
      <c r="BQ99" s="269">
        <f>Tabella34[[#This Row],[t_alpha_o+plus]]</f>
        <v>21.331235188430639</v>
      </c>
      <c r="BR99" s="91">
        <f>IFERROR(-Ka*_xlfn.LOGNORM.DIST((Tabella34[[#This Row],[Day]]-pa),mu_a,sigma_a,FALSE)*(1+(LN((Tabella34[[#This Row],[Day]]-pa))-mu_a)/sigma_a^2)/(Tabella34[[#This Row],[Day]]-pa),0)</f>
        <v>-30.003335995654862</v>
      </c>
      <c r="BS99" s="96">
        <f>Tabella34[[#This Row],[rest of Italy acc. fit]]/y_a_peak</f>
        <v>-8.8789618451669671E-3</v>
      </c>
      <c r="BT99" s="96">
        <f>Tabella34[[#This Row],[rest of Italy acc. fit]]*NOT(ISBLANK(Tabella34[[#This Row],[rest of Italy data]]))</f>
        <v>-30.003335995654862</v>
      </c>
      <c r="BU99" s="96">
        <f>Tabella34[[#This Row],[rest of Italy acc. fit]]+CIa</f>
        <v>664.64869986794247</v>
      </c>
      <c r="BV99" s="96">
        <f>MAX(Tabella34[[#This Row],[rest of Italy acc. fit]]-CIa,0)</f>
        <v>0</v>
      </c>
    </row>
    <row r="100" spans="2:74" ht="15" thickBot="1" x14ac:dyDescent="0.35">
      <c r="B100" s="288">
        <v>43923</v>
      </c>
      <c r="C100" s="30">
        <v>93</v>
      </c>
      <c r="D100" s="10">
        <f>Tabella8[[#This Row],[Italy cumulative]]</f>
        <v>115242</v>
      </c>
      <c r="E100" s="91">
        <f>(Tabella34[[#This Row],[Italy cumul. Data]]-D99)</f>
        <v>4668</v>
      </c>
      <c r="F100" s="91">
        <f>Tabella34[[#This Row],[Italy data]]-E99</f>
        <v>-114</v>
      </c>
      <c r="G100" s="96">
        <f>Tabella34[[#This Row],[Italy data]]*NOT(ISBLANK(Tabella34[[#This Row],[Italy data]]))</f>
        <v>4668</v>
      </c>
      <c r="H100" s="163">
        <f>Tabella8[[#This Row],[Italy fit]]</f>
        <v>111389.58551494063</v>
      </c>
      <c r="I100" s="163">
        <f>_xlfn.LOGNORM.INV(alpha*Tabella34[[#This Row],[Italy cumul. Fit]]/Kt,mu_t,sigma_t)-(Tabella34[[#This Row],[Day]]-pt)</f>
        <v>42.315934640486383</v>
      </c>
      <c r="J100" s="163">
        <f>Tabella34[[#This Row],[Italy d.t.]]/Italy_dt_at_lockdown</f>
        <v>8.311207617064662</v>
      </c>
      <c r="K100" s="96">
        <f>Tabella34[[#This Row],[Italy cumul. Fit]]/Kf</f>
        <v>0.47399836556614849</v>
      </c>
      <c r="L100" s="166">
        <f>Tabella34[[#This Row],[Lombardy acc. fit]]+Tabella34[[#This Row],[rest of Italy acc. fit]]</f>
        <v>-67.620207938604125</v>
      </c>
      <c r="M100" s="96">
        <f>Tabella34[[#This Row],[Italy (fitted Lombardy + fitted sum of the other regions)]]/(y_l_peak+y_a_peak)</f>
        <v>-1.3163099962686234E-2</v>
      </c>
      <c r="N100" s="163">
        <f>IFERROR(Kt*_xlfn.LOGNORM.DIST((Tabella34[[#This Row],[Day]]-pt),mu_t,sigma_t,FALSE),0)</f>
        <v>4912.6829051208697</v>
      </c>
      <c r="O100" s="163">
        <f>Kt*EXP(-0.5*Tabella34[[#This Row],[x_t]]^2)/(sigma_t*SQRTPI(2)*(Tabella34[[#This Row],[Day]]-D_bk))</f>
        <v>4912.6829051208688</v>
      </c>
      <c r="P100" s="206">
        <f>Tabella34[[#This Row],[Italy velocity]]/Tabella34[[#This Row],[Italy cumul. Fit]]</f>
        <v>4.4103610606055575E-2</v>
      </c>
      <c r="Q100" s="269">
        <f>(LN(Tabella34[[#This Row],[Day]]-D_bk)-mu_t)/sigma_t</f>
        <v>-6.5222645350504579E-2</v>
      </c>
      <c r="R100" s="269">
        <f>EXP(mu_t+sigma_t*Tabella34[[#This Row],[x_t_alpha©+plus]])-(Tabella34[[#This Row],[Day]]-D_bk)</f>
        <v>21.240225519308034</v>
      </c>
      <c r="S100" s="269">
        <f>EXP(mu_t+sigma_t*Tabella34[[#This Row],[x_t_alpha©-minus]])-(Tabella34[[#This Row],[Day]]-D_bk)</f>
        <v>-22.208592849768742</v>
      </c>
      <c r="T100" s="269">
        <f>-sigma_t+SQRT(sigma_t^2-2*Tabella34[[#This Row],[c_t]])</f>
        <v>0.89288879106125285</v>
      </c>
      <c r="U100" s="269">
        <f>-sigma_t-SQRT(sigma_t^2-2*Tabella34[[#This Row],[c_t]])</f>
        <v>-1.51212569695349</v>
      </c>
      <c r="V100" s="269">
        <f>mu_t-LN(alpha*Kt/(Tabella34[[#This Row],[Italy velocity]]*sigma_t*SQRTPI(2)))</f>
        <v>-0.67508004274272793</v>
      </c>
      <c r="W100" s="269">
        <f>Tabella34[[#This Row],[Italy g.r.]]/Italy_gr_at_lockdown</f>
        <v>0.27886426286822369</v>
      </c>
      <c r="X100" s="269">
        <f>Tabella34[[#This Row],[t_alpha_t+plus]]</f>
        <v>21.240225519308034</v>
      </c>
      <c r="Y100" s="269">
        <f>Tabella34[[#This Row],[Italy h.t.]]/Italy_ht_at_lockdown</f>
        <v>0.37827518949429528</v>
      </c>
      <c r="Z100" s="91">
        <f>IFERROR(-Kf*_xlfn.LOGNORM.DIST((Tabella34[[#This Row],[Day]]-D_bk),mu_f,sigma_f,FALSE)*(1+(LN((Tabella34[[#This Row],[Day]]-D_bk))-mu_f)/sigma_f^2)/(Tabella34[[#This Row],[Day]]-D_bk),0)</f>
        <v>-63.048847312580911</v>
      </c>
      <c r="AA100" s="91">
        <f>Tabella34[[#This Row],[Italy acc. fit]]/Itali_acc_at_lockdown</f>
        <v>-0.25949562017267058</v>
      </c>
      <c r="AB100" s="96">
        <f>Tabella34[[#This Row],[Italy acc. fit]]/y_f_peak</f>
        <v>-1.2456280027903993E-2</v>
      </c>
      <c r="AC100" s="163">
        <f>Tabella34[[#This Row],[Italy (fitted Lombardy + fitted sum of the other regions)]]*NOT(ISBLANK(Tabella34[[#This Row],[Italy data]]))</f>
        <v>-67.620207938604125</v>
      </c>
      <c r="AD100" s="163">
        <f>Tabella34[[#This Row],[Italy acc. fit]]*NOT(ISBLANK(Tabella34[[#This Row],[Italy data]]))</f>
        <v>-63.048847312580911</v>
      </c>
      <c r="AE100" s="96">
        <f>Tabella34[[#This Row],[Italy acc. fit]]+CIf</f>
        <v>950.71415470773672</v>
      </c>
      <c r="AF100" s="96">
        <f>MAX(Tabella34[[#This Row],[Italy acc. fit]]-CIf,0)</f>
        <v>0</v>
      </c>
      <c r="AG100" s="4">
        <f>Tabella8[[#This Row],[Lombardy]]</f>
        <v>46065</v>
      </c>
      <c r="AH100" s="91">
        <f>(Tabella34[[#This Row],[Lombardy cumul. Data]]-AG99)</f>
        <v>1292</v>
      </c>
      <c r="AI100" s="91">
        <f>Tabella34[[#This Row],[Lombardy data]]-AH99</f>
        <v>-273</v>
      </c>
      <c r="AJ100" s="96">
        <f>Tabella34[[#This Row],[Lombardy data]]*NOT(ISBLANK(Tabella34[[#This Row],[Lombardy data]]))</f>
        <v>1292</v>
      </c>
      <c r="AK100" s="96">
        <f>Tabella8[[#This Row],[Lombardy fit]]</f>
        <v>44032.799164431563</v>
      </c>
      <c r="AL100" s="163" t="e">
        <f>_xlfn.LOGNORM.INV(alpha*Tabella34[[#This Row],[Lombardy cumul. Fit]]/Kr,mu_r,sigma_r)-(Tabella34[[#This Row],[Day]]-pr)</f>
        <v>#NUM!</v>
      </c>
      <c r="AM100" s="96">
        <f>Tabella34[[#This Row],[Lombardy cumul. Fit]]/Kl</f>
        <v>0.50612412832679954</v>
      </c>
      <c r="AN100" s="96">
        <f>IFERROR(Kr*_xlfn.LOGNORM.DIST((Tabella34[[#This Row],[Day]]-pr),mu_r,sigma_r,FALSE),0)</f>
        <v>1650.1424522075963</v>
      </c>
      <c r="AO100" s="209">
        <f>Tabella34[[#This Row],[Lombardy velocity]]/Tabella34[[#This Row],[Lombardy cumul. Fit]]</f>
        <v>3.7475302127522571E-2</v>
      </c>
      <c r="AP100" s="266">
        <f>(LN(Tabella34[[#This Row],[Day]]-pr)-mu_r)/sigma_r</f>
        <v>1.5351516179645929E-2</v>
      </c>
      <c r="AQ100" s="269">
        <f>EXP(mu_r+sigma_r*Tabella34[[#This Row],[x_r_alpha©+plus]])-(Tabella34[[#This Row],[Day]]-pr)</f>
        <v>21.414019601398252</v>
      </c>
      <c r="AR100" s="269">
        <f>EXP(mu_r+sigma_r*Tabella34[[#This Row],[x_r_alpha©-minus]])-(Tabella34[[#This Row],[Day]]-pr)</f>
        <v>-25.771079288237466</v>
      </c>
      <c r="AS100" s="269">
        <f>-sigma_r+SQRT(sigma_r^2-2*Tabella34[[#This Row],[c_r]])</f>
        <v>0.88956169572937349</v>
      </c>
      <c r="AT100" s="269">
        <f>-sigma_r-SQRT(sigma_r^2-2*Tabella34[[#This Row],[c_r]])</f>
        <v>-1.5704162929231027</v>
      </c>
      <c r="AU100" s="269">
        <f>mu_r-LN(alpha*Kr/(Tabella34[[#This Row],[Lombardy velocity]]*sigma_r*SQRTPI(2)))</f>
        <v>-0.69849109026685596</v>
      </c>
      <c r="AV100" s="269">
        <f>Tabella34[[#This Row],[t_alpha_r+plus]]</f>
        <v>21.414019601398252</v>
      </c>
      <c r="AW100" s="91">
        <f>IFERROR(-Kl*_xlfn.LOGNORM.DIST((Tabella34[[#This Row],[Day]]-pl),mu_l,sigma_l,FALSE)*(1+(LN((Tabella34[[#This Row],[Day]]-pl))-mu_l)/sigma_l^2)/(Tabella34[[#This Row],[Day]]-pl),0)</f>
        <v>-27.915461689443593</v>
      </c>
      <c r="AX100" s="96">
        <f>Tabella34[[#This Row],[Lombardy acc. fit]]/y_l_peak</f>
        <v>-1.5879513452896826E-2</v>
      </c>
      <c r="AY100" s="163">
        <f>Tabella34[[#This Row],[Lombardy acc. fit]]*NOT(ISBLANK(Tabella34[[#This Row],[Lombardy data]]))</f>
        <v>-27.915461689443593</v>
      </c>
      <c r="AZ100" s="96">
        <f>Tabella34[[#This Row],[Lombardy acc. fit]]+CIl</f>
        <v>721.03991011417997</v>
      </c>
      <c r="BA100" s="96">
        <f>MAX(Tabella34[[#This Row],[Lombardy acc. fit]]-CIl,0)</f>
        <v>0</v>
      </c>
      <c r="BB100" s="10">
        <f>Tabella8[[#This Row],[rest of Italy ]]</f>
        <v>69177</v>
      </c>
      <c r="BC100" s="10">
        <f>(Tabella34[[#This Row],[rest of Italy cum. Data]]-BB99)</f>
        <v>3376</v>
      </c>
      <c r="BD100" s="10">
        <f>Tabella34[[#This Row],[rest of Italy data]]-BC99</f>
        <v>159</v>
      </c>
      <c r="BE100" s="96">
        <f>Tabella34[[#This Row],[rest of Italy data]]*NOT(ISBLANK(Tabella34[[#This Row],[rest of Italy data]]))</f>
        <v>3376</v>
      </c>
      <c r="BF100" s="96">
        <f>Tabella8[[#This Row],[rest of Italy fit]]</f>
        <v>67645.126002901379</v>
      </c>
      <c r="BG100" s="163">
        <f>_xlfn.LOGNORM.INV(alpha*Tabella34[[#This Row],[rest of Italy cumul. Fit]]/Ko,mu_o,sigma_o)-(Tabella34[[#This Row],[Day]]-po)</f>
        <v>33.524589998605194</v>
      </c>
      <c r="BH100" s="96">
        <f>Tabella34[[#This Row],[rest of Italy cumul. Fit]]/Ka</f>
        <v>0.45706171538900836</v>
      </c>
      <c r="BI100" s="163">
        <f>IFERROR(Ko*_xlfn.LOGNORM.DIST((Tabella34[[#This Row],[Day]]-po),mu_o,sigma_o,FALSE),0)</f>
        <v>3302.901499412304</v>
      </c>
      <c r="BJ100" s="206">
        <f>Tabella34[[#This Row],[rest of Italy velocity]]/Tabella34[[#This Row],[rest of Italy cumul. Fit]]</f>
        <v>4.8826895514551022E-2</v>
      </c>
      <c r="BK100" s="261">
        <f>(LN(Tabella34[[#This Row],[Day]]-po)-mu_o)/sigma_o</f>
        <v>-0.10783896843611498</v>
      </c>
      <c r="BL100" s="269">
        <f>EXP(mu_o+sigma_o*Tabella34[[#This Row],[x_o_alpha©+plus]])-(Tabella34[[#This Row],[Day]]-po)</f>
        <v>20.546019399725878</v>
      </c>
      <c r="BM100" s="269">
        <f>EXP(mu_o+sigma_o*Tabella34[[#This Row],[x_o_alpha©-minus]])-(Tabella34[[#This Row],[Day]]-po)</f>
        <v>-20.152043707161923</v>
      </c>
      <c r="BN100" s="269">
        <f>-sigma_o+SQRT(sigma_o^2-2*Tabella34[[#This Row],[c_o]])</f>
        <v>0.87515039052942079</v>
      </c>
      <c r="BO100" s="269">
        <f>-sigma_o-SQRT(sigma_o^2-2*Tabella34[[#This Row],[c_o]])</f>
        <v>-1.5181231678284468</v>
      </c>
      <c r="BP100" s="269">
        <f>mu_o-LN(alpha*Ko/(Tabella34[[#This Row],[rest of Italy velocity]]*sigma_o*SQRTPI(2)))</f>
        <v>-0.6642930415984134</v>
      </c>
      <c r="BQ100" s="269">
        <f>Tabella34[[#This Row],[t_alpha_o+plus]]</f>
        <v>20.546019399725878</v>
      </c>
      <c r="BR100" s="91">
        <f>IFERROR(-Ka*_xlfn.LOGNORM.DIST((Tabella34[[#This Row],[Day]]-pa),mu_a,sigma_a,FALSE)*(1+(LN((Tabella34[[#This Row],[Day]]-pa))-mu_a)/sigma_a^2)/(Tabella34[[#This Row],[Day]]-pa),0)</f>
        <v>-39.704746249160529</v>
      </c>
      <c r="BS100" s="96">
        <f>Tabella34[[#This Row],[rest of Italy acc. fit]]/y_a_peak</f>
        <v>-1.1749924310729569E-2</v>
      </c>
      <c r="BT100" s="96">
        <f>Tabella34[[#This Row],[rest of Italy acc. fit]]*NOT(ISBLANK(Tabella34[[#This Row],[rest of Italy data]]))</f>
        <v>-39.704746249160529</v>
      </c>
      <c r="BU100" s="96">
        <f>Tabella34[[#This Row],[rest of Italy acc. fit]]+CIa</f>
        <v>654.94728961443684</v>
      </c>
      <c r="BV100" s="96">
        <f>MAX(Tabella34[[#This Row],[rest of Italy acc. fit]]-CIa,0)</f>
        <v>0</v>
      </c>
    </row>
    <row r="101" spans="2:74" ht="15" thickBot="1" x14ac:dyDescent="0.35">
      <c r="B101" s="288">
        <v>43924</v>
      </c>
      <c r="C101" s="197">
        <v>94</v>
      </c>
      <c r="D101" s="198">
        <f>Tabella8[[#This Row],[Italy cumulative]]</f>
        <v>119827</v>
      </c>
      <c r="E101" s="199">
        <f>(Tabella34[[#This Row],[Italy cumul. Data]]-D100)</f>
        <v>4585</v>
      </c>
      <c r="F101" s="199">
        <f>Tabella34[[#This Row],[Italy data]]-E100</f>
        <v>-83</v>
      </c>
      <c r="G101" s="200">
        <f>Tabella34[[#This Row],[Italy data]]*NOT(ISBLANK(Tabella34[[#This Row],[Italy data]]))</f>
        <v>4585</v>
      </c>
      <c r="H101" s="201">
        <f>Tabella8[[#This Row],[Italy fit]]</f>
        <v>116268.83773965859</v>
      </c>
      <c r="I101" s="201">
        <f>_xlfn.LOGNORM.INV(alpha*Tabella34[[#This Row],[Italy cumul. Fit]]/Kt,mu_t,sigma_t)-(Tabella34[[#This Row],[Day]]-pt)</f>
        <v>65.767037885738716</v>
      </c>
      <c r="J101" s="201">
        <f>Tabella34[[#This Row],[Italy d.t.]]/Italy_dt_at_lockdown</f>
        <v>12.917202724497097</v>
      </c>
      <c r="K101" s="200">
        <f>Tabella34[[#This Row],[Italy cumul. Fit]]/Kf</f>
        <v>0.49476114665568849</v>
      </c>
      <c r="L101" s="202">
        <f>Tabella34[[#This Row],[Lombardy acc. fit]]+Tabella34[[#This Row],[rest of Italy acc. fit]]</f>
        <v>-79.081511662403827</v>
      </c>
      <c r="M101" s="200">
        <f>Tabella34[[#This Row],[Italy (fitted Lombardy + fitted sum of the other regions)]]/(y_l_peak+y_a_peak)</f>
        <v>-1.5394182818214608E-2</v>
      </c>
      <c r="N101" s="201">
        <f>IFERROR(Kt*_xlfn.LOGNORM.DIST((Tabella34[[#This Row],[Day]]-pt),mu_t,sigma_t,FALSE),0)</f>
        <v>4843.9612490423042</v>
      </c>
      <c r="O101" s="201">
        <f>Kt*EXP(-0.5*Tabella34[[#This Row],[x_t]]^2)/(sigma_t*SQRTPI(2)*(Tabella34[[#This Row],[Day]]-D_bk))</f>
        <v>4843.9612490423051</v>
      </c>
      <c r="P101" s="207">
        <f>Tabella34[[#This Row],[Italy velocity]]/Tabella34[[#This Row],[Italy cumul. Fit]]</f>
        <v>4.1661732784227003E-2</v>
      </c>
      <c r="Q101" s="270">
        <f>(LN(Tabella34[[#This Row],[Day]]-D_bk)-mu_t)/sigma_t</f>
        <v>-1.3132235364333047E-2</v>
      </c>
      <c r="R101" s="270">
        <f>EXP(mu_t+sigma_t*Tabella34[[#This Row],[x_t_alpha©+plus]])-(Tabella34[[#This Row],[Day]]-D_bk)</f>
        <v>20.53944843870628</v>
      </c>
      <c r="S101" s="270">
        <f>EXP(mu_t+sigma_t*Tabella34[[#This Row],[x_t_alpha©-minus]])-(Tabella34[[#This Row],[Day]]-D_bk)</f>
        <v>-23.35018380384755</v>
      </c>
      <c r="T101" s="270">
        <f>-sigma_t+SQRT(sigma_t^2-2*Tabella34[[#This Row],[c_t]])</f>
        <v>0.90454728464321277</v>
      </c>
      <c r="U101" s="270">
        <f>-sigma_t-SQRT(sigma_t^2-2*Tabella34[[#This Row],[c_t]])</f>
        <v>-1.5237841905354499</v>
      </c>
      <c r="V101" s="270">
        <f>mu_t-LN(alpha*Kt/(Tabella34[[#This Row],[Italy velocity]]*sigma_t*SQRTPI(2)))</f>
        <v>-0.68916742596554847</v>
      </c>
      <c r="W101" s="270">
        <f>Tabella34[[#This Row],[Italy g.r.]]/Italy_gr_at_lockdown</f>
        <v>0.26342442813720984</v>
      </c>
      <c r="X101" s="270">
        <f>Tabella34[[#This Row],[t_alpha_t+plus]]</f>
        <v>20.53944843870628</v>
      </c>
      <c r="Y101" s="270">
        <f>Tabella34[[#This Row],[Italy h.t.]]/Italy_ht_at_lockdown</f>
        <v>0.36579478608629401</v>
      </c>
      <c r="Z101" s="199">
        <f>IFERROR(-Kf*_xlfn.LOGNORM.DIST((Tabella34[[#This Row],[Day]]-D_bk),mu_f,sigma_f,FALSE)*(1+(LN((Tabella34[[#This Row],[Day]]-D_bk))-mu_f)/sigma_f^2)/(Tabella34[[#This Row],[Day]]-D_bk),0)</f>
        <v>-74.210518962500558</v>
      </c>
      <c r="AA101" s="199">
        <f>Tabella34[[#This Row],[Italy acc. fit]]/Itali_acc_at_lockdown</f>
        <v>-0.3054346821923129</v>
      </c>
      <c r="AB101" s="200">
        <f>Tabella34[[#This Row],[Italy acc. fit]]/y_f_peak</f>
        <v>-1.4661441796550212E-2</v>
      </c>
      <c r="AC101" s="201">
        <f>Tabella34[[#This Row],[Italy (fitted Lombardy + fitted sum of the other regions)]]*NOT(ISBLANK(Tabella34[[#This Row],[Italy data]]))</f>
        <v>-79.081511662403827</v>
      </c>
      <c r="AD101" s="201">
        <f>Tabella34[[#This Row],[Italy acc. fit]]*NOT(ISBLANK(Tabella34[[#This Row],[Italy data]]))</f>
        <v>-74.210518962500558</v>
      </c>
      <c r="AE101" s="200">
        <f>Tabella34[[#This Row],[Italy acc. fit]]+CIf</f>
        <v>939.55248305781708</v>
      </c>
      <c r="AF101" s="200">
        <f>MAX(Tabella34[[#This Row],[Italy acc. fit]]-CIf,0)</f>
        <v>0</v>
      </c>
      <c r="AG101" s="203">
        <f>Tabella8[[#This Row],[Lombardy]]</f>
        <v>47520</v>
      </c>
      <c r="AH101" s="199">
        <f>(Tabella34[[#This Row],[Lombardy cumul. Data]]-AG100)</f>
        <v>1455</v>
      </c>
      <c r="AI101" s="199">
        <f>Tabella34[[#This Row],[Lombardy data]]-AH100</f>
        <v>163</v>
      </c>
      <c r="AJ101" s="200">
        <f>Tabella34[[#This Row],[Lombardy data]]*NOT(ISBLANK(Tabella34[[#This Row],[Lombardy data]]))</f>
        <v>1455</v>
      </c>
      <c r="AK101" s="200">
        <f>Tabella8[[#This Row],[Lombardy fit]]</f>
        <v>45668.529572397463</v>
      </c>
      <c r="AL101" s="201" t="e">
        <f>_xlfn.LOGNORM.INV(alpha*Tabella34[[#This Row],[Lombardy cumul. Fit]]/Kr,mu_r,sigma_r)-(Tabella34[[#This Row],[Day]]-pr)</f>
        <v>#NUM!</v>
      </c>
      <c r="AM101" s="200">
        <f>Tabella34[[#This Row],[Lombardy cumul. Fit]]/Kl</f>
        <v>0.52492562726893632</v>
      </c>
      <c r="AN101" s="200">
        <f>IFERROR(Kr*_xlfn.LOGNORM.DIST((Tabella34[[#This Row],[Day]]-pr),mu_r,sigma_r,FALSE),0)</f>
        <v>1620.8774586452207</v>
      </c>
      <c r="AO101" s="208">
        <f>Tabella34[[#This Row],[Lombardy velocity]]/Tabella34[[#This Row],[Lombardy cumul. Fit]]</f>
        <v>3.54922191237989E-2</v>
      </c>
      <c r="AP101" s="265">
        <f>(LN(Tabella34[[#This Row],[Day]]-pr)-mu_r)/sigma_r</f>
        <v>6.2519987360798224E-2</v>
      </c>
      <c r="AQ101" s="270">
        <f>EXP(mu_r+sigma_r*Tabella34[[#This Row],[x_r_alpha©+plus]])-(Tabella34[[#This Row],[Day]]-pr)</f>
        <v>20.824634046698975</v>
      </c>
      <c r="AR101" s="270">
        <f>EXP(mu_r+sigma_r*Tabella34[[#This Row],[x_r_alpha©-minus]])-(Tabella34[[#This Row],[Day]]-pr)</f>
        <v>-26.947926722674381</v>
      </c>
      <c r="AS101" s="270">
        <f>-sigma_r+SQRT(sigma_r^2-2*Tabella34[[#This Row],[c_r]])</f>
        <v>0.90402474000508115</v>
      </c>
      <c r="AT101" s="270">
        <f>-sigma_r-SQRT(sigma_r^2-2*Tabella34[[#This Row],[c_r]])</f>
        <v>-1.5848793371988104</v>
      </c>
      <c r="AU101" s="270">
        <f>mu_r-LN(alpha*Kr/(Tabella34[[#This Row],[Lombardy velocity]]*sigma_r*SQRTPI(2)))</f>
        <v>-0.7163850653752899</v>
      </c>
      <c r="AV101" s="270">
        <f>Tabella34[[#This Row],[t_alpha_r+plus]]</f>
        <v>20.824634046698975</v>
      </c>
      <c r="AW101" s="199">
        <f>IFERROR(-Kl*_xlfn.LOGNORM.DIST((Tabella34[[#This Row],[Day]]-pl),mu_l,sigma_l,FALSE)*(1+(LN((Tabella34[[#This Row],[Day]]-pl))-mu_l)/sigma_l^2)/(Tabella34[[#This Row],[Day]]-pl),0)</f>
        <v>-30.561034824189441</v>
      </c>
      <c r="AX101" s="200">
        <f>Tabella34[[#This Row],[Lombardy acc. fit]]/y_l_peak</f>
        <v>-1.7384429067446937E-2</v>
      </c>
      <c r="AY101" s="201">
        <f>Tabella34[[#This Row],[Lombardy acc. fit]]*NOT(ISBLANK(Tabella34[[#This Row],[Lombardy data]]))</f>
        <v>-30.561034824189441</v>
      </c>
      <c r="AZ101" s="200">
        <f>Tabella34[[#This Row],[Lombardy acc. fit]]+CIl</f>
        <v>718.39433697943423</v>
      </c>
      <c r="BA101" s="200">
        <f>MAX(Tabella34[[#This Row],[Lombardy acc. fit]]-CIl,0)</f>
        <v>0</v>
      </c>
      <c r="BB101" s="198">
        <f>Tabella8[[#This Row],[rest of Italy ]]</f>
        <v>72307</v>
      </c>
      <c r="BC101" s="198">
        <f>(Tabella34[[#This Row],[rest of Italy cum. Data]]-BB100)</f>
        <v>3130</v>
      </c>
      <c r="BD101" s="198">
        <f>Tabella34[[#This Row],[rest of Italy data]]-BC100</f>
        <v>-246</v>
      </c>
      <c r="BE101" s="200">
        <f>Tabella34[[#This Row],[rest of Italy data]]*NOT(ISBLANK(Tabella34[[#This Row],[rest of Italy data]]))</f>
        <v>3130</v>
      </c>
      <c r="BF101" s="200">
        <f>Tabella8[[#This Row],[rest of Italy fit]]</f>
        <v>70926.668664974175</v>
      </c>
      <c r="BG101" s="201">
        <f>_xlfn.LOGNORM.INV(alpha*Tabella34[[#This Row],[rest of Italy cumul. Fit]]/Ko,mu_o,sigma_o)-(Tabella34[[#This Row],[Day]]-po)</f>
        <v>43.632633802842435</v>
      </c>
      <c r="BH101" s="200">
        <f>Tabella34[[#This Row],[rest of Italy cumul. Fit]]/Ka</f>
        <v>0.47923430352469865</v>
      </c>
      <c r="BI101" s="201">
        <f>IFERROR(Ko*_xlfn.LOGNORM.DIST((Tabella34[[#This Row],[Day]]-po),mu_o,sigma_o,FALSE),0)</f>
        <v>3258.7145133293802</v>
      </c>
      <c r="BJ101" s="207">
        <f>Tabella34[[#This Row],[rest of Italy velocity]]/Tabella34[[#This Row],[rest of Italy cumul. Fit]]</f>
        <v>4.594484098389124E-2</v>
      </c>
      <c r="BK101" s="262">
        <f>(LN(Tabella34[[#This Row],[Day]]-po)-mu_o)/sigma_o</f>
        <v>-5.2075409123988115E-2</v>
      </c>
      <c r="BL101" s="270">
        <f>EXP(mu_o+sigma_o*Tabella34[[#This Row],[x_o_alpha©+plus]])-(Tabella34[[#This Row],[Day]]-po)</f>
        <v>19.819613985641794</v>
      </c>
      <c r="BM101" s="270">
        <f>EXP(mu_o+sigma_o*Tabella34[[#This Row],[x_o_alpha©-minus]])-(Tabella34[[#This Row],[Day]]-po)</f>
        <v>-21.278341297610616</v>
      </c>
      <c r="BN101" s="270">
        <f>-sigma_o+SQRT(sigma_o^2-2*Tabella34[[#This Row],[c_o]])</f>
        <v>0.88635326834507111</v>
      </c>
      <c r="BO101" s="270">
        <f>-sigma_o-SQRT(sigma_o^2-2*Tabella34[[#This Row],[c_o]])</f>
        <v>-1.5293260456440971</v>
      </c>
      <c r="BP101" s="270">
        <f>mu_o-LN(alpha*Ko/(Tabella34[[#This Row],[rest of Italy velocity]]*sigma_o*SQRTPI(2)))</f>
        <v>-0.67776156946094446</v>
      </c>
      <c r="BQ101" s="270">
        <f>Tabella34[[#This Row],[t_alpha_o+plus]]</f>
        <v>19.819613985641794</v>
      </c>
      <c r="BR101" s="199">
        <f>IFERROR(-Ka*_xlfn.LOGNORM.DIST((Tabella34[[#This Row],[Day]]-pa),mu_a,sigma_a,FALSE)*(1+(LN((Tabella34[[#This Row],[Day]]-pa))-mu_a)/sigma_a^2)/(Tabella34[[#This Row],[Day]]-pa),0)</f>
        <v>-48.520476838214385</v>
      </c>
      <c r="BS101" s="200">
        <f>Tabella34[[#This Row],[rest of Italy acc. fit]]/y_a_peak</f>
        <v>-1.4358785390338061E-2</v>
      </c>
      <c r="BT101" s="200">
        <f>Tabella34[[#This Row],[rest of Italy acc. fit]]*NOT(ISBLANK(Tabella34[[#This Row],[rest of Italy data]]))</f>
        <v>-48.520476838214385</v>
      </c>
      <c r="BU101" s="200">
        <f>Tabella34[[#This Row],[rest of Italy acc. fit]]+CIa</f>
        <v>646.13155902538301</v>
      </c>
      <c r="BV101" s="205">
        <f>MAX(Tabella34[[#This Row],[rest of Italy acc. fit]]-CIa,0)</f>
        <v>0</v>
      </c>
    </row>
    <row r="102" spans="2:74" x14ac:dyDescent="0.3">
      <c r="B102" s="288">
        <v>43925</v>
      </c>
      <c r="C102" s="4">
        <v>95</v>
      </c>
      <c r="D102" s="10">
        <f>Tabella8[[#This Row],[Italy cumulative]]</f>
        <v>124632</v>
      </c>
      <c r="E102" s="91">
        <f>(Tabella34[[#This Row],[Italy cumul. Data]]-D101)</f>
        <v>4805</v>
      </c>
      <c r="F102" s="91">
        <f>Tabella34[[#This Row],[Italy data]]-E101</f>
        <v>220</v>
      </c>
      <c r="G102" s="96">
        <f>Tabella34[[#This Row],[Italy data]]*NOT(ISBLANK(Tabella34[[#This Row],[Italy data]]))</f>
        <v>4805</v>
      </c>
      <c r="H102" s="163">
        <f>Tabella8[[#This Row],[Italy fit]]</f>
        <v>121073.97150995432</v>
      </c>
      <c r="I102" s="163" t="e">
        <f>_xlfn.LOGNORM.INV(alpha*Tabella34[[#This Row],[Italy cumul. Fit]]/Kt,mu_t,sigma_t)-(Tabella34[[#This Row],[Day]]-pt)</f>
        <v>#NUM!</v>
      </c>
      <c r="J102" s="163" t="e">
        <f>Tabella34[[#This Row],[Italy d.t.]]/Italy_dt_at_lockdown</f>
        <v>#NUM!</v>
      </c>
      <c r="K102" s="96">
        <f>Tabella34[[#This Row],[Italy cumul. Fit]]/Kf</f>
        <v>0.51520852998077848</v>
      </c>
      <c r="L102" s="166">
        <f>Tabella34[[#This Row],[Lombardy acc. fit]]+Tabella34[[#This Row],[rest of Italy acc. fit]]</f>
        <v>-89.332426547837954</v>
      </c>
      <c r="M102" s="96">
        <f>Tabella34[[#This Row],[Italy (fitted Lombardy + fitted sum of the other regions)]]/(y_l_peak+y_a_peak)</f>
        <v>-1.7389648692387474E-2</v>
      </c>
      <c r="N102" s="163">
        <f>IFERROR(Kt*_xlfn.LOGNORM.DIST((Tabella34[[#This Row],[Day]]-pt),mu_t,sigma_t,FALSE),0)</f>
        <v>4764.6300491810689</v>
      </c>
      <c r="O102" s="163">
        <f>Kt*EXP(-0.5*Tabella34[[#This Row],[x_t]]^2)/(sigma_t*SQRTPI(2)*(Tabella34[[#This Row],[Day]]-D_bk))</f>
        <v>4764.6300491810689</v>
      </c>
      <c r="P102" s="206">
        <f>Tabella34[[#This Row],[Italy velocity]]/Tabella34[[#This Row],[Italy cumul. Fit]]</f>
        <v>3.9353049955822554E-2</v>
      </c>
      <c r="Q102" s="269">
        <f>(LN(Tabella34[[#This Row],[Day]]-D_bk)-mu_t)/sigma_t</f>
        <v>3.8131369760964894E-2</v>
      </c>
      <c r="R102" s="269">
        <f>EXP(mu_t+sigma_t*Tabella34[[#This Row],[x_t_alpha©+plus]])-(Tabella34[[#This Row],[Day]]-D_bk)</f>
        <v>19.887929912540564</v>
      </c>
      <c r="S102" s="269">
        <f>EXP(mu_t+sigma_t*Tabella34[[#This Row],[x_t_alpha©-minus]])-(Tabella34[[#This Row],[Day]]-D_bk)</f>
        <v>-24.513802921928082</v>
      </c>
      <c r="T102" s="269">
        <f>-sigma_t+SQRT(sigma_t^2-2*Tabella34[[#This Row],[c_t]])</f>
        <v>0.91807218410895786</v>
      </c>
      <c r="U102" s="269">
        <f>-sigma_t-SQRT(sigma_t^2-2*Tabella34[[#This Row],[c_t]])</f>
        <v>-1.537309090001195</v>
      </c>
      <c r="V102" s="269">
        <f>mu_t-LN(alpha*Kt/(Tabella34[[#This Row],[Italy velocity]]*sigma_t*SQRTPI(2)))</f>
        <v>-0.7056803569539758</v>
      </c>
      <c r="W102" s="269">
        <f>Tabella34[[#This Row],[Italy g.r.]]/Italy_gr_at_lockdown</f>
        <v>0.24882677669115941</v>
      </c>
      <c r="X102" s="269">
        <f>Tabella34[[#This Row],[t_alpha_t+plus]]</f>
        <v>19.887929912540564</v>
      </c>
      <c r="Y102" s="269">
        <f>Tabella34[[#This Row],[Italy h.t.]]/Italy_ht_at_lockdown</f>
        <v>0.35419164685783588</v>
      </c>
      <c r="Z102" s="91">
        <f>IFERROR(-Kf*_xlfn.LOGNORM.DIST((Tabella34[[#This Row],[Day]]-D_bk),mu_f,sigma_f,FALSE)*(1+(LN((Tabella34[[#This Row],[Day]]-D_bk))-mu_f)/sigma_f^2)/(Tabella34[[#This Row],[Day]]-D_bk),0)</f>
        <v>-84.268101717960405</v>
      </c>
      <c r="AA102" s="91">
        <f>Tabella34[[#This Row],[Italy acc. fit]]/Itali_acc_at_lockdown</f>
        <v>-0.34682954959768769</v>
      </c>
      <c r="AB102" s="96">
        <f>Tabella34[[#This Row],[Italy acc. fit]]/y_f_peak</f>
        <v>-1.6648473638460309E-2</v>
      </c>
      <c r="AC102" s="163">
        <f>Tabella34[[#This Row],[Italy (fitted Lombardy + fitted sum of the other regions)]]*NOT(ISBLANK(Tabella34[[#This Row],[Italy data]]))</f>
        <v>-89.332426547837954</v>
      </c>
      <c r="AD102" s="163">
        <f>Tabella34[[#This Row],[Italy acc. fit]]*NOT(ISBLANK(Tabella34[[#This Row],[Italy data]]))</f>
        <v>-84.268101717960405</v>
      </c>
      <c r="AE102" s="96">
        <f>Tabella34[[#This Row],[Italy acc. fit]]+CIf</f>
        <v>929.49490030235734</v>
      </c>
      <c r="AF102" s="96">
        <f>MAX(Tabella34[[#This Row],[Italy acc. fit]]-CIf,0)</f>
        <v>0</v>
      </c>
      <c r="AG102" s="4">
        <f>Tabella8[[#This Row],[Lombardy]]</f>
        <v>49118</v>
      </c>
      <c r="AH102" s="91">
        <f>(Tabella34[[#This Row],[Lombardy cumul. Data]]-AG101)</f>
        <v>1598</v>
      </c>
      <c r="AI102" s="91">
        <f>Tabella34[[#This Row],[Lombardy data]]-AH101</f>
        <v>143</v>
      </c>
      <c r="AJ102" s="96">
        <f>Tabella34[[#This Row],[Lombardy data]]*NOT(ISBLANK(Tabella34[[#This Row],[Lombardy data]]))</f>
        <v>1598</v>
      </c>
      <c r="AK102" s="96">
        <f>Tabella8[[#This Row],[Lombardy fit]]</f>
        <v>47273.725307568522</v>
      </c>
      <c r="AL102" s="163" t="e">
        <f>_xlfn.LOGNORM.INV(alpha*Tabella34[[#This Row],[Lombardy cumul. Fit]]/Kr,mu_r,sigma_r)-(Tabella34[[#This Row],[Day]]-pr)</f>
        <v>#NUM!</v>
      </c>
      <c r="AM102" s="96">
        <f>Tabella34[[#This Row],[Lombardy cumul. Fit]]/Kl</f>
        <v>0.54337615296055775</v>
      </c>
      <c r="AN102" s="96">
        <f>IFERROR(Kr*_xlfn.LOGNORM.DIST((Tabella34[[#This Row],[Day]]-pr),mu_r,sigma_r,FALSE),0)</f>
        <v>1589.1258180934817</v>
      </c>
      <c r="AO102" s="209">
        <f>Tabella34[[#This Row],[Lombardy velocity]]/Tabella34[[#This Row],[Lombardy cumul. Fit]]</f>
        <v>3.3615413377186557E-2</v>
      </c>
      <c r="AP102" s="266">
        <f>(LN(Tabella34[[#This Row],[Day]]-pr)-mu_r)/sigma_r</f>
        <v>0.108943008129115</v>
      </c>
      <c r="AQ102" s="269">
        <f>EXP(mu_r+sigma_r*Tabella34[[#This Row],[x_r_alpha©+plus]])-(Tabella34[[#This Row],[Day]]-pr)</f>
        <v>20.275440820140986</v>
      </c>
      <c r="AR102" s="269">
        <f>EXP(mu_r+sigma_r*Tabella34[[#This Row],[x_r_alpha©-minus]])-(Tabella34[[#This Row],[Day]]-pr)</f>
        <v>-28.140094750197271</v>
      </c>
      <c r="AS102" s="269">
        <f>-sigma_r+SQRT(sigma_r^2-2*Tabella34[[#This Row],[c_r]])</f>
        <v>0.91982189647801937</v>
      </c>
      <c r="AT102" s="269">
        <f>-sigma_r-SQRT(sigma_r^2-2*Tabella34[[#This Row],[c_r]])</f>
        <v>-1.6006764936717486</v>
      </c>
      <c r="AU102" s="269">
        <f>mu_r-LN(alpha*Kr/(Tabella34[[#This Row],[Lombardy velocity]]*sigma_r*SQRTPI(2)))</f>
        <v>-0.73616864402846716</v>
      </c>
      <c r="AV102" s="269">
        <f>Tabella34[[#This Row],[t_alpha_r+plus]]</f>
        <v>20.275440820140986</v>
      </c>
      <c r="AW102" s="91">
        <f>IFERROR(-Kl*_xlfn.LOGNORM.DIST((Tabella34[[#This Row],[Day]]-pl),mu_l,sigma_l,FALSE)*(1+(LN((Tabella34[[#This Row],[Day]]-pl))-mu_l)/sigma_l^2)/(Tabella34[[#This Row],[Day]]-pl),0)</f>
        <v>-32.890376871160946</v>
      </c>
      <c r="AX102" s="96">
        <f>Tabella34[[#This Row],[Lombardy acc. fit]]/y_l_peak</f>
        <v>-1.8709458858563371E-2</v>
      </c>
      <c r="AY102" s="163">
        <f>Tabella34[[#This Row],[Lombardy acc. fit]]*NOT(ISBLANK(Tabella34[[#This Row],[Lombardy data]]))</f>
        <v>-32.890376871160946</v>
      </c>
      <c r="AZ102" s="96">
        <f>Tabella34[[#This Row],[Lombardy acc. fit]]+CIl</f>
        <v>716.0649949324627</v>
      </c>
      <c r="BA102" s="96">
        <f>MAX(Tabella34[[#This Row],[Lombardy acc. fit]]-CIl,0)</f>
        <v>0</v>
      </c>
      <c r="BB102" s="10">
        <f>Tabella8[[#This Row],[rest of Italy ]]</f>
        <v>75514</v>
      </c>
      <c r="BC102" s="10">
        <f>(Tabella34[[#This Row],[rest of Italy cum. Data]]-BB101)</f>
        <v>3207</v>
      </c>
      <c r="BD102" s="10">
        <f>Tabella34[[#This Row],[rest of Italy data]]-BC101</f>
        <v>77</v>
      </c>
      <c r="BE102" s="96">
        <f>Tabella34[[#This Row],[rest of Italy data]]*NOT(ISBLANK(Tabella34[[#This Row],[rest of Italy data]]))</f>
        <v>3207</v>
      </c>
      <c r="BF102" s="96">
        <f>Tabella8[[#This Row],[rest of Italy fit]]</f>
        <v>74159.765417855233</v>
      </c>
      <c r="BG102" s="163" t="e">
        <f>_xlfn.LOGNORM.INV(alpha*Tabella34[[#This Row],[rest of Italy cumul. Fit]]/Ko,mu_o,sigma_o)-(Tabella34[[#This Row],[Day]]-po)</f>
        <v>#NUM!</v>
      </c>
      <c r="BH102" s="96">
        <f>Tabella34[[#This Row],[rest of Italy cumul. Fit]]/Ka</f>
        <v>0.50107955439801466</v>
      </c>
      <c r="BI102" s="163">
        <f>IFERROR(Ko*_xlfn.LOGNORM.DIST((Tabella34[[#This Row],[Day]]-po),mu_o,sigma_o,FALSE),0)</f>
        <v>3206.1587436562982</v>
      </c>
      <c r="BJ102" s="206">
        <f>Tabella34[[#This Row],[rest of Italy velocity]]/Tabella34[[#This Row],[rest of Italy cumul. Fit]]</f>
        <v>4.3233129522337467E-2</v>
      </c>
      <c r="BK102" s="261">
        <f>(LN(Tabella34[[#This Row],[Day]]-po)-mu_o)/sigma_o</f>
        <v>2.706044880644918E-3</v>
      </c>
      <c r="BL102" s="269">
        <f>EXP(mu_o+sigma_o*Tabella34[[#This Row],[x_o_alpha©+plus]])-(Tabella34[[#This Row],[Day]]-po)</f>
        <v>19.147849194911331</v>
      </c>
      <c r="BM102" s="269">
        <f>EXP(mu_o+sigma_o*Tabella34[[#This Row],[x_o_alpha©-minus]])-(Tabella34[[#This Row],[Day]]-po)</f>
        <v>-22.428669154831972</v>
      </c>
      <c r="BN102" s="269">
        <f>-sigma_o+SQRT(sigma_o^2-2*Tabella34[[#This Row],[c_o]])</f>
        <v>0.89974049243282528</v>
      </c>
      <c r="BO102" s="269">
        <f>-sigma_o-SQRT(sigma_o^2-2*Tabella34[[#This Row],[c_o]])</f>
        <v>-1.5427132697318515</v>
      </c>
      <c r="BP102" s="269">
        <f>mu_o-LN(alpha*Ko/(Tabella34[[#This Row],[rest of Italy velocity]]*sigma_o*SQRTPI(2)))</f>
        <v>-0.69402079849559506</v>
      </c>
      <c r="BQ102" s="269">
        <f>Tabella34[[#This Row],[t_alpha_o+plus]]</f>
        <v>19.147849194911331</v>
      </c>
      <c r="BR102" s="91">
        <f>IFERROR(-Ka*_xlfn.LOGNORM.DIST((Tabella34[[#This Row],[Day]]-pa),mu_a,sigma_a,FALSE)*(1+(LN((Tabella34[[#This Row],[Day]]-pa))-mu_a)/sigma_a^2)/(Tabella34[[#This Row],[Day]]-pa),0)</f>
        <v>-56.442049676677009</v>
      </c>
      <c r="BS102" s="96">
        <f>Tabella34[[#This Row],[rest of Italy acc. fit]]/y_a_peak</f>
        <v>-1.6703036142874602E-2</v>
      </c>
      <c r="BT102" s="96">
        <f>Tabella34[[#This Row],[rest of Italy acc. fit]]*NOT(ISBLANK(Tabella34[[#This Row],[rest of Italy data]]))</f>
        <v>-56.442049676677009</v>
      </c>
      <c r="BU102" s="96">
        <f>Tabella34[[#This Row],[rest of Italy acc. fit]]+CIa</f>
        <v>638.20998618692033</v>
      </c>
      <c r="BV102" s="96">
        <f>MAX(Tabella34[[#This Row],[rest of Italy acc. fit]]-CIa,0)</f>
        <v>0</v>
      </c>
    </row>
    <row r="103" spans="2:74" x14ac:dyDescent="0.3">
      <c r="B103" s="288">
        <v>43926</v>
      </c>
      <c r="C103" s="4">
        <v>96</v>
      </c>
      <c r="D103" s="10">
        <f>Tabella8[[#This Row],[Italy cumulative]]</f>
        <v>128948</v>
      </c>
      <c r="E103" s="91">
        <f>(Tabella34[[#This Row],[Italy cumul. Data]]-D102)</f>
        <v>4316</v>
      </c>
      <c r="F103" s="91">
        <f>Tabella34[[#This Row],[Italy data]]-E102</f>
        <v>-489</v>
      </c>
      <c r="G103" s="96">
        <f>Tabella34[[#This Row],[Italy data]]*NOT(ISBLANK(Tabella34[[#This Row],[Italy data]]))</f>
        <v>4316</v>
      </c>
      <c r="H103" s="163">
        <f>Tabella8[[#This Row],[Italy fit]]</f>
        <v>125794.92860924851</v>
      </c>
      <c r="I103" s="163" t="e">
        <f>_xlfn.LOGNORM.INV(alpha*Tabella34[[#This Row],[Italy cumul. Fit]]/Kt,mu_t,sigma_t)-(Tabella34[[#This Row],[Day]]-pt)</f>
        <v>#NUM!</v>
      </c>
      <c r="J103" s="163" t="e">
        <f>Tabella34[[#This Row],[Italy d.t.]]/Italy_dt_at_lockdown</f>
        <v>#NUM!</v>
      </c>
      <c r="K103" s="96">
        <f>Tabella34[[#This Row],[Italy cumul. Fit]]/Kf</f>
        <v>0.53529771460812592</v>
      </c>
      <c r="L103" s="166">
        <f>Tabella34[[#This Row],[Lombardy acc. fit]]+Tabella34[[#This Row],[rest of Italy acc. fit]]</f>
        <v>-98.388337950324711</v>
      </c>
      <c r="M103" s="96">
        <f>Tabella34[[#This Row],[Italy (fitted Lombardy + fitted sum of the other regions)]]/(y_l_peak+y_a_peak)</f>
        <v>-1.9152492532684369E-2</v>
      </c>
      <c r="N103" s="163">
        <f>IFERROR(Kt*_xlfn.LOGNORM.DIST((Tabella34[[#This Row],[Day]]-pt),mu_t,sigma_t,FALSE),0)</f>
        <v>4675.7907026983685</v>
      </c>
      <c r="O103" s="163">
        <f>Kt*EXP(-0.5*Tabella34[[#This Row],[x_t]]^2)/(sigma_t*SQRTPI(2)*(Tabella34[[#This Row],[Day]]-D_bk))</f>
        <v>4675.7907026983712</v>
      </c>
      <c r="P103" s="206">
        <f>Tabella34[[#This Row],[Italy velocity]]/Tabella34[[#This Row],[Italy cumul. Fit]]</f>
        <v>3.7169945993789463E-2</v>
      </c>
      <c r="Q103" s="269">
        <f>(LN(Tabella34[[#This Row],[Day]]-D_bk)-mu_t)/sigma_t</f>
        <v>8.8594007370996819E-2</v>
      </c>
      <c r="R103" s="269">
        <f>EXP(mu_t+sigma_t*Tabella34[[#This Row],[x_t_alpha©+plus]])-(Tabella34[[#This Row],[Day]]-D_bk)</f>
        <v>19.282260724989982</v>
      </c>
      <c r="S103" s="269">
        <f>EXP(mu_t+sigma_t*Tabella34[[#This Row],[x_t_alpha©-minus]])-(Tabella34[[#This Row],[Day]]-D_bk)</f>
        <v>-25.697307822314322</v>
      </c>
      <c r="T103" s="269">
        <f>-sigma_t+SQRT(sigma_t^2-2*Tabella34[[#This Row],[c_t]])</f>
        <v>0.93330854598491331</v>
      </c>
      <c r="U103" s="269">
        <f>-sigma_t-SQRT(sigma_t^2-2*Tabella34[[#This Row],[c_t]])</f>
        <v>-1.5525454518771504</v>
      </c>
      <c r="V103" s="269">
        <f>mu_t-LN(alpha*Kt/(Tabella34[[#This Row],[Italy velocity]]*sigma_t*SQRTPI(2)))</f>
        <v>-0.72450196913347664</v>
      </c>
      <c r="W103" s="269">
        <f>Tabella34[[#This Row],[Italy g.r.]]/Italy_gr_at_lockdown</f>
        <v>0.23502315225381079</v>
      </c>
      <c r="X103" s="269">
        <f>Tabella34[[#This Row],[t_alpha_t+plus]]</f>
        <v>19.282260724989982</v>
      </c>
      <c r="Y103" s="269">
        <f>Tabella34[[#This Row],[Italy h.t.]]/Italy_ht_at_lockdown</f>
        <v>0.34340505579818426</v>
      </c>
      <c r="Z103" s="91">
        <f>IFERROR(-Kf*_xlfn.LOGNORM.DIST((Tabella34[[#This Row],[Day]]-D_bk),mu_f,sigma_f,FALSE)*(1+(LN((Tabella34[[#This Row],[Day]]-D_bk))-mu_f)/sigma_f^2)/(Tabella34[[#This Row],[Day]]-D_bk),0)</f>
        <v>-93.229107870988969</v>
      </c>
      <c r="AA103" s="91">
        <f>Tabella34[[#This Row],[Italy acc. fit]]/Itali_acc_at_lockdown</f>
        <v>-0.38371114138195589</v>
      </c>
      <c r="AB103" s="96">
        <f>Tabella34[[#This Row],[Italy acc. fit]]/y_f_peak</f>
        <v>-1.841885972372061E-2</v>
      </c>
      <c r="AC103" s="163">
        <f>Tabella34[[#This Row],[Italy (fitted Lombardy + fitted sum of the other regions)]]*NOT(ISBLANK(Tabella34[[#This Row],[Italy data]]))</f>
        <v>-98.388337950324711</v>
      </c>
      <c r="AD103" s="163">
        <f>Tabella34[[#This Row],[Italy acc. fit]]*NOT(ISBLANK(Tabella34[[#This Row],[Italy data]]))</f>
        <v>-93.229107870988969</v>
      </c>
      <c r="AE103" s="96">
        <f>Tabella34[[#This Row],[Italy acc. fit]]+CIf</f>
        <v>920.53389414932872</v>
      </c>
      <c r="AF103" s="96">
        <f>MAX(Tabella34[[#This Row],[Italy acc. fit]]-CIf,0)</f>
        <v>0</v>
      </c>
      <c r="AG103" s="4">
        <f>Tabella8[[#This Row],[Lombardy]]</f>
        <v>50455</v>
      </c>
      <c r="AH103" s="91">
        <f>(Tabella34[[#This Row],[Lombardy cumul. Data]]-AG102)</f>
        <v>1337</v>
      </c>
      <c r="AI103" s="91">
        <f>Tabella34[[#This Row],[Lombardy data]]-AH102</f>
        <v>-261</v>
      </c>
      <c r="AJ103" s="96">
        <f>Tabella34[[#This Row],[Lombardy data]]*NOT(ISBLANK(Tabella34[[#This Row],[Lombardy data]]))</f>
        <v>1337</v>
      </c>
      <c r="AK103" s="96">
        <f>Tabella8[[#This Row],[Lombardy fit]]</f>
        <v>48846.056127844786</v>
      </c>
      <c r="AL103" s="163" t="e">
        <f>_xlfn.LOGNORM.INV(alpha*Tabella34[[#This Row],[Lombardy cumul. Fit]]/Kr,mu_r,sigma_r)-(Tabella34[[#This Row],[Day]]-pr)</f>
        <v>#NUM!</v>
      </c>
      <c r="AM103" s="96">
        <f>Tabella34[[#This Row],[Lombardy cumul. Fit]]/Kl</f>
        <v>0.56144892100971022</v>
      </c>
      <c r="AN103" s="96">
        <f>IFERROR(Kr*_xlfn.LOGNORM.DIST((Tabella34[[#This Row],[Day]]-pr),mu_r,sigma_r,FALSE),0)</f>
        <v>1555.1985426467959</v>
      </c>
      <c r="AO103" s="209">
        <f>Tabella34[[#This Row],[Lombardy velocity]]/Tabella34[[#This Row],[Lombardy cumul. Fit]]</f>
        <v>3.1838774016399084E-2</v>
      </c>
      <c r="AP103" s="266">
        <f>(LN(Tabella34[[#This Row],[Day]]-pr)-mu_r)/sigma_r</f>
        <v>0.15464377456240383</v>
      </c>
      <c r="AQ103" s="269">
        <f>EXP(mu_r+sigma_r*Tabella34[[#This Row],[x_r_alpha©+plus]])-(Tabella34[[#This Row],[Day]]-pr)</f>
        <v>19.763562220773423</v>
      </c>
      <c r="AR103" s="269">
        <f>EXP(mu_r+sigma_r*Tabella34[[#This Row],[x_r_alpha©-minus]])-(Tabella34[[#This Row],[Day]]-pr)</f>
        <v>-29.345858197840023</v>
      </c>
      <c r="AS103" s="269">
        <f>-sigma_r+SQRT(sigma_r^2-2*Tabella34[[#This Row],[c_r]])</f>
        <v>0.93683137864864996</v>
      </c>
      <c r="AT103" s="269">
        <f>-sigma_r-SQRT(sigma_r^2-2*Tabella34[[#This Row],[c_r]])</f>
        <v>-1.6176859758423792</v>
      </c>
      <c r="AU103" s="269">
        <f>mu_r-LN(alpha*Kr/(Tabella34[[#This Row],[Lombardy velocity]]*sigma_r*SQRTPI(2)))</f>
        <v>-0.75774949148450155</v>
      </c>
      <c r="AV103" s="269">
        <f>Tabella34[[#This Row],[t_alpha_r+plus]]</f>
        <v>19.763562220773423</v>
      </c>
      <c r="AW103" s="91">
        <f>IFERROR(-Kl*_xlfn.LOGNORM.DIST((Tabella34[[#This Row],[Day]]-pl),mu_l,sigma_l,FALSE)*(1+(LN((Tabella34[[#This Row],[Day]]-pl))-mu_l)/sigma_l^2)/(Tabella34[[#This Row],[Day]]-pl),0)</f>
        <v>-34.914266668341909</v>
      </c>
      <c r="AX103" s="96">
        <f>Tabella34[[#This Row],[Lombardy acc. fit]]/y_l_peak</f>
        <v>-1.9860734292194083E-2</v>
      </c>
      <c r="AY103" s="163">
        <f>Tabella34[[#This Row],[Lombardy acc. fit]]*NOT(ISBLANK(Tabella34[[#This Row],[Lombardy data]]))</f>
        <v>-34.914266668341909</v>
      </c>
      <c r="AZ103" s="96">
        <f>Tabella34[[#This Row],[Lombardy acc. fit]]+CIl</f>
        <v>714.04110513528167</v>
      </c>
      <c r="BA103" s="96">
        <f>MAX(Tabella34[[#This Row],[Lombardy acc. fit]]-CIl,0)</f>
        <v>0</v>
      </c>
      <c r="BB103" s="10">
        <f>Tabella8[[#This Row],[rest of Italy ]]</f>
        <v>78493</v>
      </c>
      <c r="BC103" s="10">
        <f>(Tabella34[[#This Row],[rest of Italy cum. Data]]-BB102)</f>
        <v>2979</v>
      </c>
      <c r="BD103" s="10">
        <f>Tabella34[[#This Row],[rest of Italy data]]-BC102</f>
        <v>-228</v>
      </c>
      <c r="BE103" s="96">
        <f>Tabella34[[#This Row],[rest of Italy data]]*NOT(ISBLANK(Tabella34[[#This Row],[rest of Italy data]]))</f>
        <v>2979</v>
      </c>
      <c r="BF103" s="96">
        <f>Tabella8[[#This Row],[rest of Italy fit]]</f>
        <v>77336.494296891717</v>
      </c>
      <c r="BG103" s="163" t="e">
        <f>_xlfn.LOGNORM.INV(alpha*Tabella34[[#This Row],[rest of Italy cumul. Fit]]/Ko,mu_o,sigma_o)-(Tabella34[[#This Row],[Day]]-po)</f>
        <v>#NUM!</v>
      </c>
      <c r="BH103" s="96">
        <f>Tabella34[[#This Row],[rest of Italy cumul. Fit]]/Ka</f>
        <v>0.52254394121453029</v>
      </c>
      <c r="BI103" s="163">
        <f>IFERROR(Ko*_xlfn.LOGNORM.DIST((Tabella34[[#This Row],[Day]]-po),mu_o,sigma_o,FALSE),0)</f>
        <v>3146.127055224069</v>
      </c>
      <c r="BJ103" s="206">
        <f>Tabella34[[#This Row],[rest of Italy velocity]]/Tabella34[[#This Row],[rest of Italy cumul. Fit]]</f>
        <v>4.0681014620939662E-2</v>
      </c>
      <c r="BK103" s="261">
        <f>(LN(Tabella34[[#This Row],[Day]]-po)-mu_o)/sigma_o</f>
        <v>5.6539389299439309E-2</v>
      </c>
      <c r="BL103" s="269">
        <f>EXP(mu_o+sigma_o*Tabella34[[#This Row],[x_o_alpha©+plus]])-(Tabella34[[#This Row],[Day]]-po)</f>
        <v>18.526704929293132</v>
      </c>
      <c r="BM103" s="269">
        <f>EXP(mu_o+sigma_o*Tabella34[[#This Row],[x_o_alpha©-minus]])-(Tabella34[[#This Row],[Day]]-po)</f>
        <v>-23.600583303948369</v>
      </c>
      <c r="BN103" s="269">
        <f>-sigma_o+SQRT(sigma_o^2-2*Tabella34[[#This Row],[c_o]])</f>
        <v>0.91512100657089468</v>
      </c>
      <c r="BO103" s="269">
        <f>-sigma_o-SQRT(sigma_o^2-2*Tabella34[[#This Row],[c_o]])</f>
        <v>-1.5580937838699209</v>
      </c>
      <c r="BP103" s="269">
        <f>mu_o-LN(alpha*Ko/(Tabella34[[#This Row],[rest of Italy velocity]]*sigma_o*SQRTPI(2)))</f>
        <v>-0.71292217591344809</v>
      </c>
      <c r="BQ103" s="269">
        <f>Tabella34[[#This Row],[t_alpha_o+plus]]</f>
        <v>18.526704929293132</v>
      </c>
      <c r="BR103" s="91">
        <f>IFERROR(-Ka*_xlfn.LOGNORM.DIST((Tabella34[[#This Row],[Day]]-pa),mu_a,sigma_a,FALSE)*(1+(LN((Tabella34[[#This Row],[Day]]-pa))-mu_a)/sigma_a^2)/(Tabella34[[#This Row],[Day]]-pa),0)</f>
        <v>-63.474071281982802</v>
      </c>
      <c r="BS103" s="96">
        <f>Tabella34[[#This Row],[rest of Italy acc. fit]]/y_a_peak</f>
        <v>-1.8784039786500839E-2</v>
      </c>
      <c r="BT103" s="96">
        <f>Tabella34[[#This Row],[rest of Italy acc. fit]]*NOT(ISBLANK(Tabella34[[#This Row],[rest of Italy data]]))</f>
        <v>-63.474071281982802</v>
      </c>
      <c r="BU103" s="96">
        <f>Tabella34[[#This Row],[rest of Italy acc. fit]]+CIa</f>
        <v>631.17796458161456</v>
      </c>
      <c r="BV103" s="96">
        <f>MAX(Tabella34[[#This Row],[rest of Italy acc. fit]]-CIa,0)</f>
        <v>0</v>
      </c>
    </row>
    <row r="104" spans="2:74" x14ac:dyDescent="0.3">
      <c r="B104" s="288">
        <v>43927</v>
      </c>
      <c r="C104" s="4">
        <v>97</v>
      </c>
      <c r="D104" s="10">
        <f>Tabella8[[#This Row],[Italy cumulative]]</f>
        <v>132547</v>
      </c>
      <c r="E104" s="91">
        <f>(Tabella34[[#This Row],[Italy cumul. Data]]-D103)</f>
        <v>3599</v>
      </c>
      <c r="F104" s="91">
        <f>Tabella34[[#This Row],[Italy data]]-E103</f>
        <v>-717</v>
      </c>
      <c r="G104" s="96">
        <f>Tabella34[[#This Row],[Italy data]]*NOT(ISBLANK(Tabella34[[#This Row],[Italy data]]))</f>
        <v>3599</v>
      </c>
      <c r="H104" s="163">
        <f>Tabella8[[#This Row],[Italy fit]]</f>
        <v>130422.74641050897</v>
      </c>
      <c r="I104" s="163" t="e">
        <f>_xlfn.LOGNORM.INV(alpha*Tabella34[[#This Row],[Italy cumul. Fit]]/Kt,mu_t,sigma_t)-(Tabella34[[#This Row],[Day]]-pt)</f>
        <v>#NUM!</v>
      </c>
      <c r="J104" s="163" t="e">
        <f>Tabella34[[#This Row],[Italy d.t.]]/Italy_dt_at_lockdown</f>
        <v>#NUM!</v>
      </c>
      <c r="K104" s="96">
        <f>Tabella34[[#This Row],[Italy cumul. Fit]]/Kf</f>
        <v>0.55499056168888972</v>
      </c>
      <c r="L104" s="166">
        <f>Tabella34[[#This Row],[Lombardy acc. fit]]+Tabella34[[#This Row],[rest of Italy acc. fit]]</f>
        <v>-106.27764967354771</v>
      </c>
      <c r="M104" s="96">
        <f>Tabella34[[#This Row],[Italy (fitted Lombardy + fitted sum of the other regions)]]/(y_l_peak+y_a_peak)</f>
        <v>-2.0688243486657557E-2</v>
      </c>
      <c r="N104" s="163">
        <f>IFERROR(Kt*_xlfn.LOGNORM.DIST((Tabella34[[#This Row],[Day]]-pt),mu_t,sigma_t,FALSE),0)</f>
        <v>4578.531017056589</v>
      </c>
      <c r="O104" s="163">
        <f>Kt*EXP(-0.5*Tabella34[[#This Row],[x_t]]^2)/(sigma_t*SQRTPI(2)*(Tabella34[[#This Row],[Day]]-D_bk))</f>
        <v>4578.5310170565881</v>
      </c>
      <c r="P104" s="206">
        <f>Tabella34[[#This Row],[Italy velocity]]/Tabella34[[#This Row],[Italy cumul. Fit]]</f>
        <v>3.5105310561744679E-2</v>
      </c>
      <c r="Q104" s="269">
        <f>(LN(Tabella34[[#This Row],[Day]]-D_bk)-mu_t)/sigma_t</f>
        <v>0.13828032230890439</v>
      </c>
      <c r="R104" s="269">
        <f>EXP(mu_t+sigma_t*Tabella34[[#This Row],[x_t_alpha©+plus]])-(Tabella34[[#This Row],[Day]]-D_bk)</f>
        <v>18.719175812391654</v>
      </c>
      <c r="S104" s="269">
        <f>EXP(mu_t+sigma_t*Tabella34[[#This Row],[x_t_alpha©-minus]])-(Tabella34[[#This Row],[Day]]-D_bk)</f>
        <v>-26.898622965043927</v>
      </c>
      <c r="T104" s="269">
        <f>-sigma_t+SQRT(sigma_t^2-2*Tabella34[[#This Row],[c_t]])</f>
        <v>0.95010678455404363</v>
      </c>
      <c r="U104" s="269">
        <f>-sigma_t-SQRT(sigma_t^2-2*Tabella34[[#This Row],[c_t]])</f>
        <v>-1.5693436904462807</v>
      </c>
      <c r="V104" s="269">
        <f>mu_t-LN(alpha*Kt/(Tabella34[[#This Row],[Italy velocity]]*sigma_t*SQRTPI(2)))</f>
        <v>-0.74552204379504605</v>
      </c>
      <c r="W104" s="269">
        <f>Tabella34[[#This Row],[Italy g.r.]]/Italy_gr_at_lockdown</f>
        <v>0.22196859663042759</v>
      </c>
      <c r="X104" s="269">
        <f>Tabella34[[#This Row],[t_alpha_t+plus]]</f>
        <v>18.719175812391654</v>
      </c>
      <c r="Y104" s="269">
        <f>Tabella34[[#This Row],[Italy h.t.]]/Italy_ht_at_lockdown</f>
        <v>0.33337686415676848</v>
      </c>
      <c r="Z104" s="91">
        <f>IFERROR(-Kf*_xlfn.LOGNORM.DIST((Tabella34[[#This Row],[Day]]-D_bk),mu_f,sigma_f,FALSE)*(1+(LN((Tabella34[[#This Row],[Day]]-D_bk))-mu_f)/sigma_f^2)/(Tabella34[[#This Row],[Day]]-D_bk),0)</f>
        <v>-101.11289759756619</v>
      </c>
      <c r="AA104" s="91">
        <f>Tabella34[[#This Row],[Italy acc. fit]]/Itali_acc_at_lockdown</f>
        <v>-0.41615913990390285</v>
      </c>
      <c r="AB104" s="96">
        <f>Tabella34[[#This Row],[Italy acc. fit]]/y_f_peak</f>
        <v>-1.9976424956095015E-2</v>
      </c>
      <c r="AC104" s="163">
        <f>Tabella34[[#This Row],[Italy (fitted Lombardy + fitted sum of the other regions)]]*NOT(ISBLANK(Tabella34[[#This Row],[Italy data]]))</f>
        <v>-106.27764967354771</v>
      </c>
      <c r="AD104" s="163">
        <f>Tabella34[[#This Row],[Italy acc. fit]]*NOT(ISBLANK(Tabella34[[#This Row],[Italy data]]))</f>
        <v>-101.11289759756619</v>
      </c>
      <c r="AE104" s="96">
        <f>Tabella34[[#This Row],[Italy acc. fit]]+CIf</f>
        <v>912.6501044227515</v>
      </c>
      <c r="AF104" s="96">
        <f>MAX(Tabella34[[#This Row],[Italy acc. fit]]-CIf,0)</f>
        <v>0</v>
      </c>
      <c r="AG104" s="4">
        <f>Tabella8[[#This Row],[Lombardy]]</f>
        <v>51534</v>
      </c>
      <c r="AH104" s="91">
        <f>(Tabella34[[#This Row],[Lombardy cumul. Data]]-AG103)</f>
        <v>1079</v>
      </c>
      <c r="AI104" s="91">
        <f>Tabella34[[#This Row],[Lombardy data]]-AH103</f>
        <v>-258</v>
      </c>
      <c r="AJ104" s="96">
        <f>Tabella34[[#This Row],[Lombardy data]]*NOT(ISBLANK(Tabella34[[#This Row],[Lombardy data]]))</f>
        <v>1079</v>
      </c>
      <c r="AK104" s="96">
        <f>Tabella8[[#This Row],[Lombardy fit]]</f>
        <v>50383.497090705459</v>
      </c>
      <c r="AL104" s="163" t="e">
        <f>_xlfn.LOGNORM.INV(alpha*Tabella34[[#This Row],[Lombardy cumul. Fit]]/Kr,mu_r,sigma_r)-(Tabella34[[#This Row],[Day]]-pr)</f>
        <v>#NUM!</v>
      </c>
      <c r="AM104" s="96">
        <f>Tabella34[[#This Row],[Lombardy cumul. Fit]]/Kl</f>
        <v>0.5791206562150053</v>
      </c>
      <c r="AN104" s="96">
        <f>IFERROR(Kr*_xlfn.LOGNORM.DIST((Tabella34[[#This Row],[Day]]-pr),mu_r,sigma_r,FALSE),0)</f>
        <v>1519.3949138216258</v>
      </c>
      <c r="AO104" s="209">
        <f>Tabella34[[#This Row],[Lombardy velocity]]/Tabella34[[#This Row],[Lombardy cumul. Fit]]</f>
        <v>3.0156598917424442E-2</v>
      </c>
      <c r="AP104" s="266">
        <f>(LN(Tabella34[[#This Row],[Day]]-pr)-mu_r)/sigma_r</f>
        <v>0.19964441662067278</v>
      </c>
      <c r="AQ104" s="269">
        <f>EXP(mu_r+sigma_r*Tabella34[[#This Row],[x_r_alpha©+plus]])-(Tabella34[[#This Row],[Day]]-pr)</f>
        <v>19.286289731619561</v>
      </c>
      <c r="AR104" s="269">
        <f>EXP(mu_r+sigma_r*Tabella34[[#This Row],[x_r_alpha©-minus]])-(Tabella34[[#This Row],[Day]]-pr)</f>
        <v>-30.563591039066452</v>
      </c>
      <c r="AS104" s="269">
        <f>-sigma_r+SQRT(sigma_r^2-2*Tabella34[[#This Row],[c_r]])</f>
        <v>0.9549382168843461</v>
      </c>
      <c r="AT104" s="269">
        <f>-sigma_r-SQRT(sigma_r^2-2*Tabella34[[#This Row],[c_r]])</f>
        <v>-1.6357928140780753</v>
      </c>
      <c r="AU104" s="269">
        <f>mu_r-LN(alpha*Kr/(Tabella34[[#This Row],[Lombardy velocity]]*sigma_r*SQRTPI(2)))</f>
        <v>-0.78104053653397187</v>
      </c>
      <c r="AV104" s="269">
        <f>Tabella34[[#This Row],[t_alpha_r+plus]]</f>
        <v>19.286289731619561</v>
      </c>
      <c r="AW104" s="91">
        <f>IFERROR(-Kl*_xlfn.LOGNORM.DIST((Tabella34[[#This Row],[Day]]-pl),mu_l,sigma_l,FALSE)*(1+(LN((Tabella34[[#This Row],[Day]]-pl))-mu_l)/sigma_l^2)/(Tabella34[[#This Row],[Day]]-pl),0)</f>
        <v>-36.645316965780012</v>
      </c>
      <c r="AX104" s="96">
        <f>Tabella34[[#This Row],[Lombardy acc. fit]]/y_l_peak</f>
        <v>-2.0845430042227272E-2</v>
      </c>
      <c r="AY104" s="163">
        <f>Tabella34[[#This Row],[Lombardy acc. fit]]*NOT(ISBLANK(Tabella34[[#This Row],[Lombardy data]]))</f>
        <v>-36.645316965780012</v>
      </c>
      <c r="AZ104" s="96">
        <f>Tabella34[[#This Row],[Lombardy acc. fit]]+CIl</f>
        <v>712.31005483784361</v>
      </c>
      <c r="BA104" s="96">
        <f>MAX(Tabella34[[#This Row],[Lombardy acc. fit]]-CIl,0)</f>
        <v>0</v>
      </c>
      <c r="BB104" s="10">
        <f>Tabella8[[#This Row],[rest of Italy ]]</f>
        <v>81013</v>
      </c>
      <c r="BC104" s="10">
        <f>(Tabella34[[#This Row],[rest of Italy cum. Data]]-BB103)</f>
        <v>2520</v>
      </c>
      <c r="BD104" s="10">
        <f>Tabella34[[#This Row],[rest of Italy data]]-BC103</f>
        <v>-459</v>
      </c>
      <c r="BE104" s="96">
        <f>Tabella34[[#This Row],[rest of Italy data]]*NOT(ISBLANK(Tabella34[[#This Row],[rest of Italy data]]))</f>
        <v>2520</v>
      </c>
      <c r="BF104" s="96">
        <f>Tabella8[[#This Row],[rest of Italy fit]]</f>
        <v>80449.821956939806</v>
      </c>
      <c r="BG104" s="163" t="e">
        <f>_xlfn.LOGNORM.INV(alpha*Tabella34[[#This Row],[rest of Italy cumul. Fit]]/Ko,mu_o,sigma_o)-(Tabella34[[#This Row],[Day]]-po)</f>
        <v>#NUM!</v>
      </c>
      <c r="BH104" s="96">
        <f>Tabella34[[#This Row],[rest of Italy cumul. Fit]]/Ka</f>
        <v>0.54357994136639032</v>
      </c>
      <c r="BI104" s="163">
        <f>IFERROR(Ko*_xlfn.LOGNORM.DIST((Tabella34[[#This Row],[Day]]-po),mu_o,sigma_o,FALSE),0)</f>
        <v>3079.5019583444746</v>
      </c>
      <c r="BJ104" s="206">
        <f>Tabella34[[#This Row],[rest of Italy velocity]]/Tabella34[[#This Row],[rest of Italy cumul. Fit]]</f>
        <v>3.8278542866045817E-2</v>
      </c>
      <c r="BK104" s="261">
        <f>(LN(Tabella34[[#This Row],[Day]]-po)-mu_o)/sigma_o</f>
        <v>0.10945688469245264</v>
      </c>
      <c r="BL104" s="269">
        <f>EXP(mu_o+sigma_o*Tabella34[[#This Row],[x_o_alpha©+plus]])-(Tabella34[[#This Row],[Day]]-po)</f>
        <v>17.952340750478854</v>
      </c>
      <c r="BM104" s="269">
        <f>EXP(mu_o+sigma_o*Tabella34[[#This Row],[x_o_alpha©-minus]])-(Tabella34[[#This Row],[Day]]-po)</f>
        <v>-24.791713154592813</v>
      </c>
      <c r="BN104" s="269">
        <f>-sigma_o+SQRT(sigma_o^2-2*Tabella34[[#This Row],[c_o]])</f>
        <v>0.93231043139693248</v>
      </c>
      <c r="BO104" s="269">
        <f>-sigma_o-SQRT(sigma_o^2-2*Tabella34[[#This Row],[c_o]])</f>
        <v>-1.5752832086959585</v>
      </c>
      <c r="BP104" s="269">
        <f>mu_o-LN(alpha*Ko/(Tabella34[[#This Row],[rest of Italy velocity]]*sigma_o*SQRTPI(2)))</f>
        <v>-0.73432648393583655</v>
      </c>
      <c r="BQ104" s="269">
        <f>Tabella34[[#This Row],[t_alpha_o+plus]]</f>
        <v>17.952340750478854</v>
      </c>
      <c r="BR104" s="91">
        <f>IFERROR(-Ka*_xlfn.LOGNORM.DIST((Tabella34[[#This Row],[Day]]-pa),mu_a,sigma_a,FALSE)*(1+(LN((Tabella34[[#This Row],[Day]]-pa))-mu_a)/sigma_a^2)/(Tabella34[[#This Row],[Day]]-pa),0)</f>
        <v>-69.632332707767702</v>
      </c>
      <c r="BS104" s="96">
        <f>Tabella34[[#This Row],[rest of Italy acc. fit]]/y_a_peak</f>
        <v>-2.0606469406994583E-2</v>
      </c>
      <c r="BT104" s="96">
        <f>Tabella34[[#This Row],[rest of Italy acc. fit]]*NOT(ISBLANK(Tabella34[[#This Row],[rest of Italy data]]))</f>
        <v>-69.632332707767702</v>
      </c>
      <c r="BU104" s="96">
        <f>Tabella34[[#This Row],[rest of Italy acc. fit]]+CIa</f>
        <v>625.01970315582969</v>
      </c>
      <c r="BV104" s="96">
        <f>MAX(Tabella34[[#This Row],[rest of Italy acc. fit]]-CIa,0)</f>
        <v>0</v>
      </c>
    </row>
    <row r="105" spans="2:74" x14ac:dyDescent="0.3">
      <c r="B105" s="288">
        <v>43928</v>
      </c>
      <c r="C105" s="4">
        <v>98</v>
      </c>
      <c r="D105" s="10">
        <f>Tabella8[[#This Row],[Italy cumulative]]</f>
        <v>135586</v>
      </c>
      <c r="E105" s="91">
        <f>(Tabella34[[#This Row],[Italy cumul. Data]]-D104)</f>
        <v>3039</v>
      </c>
      <c r="F105" s="91">
        <f>Tabella34[[#This Row],[Italy data]]-E104</f>
        <v>-560</v>
      </c>
      <c r="G105" s="96">
        <f>Tabella34[[#This Row],[Italy data]]*NOT(ISBLANK(Tabella34[[#This Row],[Italy data]]))</f>
        <v>3039</v>
      </c>
      <c r="H105" s="163">
        <f>Tabella8[[#This Row],[Italy fit]]</f>
        <v>134949.53866653281</v>
      </c>
      <c r="I105" s="163" t="e">
        <f>_xlfn.LOGNORM.INV(alpha*Tabella34[[#This Row],[Italy cumul. Fit]]/Kt,mu_t,sigma_t)-(Tabella34[[#This Row],[Day]]-pt)</f>
        <v>#NUM!</v>
      </c>
      <c r="J105" s="163" t="e">
        <f>Tabella34[[#This Row],[Italy d.t.]]/Italy_dt_at_lockdown</f>
        <v>#NUM!</v>
      </c>
      <c r="K105" s="96">
        <f>Tabella34[[#This Row],[Italy cumul. Fit]]/Kf</f>
        <v>0.57425351271517755</v>
      </c>
      <c r="L105" s="166">
        <f>Tabella34[[#This Row],[Lombardy acc. fit]]+Tabella34[[#This Row],[rest of Italy acc. fit]]</f>
        <v>-113.03956109146085</v>
      </c>
      <c r="M105" s="96">
        <f>Tabella34[[#This Row],[Italy (fitted Lombardy + fitted sum of the other regions)]]/(y_l_peak+y_a_peak)</f>
        <v>-2.2004532191561198E-2</v>
      </c>
      <c r="N105" s="163">
        <f>IFERROR(Kt*_xlfn.LOGNORM.DIST((Tabella34[[#This Row],[Day]]-pt),mu_t,sigma_t,FALSE),0)</f>
        <v>4473.9142707463106</v>
      </c>
      <c r="O105" s="163">
        <f>Kt*EXP(-0.5*Tabella34[[#This Row],[x_t]]^2)/(sigma_t*SQRTPI(2)*(Tabella34[[#This Row],[Day]]-D_bk))</f>
        <v>4473.9142707463106</v>
      </c>
      <c r="P105" s="206">
        <f>Tabella34[[#This Row],[Italy velocity]]/Tabella34[[#This Row],[Italy cumul. Fit]]</f>
        <v>3.3152497703616321E-2</v>
      </c>
      <c r="Q105" s="269">
        <f>(LN(Tabella34[[#This Row],[Day]]-D_bk)-mu_t)/sigma_t</f>
        <v>0.18721383919018919</v>
      </c>
      <c r="R105" s="269">
        <f>EXP(mu_t+sigma_t*Tabella34[[#This Row],[x_t_alpha©+plus]])-(Tabella34[[#This Row],[Day]]-D_bk)</f>
        <v>18.195571099116705</v>
      </c>
      <c r="S105" s="269">
        <f>EXP(mu_t+sigma_t*Tabella34[[#This Row],[x_t_alpha©-minus]])-(Tabella34[[#This Row],[Day]]-D_bk)</f>
        <v>-28.115762296254488</v>
      </c>
      <c r="T105" s="269">
        <f>-sigma_t+SQRT(sigma_t^2-2*Tabella34[[#This Row],[c_t]])</f>
        <v>0.96832391180641908</v>
      </c>
      <c r="U105" s="269">
        <f>-sigma_t-SQRT(sigma_t^2-2*Tabella34[[#This Row],[c_t]])</f>
        <v>-1.5875608176986562</v>
      </c>
      <c r="V105" s="269">
        <f>mu_t-LN(alpha*Kt/(Tabella34[[#This Row],[Italy velocity]]*sigma_t*SQRTPI(2)))</f>
        <v>-0.76863655061228009</v>
      </c>
      <c r="W105" s="269">
        <f>Tabella34[[#This Row],[Italy g.r.]]/Italy_gr_at_lockdown</f>
        <v>0.20962108787279354</v>
      </c>
      <c r="X105" s="269">
        <f>Tabella34[[#This Row],[t_alpha_t+plus]]</f>
        <v>18.195571099116705</v>
      </c>
      <c r="Y105" s="269">
        <f>Tabella34[[#This Row],[Italy h.t.]]/Italy_ht_at_lockdown</f>
        <v>0.32405179027965081</v>
      </c>
      <c r="Z105" s="91">
        <f>IFERROR(-Kf*_xlfn.LOGNORM.DIST((Tabella34[[#This Row],[Day]]-D_bk),mu_f,sigma_f,FALSE)*(1+(LN((Tabella34[[#This Row],[Day]]-D_bk))-mu_f)/sigma_f^2)/(Tabella34[[#This Row],[Day]]-D_bk),0)</f>
        <v>-107.94887484103965</v>
      </c>
      <c r="AA105" s="91">
        <f>Tabella34[[#This Row],[Italy acc. fit]]/Itali_acc_at_lockdown</f>
        <v>-0.44429456552852709</v>
      </c>
      <c r="AB105" s="96">
        <f>Tabella34[[#This Row],[Italy acc. fit]]/y_f_peak</f>
        <v>-2.1326978541744684E-2</v>
      </c>
      <c r="AC105" s="163">
        <f>Tabella34[[#This Row],[Italy (fitted Lombardy + fitted sum of the other regions)]]*NOT(ISBLANK(Tabella34[[#This Row],[Italy data]]))</f>
        <v>-113.03956109146085</v>
      </c>
      <c r="AD105" s="163">
        <f>Tabella34[[#This Row],[Italy acc. fit]]*NOT(ISBLANK(Tabella34[[#This Row],[Italy data]]))</f>
        <v>-107.94887484103965</v>
      </c>
      <c r="AE105" s="96">
        <f>Tabella34[[#This Row],[Italy acc. fit]]+CIf</f>
        <v>905.81412717927799</v>
      </c>
      <c r="AF105" s="96">
        <f>MAX(Tabella34[[#This Row],[Italy acc. fit]]-CIf,0)</f>
        <v>0</v>
      </c>
      <c r="AG105" s="4">
        <f>Tabella8[[#This Row],[Lombardy]]</f>
        <v>52325</v>
      </c>
      <c r="AH105" s="91">
        <f>(Tabella34[[#This Row],[Lombardy cumul. Data]]-AG104)</f>
        <v>791</v>
      </c>
      <c r="AI105" s="91">
        <f>Tabella34[[#This Row],[Lombardy data]]-AH104</f>
        <v>-288</v>
      </c>
      <c r="AJ105" s="96">
        <f>Tabella34[[#This Row],[Lombardy data]]*NOT(ISBLANK(Tabella34[[#This Row],[Lombardy data]]))</f>
        <v>791</v>
      </c>
      <c r="AK105" s="96">
        <f>Tabella8[[#This Row],[Lombardy fit]]</f>
        <v>51884.31597367175</v>
      </c>
      <c r="AL105" s="163" t="e">
        <f>_xlfn.LOGNORM.INV(alpha*Tabella34[[#This Row],[Lombardy cumul. Fit]]/Kr,mu_r,sigma_r)-(Tabella34[[#This Row],[Day]]-pr)</f>
        <v>#NUM!</v>
      </c>
      <c r="AM105" s="96">
        <f>Tabella34[[#This Row],[Lombardy cumul. Fit]]/Kl</f>
        <v>0.59637144797323849</v>
      </c>
      <c r="AN105" s="96">
        <f>IFERROR(Kr*_xlfn.LOGNORM.DIST((Tabella34[[#This Row],[Day]]-pr),mu_r,sigma_r,FALSE),0)</f>
        <v>1482.0008510551986</v>
      </c>
      <c r="AO105" s="209">
        <f>Tabella34[[#This Row],[Lombardy velocity]]/Tabella34[[#This Row],[Lombardy cumul. Fit]]</f>
        <v>2.8563561516494255E-2</v>
      </c>
      <c r="AP105" s="266">
        <f>(LN(Tabella34[[#This Row],[Day]]-pr)-mu_r)/sigma_r</f>
        <v>0.24396606249483757</v>
      </c>
      <c r="AQ105" s="269">
        <f>EXP(mu_r+sigma_r*Tabella34[[#This Row],[x_r_alpha©+plus]])-(Tabella34[[#This Row],[Day]]-pr)</f>
        <v>18.84108538212368</v>
      </c>
      <c r="AR105" s="269">
        <f>EXP(mu_r+sigma_r*Tabella34[[#This Row],[x_r_alpha©-minus]])-(Tabella34[[#This Row],[Day]]-pr)</f>
        <v>-31.791772996131385</v>
      </c>
      <c r="AS105" s="269">
        <f>-sigma_r+SQRT(sigma_r^2-2*Tabella34[[#This Row],[c_r]])</f>
        <v>0.97403455387659021</v>
      </c>
      <c r="AT105" s="269">
        <f>-sigma_r-SQRT(sigma_r^2-2*Tabella34[[#This Row],[c_r]])</f>
        <v>-1.6548891510703194</v>
      </c>
      <c r="AU105" s="269">
        <f>mu_r-LN(alpha*Kr/(Tabella34[[#This Row],[Lombardy velocity]]*sigma_r*SQRTPI(2)))</f>
        <v>-0.80595960798899391</v>
      </c>
      <c r="AV105" s="269">
        <f>Tabella34[[#This Row],[t_alpha_r+plus]]</f>
        <v>18.84108538212368</v>
      </c>
      <c r="AW105" s="91">
        <f>IFERROR(-Kl*_xlfn.LOGNORM.DIST((Tabella34[[#This Row],[Day]]-pl),mu_l,sigma_l,FALSE)*(1+(LN((Tabella34[[#This Row],[Day]]-pl))-mu_l)/sigma_l^2)/(Tabella34[[#This Row],[Day]]-pl),0)</f>
        <v>-38.097575930760819</v>
      </c>
      <c r="AX105" s="96">
        <f>Tabella34[[#This Row],[Lombardy acc. fit]]/y_l_peak</f>
        <v>-2.1671537309520775E-2</v>
      </c>
      <c r="AY105" s="163">
        <f>Tabella34[[#This Row],[Lombardy acc. fit]]*NOT(ISBLANK(Tabella34[[#This Row],[Lombardy data]]))</f>
        <v>-38.097575930760819</v>
      </c>
      <c r="AZ105" s="96">
        <f>Tabella34[[#This Row],[Lombardy acc. fit]]+CIl</f>
        <v>710.85779587286277</v>
      </c>
      <c r="BA105" s="96">
        <f>MAX(Tabella34[[#This Row],[Lombardy acc. fit]]-CIl,0)</f>
        <v>0</v>
      </c>
      <c r="BB105" s="10">
        <f>Tabella8[[#This Row],[rest of Italy ]]</f>
        <v>83261</v>
      </c>
      <c r="BC105" s="10">
        <f>(Tabella34[[#This Row],[rest of Italy cum. Data]]-BB104)</f>
        <v>2248</v>
      </c>
      <c r="BD105" s="10">
        <f>Tabella34[[#This Row],[rest of Italy data]]-BC104</f>
        <v>-272</v>
      </c>
      <c r="BE105" s="96">
        <f>Tabella34[[#This Row],[rest of Italy data]]*NOT(ISBLANK(Tabella34[[#This Row],[rest of Italy data]]))</f>
        <v>2248</v>
      </c>
      <c r="BF105" s="96">
        <f>Tabella8[[#This Row],[rest of Italy fit]]</f>
        <v>83493.588033471126</v>
      </c>
      <c r="BG105" s="163" t="e">
        <f>_xlfn.LOGNORM.INV(alpha*Tabella34[[#This Row],[rest of Italy cumul. Fit]]/Ko,mu_o,sigma_o)-(Tabella34[[#This Row],[Day]]-po)</f>
        <v>#NUM!</v>
      </c>
      <c r="BH105" s="96">
        <f>Tabella34[[#This Row],[rest of Italy cumul. Fit]]/Ka</f>
        <v>0.56414593076409814</v>
      </c>
      <c r="BI105" s="163">
        <f>IFERROR(Ko*_xlfn.LOGNORM.DIST((Tabella34[[#This Row],[Day]]-po),mu_o,sigma_o,FALSE),0)</f>
        <v>3007.145344209152</v>
      </c>
      <c r="BJ105" s="206">
        <f>Tabella34[[#This Row],[rest of Italy velocity]]/Tabella34[[#This Row],[rest of Italy cumul. Fit]]</f>
        <v>3.601648240345881E-2</v>
      </c>
      <c r="BK105" s="261">
        <f>(LN(Tabella34[[#This Row],[Day]]-po)-mu_o)/sigma_o</f>
        <v>0.16148917257031861</v>
      </c>
      <c r="BL105" s="269">
        <f>EXP(mu_o+sigma_o*Tabella34[[#This Row],[x_o_alpha©+plus]])-(Tabella34[[#This Row],[Day]]-po)</f>
        <v>17.421118072746367</v>
      </c>
      <c r="BM105" s="269">
        <f>EXP(mu_o+sigma_o*Tabella34[[#This Row],[x_o_alpha©-minus]])-(Tabella34[[#This Row],[Day]]-po)</f>
        <v>-25.999792501965125</v>
      </c>
      <c r="BN105" s="269">
        <f>-sigma_o+SQRT(sigma_o^2-2*Tabella34[[#This Row],[c_o]])</f>
        <v>0.95113286071594561</v>
      </c>
      <c r="BO105" s="269">
        <f>-sigma_o-SQRT(sigma_o^2-2*Tabella34[[#This Row],[c_o]])</f>
        <v>-1.5941056380149718</v>
      </c>
      <c r="BP105" s="269">
        <f>mu_o-LN(alpha*Ko/(Tabella34[[#This Row],[rest of Italy velocity]]*sigma_o*SQRTPI(2)))</f>
        <v>-0.7581031278842989</v>
      </c>
      <c r="BQ105" s="269">
        <f>Tabella34[[#This Row],[t_alpha_o+plus]]</f>
        <v>17.421118072746367</v>
      </c>
      <c r="BR105" s="91">
        <f>IFERROR(-Ka*_xlfn.LOGNORM.DIST((Tabella34[[#This Row],[Day]]-pa),mu_a,sigma_a,FALSE)*(1+(LN((Tabella34[[#This Row],[Day]]-pa))-mu_a)/sigma_a^2)/(Tabella34[[#This Row],[Day]]-pa),0)</f>
        <v>-74.941985160700028</v>
      </c>
      <c r="BS105" s="96">
        <f>Tabella34[[#This Row],[rest of Italy acc. fit]]/y_a_peak</f>
        <v>-2.2177768063501007E-2</v>
      </c>
      <c r="BT105" s="96">
        <f>Tabella34[[#This Row],[rest of Italy acc. fit]]*NOT(ISBLANK(Tabella34[[#This Row],[rest of Italy data]]))</f>
        <v>-74.941985160700028</v>
      </c>
      <c r="BU105" s="96">
        <f>Tabella34[[#This Row],[rest of Italy acc. fit]]+CIa</f>
        <v>619.71005070289732</v>
      </c>
      <c r="BV105" s="96">
        <f>MAX(Tabella34[[#This Row],[rest of Italy acc. fit]]-CIa,0)</f>
        <v>0</v>
      </c>
    </row>
    <row r="106" spans="2:74" x14ac:dyDescent="0.3">
      <c r="B106" s="288">
        <v>43929</v>
      </c>
      <c r="C106" s="4">
        <v>99</v>
      </c>
      <c r="D106" s="10">
        <f>Tabella8[[#This Row],[Italy cumulative]]</f>
        <v>139422</v>
      </c>
      <c r="E106" s="91">
        <f>(Tabella34[[#This Row],[Italy cumul. Data]]-D105)</f>
        <v>3836</v>
      </c>
      <c r="F106" s="91">
        <f>Tabella34[[#This Row],[Italy data]]-E105</f>
        <v>797</v>
      </c>
      <c r="G106" s="96">
        <f>Tabella34[[#This Row],[Italy data]]*NOT(ISBLANK(Tabella34[[#This Row],[Italy data]]))</f>
        <v>3836</v>
      </c>
      <c r="H106" s="163">
        <f>Tabella8[[#This Row],[Italy fit]]</f>
        <v>139368.46624883637</v>
      </c>
      <c r="I106" s="163" t="e">
        <f>_xlfn.LOGNORM.INV(alpha*Tabella34[[#This Row],[Italy cumul. Fit]]/Kt,mu_t,sigma_t)-(Tabella34[[#This Row],[Day]]-pt)</f>
        <v>#NUM!</v>
      </c>
      <c r="J106" s="163" t="e">
        <f>Tabella34[[#This Row],[Italy d.t.]]/Italy_dt_at_lockdown</f>
        <v>#NUM!</v>
      </c>
      <c r="K106" s="96">
        <f>Tabella34[[#This Row],[Italy cumul. Fit]]/Kf</f>
        <v>0.59305746500464995</v>
      </c>
      <c r="L106" s="166">
        <f>Tabella34[[#This Row],[Lombardy acc. fit]]+Tabella34[[#This Row],[rest of Italy acc. fit]]</f>
        <v>-118.72198901616484</v>
      </c>
      <c r="M106" s="96">
        <f>Tabella34[[#This Row],[Italy (fitted Lombardy + fitted sum of the other regions)]]/(y_l_peak+y_a_peak)</f>
        <v>-2.3110686240533532E-2</v>
      </c>
      <c r="N106" s="163">
        <f>IFERROR(Kt*_xlfn.LOGNORM.DIST((Tabella34[[#This Row],[Day]]-pt),mu_t,sigma_t,FALSE),0)</f>
        <v>4362.9700345643041</v>
      </c>
      <c r="O106" s="163">
        <f>Kt*EXP(-0.5*Tabella34[[#This Row],[x_t]]^2)/(sigma_t*SQRTPI(2)*(Tabella34[[#This Row],[Day]]-D_bk))</f>
        <v>4362.9700345643059</v>
      </c>
      <c r="P106" s="206">
        <f>Tabella34[[#This Row],[Italy velocity]]/Tabella34[[#This Row],[Italy cumul. Fit]]</f>
        <v>3.1305288434289071E-2</v>
      </c>
      <c r="Q106" s="269">
        <f>(LN(Tabella34[[#This Row],[Day]]-D_bk)-mu_t)/sigma_t</f>
        <v>0.2354170292836536</v>
      </c>
      <c r="R106" s="269">
        <f>EXP(mu_t+sigma_t*Tabella34[[#This Row],[x_t_alpha©+plus]])-(Tabella34[[#This Row],[Day]]-D_bk)</f>
        <v>17.708514790645793</v>
      </c>
      <c r="S106" s="269">
        <f>EXP(mu_t+sigma_t*Tabella34[[#This Row],[x_t_alpha©-minus]])-(Tabella34[[#This Row],[Day]]-D_bk)</f>
        <v>-29.346845833788592</v>
      </c>
      <c r="T106" s="269">
        <f>-sigma_t+SQRT(sigma_t^2-2*Tabella34[[#This Row],[c_t]])</f>
        <v>0.98782443134949949</v>
      </c>
      <c r="U106" s="269">
        <f>-sigma_t-SQRT(sigma_t^2-2*Tabella34[[#This Row],[c_t]])</f>
        <v>-1.6070613372417366</v>
      </c>
      <c r="V106" s="269">
        <f>mu_t-LN(alpha*Kt/(Tabella34[[#This Row],[Italy velocity]]*sigma_t*SQRTPI(2)))</f>
        <v>-0.79374722580229218</v>
      </c>
      <c r="W106" s="269">
        <f>Tabella34[[#This Row],[Italy g.r.]]/Italy_gr_at_lockdown</f>
        <v>0.19794130374229502</v>
      </c>
      <c r="X106" s="269">
        <f>Tabella34[[#This Row],[t_alpha_t+plus]]</f>
        <v>17.708514790645793</v>
      </c>
      <c r="Y106" s="269">
        <f>Tabella34[[#This Row],[Italy h.t.]]/Italy_ht_at_lockdown</f>
        <v>0.31537762073216907</v>
      </c>
      <c r="Z106" s="91">
        <f>IFERROR(-Kf*_xlfn.LOGNORM.DIST((Tabella34[[#This Row],[Day]]-D_bk),mu_f,sigma_f,FALSE)*(1+(LN((Tabella34[[#This Row],[Day]]-D_bk))-mu_f)/sigma_f^2)/(Tabella34[[#This Row],[Day]]-D_bk),0)</f>
        <v>-113.77477432495735</v>
      </c>
      <c r="AA106" s="91">
        <f>Tabella34[[#This Row],[Italy acc. fit]]/Itali_acc_at_lockdown</f>
        <v>-0.4682727263368881</v>
      </c>
      <c r="AB106" s="96">
        <f>Tabella34[[#This Row],[Italy acc. fit]]/y_f_peak</f>
        <v>-2.2477975561980765E-2</v>
      </c>
      <c r="AC106" s="163">
        <f>Tabella34[[#This Row],[Italy (fitted Lombardy + fitted sum of the other regions)]]*NOT(ISBLANK(Tabella34[[#This Row],[Italy data]]))</f>
        <v>-118.72198901616484</v>
      </c>
      <c r="AD106" s="163">
        <f>Tabella34[[#This Row],[Italy acc. fit]]*NOT(ISBLANK(Tabella34[[#This Row],[Italy data]]))</f>
        <v>-113.77477432495735</v>
      </c>
      <c r="AE106" s="96">
        <f>Tabella34[[#This Row],[Italy acc. fit]]+CIf</f>
        <v>899.98822769536037</v>
      </c>
      <c r="AF106" s="96">
        <f>MAX(Tabella34[[#This Row],[Italy acc. fit]]-CIf,0)</f>
        <v>0</v>
      </c>
      <c r="AG106" s="4">
        <f>Tabella8[[#This Row],[Lombardy]]</f>
        <v>53414</v>
      </c>
      <c r="AH106" s="91">
        <f>(Tabella34[[#This Row],[Lombardy cumul. Data]]-AG105)</f>
        <v>1089</v>
      </c>
      <c r="AI106" s="91">
        <f>Tabella34[[#This Row],[Lombardy data]]-AH105</f>
        <v>298</v>
      </c>
      <c r="AJ106" s="96">
        <f>Tabella34[[#This Row],[Lombardy data]]*NOT(ISBLANK(Tabella34[[#This Row],[Lombardy data]]))</f>
        <v>1089</v>
      </c>
      <c r="AK106" s="96">
        <f>Tabella8[[#This Row],[Lombardy fit]]</f>
        <v>53347.059256157372</v>
      </c>
      <c r="AL106" s="163" t="e">
        <f>_xlfn.LOGNORM.INV(alpha*Tabella34[[#This Row],[Lombardy cumul. Fit]]/Kr,mu_r,sigma_r)-(Tabella34[[#This Row],[Day]]-pr)</f>
        <v>#NUM!</v>
      </c>
      <c r="AM106" s="96">
        <f>Tabella34[[#This Row],[Lombardy cumul. Fit]]/Kl</f>
        <v>0.61318458915123419</v>
      </c>
      <c r="AN106" s="96">
        <f>IFERROR(Kr*_xlfn.LOGNORM.DIST((Tabella34[[#This Row],[Day]]-pr),mu_r,sigma_r,FALSE),0)</f>
        <v>1443.2876596031119</v>
      </c>
      <c r="AO106" s="209">
        <f>Tabella34[[#This Row],[Lombardy velocity]]/Tabella34[[#This Row],[Lombardy cumul. Fit]]</f>
        <v>2.7054680796421336E-2</v>
      </c>
      <c r="AP106" s="266">
        <f>(LN(Tabella34[[#This Row],[Day]]-pr)-mu_r)/sigma_r</f>
        <v>0.28762889817253307</v>
      </c>
      <c r="AQ106" s="269">
        <f>EXP(mu_r+sigma_r*Tabella34[[#This Row],[x_r_alpha©+plus]])-(Tabella34[[#This Row],[Day]]-pr)</f>
        <v>18.425580196201395</v>
      </c>
      <c r="AR106" s="269">
        <f>EXP(mu_r+sigma_r*Tabella34[[#This Row],[x_r_alpha©-minus]])-(Tabella34[[#This Row],[Day]]-pr)</f>
        <v>-33.028992764521398</v>
      </c>
      <c r="AS106" s="269">
        <f>-sigma_r+SQRT(sigma_r^2-2*Tabella34[[#This Row],[c_r]])</f>
        <v>0.99401975820993593</v>
      </c>
      <c r="AT106" s="269">
        <f>-sigma_r-SQRT(sigma_r^2-2*Tabella34[[#This Row],[c_r]])</f>
        <v>-1.6748743554036651</v>
      </c>
      <c r="AU106" s="269">
        <f>mu_r-LN(alpha*Kr/(Tabella34[[#This Row],[Lombardy velocity]]*sigma_r*SQRTPI(2)))</f>
        <v>-0.83242910089518674</v>
      </c>
      <c r="AV106" s="269">
        <f>Tabella34[[#This Row],[t_alpha_r+plus]]</f>
        <v>18.425580196201395</v>
      </c>
      <c r="AW106" s="91">
        <f>IFERROR(-Kl*_xlfn.LOGNORM.DIST((Tabella34[[#This Row],[Day]]-pl),mu_l,sigma_l,FALSE)*(1+(LN((Tabella34[[#This Row],[Day]]-pl))-mu_l)/sigma_l^2)/(Tabella34[[#This Row],[Day]]-pl),0)</f>
        <v>-39.286166926325279</v>
      </c>
      <c r="AX106" s="96">
        <f>Tabella34[[#This Row],[Lombardy acc. fit]]/y_l_peak</f>
        <v>-2.2347658912452936E-2</v>
      </c>
      <c r="AY106" s="163">
        <f>Tabella34[[#This Row],[Lombardy acc. fit]]*NOT(ISBLANK(Tabella34[[#This Row],[Lombardy data]]))</f>
        <v>-39.286166926325279</v>
      </c>
      <c r="AZ106" s="96">
        <f>Tabella34[[#This Row],[Lombardy acc. fit]]+CIl</f>
        <v>709.6692048772984</v>
      </c>
      <c r="BA106" s="96">
        <f>MAX(Tabella34[[#This Row],[Lombardy acc. fit]]-CIl,0)</f>
        <v>0</v>
      </c>
      <c r="BB106" s="10">
        <f>Tabella8[[#This Row],[rest of Italy ]]</f>
        <v>86008</v>
      </c>
      <c r="BC106" s="10">
        <f>(Tabella34[[#This Row],[rest of Italy cum. Data]]-BB105)</f>
        <v>2747</v>
      </c>
      <c r="BD106" s="10">
        <f>Tabella34[[#This Row],[rest of Italy data]]-BC105</f>
        <v>499</v>
      </c>
      <c r="BE106" s="96">
        <f>Tabella34[[#This Row],[rest of Italy data]]*NOT(ISBLANK(Tabella34[[#This Row],[rest of Italy data]]))</f>
        <v>2747</v>
      </c>
      <c r="BF106" s="96">
        <f>Tabella8[[#This Row],[rest of Italy fit]]</f>
        <v>86462.480134613143</v>
      </c>
      <c r="BG106" s="163" t="e">
        <f>_xlfn.LOGNORM.INV(alpha*Tabella34[[#This Row],[rest of Italy cumul. Fit]]/Ko,mu_o,sigma_o)-(Tabella34[[#This Row],[Day]]-po)</f>
        <v>#NUM!</v>
      </c>
      <c r="BH106" s="96">
        <f>Tabella34[[#This Row],[rest of Italy cumul. Fit]]/Ka</f>
        <v>0.58420601486379575</v>
      </c>
      <c r="BI106" s="163">
        <f>IFERROR(Ko*_xlfn.LOGNORM.DIST((Tabella34[[#This Row],[Day]]-po),mu_o,sigma_o,FALSE),0)</f>
        <v>2929.8899935897552</v>
      </c>
      <c r="BJ106" s="206">
        <f>Tabella34[[#This Row],[rest of Italy velocity]]/Tabella34[[#This Row],[rest of Italy cumul. Fit]]</f>
        <v>3.3886258976474182E-2</v>
      </c>
      <c r="BK106" s="261">
        <f>(LN(Tabella34[[#This Row],[Day]]-po)-mu_o)/sigma_o</f>
        <v>0.21266538195361459</v>
      </c>
      <c r="BL106" s="269">
        <f>EXP(mu_o+sigma_o*Tabella34[[#This Row],[x_o_alpha©+plus]])-(Tabella34[[#This Row],[Day]]-po)</f>
        <v>16.929614759526316</v>
      </c>
      <c r="BM106" s="269">
        <f>EXP(mu_o+sigma_o*Tabella34[[#This Row],[x_o_alpha©-minus]])-(Tabella34[[#This Row],[Day]]-po)</f>
        <v>-27.222682069957159</v>
      </c>
      <c r="BN106" s="269">
        <f>-sigma_o+SQRT(sigma_o^2-2*Tabella34[[#This Row],[c_o]])</f>
        <v>0.97142214452611275</v>
      </c>
      <c r="BO106" s="269">
        <f>-sigma_o-SQRT(sigma_o^2-2*Tabella34[[#This Row],[c_o]])</f>
        <v>-1.6143949218251388</v>
      </c>
      <c r="BP106" s="269">
        <f>mu_o-LN(alpha*Ko/(Tabella34[[#This Row],[rest of Italy velocity]]*sigma_o*SQRTPI(2)))</f>
        <v>-0.78412948853572129</v>
      </c>
      <c r="BQ106" s="269">
        <f>Tabella34[[#This Row],[t_alpha_o+plus]]</f>
        <v>16.929614759526316</v>
      </c>
      <c r="BR106" s="91">
        <f>IFERROR(-Ka*_xlfn.LOGNORM.DIST((Tabella34[[#This Row],[Day]]-pa),mu_a,sigma_a,FALSE)*(1+(LN((Tabella34[[#This Row],[Day]]-pa))-mu_a)/sigma_a^2)/(Tabella34[[#This Row],[Day]]-pa),0)</f>
        <v>-79.435822089839561</v>
      </c>
      <c r="BS106" s="96">
        <f>Tabella34[[#This Row],[rest of Italy acc. fit]]/y_a_peak</f>
        <v>-2.3507640402963884E-2</v>
      </c>
      <c r="BT106" s="96">
        <f>Tabella34[[#This Row],[rest of Italy acc. fit]]*NOT(ISBLANK(Tabella34[[#This Row],[rest of Italy data]]))</f>
        <v>-79.435822089839561</v>
      </c>
      <c r="BU106" s="96">
        <f>Tabella34[[#This Row],[rest of Italy acc. fit]]+CIa</f>
        <v>615.21621377375777</v>
      </c>
      <c r="BV106" s="96">
        <f>MAX(Tabella34[[#This Row],[rest of Italy acc. fit]]-CIa,0)</f>
        <v>0</v>
      </c>
    </row>
    <row r="107" spans="2:74" x14ac:dyDescent="0.3">
      <c r="B107" s="288">
        <v>43930</v>
      </c>
      <c r="C107" s="4">
        <v>100</v>
      </c>
      <c r="D107" s="10">
        <f>Tabella8[[#This Row],[Italy cumulative]]</f>
        <v>143626</v>
      </c>
      <c r="E107" s="91">
        <f>(Tabella34[[#This Row],[Italy cumul. Data]]-D106)</f>
        <v>4204</v>
      </c>
      <c r="F107" s="91">
        <f>Tabella34[[#This Row],[Italy data]]-E106</f>
        <v>368</v>
      </c>
      <c r="G107" s="96">
        <f>Tabella34[[#This Row],[Italy data]]*NOT(ISBLANK(Tabella34[[#This Row],[Italy data]]))</f>
        <v>4204</v>
      </c>
      <c r="H107" s="163">
        <f>Tabella8[[#This Row],[Italy fit]]</f>
        <v>143673.69954644406</v>
      </c>
      <c r="I107" s="163" t="e">
        <f>_xlfn.LOGNORM.INV(alpha*Tabella34[[#This Row],[Italy cumul. Fit]]/Kt,mu_t,sigma_t)-(Tabella34[[#This Row],[Day]]-pt)</f>
        <v>#NUM!</v>
      </c>
      <c r="J107" s="163" t="e">
        <f>Tabella34[[#This Row],[Italy d.t.]]/Italy_dt_at_lockdown</f>
        <v>#NUM!</v>
      </c>
      <c r="K107" s="96">
        <f>Tabella34[[#This Row],[Italy cumul. Fit]]/Kf</f>
        <v>0.61137761169532323</v>
      </c>
      <c r="L107" s="166">
        <f>Tabella34[[#This Row],[Lombardy acc. fit]]+Tabella34[[#This Row],[rest of Italy acc. fit]]</f>
        <v>-123.37965576596542</v>
      </c>
      <c r="M107" s="96">
        <f>Tabella34[[#This Row],[Italy (fitted Lombardy + fitted sum of the other regions)]]/(y_l_peak+y_a_peak)</f>
        <v>-2.4017358001675867E-2</v>
      </c>
      <c r="N107" s="163">
        <f>IFERROR(Kt*_xlfn.LOGNORM.DIST((Tabella34[[#This Row],[Day]]-pt),mu_t,sigma_t,FALSE),0)</f>
        <v>4246.6866515255051</v>
      </c>
      <c r="O107" s="163">
        <f>Kt*EXP(-0.5*Tabella34[[#This Row],[x_t]]^2)/(sigma_t*SQRTPI(2)*(Tabella34[[#This Row],[Day]]-D_bk))</f>
        <v>4246.686651525506</v>
      </c>
      <c r="P107" s="206">
        <f>Tabella34[[#This Row],[Italy velocity]]/Tabella34[[#This Row],[Italy cumul. Fit]]</f>
        <v>2.95578569002653E-2</v>
      </c>
      <c r="Q107" s="269">
        <f>(LN(Tabella34[[#This Row],[Day]]-D_bk)-mu_t)/sigma_t</f>
        <v>0.28291137247442411</v>
      </c>
      <c r="R107" s="269">
        <f>EXP(mu_t+sigma_t*Tabella34[[#This Row],[x_t_alpha©+plus]])-(Tabella34[[#This Row],[Day]]-D_bk)</f>
        <v>17.255253651037151</v>
      </c>
      <c r="S107" s="269">
        <f>EXP(mu_t+sigma_t*Tabella34[[#This Row],[x_t_alpha©-minus]])-(Tabella34[[#This Row],[Day]]-D_bk)</f>
        <v>-30.590110773924955</v>
      </c>
      <c r="T107" s="269">
        <f>-sigma_t+SQRT(sigma_t^2-2*Tabella34[[#This Row],[c_t]])</f>
        <v>1.0084809193065163</v>
      </c>
      <c r="U107" s="269">
        <f>-sigma_t-SQRT(sigma_t^2-2*Tabella34[[#This Row],[c_t]])</f>
        <v>-1.6277178251987534</v>
      </c>
      <c r="V107" s="269">
        <f>mu_t-LN(alpha*Kt/(Tabella34[[#This Row],[Italy velocity]]*sigma_t*SQRTPI(2)))</f>
        <v>-0.82076118436402101</v>
      </c>
      <c r="W107" s="269">
        <f>Tabella34[[#This Row],[Italy g.r.]]/Italy_gr_at_lockdown</f>
        <v>0.18689240774598126</v>
      </c>
      <c r="X107" s="269">
        <f>Tabella34[[#This Row],[t_alpha_t+plus]]</f>
        <v>17.255253651037151</v>
      </c>
      <c r="Y107" s="269">
        <f>Tabella34[[#This Row],[Italy h.t.]]/Italy_ht_at_lockdown</f>
        <v>0.30730532209673322</v>
      </c>
      <c r="Z107" s="91">
        <f>IFERROR(-Kf*_xlfn.LOGNORM.DIST((Tabella34[[#This Row],[Day]]-D_bk),mu_f,sigma_f,FALSE)*(1+(LN((Tabella34[[#This Row],[Day]]-D_bk))-mu_f)/sigma_f^2)/(Tabella34[[#This Row],[Day]]-D_bk),0)</f>
        <v>-118.6350600967974</v>
      </c>
      <c r="AA107" s="91">
        <f>Tabella34[[#This Row],[Italy acc. fit]]/Itali_acc_at_lockdown</f>
        <v>-0.48827662687335949</v>
      </c>
      <c r="AB107" s="96">
        <f>Tabella34[[#This Row],[Italy acc. fit]]/y_f_peak</f>
        <v>-2.3438200580679823E-2</v>
      </c>
      <c r="AC107" s="163">
        <f>Tabella34[[#This Row],[Italy (fitted Lombardy + fitted sum of the other regions)]]*NOT(ISBLANK(Tabella34[[#This Row],[Italy data]]))</f>
        <v>-123.37965576596542</v>
      </c>
      <c r="AD107" s="163">
        <f>Tabella34[[#This Row],[Italy acc. fit]]*NOT(ISBLANK(Tabella34[[#This Row],[Italy data]]))</f>
        <v>-118.6350600967974</v>
      </c>
      <c r="AE107" s="96">
        <f>Tabella34[[#This Row],[Italy acc. fit]]+CIf</f>
        <v>895.12794192352032</v>
      </c>
      <c r="AF107" s="96">
        <f>MAX(Tabella34[[#This Row],[Italy acc. fit]]-CIf,0)</f>
        <v>0</v>
      </c>
      <c r="AG107" s="4">
        <f>Tabella8[[#This Row],[Lombardy]]</f>
        <v>54802</v>
      </c>
      <c r="AH107" s="91">
        <f>(Tabella34[[#This Row],[Lombardy cumul. Data]]-AG106)</f>
        <v>1388</v>
      </c>
      <c r="AI107" s="91">
        <f>Tabella34[[#This Row],[Lombardy data]]-AH106</f>
        <v>299</v>
      </c>
      <c r="AJ107" s="96">
        <f>Tabella34[[#This Row],[Lombardy data]]*NOT(ISBLANK(Tabella34[[#This Row],[Lombardy data]]))</f>
        <v>1388</v>
      </c>
      <c r="AK107" s="96">
        <f>Tabella8[[#This Row],[Lombardy fit]]</f>
        <v>54770.537022930162</v>
      </c>
      <c r="AL107" s="163" t="e">
        <f>_xlfn.LOGNORM.INV(alpha*Tabella34[[#This Row],[Lombardy cumul. Fit]]/Kr,mu_r,sigma_r)-(Tabella34[[#This Row],[Day]]-pr)</f>
        <v>#NUM!</v>
      </c>
      <c r="AM107" s="96">
        <f>Tabella34[[#This Row],[Lombardy cumul. Fit]]/Kl</f>
        <v>0.62954640256241567</v>
      </c>
      <c r="AN107" s="96">
        <f>IFERROR(Kr*_xlfn.LOGNORM.DIST((Tabella34[[#This Row],[Day]]-pr),mu_r,sigma_r,FALSE),0)</f>
        <v>1403.5111194784272</v>
      </c>
      <c r="AO107" s="209">
        <f>Tabella34[[#This Row],[Lombardy velocity]]/Tabella34[[#This Row],[Lombardy cumul. Fit]]</f>
        <v>2.562529410458099E-2</v>
      </c>
      <c r="AP107" s="266">
        <f>(LN(Tabella34[[#This Row],[Day]]-pr)-mu_r)/sigma_r</f>
        <v>0.33065222264143734</v>
      </c>
      <c r="AQ107" s="269">
        <f>EXP(mu_r+sigma_r*Tabella34[[#This Row],[x_r_alpha©+plus]])-(Tabella34[[#This Row],[Day]]-pr)</f>
        <v>18.037570283984067</v>
      </c>
      <c r="AR107" s="269">
        <f>EXP(mu_r+sigma_r*Tabella34[[#This Row],[x_r_alpha©-minus]])-(Tabella34[[#This Row],[Day]]-pr)</f>
        <v>-34.273948464710678</v>
      </c>
      <c r="AS107" s="269">
        <f>-sigma_r+SQRT(sigma_r^2-2*Tabella34[[#This Row],[c_r]])</f>
        <v>1.0148003888952846</v>
      </c>
      <c r="AT107" s="269">
        <f>-sigma_r-SQRT(sigma_r^2-2*Tabella34[[#This Row],[c_r]])</f>
        <v>-1.6956549860890138</v>
      </c>
      <c r="AU107" s="269">
        <f>mu_r-LN(alpha*Kr/(Tabella34[[#This Row],[Lombardy velocity]]*sigma_r*SQRTPI(2)))</f>
        <v>-0.86037566965767986</v>
      </c>
      <c r="AV107" s="269">
        <f>Tabella34[[#This Row],[t_alpha_r+plus]]</f>
        <v>18.037570283984067</v>
      </c>
      <c r="AW107" s="91">
        <f>IFERROR(-Kl*_xlfn.LOGNORM.DIST((Tabella34[[#This Row],[Day]]-pl),mu_l,sigma_l,FALSE)*(1+(LN((Tabella34[[#This Row],[Day]]-pl))-mu_l)/sigma_l^2)/(Tabella34[[#This Row],[Day]]-pl),0)</f>
        <v>-40.226966578142893</v>
      </c>
      <c r="AX107" s="96">
        <f>Tabella34[[#This Row],[Lombardy acc. fit]]/y_l_peak</f>
        <v>-2.2882826157534463E-2</v>
      </c>
      <c r="AY107" s="163">
        <f>Tabella34[[#This Row],[Lombardy acc. fit]]*NOT(ISBLANK(Tabella34[[#This Row],[Lombardy data]]))</f>
        <v>-40.226966578142893</v>
      </c>
      <c r="AZ107" s="96">
        <f>Tabella34[[#This Row],[Lombardy acc. fit]]+CIl</f>
        <v>708.72840522548074</v>
      </c>
      <c r="BA107" s="96">
        <f>MAX(Tabella34[[#This Row],[Lombardy acc. fit]]-CIl,0)</f>
        <v>0</v>
      </c>
      <c r="BB107" s="10">
        <f>Tabella8[[#This Row],[rest of Italy ]]</f>
        <v>88824</v>
      </c>
      <c r="BC107" s="10">
        <f>(Tabella34[[#This Row],[rest of Italy cum. Data]]-BB106)</f>
        <v>2816</v>
      </c>
      <c r="BD107" s="10">
        <f>Tabella34[[#This Row],[rest of Italy data]]-BC106</f>
        <v>69</v>
      </c>
      <c r="BE107" s="96">
        <f>Tabella34[[#This Row],[rest of Italy data]]*NOT(ISBLANK(Tabella34[[#This Row],[rest of Italy data]]))</f>
        <v>2816</v>
      </c>
      <c r="BF107" s="96">
        <f>Tabella8[[#This Row],[rest of Italy fit]]</f>
        <v>89352.001180257022</v>
      </c>
      <c r="BG107" s="163" t="e">
        <f>_xlfn.LOGNORM.INV(alpha*Tabella34[[#This Row],[rest of Italy cumul. Fit]]/Ko,mu_o,sigma_o)-(Tabella34[[#This Row],[Day]]-po)</f>
        <v>#NUM!</v>
      </c>
      <c r="BH107" s="96">
        <f>Tabella34[[#This Row],[rest of Italy cumul. Fit]]/Ka</f>
        <v>0.60372980798553511</v>
      </c>
      <c r="BI107" s="163">
        <f>IFERROR(Ko*_xlfn.LOGNORM.DIST((Tabella34[[#This Row],[Day]]-po),mu_o,sigma_o,FALSE),0)</f>
        <v>2848.5327409277602</v>
      </c>
      <c r="BJ107" s="206">
        <f>Tabella34[[#This Row],[rest of Italy velocity]]/Tabella34[[#This Row],[rest of Italy cumul. Fit]]</f>
        <v>3.1879898640223898E-2</v>
      </c>
      <c r="BK107" s="261">
        <f>(LN(Tabella34[[#This Row],[Day]]-po)-mu_o)/sigma_o</f>
        <v>0.263013227307345</v>
      </c>
      <c r="BL107" s="269">
        <f>EXP(mu_o+sigma_o*Tabella34[[#This Row],[x_o_alpha©+plus]])-(Tabella34[[#This Row],[Day]]-po)</f>
        <v>16.474632822259522</v>
      </c>
      <c r="BM107" s="269">
        <f>EXP(mu_o+sigma_o*Tabella34[[#This Row],[x_o_alpha©-minus]])-(Tabella34[[#This Row],[Day]]-po)</f>
        <v>-28.458384391532277</v>
      </c>
      <c r="BN107" s="269">
        <f>-sigma_o+SQRT(sigma_o^2-2*Tabella34[[#This Row],[c_o]])</f>
        <v>0.99302270685861849</v>
      </c>
      <c r="BO107" s="269">
        <f>-sigma_o-SQRT(sigma_o^2-2*Tabella34[[#This Row],[c_o]])</f>
        <v>-1.6359954841576445</v>
      </c>
      <c r="BP107" s="269">
        <f>mu_o-LN(alpha*Ko/(Tabella34[[#This Row],[rest of Italy velocity]]*sigma_o*SQRTPI(2)))</f>
        <v>-0.81229033204335011</v>
      </c>
      <c r="BQ107" s="269">
        <f>Tabella34[[#This Row],[t_alpha_o+plus]]</f>
        <v>16.474632822259522</v>
      </c>
      <c r="BR107" s="91">
        <f>IFERROR(-Ka*_xlfn.LOGNORM.DIST((Tabella34[[#This Row],[Day]]-pa),mu_a,sigma_a,FALSE)*(1+(LN((Tabella34[[#This Row],[Day]]-pa))-mu_a)/sigma_a^2)/(Tabella34[[#This Row],[Day]]-pa),0)</f>
        <v>-83.152689187822531</v>
      </c>
      <c r="BS107" s="96">
        <f>Tabella34[[#This Row],[rest of Italy acc. fit]]/y_a_peak</f>
        <v>-2.4607582127821635E-2</v>
      </c>
      <c r="BT107" s="96">
        <f>Tabella34[[#This Row],[rest of Italy acc. fit]]*NOT(ISBLANK(Tabella34[[#This Row],[rest of Italy data]]))</f>
        <v>-83.152689187822531</v>
      </c>
      <c r="BU107" s="96">
        <f>Tabella34[[#This Row],[rest of Italy acc. fit]]+CIa</f>
        <v>611.49934667577486</v>
      </c>
      <c r="BV107" s="96">
        <f>MAX(Tabella34[[#This Row],[rest of Italy acc. fit]]-CIa,0)</f>
        <v>0</v>
      </c>
    </row>
    <row r="108" spans="2:74" x14ac:dyDescent="0.3">
      <c r="B108" s="288">
        <v>43931</v>
      </c>
      <c r="C108" s="4">
        <v>101</v>
      </c>
      <c r="D108" s="10">
        <f>Tabella8[[#This Row],[Italy cumulative]]</f>
        <v>147577</v>
      </c>
      <c r="E108" s="91">
        <f>(Tabella34[[#This Row],[Italy cumul. Data]]-D107)</f>
        <v>3951</v>
      </c>
      <c r="F108" s="91">
        <f>Tabella34[[#This Row],[Italy data]]-E107</f>
        <v>-253</v>
      </c>
      <c r="G108" s="96">
        <f>Tabella34[[#This Row],[Italy data]]*NOT(ISBLANK(Tabella34[[#This Row],[Italy data]]))</f>
        <v>3951</v>
      </c>
      <c r="H108" s="163">
        <f>Tabella8[[#This Row],[Italy fit]]</f>
        <v>147860.37412487992</v>
      </c>
      <c r="I108" s="163" t="e">
        <f>_xlfn.LOGNORM.INV(alpha*Tabella34[[#This Row],[Italy cumul. Fit]]/Kt,mu_t,sigma_t)-(Tabella34[[#This Row],[Day]]-pt)</f>
        <v>#NUM!</v>
      </c>
      <c r="J108" s="163" t="e">
        <f>Tabella34[[#This Row],[Italy d.t.]]/Italy_dt_at_lockdown</f>
        <v>#NUM!</v>
      </c>
      <c r="K108" s="96">
        <f>Tabella34[[#This Row],[Italy cumul. Fit]]/Kf</f>
        <v>0.62919325306037499</v>
      </c>
      <c r="L108" s="166">
        <f>Tabella34[[#This Row],[Lombardy acc. fit]]+Tabella34[[#This Row],[rest of Italy acc. fit]]</f>
        <v>-127.07235614935165</v>
      </c>
      <c r="M108" s="96">
        <f>Tabella34[[#This Row],[Italy (fitted Lombardy + fitted sum of the other regions)]]/(y_l_peak+y_a_peak)</f>
        <v>-2.4736187265302145E-2</v>
      </c>
      <c r="N108" s="163">
        <f>IFERROR(Kt*_xlfn.LOGNORM.DIST((Tabella34[[#This Row],[Day]]-pt),mu_t,sigma_t,FALSE),0)</f>
        <v>4126.0052564450889</v>
      </c>
      <c r="O108" s="163">
        <f>Kt*EXP(-0.5*Tabella34[[#This Row],[x_t]]^2)/(sigma_t*SQRTPI(2)*(Tabella34[[#This Row],[Day]]-D_bk))</f>
        <v>4126.0052564450907</v>
      </c>
      <c r="P108" s="206">
        <f>Tabella34[[#This Row],[Italy velocity]]/Tabella34[[#This Row],[Italy cumul. Fit]]</f>
        <v>2.790473973074319E-2</v>
      </c>
      <c r="Q108" s="269">
        <f>(LN(Tabella34[[#This Row],[Day]]-D_bk)-mu_t)/sigma_t</f>
        <v>0.3297174147367059</v>
      </c>
      <c r="R108" s="269">
        <f>EXP(mu_t+sigma_t*Tabella34[[#This Row],[x_t_alpha©+plus]])-(Tabella34[[#This Row],[Day]]-D_bk)</f>
        <v>16.833214955170817</v>
      </c>
      <c r="S108" s="269">
        <f>EXP(mu_t+sigma_t*Tabella34[[#This Row],[x_t_alpha©-minus]])-(Tabella34[[#This Row],[Day]]-D_bk)</f>
        <v>-31.843917856250769</v>
      </c>
      <c r="T108" s="269">
        <f>-sigma_t+SQRT(sigma_t^2-2*Tabella34[[#This Row],[c_t]])</f>
        <v>1.0301743343257201</v>
      </c>
      <c r="U108" s="269">
        <f>-sigma_t-SQRT(sigma_t^2-2*Tabella34[[#This Row],[c_t]])</f>
        <v>-1.6494112402179573</v>
      </c>
      <c r="V108" s="269">
        <f>mu_t-LN(alpha*Kt/(Tabella34[[#This Row],[Italy velocity]]*sigma_t*SQRTPI(2)))</f>
        <v>-0.84959056321044724</v>
      </c>
      <c r="W108" s="269">
        <f>Tabella34[[#This Row],[Italy g.r.]]/Italy_gr_at_lockdown</f>
        <v>0.17643985534542359</v>
      </c>
      <c r="X108" s="269">
        <f>Tabella34[[#This Row],[t_alpha_t+plus]]</f>
        <v>16.833214955170817</v>
      </c>
      <c r="Y108" s="269">
        <f>Tabella34[[#This Row],[Italy h.t.]]/Italy_ht_at_lockdown</f>
        <v>0.29978907574107949</v>
      </c>
      <c r="Z108" s="91">
        <f>IFERROR(-Kf*_xlfn.LOGNORM.DIST((Tabella34[[#This Row],[Day]]-D_bk),mu_f,sigma_f,FALSE)*(1+(LN((Tabella34[[#This Row],[Day]]-D_bk))-mu_f)/sigma_f^2)/(Tabella34[[#This Row],[Day]]-D_bk),0)</f>
        <v>-122.57944946053537</v>
      </c>
      <c r="AA108" s="91">
        <f>Tabella34[[#This Row],[Italy acc. fit]]/Itali_acc_at_lockdown</f>
        <v>-0.50451089296661811</v>
      </c>
      <c r="AB108" s="96">
        <f>Tabella34[[#This Row],[Italy acc. fit]]/y_f_peak</f>
        <v>-2.4217476024213622E-2</v>
      </c>
      <c r="AC108" s="163">
        <f>Tabella34[[#This Row],[Italy (fitted Lombardy + fitted sum of the other regions)]]*NOT(ISBLANK(Tabella34[[#This Row],[Italy data]]))</f>
        <v>-127.07235614935165</v>
      </c>
      <c r="AD108" s="163">
        <f>Tabella34[[#This Row],[Italy acc. fit]]*NOT(ISBLANK(Tabella34[[#This Row],[Italy data]]))</f>
        <v>-122.57944946053537</v>
      </c>
      <c r="AE108" s="96">
        <f>Tabella34[[#This Row],[Italy acc. fit]]+CIf</f>
        <v>891.18355255978236</v>
      </c>
      <c r="AF108" s="96">
        <f>MAX(Tabella34[[#This Row],[Italy acc. fit]]-CIf,0)</f>
        <v>0</v>
      </c>
      <c r="AG108" s="4">
        <f>Tabella8[[#This Row],[Lombardy]]</f>
        <v>56048</v>
      </c>
      <c r="AH108" s="91">
        <f>(Tabella34[[#This Row],[Lombardy cumul. Data]]-AG107)</f>
        <v>1246</v>
      </c>
      <c r="AI108" s="91">
        <f>Tabella34[[#This Row],[Lombardy data]]-AH107</f>
        <v>-142</v>
      </c>
      <c r="AJ108" s="96">
        <f>Tabella34[[#This Row],[Lombardy data]]*NOT(ISBLANK(Tabella34[[#This Row],[Lombardy data]]))</f>
        <v>1246</v>
      </c>
      <c r="AK108" s="96">
        <f>Tabella8[[#This Row],[Lombardy fit]]</f>
        <v>56153.80711118412</v>
      </c>
      <c r="AL108" s="163" t="e">
        <f>_xlfn.LOGNORM.INV(alpha*Tabella34[[#This Row],[Lombardy cumul. Fit]]/Kr,mu_r,sigma_r)-(Tabella34[[#This Row],[Day]]-pr)</f>
        <v>#NUM!</v>
      </c>
      <c r="AM108" s="96">
        <f>Tabella34[[#This Row],[Lombardy cumul. Fit]]/Kl</f>
        <v>0.64544605874924277</v>
      </c>
      <c r="AN108" s="96">
        <f>IFERROR(Kr*_xlfn.LOGNORM.DIST((Tabella34[[#This Row],[Day]]-pr),mu_r,sigma_r,FALSE),0)</f>
        <v>1362.9108774841045</v>
      </c>
      <c r="AO108" s="209">
        <f>Tabella34[[#This Row],[Lombardy velocity]]/Tabella34[[#This Row],[Lombardy cumul. Fit]]</f>
        <v>2.42710325015996E-2</v>
      </c>
      <c r="AP108" s="266">
        <f>(LN(Tabella34[[#This Row],[Day]]-pr)-mu_r)/sigma_r</f>
        <v>0.37305449910796351</v>
      </c>
      <c r="AQ108" s="269">
        <f>EXP(mu_r+sigma_r*Tabella34[[#This Row],[x_r_alpha©+plus]])-(Tabella34[[#This Row],[Day]]-pr)</f>
        <v>17.675011114172236</v>
      </c>
      <c r="AR108" s="269">
        <f>EXP(mu_r+sigma_r*Tabella34[[#This Row],[x_r_alpha©-minus]])-(Tabella34[[#This Row],[Day]]-pr)</f>
        <v>-35.52544589989111</v>
      </c>
      <c r="AS108" s="269">
        <f>-sigma_r+SQRT(sigma_r^2-2*Tabella34[[#This Row],[c_r]])</f>
        <v>1.0362900423181125</v>
      </c>
      <c r="AT108" s="269">
        <f>-sigma_r-SQRT(sigma_r^2-2*Tabella34[[#This Row],[c_r]])</f>
        <v>-1.7171446395118417</v>
      </c>
      <c r="AU108" s="269">
        <f>mu_r-LN(alpha*Kr/(Tabella34[[#This Row],[Lombardy velocity]]*sigma_r*SQRTPI(2)))</f>
        <v>-0.88972994557302343</v>
      </c>
      <c r="AV108" s="269">
        <f>Tabella34[[#This Row],[t_alpha_r+plus]]</f>
        <v>17.675011114172236</v>
      </c>
      <c r="AW108" s="91">
        <f>IFERROR(-Kl*_xlfn.LOGNORM.DIST((Tabella34[[#This Row],[Day]]-pl),mu_l,sigma_l,FALSE)*(1+(LN((Tabella34[[#This Row],[Day]]-pl))-mu_l)/sigma_l^2)/(Tabella34[[#This Row],[Day]]-pl),0)</f>
        <v>-40.936320330259704</v>
      </c>
      <c r="AX108" s="96">
        <f>Tabella34[[#This Row],[Lombardy acc. fit]]/y_l_peak</f>
        <v>-2.3286337035302297E-2</v>
      </c>
      <c r="AY108" s="163">
        <f>Tabella34[[#This Row],[Lombardy acc. fit]]*NOT(ISBLANK(Tabella34[[#This Row],[Lombardy data]]))</f>
        <v>-40.936320330259704</v>
      </c>
      <c r="AZ108" s="96">
        <f>Tabella34[[#This Row],[Lombardy acc. fit]]+CIl</f>
        <v>708.0190514733639</v>
      </c>
      <c r="BA108" s="96">
        <f>MAX(Tabella34[[#This Row],[Lombardy acc. fit]]-CIl,0)</f>
        <v>0</v>
      </c>
      <c r="BB108" s="10">
        <f>Tabella8[[#This Row],[rest of Italy ]]</f>
        <v>91529</v>
      </c>
      <c r="BC108" s="10">
        <f>(Tabella34[[#This Row],[rest of Italy cum. Data]]-BB107)</f>
        <v>2705</v>
      </c>
      <c r="BD108" s="10">
        <f>Tabella34[[#This Row],[rest of Italy data]]-BC107</f>
        <v>-111</v>
      </c>
      <c r="BE108" s="96">
        <f>Tabella34[[#This Row],[rest of Italy data]]*NOT(ISBLANK(Tabella34[[#This Row],[rest of Italy data]]))</f>
        <v>2705</v>
      </c>
      <c r="BF108" s="96">
        <f>Tabella8[[#This Row],[rest of Italy fit]]</f>
        <v>92158.430677105629</v>
      </c>
      <c r="BG108" s="163" t="e">
        <f>_xlfn.LOGNORM.INV(alpha*Tabella34[[#This Row],[rest of Italy cumul. Fit]]/Ko,mu_o,sigma_o)-(Tabella34[[#This Row],[Day]]-po)</f>
        <v>#NUM!</v>
      </c>
      <c r="BH108" s="96">
        <f>Tabella34[[#This Row],[rest of Italy cumul. Fit]]/Ka</f>
        <v>0.62269217165816571</v>
      </c>
      <c r="BI108" s="163">
        <f>IFERROR(Ko*_xlfn.LOGNORM.DIST((Tabella34[[#This Row],[Day]]-po),mu_o,sigma_o,FALSE),0)</f>
        <v>2763.8291585423817</v>
      </c>
      <c r="BJ108" s="206">
        <f>Tabella34[[#This Row],[rest of Italy velocity]]/Tabella34[[#This Row],[rest of Italy cumul. Fit]]</f>
        <v>2.9989976372600965E-2</v>
      </c>
      <c r="BK108" s="261">
        <f>(LN(Tabella34[[#This Row],[Day]]-po)-mu_o)/sigma_o</f>
        <v>0.31255909867484355</v>
      </c>
      <c r="BL108" s="269">
        <f>EXP(mu_o+sigma_o*Tabella34[[#This Row],[x_o_alpha©+plus]])-(Tabella34[[#This Row],[Day]]-po)</f>
        <v>16.053200201985732</v>
      </c>
      <c r="BM108" s="269">
        <f>EXP(mu_o+sigma_o*Tabella34[[#This Row],[x_o_alpha©-minus]])-(Tabella34[[#This Row],[Day]]-po)</f>
        <v>-29.705052091377816</v>
      </c>
      <c r="BN108" s="269">
        <f>-sigma_o+SQRT(sigma_o^2-2*Tabella34[[#This Row],[c_o]])</f>
        <v>1.0157899631627334</v>
      </c>
      <c r="BO108" s="269">
        <f>-sigma_o-SQRT(sigma_o^2-2*Tabella34[[#This Row],[c_o]])</f>
        <v>-1.6587627404617593</v>
      </c>
      <c r="BP108" s="269">
        <f>mu_o-LN(alpha*Ko/(Tabella34[[#This Row],[rest of Italy velocity]]*sigma_o*SQRTPI(2)))</f>
        <v>-0.84247727151468244</v>
      </c>
      <c r="BQ108" s="269">
        <f>Tabella34[[#This Row],[t_alpha_o+plus]]</f>
        <v>16.053200201985732</v>
      </c>
      <c r="BR108" s="91">
        <f>IFERROR(-Ka*_xlfn.LOGNORM.DIST((Tabella34[[#This Row],[Day]]-pa),mu_a,sigma_a,FALSE)*(1+(LN((Tabella34[[#This Row],[Day]]-pa))-mu_a)/sigma_a^2)/(Tabella34[[#This Row],[Day]]-pa),0)</f>
        <v>-86.136035819091944</v>
      </c>
      <c r="BS108" s="96">
        <f>Tabella34[[#This Row],[rest of Italy acc. fit]]/y_a_peak</f>
        <v>-2.5490451316560671E-2</v>
      </c>
      <c r="BT108" s="96">
        <f>Tabella34[[#This Row],[rest of Italy acc. fit]]*NOT(ISBLANK(Tabella34[[#This Row],[rest of Italy data]]))</f>
        <v>-86.136035819091944</v>
      </c>
      <c r="BU108" s="96">
        <f>Tabella34[[#This Row],[rest of Italy acc. fit]]+CIa</f>
        <v>608.5160000445054</v>
      </c>
      <c r="BV108" s="96">
        <f>MAX(Tabella34[[#This Row],[rest of Italy acc. fit]]-CIa,0)</f>
        <v>0</v>
      </c>
    </row>
    <row r="109" spans="2:74" x14ac:dyDescent="0.3">
      <c r="B109" s="288">
        <v>43932</v>
      </c>
      <c r="C109" s="4">
        <v>102</v>
      </c>
      <c r="D109" s="10">
        <f>Tabella8[[#This Row],[Italy cumulative]]</f>
        <v>152271</v>
      </c>
      <c r="E109" s="91">
        <f>(Tabella34[[#This Row],[Italy cumul. Data]]-D108)</f>
        <v>4694</v>
      </c>
      <c r="F109" s="91">
        <f>Tabella34[[#This Row],[Italy data]]-E108</f>
        <v>743</v>
      </c>
      <c r="G109" s="96">
        <f>Tabella34[[#This Row],[Italy data]]*NOT(ISBLANK(Tabella34[[#This Row],[Italy data]]))</f>
        <v>4694</v>
      </c>
      <c r="H109" s="163">
        <f>Tabella8[[#This Row],[Italy fit]]</f>
        <v>151924.54112074536</v>
      </c>
      <c r="I109" s="163" t="e">
        <f>_xlfn.LOGNORM.INV(alpha*Tabella34[[#This Row],[Italy cumul. Fit]]/Kt,mu_t,sigma_t)-(Tabella34[[#This Row],[Day]]-pt)</f>
        <v>#NUM!</v>
      </c>
      <c r="J109" s="163" t="e">
        <f>Tabella34[[#This Row],[Italy d.t.]]/Italy_dt_at_lockdown</f>
        <v>#NUM!</v>
      </c>
      <c r="K109" s="96">
        <f>Tabella34[[#This Row],[Italy cumul. Fit]]/Kf</f>
        <v>0.64648758542118367</v>
      </c>
      <c r="L109" s="166">
        <f>Tabella34[[#This Row],[Lombardy acc. fit]]+Tabella34[[#This Row],[rest of Italy acc. fit]]</f>
        <v>-129.86340889238502</v>
      </c>
      <c r="M109" s="96">
        <f>Tabella34[[#This Row],[Italy (fitted Lombardy + fitted sum of the other regions)]]/(y_l_peak+y_a_peak)</f>
        <v>-2.5279499795352853E-2</v>
      </c>
      <c r="N109" s="163">
        <f>IFERROR(Kt*_xlfn.LOGNORM.DIST((Tabella34[[#This Row],[Day]]-pt),mu_t,sigma_t,FALSE),0)</f>
        <v>4001.8152052320552</v>
      </c>
      <c r="O109" s="163">
        <f>Kt*EXP(-0.5*Tabella34[[#This Row],[x_t]]^2)/(sigma_t*SQRTPI(2)*(Tabella34[[#This Row],[Day]]-D_bk))</f>
        <v>4001.8152052320575</v>
      </c>
      <c r="P109" s="206">
        <f>Tabella34[[#This Row],[Italy velocity]]/Tabella34[[#This Row],[Italy cumul. Fit]]</f>
        <v>2.6340808244084312E-2</v>
      </c>
      <c r="Q109" s="269">
        <f>(LN(Tabella34[[#This Row],[Day]]-D_bk)-mu_t)/sigma_t</f>
        <v>0.37585482150120308</v>
      </c>
      <c r="R109" s="269">
        <f>EXP(mu_t+sigma_t*Tabella34[[#This Row],[x_t_alpha©+plus]])-(Tabella34[[#This Row],[Day]]-D_bk)</f>
        <v>16.440004873411965</v>
      </c>
      <c r="S109" s="269">
        <f>EXP(mu_t+sigma_t*Tabella34[[#This Row],[x_t_alpha©-minus]])-(Tabella34[[#This Row],[Day]]-D_bk)</f>
        <v>-33.106753785662072</v>
      </c>
      <c r="T109" s="269">
        <f>-sigma_t+SQRT(sigma_t^2-2*Tabella34[[#This Row],[c_t]])</f>
        <v>1.0527941024501628</v>
      </c>
      <c r="U109" s="269">
        <f>-sigma_t-SQRT(sigma_t^2-2*Tabella34[[#This Row],[c_t]])</f>
        <v>-1.6720310083423999</v>
      </c>
      <c r="V109" s="269">
        <f>mu_t-LN(alpha*Kt/(Tabella34[[#This Row],[Italy velocity]]*sigma_t*SQRTPI(2)))</f>
        <v>-0.88015219234833886</v>
      </c>
      <c r="W109" s="269">
        <f>Tabella34[[#This Row],[Italy g.r.]]/Italy_gr_at_lockdown</f>
        <v>0.16655121822001662</v>
      </c>
      <c r="X109" s="269">
        <f>Tabella34[[#This Row],[t_alpha_t+plus]]</f>
        <v>16.440004873411965</v>
      </c>
      <c r="Y109" s="269">
        <f>Tabella34[[#This Row],[Italy h.t.]]/Italy_ht_at_lockdown</f>
        <v>0.29278624905013001</v>
      </c>
      <c r="Z109" s="91">
        <f>IFERROR(-Kf*_xlfn.LOGNORM.DIST((Tabella34[[#This Row],[Day]]-D_bk),mu_f,sigma_f,FALSE)*(1+(LN((Tabella34[[#This Row],[Day]]-D_bk))-mu_f)/sigma_f^2)/(Tabella34[[#This Row],[Day]]-D_bk),0)</f>
        <v>-125.66157058887941</v>
      </c>
      <c r="AA109" s="91">
        <f>Tabella34[[#This Row],[Italy acc. fit]]/Itali_acc_at_lockdown</f>
        <v>-0.51719624674765918</v>
      </c>
      <c r="AB109" s="96">
        <f>Tabella34[[#This Row],[Italy acc. fit]]/y_f_peak</f>
        <v>-2.4826396971875612E-2</v>
      </c>
      <c r="AC109" s="163">
        <f>Tabella34[[#This Row],[Italy (fitted Lombardy + fitted sum of the other regions)]]*NOT(ISBLANK(Tabella34[[#This Row],[Italy data]]))</f>
        <v>-129.86340889238502</v>
      </c>
      <c r="AD109" s="163">
        <f>Tabella34[[#This Row],[Italy acc. fit]]*NOT(ISBLANK(Tabella34[[#This Row],[Italy data]]))</f>
        <v>-125.66157058887941</v>
      </c>
      <c r="AE109" s="96">
        <f>Tabella34[[#This Row],[Italy acc. fit]]+CIf</f>
        <v>888.1014314314383</v>
      </c>
      <c r="AF109" s="96">
        <f>MAX(Tabella34[[#This Row],[Italy acc. fit]]-CIf,0)</f>
        <v>0</v>
      </c>
      <c r="AG109" s="4">
        <f>Tabella8[[#This Row],[Lombardy]]</f>
        <v>57592</v>
      </c>
      <c r="AH109" s="91">
        <f>(Tabella34[[#This Row],[Lombardy cumul. Data]]-AG108)</f>
        <v>1544</v>
      </c>
      <c r="AI109" s="91">
        <f>Tabella34[[#This Row],[Lombardy data]]-AH108</f>
        <v>298</v>
      </c>
      <c r="AJ109" s="96">
        <f>Tabella34[[#This Row],[Lombardy data]]*NOT(ISBLANK(Tabella34[[#This Row],[Lombardy data]]))</f>
        <v>1544</v>
      </c>
      <c r="AK109" s="96">
        <f>Tabella8[[#This Row],[Lombardy fit]]</f>
        <v>57496.158785785505</v>
      </c>
      <c r="AL109" s="163" t="e">
        <f>_xlfn.LOGNORM.INV(alpha*Tabella34[[#This Row],[Lombardy cumul. Fit]]/Kr,mu_r,sigma_r)-(Tabella34[[#This Row],[Day]]-pr)</f>
        <v>#NUM!</v>
      </c>
      <c r="AM109" s="96">
        <f>Tabella34[[#This Row],[Lombardy cumul. Fit]]/Kl</f>
        <v>0.66087538834236215</v>
      </c>
      <c r="AN109" s="96">
        <f>IFERROR(Kr*_xlfn.LOGNORM.DIST((Tabella34[[#This Row],[Day]]-pr),mu_r,sigma_r,FALSE),0)</f>
        <v>1321.7101055171868</v>
      </c>
      <c r="AO109" s="209">
        <f>Tabella34[[#This Row],[Lombardy velocity]]/Tabella34[[#This Row],[Lombardy cumul. Fit]]</f>
        <v>2.2987798375218534E-2</v>
      </c>
      <c r="AP109" s="266">
        <f>(LN(Tabella34[[#This Row],[Day]]-pr)-mu_r)/sigma_r</f>
        <v>0.41485340257153958</v>
      </c>
      <c r="AQ109" s="269">
        <f>EXP(mu_r+sigma_r*Tabella34[[#This Row],[x_r_alpha©+plus]])-(Tabella34[[#This Row],[Day]]-pr)</f>
        <v>17.336010456293323</v>
      </c>
      <c r="AR109" s="269">
        <f>EXP(mu_r+sigma_r*Tabella34[[#This Row],[x_r_alpha©-minus]])-(Tabella34[[#This Row],[Day]]-pr)</f>
        <v>-36.782395146000304</v>
      </c>
      <c r="AS109" s="269">
        <f>-sigma_r+SQRT(sigma_r^2-2*Tabella34[[#This Row],[c_r]])</f>
        <v>1.0584091102363229</v>
      </c>
      <c r="AT109" s="269">
        <f>-sigma_r-SQRT(sigma_r^2-2*Tabella34[[#This Row],[c_r]])</f>
        <v>-1.7392637074300521</v>
      </c>
      <c r="AU109" s="269">
        <f>mu_r-LN(alpha*Kr/(Tabella34[[#This Row],[Lombardy velocity]]*sigma_r*SQRTPI(2)))</f>
        <v>-0.92042627652368481</v>
      </c>
      <c r="AV109" s="269">
        <f>Tabella34[[#This Row],[t_alpha_r+plus]]</f>
        <v>17.336010456293323</v>
      </c>
      <c r="AW109" s="91">
        <f>IFERROR(-Kl*_xlfn.LOGNORM.DIST((Tabella34[[#This Row],[Day]]-pl),mu_l,sigma_l,FALSE)*(1+(LN((Tabella34[[#This Row],[Day]]-pl))-mu_l)/sigma_l^2)/(Tabella34[[#This Row],[Day]]-pl),0)</f>
        <v>-41.430794065487923</v>
      </c>
      <c r="AX109" s="96">
        <f>Tabella34[[#This Row],[Lombardy acc. fit]]/y_l_peak</f>
        <v>-2.356761493133043E-2</v>
      </c>
      <c r="AY109" s="163">
        <f>Tabella34[[#This Row],[Lombardy acc. fit]]*NOT(ISBLANK(Tabella34[[#This Row],[Lombardy data]]))</f>
        <v>-41.430794065487923</v>
      </c>
      <c r="AZ109" s="96">
        <f>Tabella34[[#This Row],[Lombardy acc. fit]]+CIl</f>
        <v>707.52457773813569</v>
      </c>
      <c r="BA109" s="96">
        <f>MAX(Tabella34[[#This Row],[Lombardy acc. fit]]-CIl,0)</f>
        <v>0</v>
      </c>
      <c r="BB109" s="10">
        <f>Tabella8[[#This Row],[rest of Italy ]]</f>
        <v>94679</v>
      </c>
      <c r="BC109" s="10">
        <f>(Tabella34[[#This Row],[rest of Italy cum. Data]]-BB108)</f>
        <v>3150</v>
      </c>
      <c r="BD109" s="10">
        <f>Tabella34[[#This Row],[rest of Italy data]]-BC108</f>
        <v>445</v>
      </c>
      <c r="BE109" s="96">
        <f>Tabella34[[#This Row],[rest of Italy data]]*NOT(ISBLANK(Tabella34[[#This Row],[rest of Italy data]]))</f>
        <v>3150</v>
      </c>
      <c r="BF109" s="96">
        <f>Tabella8[[#This Row],[rest of Italy fit]]</f>
        <v>94878.781377666935</v>
      </c>
      <c r="BG109" s="163" t="e">
        <f>_xlfn.LOGNORM.INV(alpha*Tabella34[[#This Row],[rest of Italy cumul. Fit]]/Ko,mu_o,sigma_o)-(Tabella34[[#This Row],[Day]]-po)</f>
        <v>#NUM!</v>
      </c>
      <c r="BH109" s="96">
        <f>Tabella34[[#This Row],[rest of Italy cumul. Fit]]/Ka</f>
        <v>0.64107292177466202</v>
      </c>
      <c r="BI109" s="163">
        <f>IFERROR(Ko*_xlfn.LOGNORM.DIST((Tabella34[[#This Row],[Day]]-po),mu_o,sigma_o,FALSE),0)</f>
        <v>2676.4896155606684</v>
      </c>
      <c r="BJ109" s="206">
        <f>Tabella34[[#This Row],[rest of Italy velocity]]/Tabella34[[#This Row],[rest of Italy cumul. Fit]]</f>
        <v>2.8209569902746184E-2</v>
      </c>
      <c r="BK109" s="261">
        <f>(LN(Tabella34[[#This Row],[Day]]-po)-mu_o)/sigma_o</f>
        <v>0.36132814474512254</v>
      </c>
      <c r="BL109" s="269">
        <f>EXP(mu_o+sigma_o*Tabella34[[#This Row],[x_o_alpha©+plus]])-(Tabella34[[#This Row],[Day]]-po)</f>
        <v>15.66256773178435</v>
      </c>
      <c r="BM109" s="269">
        <f>EXP(mu_o+sigma_o*Tabella34[[#This Row],[x_o_alpha©-minus]])-(Tabella34[[#This Row],[Day]]-po)</f>
        <v>-30.960990743004459</v>
      </c>
      <c r="BN109" s="269">
        <f>-sigma_o+SQRT(sigma_o^2-2*Tabella34[[#This Row],[c_o]])</f>
        <v>1.0395904086454912</v>
      </c>
      <c r="BO109" s="269">
        <f>-sigma_o-SQRT(sigma_o^2-2*Tabella34[[#This Row],[c_o]])</f>
        <v>-1.6825631859445171</v>
      </c>
      <c r="BP109" s="269">
        <f>mu_o-LN(alpha*Ko/(Tabella34[[#This Row],[rest of Italy velocity]]*sigma_o*SQRTPI(2)))</f>
        <v>-0.87458827502396019</v>
      </c>
      <c r="BQ109" s="269">
        <f>Tabella34[[#This Row],[t_alpha_o+plus]]</f>
        <v>15.66256773178435</v>
      </c>
      <c r="BR109" s="91">
        <f>IFERROR(-Ka*_xlfn.LOGNORM.DIST((Tabella34[[#This Row],[Day]]-pa),mu_a,sigma_a,FALSE)*(1+(LN((Tabella34[[#This Row],[Day]]-pa))-mu_a)/sigma_a^2)/(Tabella34[[#This Row],[Day]]-pa),0)</f>
        <v>-88.432614826897094</v>
      </c>
      <c r="BS109" s="96">
        <f>Tabella34[[#This Row],[rest of Italy acc. fit]]/y_a_peak</f>
        <v>-2.6170083654366922E-2</v>
      </c>
      <c r="BT109" s="96">
        <f>Tabella34[[#This Row],[rest of Italy acc. fit]]*NOT(ISBLANK(Tabella34[[#This Row],[rest of Italy data]]))</f>
        <v>-88.432614826897094</v>
      </c>
      <c r="BU109" s="96">
        <f>Tabella34[[#This Row],[rest of Italy acc. fit]]+CIa</f>
        <v>606.21942103670028</v>
      </c>
      <c r="BV109" s="96">
        <f>MAX(Tabella34[[#This Row],[rest of Italy acc. fit]]-CIa,0)</f>
        <v>0</v>
      </c>
    </row>
    <row r="110" spans="2:74" x14ac:dyDescent="0.3">
      <c r="B110" s="288">
        <v>43933</v>
      </c>
      <c r="C110" s="4">
        <v>103</v>
      </c>
      <c r="D110" s="10">
        <f>Tabella8[[#This Row],[Italy cumulative]]</f>
        <v>156363</v>
      </c>
      <c r="E110" s="91">
        <f>(Tabella34[[#This Row],[Italy cumul. Data]]-D109)</f>
        <v>4092</v>
      </c>
      <c r="F110" s="91">
        <f>Tabella34[[#This Row],[Italy data]]-E109</f>
        <v>-602</v>
      </c>
      <c r="G110" s="96">
        <f>Tabella34[[#This Row],[Italy data]]*NOT(ISBLANK(Tabella34[[#This Row],[Italy data]]))</f>
        <v>4092</v>
      </c>
      <c r="H110" s="163">
        <f>Tabella8[[#This Row],[Italy fit]]</f>
        <v>155863.11371396549</v>
      </c>
      <c r="I110" s="163" t="e">
        <f>_xlfn.LOGNORM.INV(alpha*Tabella34[[#This Row],[Italy cumul. Fit]]/Kt,mu_t,sigma_t)-(Tabella34[[#This Row],[Day]]-pt)</f>
        <v>#NUM!</v>
      </c>
      <c r="J110" s="163" t="e">
        <f>Tabella34[[#This Row],[Italy d.t.]]/Italy_dt_at_lockdown</f>
        <v>#NUM!</v>
      </c>
      <c r="K110" s="96">
        <f>Tabella34[[#This Row],[Italy cumul. Fit]]/Kf</f>
        <v>0.66324747336959122</v>
      </c>
      <c r="L110" s="166">
        <f>Tabella34[[#This Row],[Lombardy acc. fit]]+Tabella34[[#This Row],[rest of Italy acc. fit]]</f>
        <v>-131.81829227107619</v>
      </c>
      <c r="M110" s="96">
        <f>Tabella34[[#This Row],[Italy (fitted Lombardy + fitted sum of the other regions)]]/(y_l_peak+y_a_peak)</f>
        <v>-2.5660041738561151E-2</v>
      </c>
      <c r="N110" s="163">
        <f>IFERROR(Kt*_xlfn.LOGNORM.DIST((Tabella34[[#This Row],[Day]]-pt),mu_t,sigma_t,FALSE),0)</f>
        <v>3874.9507780392314</v>
      </c>
      <c r="O110" s="163">
        <f>Kt*EXP(-0.5*Tabella34[[#This Row],[x_t]]^2)/(sigma_t*SQRTPI(2)*(Tabella34[[#This Row],[Day]]-D_bk))</f>
        <v>3874.9507780392319</v>
      </c>
      <c r="P110" s="206">
        <f>Tabella34[[#This Row],[Italy velocity]]/Tabella34[[#This Row],[Italy cumul. Fit]]</f>
        <v>2.486124321339047E-2</v>
      </c>
      <c r="Q110" s="269">
        <f>(LN(Tabella34[[#This Row],[Day]]-D_bk)-mu_t)/sigma_t</f>
        <v>0.4213424272641072</v>
      </c>
      <c r="R110" s="269">
        <f>EXP(mu_t+sigma_t*Tabella34[[#This Row],[x_t_alpha©+plus]])-(Tabella34[[#This Row],[Day]]-D_bk)</f>
        <v>16.073404041799023</v>
      </c>
      <c r="S110" s="269">
        <f>EXP(mu_t+sigma_t*Tabella34[[#This Row],[x_t_alpha©-minus]])-(Tabella34[[#This Row],[Day]]-D_bk)</f>
        <v>-34.377230501317442</v>
      </c>
      <c r="T110" s="269">
        <f>-sigma_t+SQRT(sigma_t^2-2*Tabella34[[#This Row],[c_t]])</f>
        <v>1.076238022132596</v>
      </c>
      <c r="U110" s="269">
        <f>-sigma_t-SQRT(sigma_t^2-2*Tabella34[[#This Row],[c_t]])</f>
        <v>-1.6954749280248331</v>
      </c>
      <c r="V110" s="269">
        <f>mu_t-LN(alpha*Kt/(Tabella34[[#This Row],[Italy velocity]]*sigma_t*SQRTPI(2)))</f>
        <v>-0.91236729155642582</v>
      </c>
      <c r="W110" s="269">
        <f>Tabella34[[#This Row],[Italy g.r.]]/Italy_gr_at_lockdown</f>
        <v>0.15719602471136118</v>
      </c>
      <c r="X110" s="269">
        <f>Tabella34[[#This Row],[t_alpha_t+plus]]</f>
        <v>16.073404041799023</v>
      </c>
      <c r="Y110" s="269">
        <f>Tabella34[[#This Row],[Italy h.t.]]/Italy_ht_at_lockdown</f>
        <v>0.28625731653380193</v>
      </c>
      <c r="Z110" s="91">
        <f>IFERROR(-Kf*_xlfn.LOGNORM.DIST((Tabella34[[#This Row],[Day]]-D_bk),mu_f,sigma_f,FALSE)*(1+(LN((Tabella34[[#This Row],[Day]]-D_bk))-mu_f)/sigma_f^2)/(Tabella34[[#This Row],[Day]]-D_bk),0)</f>
        <v>-127.93775746670485</v>
      </c>
      <c r="AA110" s="91">
        <f>Tabella34[[#This Row],[Italy acc. fit]]/Itali_acc_at_lockdown</f>
        <v>-0.5265645468937642</v>
      </c>
      <c r="AB110" s="96">
        <f>Tabella34[[#This Row],[Italy acc. fit]]/y_f_peak</f>
        <v>-2.5276093078221026E-2</v>
      </c>
      <c r="AC110" s="163">
        <f>Tabella34[[#This Row],[Italy (fitted Lombardy + fitted sum of the other regions)]]*NOT(ISBLANK(Tabella34[[#This Row],[Italy data]]))</f>
        <v>-131.81829227107619</v>
      </c>
      <c r="AD110" s="163">
        <f>Tabella34[[#This Row],[Italy acc. fit]]*NOT(ISBLANK(Tabella34[[#This Row],[Italy data]]))</f>
        <v>-127.93775746670485</v>
      </c>
      <c r="AE110" s="96">
        <f>Tabella34[[#This Row],[Italy acc. fit]]+CIf</f>
        <v>885.82524455361283</v>
      </c>
      <c r="AF110" s="96">
        <f>MAX(Tabella34[[#This Row],[Italy acc. fit]]-CIf,0)</f>
        <v>0</v>
      </c>
      <c r="AG110" s="4">
        <f>Tabella8[[#This Row],[Lombardy]]</f>
        <v>59052</v>
      </c>
      <c r="AH110" s="91">
        <f>(Tabella34[[#This Row],[Lombardy cumul. Data]]-AG109)</f>
        <v>1460</v>
      </c>
      <c r="AI110" s="91">
        <f>Tabella34[[#This Row],[Lombardy data]]-AH109</f>
        <v>-84</v>
      </c>
      <c r="AJ110" s="96">
        <f>Tabella34[[#This Row],[Lombardy data]]*NOT(ISBLANK(Tabella34[[#This Row],[Lombardy data]]))</f>
        <v>1460</v>
      </c>
      <c r="AK110" s="96">
        <f>Tabella8[[#This Row],[Lombardy fit]]</f>
        <v>58797.096191230899</v>
      </c>
      <c r="AL110" s="163" t="e">
        <f>_xlfn.LOGNORM.INV(alpha*Tabella34[[#This Row],[Lombardy cumul. Fit]]/Kr,mu_r,sigma_r)-(Tabella34[[#This Row],[Day]]-pr)</f>
        <v>#NUM!</v>
      </c>
      <c r="AM110" s="96">
        <f>Tabella34[[#This Row],[Lombardy cumul. Fit]]/Kl</f>
        <v>0.67582869185322869</v>
      </c>
      <c r="AN110" s="96">
        <f>IFERROR(Kr*_xlfn.LOGNORM.DIST((Tabella34[[#This Row],[Day]]-pr),mu_r,sigma_r,FALSE),0)</f>
        <v>1280.115389990418</v>
      </c>
      <c r="AO110" s="209">
        <f>Tabella34[[#This Row],[Lombardy velocity]]/Tabella34[[#This Row],[Lombardy cumul. Fit]]</f>
        <v>2.1771745084603968E-2</v>
      </c>
      <c r="AP110" s="266">
        <f>(LN(Tabella34[[#This Row],[Day]]-pr)-mu_r)/sigma_r</f>
        <v>0.45606586406131128</v>
      </c>
      <c r="AQ110" s="269">
        <f>EXP(mu_r+sigma_r*Tabella34[[#This Row],[x_r_alpha©+plus]])-(Tabella34[[#This Row],[Day]]-pr)</f>
        <v>17.018820420008026</v>
      </c>
      <c r="AR110" s="269">
        <f>EXP(mu_r+sigma_r*Tabella34[[#This Row],[x_r_alpha©-minus]])-(Tabella34[[#This Row],[Day]]-pr)</f>
        <v>-38.043805934094777</v>
      </c>
      <c r="AS110" s="269">
        <f>-sigma_r+SQRT(sigma_r^2-2*Tabella34[[#This Row],[c_r]])</f>
        <v>1.0810844738767633</v>
      </c>
      <c r="AT110" s="269">
        <f>-sigma_r-SQRT(sigma_r^2-2*Tabella34[[#This Row],[c_r]])</f>
        <v>-1.7619390710704925</v>
      </c>
      <c r="AU110" s="269">
        <f>mu_r-LN(alpha*Kr/(Tabella34[[#This Row],[Lombardy velocity]]*sigma_r*SQRTPI(2)))</f>
        <v>-0.95240248682557826</v>
      </c>
      <c r="AV110" s="269">
        <f>Tabella34[[#This Row],[t_alpha_r+plus]]</f>
        <v>17.018820420008026</v>
      </c>
      <c r="AW110" s="91">
        <f>IFERROR(-Kl*_xlfn.LOGNORM.DIST((Tabella34[[#This Row],[Day]]-pl),mu_l,sigma_l,FALSE)*(1+(LN((Tabella34[[#This Row],[Day]]-pl))-mu_l)/sigma_l^2)/(Tabella34[[#This Row],[Day]]-pl),0)</f>
        <v>-41.726959905161195</v>
      </c>
      <c r="AX110" s="96">
        <f>Tabella34[[#This Row],[Lombardy acc. fit]]/y_l_peak</f>
        <v>-2.3736086779931762E-2</v>
      </c>
      <c r="AY110" s="163">
        <f>Tabella34[[#This Row],[Lombardy acc. fit]]*NOT(ISBLANK(Tabella34[[#This Row],[Lombardy data]]))</f>
        <v>-41.726959905161195</v>
      </c>
      <c r="AZ110" s="96">
        <f>Tabella34[[#This Row],[Lombardy acc. fit]]+CIl</f>
        <v>707.22841189846247</v>
      </c>
      <c r="BA110" s="96">
        <f>MAX(Tabella34[[#This Row],[Lombardy acc. fit]]-CIl,0)</f>
        <v>0</v>
      </c>
      <c r="BB110" s="10">
        <f>Tabella8[[#This Row],[rest of Italy ]]</f>
        <v>97311</v>
      </c>
      <c r="BC110" s="10">
        <f>(Tabella34[[#This Row],[rest of Italy cum. Data]]-BB109)</f>
        <v>2632</v>
      </c>
      <c r="BD110" s="10">
        <f>Tabella34[[#This Row],[rest of Italy data]]-BC109</f>
        <v>-518</v>
      </c>
      <c r="BE110" s="96">
        <f>Tabella34[[#This Row],[rest of Italy data]]*NOT(ISBLANK(Tabella34[[#This Row],[rest of Italy data]]))</f>
        <v>2632</v>
      </c>
      <c r="BF110" s="96">
        <f>Tabella8[[#This Row],[rest of Italy fit]]</f>
        <v>97510.752623245149</v>
      </c>
      <c r="BG110" s="163" t="e">
        <f>_xlfn.LOGNORM.INV(alpha*Tabella34[[#This Row],[rest of Italy cumul. Fit]]/Ko,mu_o,sigma_o)-(Tabella34[[#This Row],[Day]]-po)</f>
        <v>#NUM!</v>
      </c>
      <c r="BH110" s="96">
        <f>Tabella34[[#This Row],[rest of Italy cumul. Fit]]/Ka</f>
        <v>0.65885651334202677</v>
      </c>
      <c r="BI110" s="163">
        <f>IFERROR(Ko*_xlfn.LOGNORM.DIST((Tabella34[[#This Row],[Day]]-po),mu_o,sigma_o,FALSE),0)</f>
        <v>2587.1765619750977</v>
      </c>
      <c r="BJ110" s="206">
        <f>Tabella34[[#This Row],[rest of Italy velocity]]/Tabella34[[#This Row],[rest of Italy cumul. Fit]]</f>
        <v>2.6532218164403258E-2</v>
      </c>
      <c r="BK110" s="261">
        <f>(LN(Tabella34[[#This Row],[Day]]-po)-mu_o)/sigma_o</f>
        <v>0.40934434950812054</v>
      </c>
      <c r="BL110" s="269">
        <f>EXP(mu_o+sigma_o*Tabella34[[#This Row],[x_o_alpha©+plus]])-(Tabella34[[#This Row],[Day]]-po)</f>
        <v>15.300202373930716</v>
      </c>
      <c r="BM110" s="269">
        <f>EXP(mu_o+sigma_o*Tabella34[[#This Row],[x_o_alpha©-minus]])-(Tabella34[[#This Row],[Day]]-po)</f>
        <v>-32.224657459144687</v>
      </c>
      <c r="BN110" s="269">
        <f>-sigma_o+SQRT(sigma_o^2-2*Tabella34[[#This Row],[c_o]])</f>
        <v>1.0643014482706707</v>
      </c>
      <c r="BO110" s="269">
        <f>-sigma_o-SQRT(sigma_o^2-2*Tabella34[[#This Row],[c_o]])</f>
        <v>-1.7072742255696967</v>
      </c>
      <c r="BP110" s="269">
        <f>mu_o-LN(alpha*Ko/(Tabella34[[#This Row],[rest of Italy velocity]]*sigma_o*SQRTPI(2)))</f>
        <v>-0.90852721543450787</v>
      </c>
      <c r="BQ110" s="269">
        <f>Tabella34[[#This Row],[t_alpha_o+plus]]</f>
        <v>15.300202373930716</v>
      </c>
      <c r="BR110" s="91">
        <f>IFERROR(-Ka*_xlfn.LOGNORM.DIST((Tabella34[[#This Row],[Day]]-pa),mu_a,sigma_a,FALSE)*(1+(LN((Tabella34[[#This Row],[Day]]-pa))-mu_a)/sigma_a^2)/(Tabella34[[#This Row],[Day]]-pa),0)</f>
        <v>-90.09133236591498</v>
      </c>
      <c r="BS110" s="96">
        <f>Tabella34[[#This Row],[rest of Italy acc. fit]]/y_a_peak</f>
        <v>-2.6660952061232809E-2</v>
      </c>
      <c r="BT110" s="96">
        <f>Tabella34[[#This Row],[rest of Italy acc. fit]]*NOT(ISBLANK(Tabella34[[#This Row],[rest of Italy data]]))</f>
        <v>-90.09133236591498</v>
      </c>
      <c r="BU110" s="96">
        <f>Tabella34[[#This Row],[rest of Italy acc. fit]]+CIa</f>
        <v>604.56070349768243</v>
      </c>
      <c r="BV110" s="96">
        <f>MAX(Tabella34[[#This Row],[rest of Italy acc. fit]]-CIa,0)</f>
        <v>0</v>
      </c>
    </row>
    <row r="111" spans="2:74" x14ac:dyDescent="0.3">
      <c r="B111" s="288">
        <v>43934</v>
      </c>
      <c r="C111" s="4">
        <v>104</v>
      </c>
      <c r="D111" s="10">
        <f>Tabella8[[#This Row],[Italy cumulative]]</f>
        <v>159516</v>
      </c>
      <c r="E111" s="91">
        <f>(Tabella34[[#This Row],[Italy cumul. Data]]-D110)</f>
        <v>3153</v>
      </c>
      <c r="F111" s="91">
        <f>Tabella34[[#This Row],[Italy data]]-E110</f>
        <v>-939</v>
      </c>
      <c r="G111" s="96">
        <f>Tabella34[[#This Row],[Italy data]]*NOT(ISBLANK(Tabella34[[#This Row],[Italy data]]))</f>
        <v>3153</v>
      </c>
      <c r="H111" s="163">
        <f>Tabella8[[#This Row],[Italy fit]]</f>
        <v>159673.81088277901</v>
      </c>
      <c r="I111" s="163" t="e">
        <f>_xlfn.LOGNORM.INV(alpha*Tabella34[[#This Row],[Italy cumul. Fit]]/Kt,mu_t,sigma_t)-(Tabella34[[#This Row],[Day]]-pt)</f>
        <v>#NUM!</v>
      </c>
      <c r="J111" s="163" t="e">
        <f>Tabella34[[#This Row],[Italy d.t.]]/Italy_dt_at_lockdown</f>
        <v>#NUM!</v>
      </c>
      <c r="K111" s="96">
        <f>Tabella34[[#This Row],[Italy cumul. Fit]]/Kf</f>
        <v>0.67946321042736924</v>
      </c>
      <c r="L111" s="166">
        <f>Tabella34[[#This Row],[Lombardy acc. fit]]+Tabella34[[#This Row],[rest of Italy acc. fit]]</f>
        <v>-133.0034592179392</v>
      </c>
      <c r="M111" s="96">
        <f>Tabella34[[#This Row],[Italy (fitted Lombardy + fitted sum of the other regions)]]/(y_l_peak+y_a_peak)</f>
        <v>-2.5890748970461324E-2</v>
      </c>
      <c r="N111" s="163">
        <f>IFERROR(Kt*_xlfn.LOGNORM.DIST((Tabella34[[#This Row],[Day]]-pt),mu_t,sigma_t,FALSE),0)</f>
        <v>3746.1890187214435</v>
      </c>
      <c r="O111" s="163">
        <f>Kt*EXP(-0.5*Tabella34[[#This Row],[x_t]]^2)/(sigma_t*SQRTPI(2)*(Tabella34[[#This Row],[Day]]-D_bk))</f>
        <v>3746.1890187214422</v>
      </c>
      <c r="P111" s="206">
        <f>Tabella34[[#This Row],[Italy velocity]]/Tabella34[[#This Row],[Italy cumul. Fit]]</f>
        <v>2.3461511928663276E-2</v>
      </c>
      <c r="Q111" s="269">
        <f>(LN(Tabella34[[#This Row],[Day]]-D_bk)-mu_t)/sigma_t</f>
        <v>0.46619828175091593</v>
      </c>
      <c r="R111" s="269">
        <f>EXP(mu_t+sigma_t*Tabella34[[#This Row],[x_t_alpha©+plus]])-(Tabella34[[#This Row],[Day]]-D_bk)</f>
        <v>15.731361017960111</v>
      </c>
      <c r="S111" s="269">
        <f>EXP(mu_t+sigma_t*Tabella34[[#This Row],[x_t_alpha©-minus]])-(Tabella34[[#This Row],[Day]]-D_bk)</f>
        <v>-35.654082025418845</v>
      </c>
      <c r="T111" s="269">
        <f>-sigma_t+SQRT(sigma_t^2-2*Tabella34[[#This Row],[c_t]])</f>
        <v>1.1004120314604635</v>
      </c>
      <c r="U111" s="269">
        <f>-sigma_t-SQRT(sigma_t^2-2*Tabella34[[#This Row],[c_t]])</f>
        <v>-1.7196489373527006</v>
      </c>
      <c r="V111" s="269">
        <f>mu_t-LN(alpha*Kt/(Tabella34[[#This Row],[Italy velocity]]*sigma_t*SQRTPI(2)))</f>
        <v>-0.94616119027555623</v>
      </c>
      <c r="W111" s="269">
        <f>Tabella34[[#This Row],[Italy g.r.]]/Italy_gr_at_lockdown</f>
        <v>0.14834561478879019</v>
      </c>
      <c r="X111" s="269">
        <f>Tabella34[[#This Row],[t_alpha_t+plus]]</f>
        <v>15.731361017960111</v>
      </c>
      <c r="Y111" s="269">
        <f>Tabella34[[#This Row],[Italy h.t.]]/Italy_ht_at_lockdown</f>
        <v>0.28016574328095439</v>
      </c>
      <c r="Z111" s="91">
        <f>IFERROR(-Kf*_xlfn.LOGNORM.DIST((Tabella34[[#This Row],[Day]]-D_bk),mu_f,sigma_f,FALSE)*(1+(LN((Tabella34[[#This Row],[Day]]-D_bk))-mu_f)/sigma_f^2)/(Tabella34[[#This Row],[Day]]-D_bk),0)</f>
        <v>-129.46598203725304</v>
      </c>
      <c r="AA111" s="91">
        <f>Tabella34[[#This Row],[Italy acc. fit]]/Itali_acc_at_lockdown</f>
        <v>-0.53285439356980935</v>
      </c>
      <c r="AB111" s="96">
        <f>Tabella34[[#This Row],[Italy acc. fit]]/y_f_peak</f>
        <v>-2.5578017601946189E-2</v>
      </c>
      <c r="AC111" s="163">
        <f>Tabella34[[#This Row],[Italy (fitted Lombardy + fitted sum of the other regions)]]*NOT(ISBLANK(Tabella34[[#This Row],[Italy data]]))</f>
        <v>-133.0034592179392</v>
      </c>
      <c r="AD111" s="163">
        <f>Tabella34[[#This Row],[Italy acc. fit]]*NOT(ISBLANK(Tabella34[[#This Row],[Italy data]]))</f>
        <v>-129.46598203725304</v>
      </c>
      <c r="AE111" s="96">
        <f>Tabella34[[#This Row],[Italy acc. fit]]+CIf</f>
        <v>884.29701998306462</v>
      </c>
      <c r="AF111" s="96">
        <f>MAX(Tabella34[[#This Row],[Italy acc. fit]]-CIf,0)</f>
        <v>0</v>
      </c>
      <c r="AG111" s="4">
        <f>Tabella8[[#This Row],[Lombardy]]</f>
        <v>60314</v>
      </c>
      <c r="AH111" s="91">
        <f>(Tabella34[[#This Row],[Lombardy cumul. Data]]-AG110)</f>
        <v>1262</v>
      </c>
      <c r="AI111" s="91">
        <f>Tabella34[[#This Row],[Lombardy data]]-AH110</f>
        <v>-198</v>
      </c>
      <c r="AJ111" s="96">
        <f>Tabella34[[#This Row],[Lombardy data]]*NOT(ISBLANK(Tabella34[[#This Row],[Lombardy data]]))</f>
        <v>1262</v>
      </c>
      <c r="AK111" s="96">
        <f>Tabella8[[#This Row],[Lombardy fit]]</f>
        <v>60056.3217947015</v>
      </c>
      <c r="AL111" s="163" t="e">
        <f>_xlfn.LOGNORM.INV(alpha*Tabella34[[#This Row],[Lombardy cumul. Fit]]/Kr,mu_r,sigma_r)-(Tabella34[[#This Row],[Day]]-pr)</f>
        <v>#NUM!</v>
      </c>
      <c r="AM111" s="96">
        <f>Tabella34[[#This Row],[Lombardy cumul. Fit]]/Kl</f>
        <v>0.69030254936438507</v>
      </c>
      <c r="AN111" s="96">
        <f>IFERROR(Kr*_xlfn.LOGNORM.DIST((Tabella34[[#This Row],[Day]]-pr),mu_r,sigma_r,FALSE),0)</f>
        <v>1238.3168192739481</v>
      </c>
      <c r="AO111" s="209">
        <f>Tabella34[[#This Row],[Lombardy velocity]]/Tabella34[[#This Row],[Lombardy cumul. Fit]]</f>
        <v>2.0619258427231873E-2</v>
      </c>
      <c r="AP111" s="266">
        <f>(LN(Tabella34[[#This Row],[Day]]-pr)-mu_r)/sigma_r</f>
        <v>0.49670811181235841</v>
      </c>
      <c r="AQ111" s="269">
        <f>EXP(mu_r+sigma_r*Tabella34[[#This Row],[x_r_alpha©+plus]])-(Tabella34[[#This Row],[Day]]-pr)</f>
        <v>16.721828950957374</v>
      </c>
      <c r="AR111" s="269">
        <f>EXP(mu_r+sigma_r*Tabella34[[#This Row],[x_r_alpha©-minus]])-(Tabella34[[#This Row],[Day]]-pr)</f>
        <v>-39.308782213850009</v>
      </c>
      <c r="AS111" s="269">
        <f>-sigma_r+SQRT(sigma_r^2-2*Tabella34[[#This Row],[c_r]])</f>
        <v>1.1042491553127669</v>
      </c>
      <c r="AT111" s="269">
        <f>-sigma_r-SQRT(sigma_r^2-2*Tabella34[[#This Row],[c_r]])</f>
        <v>-1.7851037525064961</v>
      </c>
      <c r="AU111" s="269">
        <f>mu_r-LN(alpha*Kr/(Tabella34[[#This Row],[Lombardy velocity]]*sigma_r*SQRTPI(2)))</f>
        <v>-0.98559965542547445</v>
      </c>
      <c r="AV111" s="269">
        <f>Tabella34[[#This Row],[t_alpha_r+plus]]</f>
        <v>16.721828950957374</v>
      </c>
      <c r="AW111" s="91">
        <f>IFERROR(-Kl*_xlfn.LOGNORM.DIST((Tabella34[[#This Row],[Day]]-pl),mu_l,sigma_l,FALSE)*(1+(LN((Tabella34[[#This Row],[Day]]-pl))-mu_l)/sigma_l^2)/(Tabella34[[#This Row],[Day]]-pl),0)</f>
        <v>-41.841213980991569</v>
      </c>
      <c r="AX111" s="96">
        <f>Tabella34[[#This Row],[Lombardy acc. fit]]/y_l_peak</f>
        <v>-2.3801079404964461E-2</v>
      </c>
      <c r="AY111" s="163">
        <f>Tabella34[[#This Row],[Lombardy acc. fit]]*NOT(ISBLANK(Tabella34[[#This Row],[Lombardy data]]))</f>
        <v>-41.841213980991569</v>
      </c>
      <c r="AZ111" s="96">
        <f>Tabella34[[#This Row],[Lombardy acc. fit]]+CIl</f>
        <v>707.11415782263202</v>
      </c>
      <c r="BA111" s="96">
        <f>MAX(Tabella34[[#This Row],[Lombardy acc. fit]]-CIl,0)</f>
        <v>0</v>
      </c>
      <c r="BB111" s="10">
        <f>Tabella8[[#This Row],[rest of Italy ]]</f>
        <v>99202</v>
      </c>
      <c r="BC111" s="10">
        <f>(Tabella34[[#This Row],[rest of Italy cum. Data]]-BB110)</f>
        <v>1891</v>
      </c>
      <c r="BD111" s="10">
        <f>Tabella34[[#This Row],[rest of Italy data]]-BC110</f>
        <v>-741</v>
      </c>
      <c r="BE111" s="96">
        <f>Tabella34[[#This Row],[rest of Italy data]]*NOT(ISBLANK(Tabella34[[#This Row],[rest of Italy data]]))</f>
        <v>1891</v>
      </c>
      <c r="BF111" s="96">
        <f>Tabella8[[#This Row],[rest of Italy fit]]</f>
        <v>100052.68152131849</v>
      </c>
      <c r="BG111" s="163" t="e">
        <f>_xlfn.LOGNORM.INV(alpha*Tabella34[[#This Row],[rest of Italy cumul. Fit]]/Ko,mu_o,sigma_o)-(Tabella34[[#This Row],[Day]]-po)</f>
        <v>#NUM!</v>
      </c>
      <c r="BH111" s="96">
        <f>Tabella34[[#This Row],[rest of Italy cumul. Fit]]/Ka</f>
        <v>0.67603171059866962</v>
      </c>
      <c r="BI111" s="163">
        <f>IFERROR(Ko*_xlfn.LOGNORM.DIST((Tabella34[[#This Row],[Day]]-po),mu_o,sigma_o,FALSE),0)</f>
        <v>2496.5028887607327</v>
      </c>
      <c r="BJ111" s="206">
        <f>Tabella34[[#This Row],[rest of Italy velocity]]/Tabella34[[#This Row],[rest of Italy cumul. Fit]]</f>
        <v>2.4951883855594579E-2</v>
      </c>
      <c r="BK111" s="261">
        <f>(LN(Tabella34[[#This Row],[Day]]-po)-mu_o)/sigma_o</f>
        <v>0.45663060308288816</v>
      </c>
      <c r="BL111" s="269">
        <f>EXP(mu_o+sigma_o*Tabella34[[#This Row],[x_o_alpha©+plus]])-(Tabella34[[#This Row],[Day]]-po)</f>
        <v>14.963777741104423</v>
      </c>
      <c r="BM111" s="269">
        <f>EXP(mu_o+sigma_o*Tabella34[[#This Row],[x_o_alpha©-minus]])-(Tabella34[[#This Row],[Day]]-po)</f>
        <v>-33.494656281929515</v>
      </c>
      <c r="BN111" s="269">
        <f>-sigma_o+SQRT(sigma_o^2-2*Tabella34[[#This Row],[c_o]])</f>
        <v>1.0898110335626066</v>
      </c>
      <c r="BO111" s="269">
        <f>-sigma_o-SQRT(sigma_o^2-2*Tabella34[[#This Row],[c_o]])</f>
        <v>-1.7327838108616329</v>
      </c>
      <c r="BP111" s="269">
        <f>mu_o-LN(alpha*Ko/(Tabella34[[#This Row],[rest of Italy velocity]]*sigma_o*SQRTPI(2)))</f>
        <v>-0.94420345792783422</v>
      </c>
      <c r="BQ111" s="269">
        <f>Tabella34[[#This Row],[t_alpha_o+plus]]</f>
        <v>14.963777741104423</v>
      </c>
      <c r="BR111" s="91">
        <f>IFERROR(-Ka*_xlfn.LOGNORM.DIST((Tabella34[[#This Row],[Day]]-pa),mu_a,sigma_a,FALSE)*(1+(LN((Tabella34[[#This Row],[Day]]-pa))-mu_a)/sigma_a^2)/(Tabella34[[#This Row],[Day]]-pa),0)</f>
        <v>-91.162245236947626</v>
      </c>
      <c r="BS111" s="96">
        <f>Tabella34[[#This Row],[rest of Italy acc. fit]]/y_a_peak</f>
        <v>-2.6977869970720412E-2</v>
      </c>
      <c r="BT111" s="96">
        <f>Tabella34[[#This Row],[rest of Italy acc. fit]]*NOT(ISBLANK(Tabella34[[#This Row],[rest of Italy data]]))</f>
        <v>-91.162245236947626</v>
      </c>
      <c r="BU111" s="96">
        <f>Tabella34[[#This Row],[rest of Italy acc. fit]]+CIa</f>
        <v>603.48979062664966</v>
      </c>
      <c r="BV111" s="96">
        <f>MAX(Tabella34[[#This Row],[rest of Italy acc. fit]]-CIa,0)</f>
        <v>0</v>
      </c>
    </row>
    <row r="112" spans="2:74" x14ac:dyDescent="0.3">
      <c r="B112" s="288">
        <v>43935</v>
      </c>
      <c r="C112" s="4">
        <v>105</v>
      </c>
      <c r="D112" s="10">
        <f>Tabella8[[#This Row],[Italy cumulative]]</f>
        <v>162488</v>
      </c>
      <c r="E112" s="91">
        <f>(Tabella34[[#This Row],[Italy cumul. Data]]-D111)</f>
        <v>2972</v>
      </c>
      <c r="F112" s="91">
        <f>Tabella34[[#This Row],[Italy data]]-E111</f>
        <v>-181</v>
      </c>
      <c r="G112" s="96">
        <f>Tabella34[[#This Row],[Italy data]]*NOT(ISBLANK(Tabella34[[#This Row],[Italy data]]))</f>
        <v>2972</v>
      </c>
      <c r="H112" s="163">
        <f>Tabella8[[#This Row],[Italy fit]]</f>
        <v>163355.09950958795</v>
      </c>
      <c r="I112" s="163" t="e">
        <f>_xlfn.LOGNORM.INV(alpha*Tabella34[[#This Row],[Italy cumul. Fit]]/Kt,mu_t,sigma_t)-(Tabella34[[#This Row],[Day]]-pt)</f>
        <v>#NUM!</v>
      </c>
      <c r="J112" s="163" t="e">
        <f>Tabella34[[#This Row],[Italy d.t.]]/Italy_dt_at_lockdown</f>
        <v>#NUM!</v>
      </c>
      <c r="K112" s="96">
        <f>Tabella34[[#This Row],[Italy cumul. Fit]]/Kf</f>
        <v>0.69512827268806543</v>
      </c>
      <c r="L112" s="166">
        <f>Tabella34[[#This Row],[Lombardy acc. fit]]+Tabella34[[#This Row],[rest of Italy acc. fit]]</f>
        <v>-133.48532379522283</v>
      </c>
      <c r="M112" s="96">
        <f>Tabella34[[#This Row],[Italy (fitted Lombardy + fitted sum of the other regions)]]/(y_l_peak+y_a_peak)</f>
        <v>-2.5984549800015425E-2</v>
      </c>
      <c r="N112" s="163">
        <f>IFERROR(Kt*_xlfn.LOGNORM.DIST((Tabella34[[#This Row],[Day]]-pt),mu_t,sigma_t,FALSE),0)</f>
        <v>3616.2485747440851</v>
      </c>
      <c r="O112" s="163">
        <f>Kt*EXP(-0.5*Tabella34[[#This Row],[x_t]]^2)/(sigma_t*SQRTPI(2)*(Tabella34[[#This Row],[Day]]-D_bk))</f>
        <v>3616.2485747440865</v>
      </c>
      <c r="P112" s="206">
        <f>Tabella34[[#This Row],[Italy velocity]]/Tabella34[[#This Row],[Italy cumul. Fit]]</f>
        <v>2.2137347322492576E-2</v>
      </c>
      <c r="Q112" s="269">
        <f>(LN(Tabella34[[#This Row],[Day]]-D_bk)-mu_t)/sigma_t</f>
        <v>0.51043969291824765</v>
      </c>
      <c r="R112" s="269">
        <f>EXP(mu_t+sigma_t*Tabella34[[#This Row],[x_t_alpha©+plus]])-(Tabella34[[#This Row],[Day]]-D_bk)</f>
        <v>15.411984241773311</v>
      </c>
      <c r="S112" s="269">
        <f>EXP(mu_t+sigma_t*Tabella34[[#This Row],[x_t_alpha©-minus]])-(Tabella34[[#This Row],[Day]]-D_bk)</f>
        <v>-36.93615953995144</v>
      </c>
      <c r="T112" s="269">
        <f>-sigma_t+SQRT(sigma_t^2-2*Tabella34[[#This Row],[c_t]])</f>
        <v>1.1252298748287699</v>
      </c>
      <c r="U112" s="269">
        <f>-sigma_t-SQRT(sigma_t^2-2*Tabella34[[#This Row],[c_t]])</f>
        <v>-1.744466780721007</v>
      </c>
      <c r="V112" s="269">
        <f>mu_t-LN(alpha*Kt/(Tabella34[[#This Row],[Italy velocity]]*sigma_t*SQRTPI(2)))</f>
        <v>-0.98146306865682309</v>
      </c>
      <c r="W112" s="269">
        <f>Tabella34[[#This Row],[Italy g.r.]]/Italy_gr_at_lockdown</f>
        <v>0.13997300806245375</v>
      </c>
      <c r="X112" s="269">
        <f>Tabella34[[#This Row],[t_alpha_t+plus]]</f>
        <v>15.411984241773311</v>
      </c>
      <c r="Y112" s="269">
        <f>Tabella34[[#This Row],[Italy h.t.]]/Italy_ht_at_lockdown</f>
        <v>0.27447784178375434</v>
      </c>
      <c r="Z112" s="91">
        <f>IFERROR(-Kf*_xlfn.LOGNORM.DIST((Tabella34[[#This Row],[Day]]-D_bk),mu_f,sigma_f,FALSE)*(1+(LN((Tabella34[[#This Row],[Day]]-D_bk))-mu_f)/sigma_f^2)/(Tabella34[[#This Row],[Day]]-D_bk),0)</f>
        <v>-130.30492042124035</v>
      </c>
      <c r="AA112" s="91">
        <f>Tabella34[[#This Row],[Italy acc. fit]]/Itali_acc_at_lockdown</f>
        <v>-0.53630728518510151</v>
      </c>
      <c r="AB112" s="96">
        <f>Tabella34[[#This Row],[Italy acc. fit]]/y_f_peak</f>
        <v>-2.5743762922955698E-2</v>
      </c>
      <c r="AC112" s="163">
        <f>Tabella34[[#This Row],[Italy (fitted Lombardy + fitted sum of the other regions)]]*NOT(ISBLANK(Tabella34[[#This Row],[Italy data]]))</f>
        <v>-133.48532379522283</v>
      </c>
      <c r="AD112" s="163">
        <f>Tabella34[[#This Row],[Italy acc. fit]]*NOT(ISBLANK(Tabella34[[#This Row],[Italy data]]))</f>
        <v>-130.30492042124035</v>
      </c>
      <c r="AE112" s="96">
        <f>Tabella34[[#This Row],[Italy acc. fit]]+CIf</f>
        <v>883.45808159907733</v>
      </c>
      <c r="AF112" s="96">
        <f>MAX(Tabella34[[#This Row],[Italy acc. fit]]-CIf,0)</f>
        <v>0</v>
      </c>
      <c r="AG112" s="4">
        <f>Tabella8[[#This Row],[Lombardy]]</f>
        <v>61326</v>
      </c>
      <c r="AH112" s="91">
        <f>(Tabella34[[#This Row],[Lombardy cumul. Data]]-AG111)</f>
        <v>1012</v>
      </c>
      <c r="AI112" s="91">
        <f>Tabella34[[#This Row],[Lombardy data]]-AH111</f>
        <v>-250</v>
      </c>
      <c r="AJ112" s="96">
        <f>Tabella34[[#This Row],[Lombardy data]]*NOT(ISBLANK(Tabella34[[#This Row],[Lombardy data]]))</f>
        <v>1012</v>
      </c>
      <c r="AK112" s="96">
        <f>Tabella8[[#This Row],[Lombardy fit]]</f>
        <v>61273.720002643167</v>
      </c>
      <c r="AL112" s="163" t="e">
        <f>_xlfn.LOGNORM.INV(alpha*Tabella34[[#This Row],[Lombardy cumul. Fit]]/Kr,mu_r,sigma_r)-(Tabella34[[#This Row],[Day]]-pr)</f>
        <v>#NUM!</v>
      </c>
      <c r="AM112" s="96">
        <f>Tabella34[[#This Row],[Lombardy cumul. Fit]]/Kl</f>
        <v>0.70429563221428926</v>
      </c>
      <c r="AN112" s="96">
        <f>IFERROR(Kr*_xlfn.LOGNORM.DIST((Tabella34[[#This Row],[Day]]-pr),mu_r,sigma_r,FALSE),0)</f>
        <v>1196.4882383786437</v>
      </c>
      <c r="AO112" s="209">
        <f>Tabella34[[#This Row],[Lombardy velocity]]/Tabella34[[#This Row],[Lombardy cumul. Fit]]</f>
        <v>1.9526939743939663E-2</v>
      </c>
      <c r="AP112" s="266">
        <f>(LN(Tabella34[[#This Row],[Day]]-pr)-mu_r)/sigma_r</f>
        <v>0.53679570963203249</v>
      </c>
      <c r="AQ112" s="269">
        <f>EXP(mu_r+sigma_r*Tabella34[[#This Row],[x_r_alpha©+plus]])-(Tabella34[[#This Row],[Day]]-pr)</f>
        <v>16.44355107581562</v>
      </c>
      <c r="AR112" s="269">
        <f>EXP(mu_r+sigma_r*Tabella34[[#This Row],[x_r_alpha©-minus]])-(Tabella34[[#This Row],[Day]]-pr)</f>
        <v>-40.576516216965814</v>
      </c>
      <c r="AS112" s="269">
        <f>-sigma_r+SQRT(sigma_r^2-2*Tabella34[[#This Row],[c_r]])</f>
        <v>1.1278419434994365</v>
      </c>
      <c r="AT112" s="269">
        <f>-sigma_r-SQRT(sigma_r^2-2*Tabella34[[#This Row],[c_r]])</f>
        <v>-1.8086965406931657</v>
      </c>
      <c r="AU112" s="269">
        <f>mu_r-LN(alpha*Kr/(Tabella34[[#This Row],[Lombardy velocity]]*sigma_r*SQRTPI(2)))</f>
        <v>-1.0199619108280435</v>
      </c>
      <c r="AV112" s="269">
        <f>Tabella34[[#This Row],[t_alpha_r+plus]]</f>
        <v>16.44355107581562</v>
      </c>
      <c r="AW112" s="91">
        <f>IFERROR(-Kl*_xlfn.LOGNORM.DIST((Tabella34[[#This Row],[Day]]-pl),mu_l,sigma_l,FALSE)*(1+(LN((Tabella34[[#This Row],[Day]]-pl))-mu_l)/sigma_l^2)/(Tabella34[[#This Row],[Day]]-pl),0)</f>
        <v>-41.7896237660187</v>
      </c>
      <c r="AX112" s="96">
        <f>Tabella34[[#This Row],[Lombardy acc. fit]]/y_l_peak</f>
        <v>-2.3771732675119426E-2</v>
      </c>
      <c r="AY112" s="163">
        <f>Tabella34[[#This Row],[Lombardy acc. fit]]*NOT(ISBLANK(Tabella34[[#This Row],[Lombardy data]]))</f>
        <v>-41.7896237660187</v>
      </c>
      <c r="AZ112" s="96">
        <f>Tabella34[[#This Row],[Lombardy acc. fit]]+CIl</f>
        <v>707.16574803760489</v>
      </c>
      <c r="BA112" s="96">
        <f>MAX(Tabella34[[#This Row],[Lombardy acc. fit]]-CIl,0)</f>
        <v>0</v>
      </c>
      <c r="BB112" s="10">
        <f>Tabella8[[#This Row],[rest of Italy ]]</f>
        <v>101162</v>
      </c>
      <c r="BC112" s="10">
        <f>(Tabella34[[#This Row],[rest of Italy cum. Data]]-BB111)</f>
        <v>1960</v>
      </c>
      <c r="BD112" s="10">
        <f>Tabella34[[#This Row],[rest of Italy data]]-BC111</f>
        <v>69</v>
      </c>
      <c r="BE112" s="96">
        <f>Tabella34[[#This Row],[rest of Italy data]]*NOT(ISBLANK(Tabella34[[#This Row],[rest of Italy data]]))</f>
        <v>1960</v>
      </c>
      <c r="BF112" s="96">
        <f>Tabella8[[#This Row],[rest of Italy fit]]</f>
        <v>102503.49296044245</v>
      </c>
      <c r="BG112" s="163" t="e">
        <f>_xlfn.LOGNORM.INV(alpha*Tabella34[[#This Row],[rest of Italy cumul. Fit]]/Ko,mu_o,sigma_o)-(Tabella34[[#This Row],[Day]]-po)</f>
        <v>#NUM!</v>
      </c>
      <c r="BH112" s="96">
        <f>Tabella34[[#This Row],[rest of Italy cumul. Fit]]/Ka</f>
        <v>0.69259124927722804</v>
      </c>
      <c r="BI112" s="163">
        <f>IFERROR(Ko*_xlfn.LOGNORM.DIST((Tabella34[[#This Row],[Day]]-po),mu_o,sigma_o,FALSE),0)</f>
        <v>2405.0312191711232</v>
      </c>
      <c r="BJ112" s="206">
        <f>Tabella34[[#This Row],[rest of Italy velocity]]/Tabella34[[#This Row],[rest of Italy cumul. Fit]]</f>
        <v>2.3462919649960209E-2</v>
      </c>
      <c r="BK112" s="261">
        <f>(LN(Tabella34[[#This Row],[Day]]-po)-mu_o)/sigma_o</f>
        <v>0.50320876724223729</v>
      </c>
      <c r="BL112" s="269">
        <f>EXP(mu_o+sigma_o*Tabella34[[#This Row],[x_o_alpha©+plus]])-(Tabella34[[#This Row],[Day]]-po)</f>
        <v>14.651162781476827</v>
      </c>
      <c r="BM112" s="269">
        <f>EXP(mu_o+sigma_o*Tabella34[[#This Row],[x_o_alpha©-minus]])-(Tabella34[[#This Row],[Day]]-po)</f>
        <v>-34.769731303028152</v>
      </c>
      <c r="BN112" s="269">
        <f>-sigma_o+SQRT(sigma_o^2-2*Tabella34[[#This Row],[c_o]])</f>
        <v>1.1160171630926063</v>
      </c>
      <c r="BO112" s="269">
        <f>-sigma_o-SQRT(sigma_o^2-2*Tabella34[[#This Row],[c_o]])</f>
        <v>-1.7589899403916327</v>
      </c>
      <c r="BP112" s="269">
        <f>mu_o-LN(alpha*Ko/(Tabella34[[#This Row],[rest of Italy velocity]]*sigma_o*SQRTPI(2)))</f>
        <v>-0.98153148159215142</v>
      </c>
      <c r="BQ112" s="269">
        <f>Tabella34[[#This Row],[t_alpha_o+plus]]</f>
        <v>14.651162781476827</v>
      </c>
      <c r="BR112" s="91">
        <f>IFERROR(-Ka*_xlfn.LOGNORM.DIST((Tabella34[[#This Row],[Day]]-pa),mu_a,sigma_a,FALSE)*(1+(LN((Tabella34[[#This Row],[Day]]-pa))-mu_a)/sigma_a^2)/(Tabella34[[#This Row],[Day]]-pa),0)</f>
        <v>-91.695700029204119</v>
      </c>
      <c r="BS112" s="96">
        <f>Tabella34[[#This Row],[rest of Italy acc. fit]]/y_a_peak</f>
        <v>-2.7135736574195865E-2</v>
      </c>
      <c r="BT112" s="96">
        <f>Tabella34[[#This Row],[rest of Italy acc. fit]]*NOT(ISBLANK(Tabella34[[#This Row],[rest of Italy data]]))</f>
        <v>-91.695700029204119</v>
      </c>
      <c r="BU112" s="96">
        <f>Tabella34[[#This Row],[rest of Italy acc. fit]]+CIa</f>
        <v>602.95633583439326</v>
      </c>
      <c r="BV112" s="96">
        <f>MAX(Tabella34[[#This Row],[rest of Italy acc. fit]]-CIa,0)</f>
        <v>0</v>
      </c>
    </row>
    <row r="113" spans="2:74" x14ac:dyDescent="0.3">
      <c r="B113" s="288">
        <v>43936</v>
      </c>
      <c r="C113" s="4">
        <v>106</v>
      </c>
      <c r="D113" s="10">
        <f>Tabella8[[#This Row],[Italy cumulative]]</f>
        <v>165155</v>
      </c>
      <c r="E113" s="91">
        <f>(Tabella34[[#This Row],[Italy cumul. Data]]-D112)</f>
        <v>2667</v>
      </c>
      <c r="F113" s="91">
        <f>Tabella34[[#This Row],[Italy data]]-E112</f>
        <v>-305</v>
      </c>
      <c r="G113" s="96">
        <f>Tabella34[[#This Row],[Italy data]]*NOT(ISBLANK(Tabella34[[#This Row],[Italy data]]))</f>
        <v>2667</v>
      </c>
      <c r="H113" s="163">
        <f>Tabella8[[#This Row],[Italy fit]]</f>
        <v>166906.13577190106</v>
      </c>
      <c r="I113" s="163" t="e">
        <f>_xlfn.LOGNORM.INV(alpha*Tabella34[[#This Row],[Italy cumul. Fit]]/Kt,mu_t,sigma_t)-(Tabella34[[#This Row],[Day]]-pt)</f>
        <v>#NUM!</v>
      </c>
      <c r="J113" s="163" t="e">
        <f>Tabella34[[#This Row],[Italy d.t.]]/Italy_dt_at_lockdown</f>
        <v>#NUM!</v>
      </c>
      <c r="K113" s="96">
        <f>Tabella34[[#This Row],[Italy cumul. Fit]]/Kf</f>
        <v>0.71023906941669468</v>
      </c>
      <c r="L113" s="166">
        <f>Tabella34[[#This Row],[Lombardy acc. fit]]+Tabella34[[#This Row],[rest of Italy acc. fit]]</f>
        <v>-133.32940850868698</v>
      </c>
      <c r="M113" s="96">
        <f>Tabella34[[#This Row],[Italy (fitted Lombardy + fitted sum of the other regions)]]/(y_l_peak+y_a_peak)</f>
        <v>-2.5954198983817914E-2</v>
      </c>
      <c r="N113" s="163">
        <f>IFERROR(Kt*_xlfn.LOGNORM.DIST((Tabella34[[#This Row],[Day]]-pt),mu_t,sigma_t,FALSE),0)</f>
        <v>3485.7894060229742</v>
      </c>
      <c r="O113" s="163">
        <f>Kt*EXP(-0.5*Tabella34[[#This Row],[x_t]]^2)/(sigma_t*SQRTPI(2)*(Tabella34[[#This Row],[Day]]-D_bk))</f>
        <v>3485.7894060229751</v>
      </c>
      <c r="P113" s="206">
        <f>Tabella34[[#This Row],[Italy velocity]]/Tabella34[[#This Row],[Italy cumul. Fit]]</f>
        <v>2.0884728952006645E-2</v>
      </c>
      <c r="Q113" s="269">
        <f>(LN(Tabella34[[#This Row],[Day]]-D_bk)-mu_t)/sigma_t</f>
        <v>0.55408326705001831</v>
      </c>
      <c r="R113" s="269">
        <f>EXP(mu_t+sigma_t*Tabella34[[#This Row],[x_t_alpha©+plus]])-(Tabella34[[#This Row],[Day]]-D_bk)</f>
        <v>15.113533025931687</v>
      </c>
      <c r="S113" s="269">
        <f>EXP(mu_t+sigma_t*Tabella34[[#This Row],[x_t_alpha©-minus]])-(Tabella34[[#This Row],[Day]]-D_bk)</f>
        <v>-38.222425242534207</v>
      </c>
      <c r="T113" s="269">
        <f>-sigma_t+SQRT(sigma_t^2-2*Tabella34[[#This Row],[c_t]])</f>
        <v>1.1506127007566702</v>
      </c>
      <c r="U113" s="269">
        <f>-sigma_t-SQRT(sigma_t^2-2*Tabella34[[#This Row],[c_t]])</f>
        <v>-1.7698496066489073</v>
      </c>
      <c r="V113" s="269">
        <f>mu_t-LN(alpha*Kt/(Tabella34[[#This Row],[Italy velocity]]*sigma_t*SQRTPI(2)))</f>
        <v>-1.0182057179197148</v>
      </c>
      <c r="W113" s="269">
        <f>Tabella34[[#This Row],[Italy g.r.]]/Italy_gr_at_lockdown</f>
        <v>0.13205278353342634</v>
      </c>
      <c r="X113" s="269">
        <f>Tabella34[[#This Row],[t_alpha_t+plus]]</f>
        <v>15.113533025931687</v>
      </c>
      <c r="Y113" s="269">
        <f>Tabella34[[#This Row],[Italy h.t.]]/Italy_ht_at_lockdown</f>
        <v>0.26916261148524989</v>
      </c>
      <c r="Z113" s="91">
        <f>IFERROR(-Kf*_xlfn.LOGNORM.DIST((Tabella34[[#This Row],[Day]]-D_bk),mu_f,sigma_f,FALSE)*(1+(LN((Tabella34[[#This Row],[Day]]-D_bk))-mu_f)/sigma_f^2)/(Tabella34[[#This Row],[Day]]-D_bk),0)</f>
        <v>-130.51314776939901</v>
      </c>
      <c r="AA113" s="91">
        <f>Tabella34[[#This Row],[Italy acc. fit]]/Itali_acc_at_lockdown</f>
        <v>-0.5371643045780089</v>
      </c>
      <c r="AB113" s="96">
        <f>Tabella34[[#This Row],[Italy acc. fit]]/y_f_peak</f>
        <v>-2.5784901472963962E-2</v>
      </c>
      <c r="AC113" s="163">
        <f>Tabella34[[#This Row],[Italy (fitted Lombardy + fitted sum of the other regions)]]*NOT(ISBLANK(Tabella34[[#This Row],[Italy data]]))</f>
        <v>-133.32940850868698</v>
      </c>
      <c r="AD113" s="163">
        <f>Tabella34[[#This Row],[Italy acc. fit]]*NOT(ISBLANK(Tabella34[[#This Row],[Italy data]]))</f>
        <v>-130.51314776939901</v>
      </c>
      <c r="AE113" s="96">
        <f>Tabella34[[#This Row],[Italy acc. fit]]+CIf</f>
        <v>883.2498542509187</v>
      </c>
      <c r="AF113" s="96">
        <f>MAX(Tabella34[[#This Row],[Italy acc. fit]]-CIf,0)</f>
        <v>0</v>
      </c>
      <c r="AG113" s="4">
        <f>Tabella8[[#This Row],[Lombardy]]</f>
        <v>62153</v>
      </c>
      <c r="AH113" s="91">
        <f>(Tabella34[[#This Row],[Lombardy cumul. Data]]-AG112)</f>
        <v>827</v>
      </c>
      <c r="AI113" s="91">
        <f>Tabella34[[#This Row],[Lombardy data]]-AH112</f>
        <v>-185</v>
      </c>
      <c r="AJ113" s="96">
        <f>Tabella34[[#This Row],[Lombardy data]]*NOT(ISBLANK(Tabella34[[#This Row],[Lombardy data]]))</f>
        <v>827</v>
      </c>
      <c r="AK113" s="96">
        <f>Tabella8[[#This Row],[Lombardy fit]]</f>
        <v>62449.3411037525</v>
      </c>
      <c r="AL113" s="163" t="e">
        <f>_xlfn.LOGNORM.INV(alpha*Tabella34[[#This Row],[Lombardy cumul. Fit]]/Kr,mu_r,sigma_r)-(Tabella34[[#This Row],[Day]]-pr)</f>
        <v>#NUM!</v>
      </c>
      <c r="AM113" s="96">
        <f>Tabella34[[#This Row],[Lombardy cumul. Fit]]/Kl</f>
        <v>0.71780851843393678</v>
      </c>
      <c r="AN113" s="96">
        <f>IFERROR(Kr*_xlfn.LOGNORM.DIST((Tabella34[[#This Row],[Day]]-pr),mu_r,sigma_r,FALSE),0)</f>
        <v>1154.7876425778054</v>
      </c>
      <c r="AO113" s="209">
        <f>Tabella34[[#This Row],[Lombardy velocity]]/Tabella34[[#This Row],[Lombardy cumul. Fit]]</f>
        <v>1.8491590498276943E-2</v>
      </c>
      <c r="AP113" s="266">
        <f>(LN(Tabella34[[#This Row],[Day]]-pr)-mu_r)/sigma_r</f>
        <v>0.57634359268344515</v>
      </c>
      <c r="AQ113" s="269">
        <f>EXP(mu_r+sigma_r*Tabella34[[#This Row],[x_r_alpha©+plus]])-(Tabella34[[#This Row],[Day]]-pr)</f>
        <v>16.182620127214776</v>
      </c>
      <c r="AR113" s="269">
        <f>EXP(mu_r+sigma_r*Tabella34[[#This Row],[x_r_alpha©-minus]])-(Tabella34[[#This Row],[Day]]-pr)</f>
        <v>-41.846282274466112</v>
      </c>
      <c r="AS113" s="269">
        <f>-sigma_r+SQRT(sigma_r^2-2*Tabella34[[#This Row],[c_r]])</f>
        <v>1.1518070088156085</v>
      </c>
      <c r="AT113" s="269">
        <f>-sigma_r-SQRT(sigma_r^2-2*Tabella34[[#This Row],[c_r]])</f>
        <v>-1.8326616060093377</v>
      </c>
      <c r="AU113" s="269">
        <f>mu_r-LN(alpha*Kr/(Tabella34[[#This Row],[Lombardy velocity]]*sigma_r*SQRTPI(2)))</f>
        <v>-1.0554362412944123</v>
      </c>
      <c r="AV113" s="269">
        <f>Tabella34[[#This Row],[t_alpha_r+plus]]</f>
        <v>16.182620127214776</v>
      </c>
      <c r="AW113" s="91">
        <f>IFERROR(-Kl*_xlfn.LOGNORM.DIST((Tabella34[[#This Row],[Day]]-pl),mu_l,sigma_l,FALSE)*(1+(LN((Tabella34[[#This Row],[Day]]-pl))-mu_l)/sigma_l^2)/(Tabella34[[#This Row],[Day]]-pl),0)</f>
        <v>-41.587802441452652</v>
      </c>
      <c r="AX113" s="96">
        <f>Tabella34[[#This Row],[Lombardy acc. fit]]/y_l_peak</f>
        <v>-2.3656928038385084E-2</v>
      </c>
      <c r="AY113" s="163">
        <f>Tabella34[[#This Row],[Lombardy acc. fit]]*NOT(ISBLANK(Tabella34[[#This Row],[Lombardy data]]))</f>
        <v>-41.587802441452652</v>
      </c>
      <c r="AZ113" s="96">
        <f>Tabella34[[#This Row],[Lombardy acc. fit]]+CIl</f>
        <v>707.36756936217103</v>
      </c>
      <c r="BA113" s="96">
        <f>MAX(Tabella34[[#This Row],[Lombardy acc. fit]]-CIl,0)</f>
        <v>0</v>
      </c>
      <c r="BB113" s="10">
        <f>Tabella8[[#This Row],[rest of Italy ]]</f>
        <v>103002</v>
      </c>
      <c r="BC113" s="10">
        <f>(Tabella34[[#This Row],[rest of Italy cum. Data]]-BB112)</f>
        <v>1840</v>
      </c>
      <c r="BD113" s="10">
        <f>Tabella34[[#This Row],[rest of Italy data]]-BC112</f>
        <v>-120</v>
      </c>
      <c r="BE113" s="96">
        <f>Tabella34[[#This Row],[rest of Italy data]]*NOT(ISBLANK(Tabella34[[#This Row],[rest of Italy data]]))</f>
        <v>1840</v>
      </c>
      <c r="BF113" s="96">
        <f>Tabella8[[#This Row],[rest of Italy fit]]</f>
        <v>104862.64932420803</v>
      </c>
      <c r="BG113" s="163" t="e">
        <f>_xlfn.LOGNORM.INV(alpha*Tabella34[[#This Row],[rest of Italy cumul. Fit]]/Ko,mu_o,sigma_o)-(Tabella34[[#This Row],[Day]]-po)</f>
        <v>#NUM!</v>
      </c>
      <c r="BH113" s="96">
        <f>Tabella34[[#This Row],[rest of Italy cumul. Fit]]/Ka</f>
        <v>0.70853149683397509</v>
      </c>
      <c r="BI113" s="163">
        <f>IFERROR(Ko*_xlfn.LOGNORM.DIST((Tabella34[[#This Row],[Day]]-po),mu_o,sigma_o,FALSE),0)</f>
        <v>2313.2739932466784</v>
      </c>
      <c r="BJ113" s="206">
        <f>Tabella34[[#This Row],[rest of Italy velocity]]/Tabella34[[#This Row],[rest of Italy cumul. Fit]]</f>
        <v>2.2060037660260108E-2</v>
      </c>
      <c r="BK113" s="261">
        <f>(LN(Tabella34[[#This Row],[Day]]-po)-mu_o)/sigma_o</f>
        <v>0.54909973610340623</v>
      </c>
      <c r="BL113" s="269">
        <f>EXP(mu_o+sigma_o*Tabella34[[#This Row],[x_o_alpha©+plus]])-(Tabella34[[#This Row],[Day]]-po)</f>
        <v>14.360409359908743</v>
      </c>
      <c r="BM113" s="269">
        <f>EXP(mu_o+sigma_o*Tabella34[[#This Row],[x_o_alpha©-minus]])-(Tabella34[[#This Row],[Day]]-po)</f>
        <v>-36.048758290436858</v>
      </c>
      <c r="BN113" s="269">
        <f>-sigma_o+SQRT(sigma_o^2-2*Tabella34[[#This Row],[c_o]])</f>
        <v>1.1428272941835727</v>
      </c>
      <c r="BO113" s="269">
        <f>-sigma_o-SQRT(sigma_o^2-2*Tabella34[[#This Row],[c_o]])</f>
        <v>-1.785800071482599</v>
      </c>
      <c r="BP113" s="269">
        <f>mu_o-LN(alpha*Ko/(Tabella34[[#This Row],[rest of Italy velocity]]*sigma_o*SQRTPI(2)))</f>
        <v>-1.0204305318226448</v>
      </c>
      <c r="BQ113" s="269">
        <f>Tabella34[[#This Row],[t_alpha_o+plus]]</f>
        <v>14.360409359908743</v>
      </c>
      <c r="BR113" s="91">
        <f>IFERROR(-Ka*_xlfn.LOGNORM.DIST((Tabella34[[#This Row],[Day]]-pa),mu_a,sigma_a,FALSE)*(1+(LN((Tabella34[[#This Row],[Day]]-pa))-mu_a)/sigma_a^2)/(Tabella34[[#This Row],[Day]]-pa),0)</f>
        <v>-91.741606067234315</v>
      </c>
      <c r="BS113" s="96">
        <f>Tabella34[[#This Row],[rest of Italy acc. fit]]/y_a_peak</f>
        <v>-2.7149321662207144E-2</v>
      </c>
      <c r="BT113" s="96">
        <f>Tabella34[[#This Row],[rest of Italy acc. fit]]*NOT(ISBLANK(Tabella34[[#This Row],[rest of Italy data]]))</f>
        <v>-91.741606067234315</v>
      </c>
      <c r="BU113" s="96">
        <f>Tabella34[[#This Row],[rest of Italy acc. fit]]+CIa</f>
        <v>602.91042979636302</v>
      </c>
      <c r="BV113" s="96">
        <f>MAX(Tabella34[[#This Row],[rest of Italy acc. fit]]-CIa,0)</f>
        <v>0</v>
      </c>
    </row>
    <row r="114" spans="2:74" x14ac:dyDescent="0.3">
      <c r="B114" s="288">
        <v>43937</v>
      </c>
      <c r="C114" s="4">
        <v>107</v>
      </c>
      <c r="D114" s="10">
        <f>Tabella8[[#This Row],[Italy cumulative]]</f>
        <v>168941</v>
      </c>
      <c r="E114" s="91">
        <f>(Tabella34[[#This Row],[Italy cumul. Data]]-D113)</f>
        <v>3786</v>
      </c>
      <c r="F114" s="91">
        <f>Tabella34[[#This Row],[Italy data]]-E113</f>
        <v>1119</v>
      </c>
      <c r="G114" s="96">
        <f>Tabella34[[#This Row],[Italy data]]*NOT(ISBLANK(Tabella34[[#This Row],[Italy data]]))</f>
        <v>3786</v>
      </c>
      <c r="H114" s="163">
        <f>Tabella8[[#This Row],[Italy fit]]</f>
        <v>170326.70662412138</v>
      </c>
      <c r="I114" s="163" t="e">
        <f>_xlfn.LOGNORM.INV(alpha*Tabella34[[#This Row],[Italy cumul. Fit]]/Kt,mu_t,sigma_t)-(Tabella34[[#This Row],[Day]]-pt)</f>
        <v>#NUM!</v>
      </c>
      <c r="J114" s="163" t="e">
        <f>Tabella34[[#This Row],[Italy d.t.]]/Italy_dt_at_lockdown</f>
        <v>#NUM!</v>
      </c>
      <c r="K114" s="96">
        <f>Tabella34[[#This Row],[Italy cumul. Fit]]/Kf</f>
        <v>0.72479469403600139</v>
      </c>
      <c r="L114" s="166">
        <f>Tabella34[[#This Row],[Lombardy acc. fit]]+Tabella34[[#This Row],[rest of Italy acc. fit]]</f>
        <v>-132.59964032388055</v>
      </c>
      <c r="M114" s="96">
        <f>Tabella34[[#This Row],[Italy (fitted Lombardy + fitted sum of the other regions)]]/(y_l_peak+y_a_peak)</f>
        <v>-2.5812140687059688E-2</v>
      </c>
      <c r="N114" s="163">
        <f>IFERROR(Kt*_xlfn.LOGNORM.DIST((Tabella34[[#This Row],[Day]]-pt),mu_t,sigma_t,FALSE),0)</f>
        <v>3355.4132375153608</v>
      </c>
      <c r="O114" s="163">
        <f>Kt*EXP(-0.5*Tabella34[[#This Row],[x_t]]^2)/(sigma_t*SQRTPI(2)*(Tabella34[[#This Row],[Day]]-D_bk))</f>
        <v>3355.4132375153604</v>
      </c>
      <c r="P114" s="206">
        <f>Tabella34[[#This Row],[Italy velocity]]/Tabella34[[#This Row],[Italy cumul. Fit]]</f>
        <v>1.9699865652425954E-2</v>
      </c>
      <c r="Q114" s="269">
        <f>(LN(Tabella34[[#This Row],[Day]]-D_bk)-mu_t)/sigma_t</f>
        <v>0.59714494618049152</v>
      </c>
      <c r="R114" s="269">
        <f>EXP(mu_t+sigma_t*Tabella34[[#This Row],[x_t_alpha©+plus]])-(Tabella34[[#This Row],[Day]]-D_bk)</f>
        <v>14.834408006172495</v>
      </c>
      <c r="S114" s="269">
        <f>EXP(mu_t+sigma_t*Tabella34[[#This Row],[x_t_alpha©-minus]])-(Tabella34[[#This Row],[Day]]-D_bk)</f>
        <v>-39.511945434379413</v>
      </c>
      <c r="T114" s="269">
        <f>-sigma_t+SQRT(sigma_t^2-2*Tabella34[[#This Row],[c_t]])</f>
        <v>1.1764886169231878</v>
      </c>
      <c r="U114" s="269">
        <f>-sigma_t-SQRT(sigma_t^2-2*Tabella34[[#This Row],[c_t]])</f>
        <v>-1.795725522815425</v>
      </c>
      <c r="V114" s="269">
        <f>mu_t-LN(alpha*Kt/(Tabella34[[#This Row],[Italy velocity]]*sigma_t*SQRTPI(2)))</f>
        <v>-1.0563253183553938</v>
      </c>
      <c r="W114" s="269">
        <f>Tabella34[[#This Row],[Italy g.r.]]/Italy_gr_at_lockdown</f>
        <v>0.12456096991325499</v>
      </c>
      <c r="X114" s="269">
        <f>Tabella34[[#This Row],[t_alpha_t+plus]]</f>
        <v>14.834408006172495</v>
      </c>
      <c r="Y114" s="269">
        <f>Tabella34[[#This Row],[Italy h.t.]]/Italy_ht_at_lockdown</f>
        <v>0.26419156870389965</v>
      </c>
      <c r="Z114" s="91">
        <f>IFERROR(-Kf*_xlfn.LOGNORM.DIST((Tabella34[[#This Row],[Day]]-D_bk),mu_f,sigma_f,FALSE)*(1+(LN((Tabella34[[#This Row],[Day]]-D_bk))-mu_f)/sigma_f^2)/(Tabella34[[#This Row],[Day]]-D_bk),0)</f>
        <v>-130.14845460298747</v>
      </c>
      <c r="AA114" s="91">
        <f>Tabella34[[#This Row],[Italy acc. fit]]/Itali_acc_at_lockdown</f>
        <v>-0.53566330521918615</v>
      </c>
      <c r="AB114" s="96">
        <f>Tabella34[[#This Row],[Italy acc. fit]]/y_f_peak</f>
        <v>-2.5712850667933961E-2</v>
      </c>
      <c r="AC114" s="163">
        <f>Tabella34[[#This Row],[Italy (fitted Lombardy + fitted sum of the other regions)]]*NOT(ISBLANK(Tabella34[[#This Row],[Italy data]]))</f>
        <v>-132.59964032388055</v>
      </c>
      <c r="AD114" s="163">
        <f>Tabella34[[#This Row],[Italy acc. fit]]*NOT(ISBLANK(Tabella34[[#This Row],[Italy data]]))</f>
        <v>-130.14845460298747</v>
      </c>
      <c r="AE114" s="96">
        <f>Tabella34[[#This Row],[Italy acc. fit]]+CIf</f>
        <v>883.61454741733019</v>
      </c>
      <c r="AF114" s="96">
        <f>MAX(Tabella34[[#This Row],[Italy acc. fit]]-CIf,0)</f>
        <v>0</v>
      </c>
      <c r="AG114" s="4">
        <f>Tabella8[[#This Row],[Lombardy]]</f>
        <v>63094</v>
      </c>
      <c r="AH114" s="91">
        <f>(Tabella34[[#This Row],[Lombardy cumul. Data]]-AG113)</f>
        <v>941</v>
      </c>
      <c r="AI114" s="91">
        <f>Tabella34[[#This Row],[Lombardy data]]-AH113</f>
        <v>114</v>
      </c>
      <c r="AJ114" s="96">
        <f>Tabella34[[#This Row],[Lombardy data]]*NOT(ISBLANK(Tabella34[[#This Row],[Lombardy data]]))</f>
        <v>941</v>
      </c>
      <c r="AK114" s="96">
        <f>Tabella8[[#This Row],[Lombardy fit]]</f>
        <v>63583.38566421374</v>
      </c>
      <c r="AL114" s="163" t="e">
        <f>_xlfn.LOGNORM.INV(alpha*Tabella34[[#This Row],[Lombardy cumul. Fit]]/Kr,mu_r,sigma_r)-(Tabella34[[#This Row],[Day]]-pr)</f>
        <v>#NUM!</v>
      </c>
      <c r="AM114" s="96">
        <f>Tabella34[[#This Row],[Lombardy cumul. Fit]]/Kl</f>
        <v>0.73084351338176712</v>
      </c>
      <c r="AN114" s="96">
        <f>IFERROR(Kr*_xlfn.LOGNORM.DIST((Tabella34[[#This Row],[Day]]-pr),mu_r,sigma_r,FALSE),0)</f>
        <v>1113.3576842095831</v>
      </c>
      <c r="AO114" s="209">
        <f>Tabella34[[#This Row],[Lombardy velocity]]/Tabella34[[#This Row],[Lombardy cumul. Fit]]</f>
        <v>1.7510198184306623E-2</v>
      </c>
      <c r="AP114" s="266">
        <f>(LN(Tabella34[[#This Row],[Day]]-pr)-mu_r)/sigma_r</f>
        <v>0.61536610089193788</v>
      </c>
      <c r="AQ114" s="269">
        <f>EXP(mu_r+sigma_r*Tabella34[[#This Row],[x_r_alpha©+plus]])-(Tabella34[[#This Row],[Day]]-pr)</f>
        <v>15.937779124260302</v>
      </c>
      <c r="AR114" s="269">
        <f>EXP(mu_r+sigma_r*Tabella34[[#This Row],[x_r_alpha©-minus]])-(Tabella34[[#This Row],[Day]]-pr)</f>
        <v>-43.117430584473638</v>
      </c>
      <c r="AS114" s="269">
        <f>-sigma_r+SQRT(sigma_r^2-2*Tabella34[[#This Row],[c_r]])</f>
        <v>1.1760935168310844</v>
      </c>
      <c r="AT114" s="269">
        <f>-sigma_r-SQRT(sigma_r^2-2*Tabella34[[#This Row],[c_r]])</f>
        <v>-1.8569481140248136</v>
      </c>
      <c r="AU114" s="269">
        <f>mu_r-LN(alpha*Kr/(Tabella34[[#This Row],[Lombardy velocity]]*sigma_r*SQRTPI(2)))</f>
        <v>-1.0919723189981463</v>
      </c>
      <c r="AV114" s="269">
        <f>Tabella34[[#This Row],[t_alpha_r+plus]]</f>
        <v>15.937779124260302</v>
      </c>
      <c r="AW114" s="91">
        <f>IFERROR(-Kl*_xlfn.LOGNORM.DIST((Tabella34[[#This Row],[Day]]-pl),mu_l,sigma_l,FALSE)*(1+(LN((Tabella34[[#This Row],[Day]]-pl))-mu_l)/sigma_l^2)/(Tabella34[[#This Row],[Day]]-pl),0)</f>
        <v>-41.250807743118685</v>
      </c>
      <c r="AX114" s="96">
        <f>Tabella34[[#This Row],[Lombardy acc. fit]]/y_l_peak</f>
        <v>-2.3465230981561096E-2</v>
      </c>
      <c r="AY114" s="163">
        <f>Tabella34[[#This Row],[Lombardy acc. fit]]*NOT(ISBLANK(Tabella34[[#This Row],[Lombardy data]]))</f>
        <v>-41.250807743118685</v>
      </c>
      <c r="AZ114" s="96">
        <f>Tabella34[[#This Row],[Lombardy acc. fit]]+CIl</f>
        <v>707.70456406050494</v>
      </c>
      <c r="BA114" s="96">
        <f>MAX(Tabella34[[#This Row],[Lombardy acc. fit]]-CIl,0)</f>
        <v>0</v>
      </c>
      <c r="BB114" s="10">
        <f>Tabella8[[#This Row],[rest of Italy ]]</f>
        <v>105847</v>
      </c>
      <c r="BC114" s="10">
        <f>(Tabella34[[#This Row],[rest of Italy cum. Data]]-BB113)</f>
        <v>2845</v>
      </c>
      <c r="BD114" s="10">
        <f>Tabella34[[#This Row],[rest of Italy data]]-BC113</f>
        <v>1005</v>
      </c>
      <c r="BE114" s="96">
        <f>Tabella34[[#This Row],[rest of Italy data]]*NOT(ISBLANK(Tabella34[[#This Row],[rest of Italy data]]))</f>
        <v>2845</v>
      </c>
      <c r="BF114" s="96">
        <f>Tabella8[[#This Row],[rest of Italy fit]]</f>
        <v>107130.10063210889</v>
      </c>
      <c r="BG114" s="163" t="e">
        <f>_xlfn.LOGNORM.INV(alpha*Tabella34[[#This Row],[rest of Italy cumul. Fit]]/Ko,mu_o,sigma_o)-(Tabella34[[#This Row],[Day]]-po)</f>
        <v>#NUM!</v>
      </c>
      <c r="BH114" s="96">
        <f>Tabella34[[#This Row],[rest of Italy cumul. Fit]]/Ka</f>
        <v>0.72385211556274742</v>
      </c>
      <c r="BI114" s="163">
        <f>IFERROR(Ko*_xlfn.LOGNORM.DIST((Tabella34[[#This Row],[Day]]-po),mu_o,sigma_o,FALSE),0)</f>
        <v>2221.6942164173033</v>
      </c>
      <c r="BJ114" s="206">
        <f>Tabella34[[#This Row],[rest of Italy velocity]]/Tabella34[[#This Row],[rest of Italy cumul. Fit]]</f>
        <v>2.0738281802298801E-2</v>
      </c>
      <c r="BK114" s="261">
        <f>(LN(Tabella34[[#This Row],[Day]]-po)-mu_o)/sigma_o</f>
        <v>0.59432349240646354</v>
      </c>
      <c r="BL114" s="269">
        <f>EXP(mu_o+sigma_o*Tabella34[[#This Row],[x_o_alpha©+plus]])-(Tabella34[[#This Row],[Day]]-po)</f>
        <v>14.089739320240838</v>
      </c>
      <c r="BM114" s="269">
        <f>EXP(mu_o+sigma_o*Tabella34[[#This Row],[x_o_alpha©-minus]])-(Tabella34[[#This Row],[Day]]-po)</f>
        <v>-37.330735446228431</v>
      </c>
      <c r="BN114" s="269">
        <f>-sigma_o+SQRT(sigma_o^2-2*Tabella34[[#This Row],[c_o]])</f>
        <v>1.1701577040749047</v>
      </c>
      <c r="BO114" s="269">
        <f>-sigma_o-SQRT(sigma_o^2-2*Tabella34[[#This Row],[c_o]])</f>
        <v>-1.8131304813739311</v>
      </c>
      <c r="BP114" s="269">
        <f>mu_o-LN(alpha*Ko/(Tabella34[[#This Row],[rest of Italy velocity]]*sigma_o*SQRTPI(2)))</f>
        <v>-1.0608243006363729</v>
      </c>
      <c r="BQ114" s="269">
        <f>Tabella34[[#This Row],[t_alpha_o+plus]]</f>
        <v>14.089739320240838</v>
      </c>
      <c r="BR114" s="91">
        <f>IFERROR(-Ka*_xlfn.LOGNORM.DIST((Tabella34[[#This Row],[Day]]-pa),mu_a,sigma_a,FALSE)*(1+(LN((Tabella34[[#This Row],[Day]]-pa))-mu_a)/sigma_a^2)/(Tabella34[[#This Row],[Day]]-pa),0)</f>
        <v>-91.348832580761865</v>
      </c>
      <c r="BS114" s="96">
        <f>Tabella34[[#This Row],[rest of Italy acc. fit]]/y_a_peak</f>
        <v>-2.7033087227453383E-2</v>
      </c>
      <c r="BT114" s="96">
        <f>Tabella34[[#This Row],[rest of Italy acc. fit]]*NOT(ISBLANK(Tabella34[[#This Row],[rest of Italy data]]))</f>
        <v>-91.348832580761865</v>
      </c>
      <c r="BU114" s="96">
        <f>Tabella34[[#This Row],[rest of Italy acc. fit]]+CIa</f>
        <v>603.30320328283551</v>
      </c>
      <c r="BV114" s="96">
        <f>MAX(Tabella34[[#This Row],[rest of Italy acc. fit]]-CIa,0)</f>
        <v>0</v>
      </c>
    </row>
    <row r="115" spans="2:74" x14ac:dyDescent="0.3">
      <c r="B115" s="288">
        <v>43938</v>
      </c>
      <c r="C115" s="4">
        <v>108</v>
      </c>
      <c r="D115" s="10">
        <f>Tabella8[[#This Row],[Italy cumulative]]</f>
        <v>172434</v>
      </c>
      <c r="E115" s="91">
        <f>(Tabella34[[#This Row],[Italy cumul. Data]]-D114)</f>
        <v>3493</v>
      </c>
      <c r="F115" s="91">
        <f>Tabella34[[#This Row],[Italy data]]-E114</f>
        <v>-293</v>
      </c>
      <c r="G115" s="96">
        <f>Tabella34[[#This Row],[Italy data]]*NOT(ISBLANK(Tabella34[[#This Row],[Italy data]]))</f>
        <v>3493</v>
      </c>
      <c r="H115" s="163">
        <f>Tabella8[[#This Row],[Italy fit]]</f>
        <v>173617.17205452768</v>
      </c>
      <c r="I115" s="163" t="e">
        <f>_xlfn.LOGNORM.INV(alpha*Tabella34[[#This Row],[Italy cumul. Fit]]/Kt,mu_t,sigma_t)-(Tabella34[[#This Row],[Day]]-pt)</f>
        <v>#NUM!</v>
      </c>
      <c r="J115" s="163" t="e">
        <f>Tabella34[[#This Row],[Italy d.t.]]/Italy_dt_at_lockdown</f>
        <v>#NUM!</v>
      </c>
      <c r="K115" s="96">
        <f>Tabella34[[#This Row],[Italy cumul. Fit]]/Kf</f>
        <v>0.73879667841141961</v>
      </c>
      <c r="L115" s="166">
        <f>Tabella34[[#This Row],[Lombardy acc. fit]]+Tabella34[[#This Row],[rest of Italy acc. fit]]</f>
        <v>-131.35778230092768</v>
      </c>
      <c r="M115" s="96">
        <f>Tabella34[[#This Row],[Italy (fitted Lombardy + fitted sum of the other regions)]]/(y_l_peak+y_a_peak)</f>
        <v>-2.5570397844292412E-2</v>
      </c>
      <c r="N115" s="163">
        <f>IFERROR(Kt*_xlfn.LOGNORM.DIST((Tabella34[[#This Row],[Day]]-pt),mu_t,sigma_t,FALSE),0)</f>
        <v>3225.6646381615683</v>
      </c>
      <c r="O115" s="163">
        <f>Kt*EXP(-0.5*Tabella34[[#This Row],[x_t]]^2)/(sigma_t*SQRTPI(2)*(Tabella34[[#This Row],[Day]]-D_bk))</f>
        <v>3225.6646381615697</v>
      </c>
      <c r="P115" s="206">
        <f>Tabella34[[#This Row],[Italy velocity]]/Tabella34[[#This Row],[Italy cumul. Fit]]</f>
        <v>1.8579179697435048E-2</v>
      </c>
      <c r="Q115" s="269">
        <f>(LN(Tabella34[[#This Row],[Day]]-D_bk)-mu_t)/sigma_t</f>
        <v>0.6396400430551884</v>
      </c>
      <c r="R115" s="269">
        <f>EXP(mu_t+sigma_t*Tabella34[[#This Row],[x_t_alpha©+plus]])-(Tabella34[[#This Row],[Day]]-D_bk)</f>
        <v>14.573141391164711</v>
      </c>
      <c r="S115" s="269">
        <f>EXP(mu_t+sigma_t*Tabella34[[#This Row],[x_t_alpha©-minus]])-(Tabella34[[#This Row],[Day]]-D_bk)</f>
        <v>-40.803883201165128</v>
      </c>
      <c r="T115" s="269">
        <f>-sigma_t+SQRT(sigma_t^2-2*Tabella34[[#This Row],[c_t]])</f>
        <v>1.2027922232098505</v>
      </c>
      <c r="U115" s="269">
        <f>-sigma_t-SQRT(sigma_t^2-2*Tabella34[[#This Row],[c_t]])</f>
        <v>-1.8220291291020876</v>
      </c>
      <c r="V115" s="269">
        <f>mu_t-LN(alpha*Kt/(Tabella34[[#This Row],[Italy velocity]]*sigma_t*SQRTPI(2)))</f>
        <v>-1.0957612334729037</v>
      </c>
      <c r="W115" s="269">
        <f>Tabella34[[#This Row],[Italy g.r.]]/Italy_gr_at_lockdown</f>
        <v>0.11747494547102033</v>
      </c>
      <c r="X115" s="269">
        <f>Tabella34[[#This Row],[t_alpha_t+plus]]</f>
        <v>14.573141391164711</v>
      </c>
      <c r="Y115" s="269">
        <f>Tabella34[[#This Row],[Italy h.t.]]/Italy_ht_at_lockdown</f>
        <v>0.25953857299014121</v>
      </c>
      <c r="Z115" s="91">
        <f>IFERROR(-Kf*_xlfn.LOGNORM.DIST((Tabella34[[#This Row],[Day]]-D_bk),mu_f,sigma_f,FALSE)*(1+(LN((Tabella34[[#This Row],[Day]]-D_bk))-mu_f)/sigma_f^2)/(Tabella34[[#This Row],[Day]]-D_bk),0)</f>
        <v>-129.26727630836768</v>
      </c>
      <c r="AA115" s="91">
        <f>Tabella34[[#This Row],[Italy acc. fit]]/Itali_acc_at_lockdown</f>
        <v>-0.53203656313282566</v>
      </c>
      <c r="AB115" s="96">
        <f>Tabella34[[#This Row],[Italy acc. fit]]/y_f_peak</f>
        <v>-2.553876019586113E-2</v>
      </c>
      <c r="AC115" s="163">
        <f>Tabella34[[#This Row],[Italy (fitted Lombardy + fitted sum of the other regions)]]*NOT(ISBLANK(Tabella34[[#This Row],[Italy data]]))</f>
        <v>-131.35778230092768</v>
      </c>
      <c r="AD115" s="163">
        <f>Tabella34[[#This Row],[Italy acc. fit]]*NOT(ISBLANK(Tabella34[[#This Row],[Italy data]]))</f>
        <v>-129.26727630836768</v>
      </c>
      <c r="AE115" s="96">
        <f>Tabella34[[#This Row],[Italy acc. fit]]+CIf</f>
        <v>884.49572571194994</v>
      </c>
      <c r="AF115" s="96">
        <f>MAX(Tabella34[[#This Row],[Italy acc. fit]]-CIf,0)</f>
        <v>0</v>
      </c>
      <c r="AG115" s="4">
        <f>Tabella8[[#This Row],[Lombardy]]</f>
        <v>64135</v>
      </c>
      <c r="AH115" s="91">
        <f>(Tabella34[[#This Row],[Lombardy cumul. Data]]-AG114)</f>
        <v>1041</v>
      </c>
      <c r="AI115" s="91">
        <f>Tabella34[[#This Row],[Lombardy data]]-AH114</f>
        <v>100</v>
      </c>
      <c r="AJ115" s="96">
        <f>Tabella34[[#This Row],[Lombardy data]]*NOT(ISBLANK(Tabella34[[#This Row],[Lombardy data]]))</f>
        <v>1041</v>
      </c>
      <c r="AK115" s="96">
        <f>Tabella8[[#This Row],[Lombardy fit]]</f>
        <v>64676.189476553751</v>
      </c>
      <c r="AL115" s="163" t="e">
        <f>_xlfn.LOGNORM.INV(alpha*Tabella34[[#This Row],[Lombardy cumul. Fit]]/Kr,mu_r,sigma_r)-(Tabella34[[#This Row],[Day]]-pr)</f>
        <v>#NUM!</v>
      </c>
      <c r="AM115" s="96">
        <f>Tabella34[[#This Row],[Lombardy cumul. Fit]]/Kl</f>
        <v>0.74340447674199717</v>
      </c>
      <c r="AN115" s="96">
        <f>IFERROR(Kr*_xlfn.LOGNORM.DIST((Tabella34[[#This Row],[Day]]-pr),mu_r,sigma_r,FALSE),0)</f>
        <v>1072.3262694491302</v>
      </c>
      <c r="AO115" s="209">
        <f>Tabella34[[#This Row],[Lombardy velocity]]/Tabella34[[#This Row],[Lombardy cumul. Fit]]</f>
        <v>1.657992343284026E-2</v>
      </c>
      <c r="AP115" s="266">
        <f>(LN(Tabella34[[#This Row],[Day]]-pr)-mu_r)/sigma_r</f>
        <v>0.65387701016162025</v>
      </c>
      <c r="AQ115" s="269">
        <f>EXP(mu_r+sigma_r*Tabella34[[#This Row],[x_r_alpha©+plus]])-(Tabella34[[#This Row],[Day]]-pr)</f>
        <v>15.707872437368451</v>
      </c>
      <c r="AR115" s="269">
        <f>EXP(mu_r+sigma_r*Tabella34[[#This Row],[x_r_alpha©-minus]])-(Tabella34[[#This Row],[Day]]-pr)</f>
        <v>-44.389381077879051</v>
      </c>
      <c r="AS115" s="269">
        <f>-sigma_r+SQRT(sigma_r^2-2*Tabella34[[#This Row],[c_r]])</f>
        <v>1.2006552493335108</v>
      </c>
      <c r="AT115" s="269">
        <f>-sigma_r-SQRT(sigma_r^2-2*Tabella34[[#This Row],[c_r]])</f>
        <v>-1.88150984652724</v>
      </c>
      <c r="AU115" s="269">
        <f>mu_r-LN(alpha*Kr/(Tabella34[[#This Row],[Lombardy velocity]]*sigma_r*SQRTPI(2)))</f>
        <v>-1.1295223369528093</v>
      </c>
      <c r="AV115" s="269">
        <f>Tabella34[[#This Row],[t_alpha_r+plus]]</f>
        <v>15.707872437368451</v>
      </c>
      <c r="AW115" s="91">
        <f>IFERROR(-Kl*_xlfn.LOGNORM.DIST((Tabella34[[#This Row],[Day]]-pl),mu_l,sigma_l,FALSE)*(1+(LN((Tabella34[[#This Row],[Day]]-pl))-mu_l)/sigma_l^2)/(Tabella34[[#This Row],[Day]]-pl),0)</f>
        <v>-40.793062759024679</v>
      </c>
      <c r="AX115" s="96">
        <f>Tabella34[[#This Row],[Lombardy acc. fit]]/y_l_peak</f>
        <v>-2.320484597651332E-2</v>
      </c>
      <c r="AY115" s="163">
        <f>Tabella34[[#This Row],[Lombardy acc. fit]]*NOT(ISBLANK(Tabella34[[#This Row],[Lombardy data]]))</f>
        <v>-40.793062759024679</v>
      </c>
      <c r="AZ115" s="96">
        <f>Tabella34[[#This Row],[Lombardy acc. fit]]+CIl</f>
        <v>708.16230904459894</v>
      </c>
      <c r="BA115" s="96">
        <f>MAX(Tabella34[[#This Row],[Lombardy acc. fit]]-CIl,0)</f>
        <v>0</v>
      </c>
      <c r="BB115" s="10">
        <f>Tabella8[[#This Row],[rest of Italy ]]</f>
        <v>108299</v>
      </c>
      <c r="BC115" s="10">
        <f>(Tabella34[[#This Row],[rest of Italy cum. Data]]-BB114)</f>
        <v>2452</v>
      </c>
      <c r="BD115" s="10">
        <f>Tabella34[[#This Row],[rest of Italy data]]-BC114</f>
        <v>-393</v>
      </c>
      <c r="BE115" s="96">
        <f>Tabella34[[#This Row],[rest of Italy data]]*NOT(ISBLANK(Tabella34[[#This Row],[rest of Italy data]]))</f>
        <v>2452</v>
      </c>
      <c r="BF115" s="96">
        <f>Tabella8[[#This Row],[rest of Italy fit]]</f>
        <v>109306.23571102909</v>
      </c>
      <c r="BG115" s="163" t="e">
        <f>_xlfn.LOGNORM.INV(alpha*Tabella34[[#This Row],[rest of Italy cumul. Fit]]/Ko,mu_o,sigma_o)-(Tabella34[[#This Row],[Day]]-po)</f>
        <v>#NUM!</v>
      </c>
      <c r="BH115" s="96">
        <f>Tabella34[[#This Row],[rest of Italy cumul. Fit]]/Ka</f>
        <v>0.73855573267252705</v>
      </c>
      <c r="BI115" s="163">
        <f>IFERROR(Ko*_xlfn.LOGNORM.DIST((Tabella34[[#This Row],[Day]]-po),mu_o,sigma_o,FALSE),0)</f>
        <v>2130.7067531950643</v>
      </c>
      <c r="BJ115" s="206">
        <f>Tabella34[[#This Row],[rest of Italy velocity]]/Tabella34[[#This Row],[rest of Italy cumul. Fit]]</f>
        <v>1.9493002748973764E-2</v>
      </c>
      <c r="BK115" s="261">
        <f>(LN(Tabella34[[#This Row],[Day]]-po)-mu_o)/sigma_o</f>
        <v>0.63889915975987577</v>
      </c>
      <c r="BL115" s="269">
        <f>EXP(mu_o+sigma_o*Tabella34[[#This Row],[x_o_alpha©+plus]])-(Tabella34[[#This Row],[Day]]-po)</f>
        <v>13.837531478101425</v>
      </c>
      <c r="BM115" s="269">
        <f>EXP(mu_o+sigma_o*Tabella34[[#This Row],[x_o_alpha©-minus]])-(Tabella34[[#This Row],[Day]]-po)</f>
        <v>-38.614773779538453</v>
      </c>
      <c r="BN115" s="269">
        <f>-sigma_o+SQRT(sigma_o^2-2*Tabella34[[#This Row],[c_o]])</f>
        <v>1.1979328302342984</v>
      </c>
      <c r="BO115" s="269">
        <f>-sigma_o-SQRT(sigma_o^2-2*Tabella34[[#This Row],[c_o]])</f>
        <v>-1.8409056075333248</v>
      </c>
      <c r="BP115" s="269">
        <f>mu_o-LN(alpha*Ko/(Tabella34[[#This Row],[rest of Italy velocity]]*sigma_o*SQRTPI(2)))</f>
        <v>-1.1026406323132933</v>
      </c>
      <c r="BQ115" s="269">
        <f>Tabella34[[#This Row],[t_alpha_o+plus]]</f>
        <v>13.837531478101425</v>
      </c>
      <c r="BR115" s="91">
        <f>IFERROR(-Ka*_xlfn.LOGNORM.DIST((Tabella34[[#This Row],[Day]]-pa),mu_a,sigma_a,FALSE)*(1+(LN((Tabella34[[#This Row],[Day]]-pa))-mu_a)/sigma_a^2)/(Tabella34[[#This Row],[Day]]-pa),0)</f>
        <v>-90.564719541903017</v>
      </c>
      <c r="BS115" s="96">
        <f>Tabella34[[#This Row],[rest of Italy acc. fit]]/y_a_peak</f>
        <v>-2.6801042705626412E-2</v>
      </c>
      <c r="BT115" s="96">
        <f>Tabella34[[#This Row],[rest of Italy acc. fit]]*NOT(ISBLANK(Tabella34[[#This Row],[rest of Italy data]]))</f>
        <v>-90.564719541903017</v>
      </c>
      <c r="BU115" s="96">
        <f>Tabella34[[#This Row],[rest of Italy acc. fit]]+CIa</f>
        <v>604.08731632169429</v>
      </c>
      <c r="BV115" s="96">
        <f>MAX(Tabella34[[#This Row],[rest of Italy acc. fit]]-CIa,0)</f>
        <v>0</v>
      </c>
    </row>
    <row r="116" spans="2:74" x14ac:dyDescent="0.3">
      <c r="B116" s="288">
        <v>43939</v>
      </c>
      <c r="C116" s="4">
        <v>109</v>
      </c>
      <c r="D116" s="10">
        <f>Tabella8[[#This Row],[Italy cumulative]]</f>
        <v>175925</v>
      </c>
      <c r="E116" s="91">
        <f>(Tabella34[[#This Row],[Italy cumul. Data]]-D115)</f>
        <v>3491</v>
      </c>
      <c r="F116" s="91">
        <f>Tabella34[[#This Row],[Italy data]]-E115</f>
        <v>-2</v>
      </c>
      <c r="G116" s="96">
        <f>Tabella34[[#This Row],[Italy data]]*NOT(ISBLANK(Tabella34[[#This Row],[Italy data]]))</f>
        <v>3491</v>
      </c>
      <c r="H116" s="163">
        <f>Tabella8[[#This Row],[Italy fit]]</f>
        <v>176778.40868871909</v>
      </c>
      <c r="I116" s="163" t="e">
        <f>_xlfn.LOGNORM.INV(alpha*Tabella34[[#This Row],[Italy cumul. Fit]]/Kt,mu_t,sigma_t)-(Tabella34[[#This Row],[Day]]-pt)</f>
        <v>#NUM!</v>
      </c>
      <c r="J116" s="163" t="e">
        <f>Tabella34[[#This Row],[Italy d.t.]]/Italy_dt_at_lockdown</f>
        <v>#NUM!</v>
      </c>
      <c r="K116" s="96">
        <f>Tabella34[[#This Row],[Italy cumul. Fit]]/Kf</f>
        <v>0.75224875286566539</v>
      </c>
      <c r="L116" s="166">
        <f>Tabella34[[#This Row],[Lombardy acc. fit]]+Tabella34[[#This Row],[rest of Italy acc. fit]]</f>
        <v>-129.66298735615095</v>
      </c>
      <c r="M116" s="96">
        <f>Tabella34[[#This Row],[Italy (fitted Lombardy + fitted sum of the other regions)]]/(y_l_peak+y_a_peak)</f>
        <v>-2.5240485293674307E-2</v>
      </c>
      <c r="N116" s="163">
        <f>IFERROR(Kt*_xlfn.LOGNORM.DIST((Tabella34[[#This Row],[Day]]-pt),mu_t,sigma_t,FALSE),0)</f>
        <v>3097.0326175196587</v>
      </c>
      <c r="O116" s="163">
        <f>Kt*EXP(-0.5*Tabella34[[#This Row],[x_t]]^2)/(sigma_t*SQRTPI(2)*(Tabella34[[#This Row],[Day]]-D_bk))</f>
        <v>3097.0326175196601</v>
      </c>
      <c r="P116" s="206">
        <f>Tabella34[[#This Row],[Italy velocity]]/Tabella34[[#This Row],[Italy cumul. Fit]]</f>
        <v>1.7519292319081115E-2</v>
      </c>
      <c r="Q116" s="269">
        <f>(LN(Tabella34[[#This Row],[Day]]-D_bk)-mu_t)/sigma_t</f>
        <v>0.68158327382157347</v>
      </c>
      <c r="R116" s="269">
        <f>EXP(mu_t+sigma_t*Tabella34[[#This Row],[x_t_alpha©+plus]])-(Tabella34[[#This Row],[Day]]-D_bk)</f>
        <v>14.328387271995837</v>
      </c>
      <c r="S116" s="269">
        <f>EXP(mu_t+sigma_t*Tabella34[[#This Row],[x_t_alpha©-minus]])-(Tabella34[[#This Row],[Day]]-D_bk)</f>
        <v>-42.097490965424726</v>
      </c>
      <c r="T116" s="269">
        <f>-sigma_t+SQRT(sigma_t^2-2*Tabella34[[#This Row],[c_t]])</f>
        <v>1.2294641388166321</v>
      </c>
      <c r="U116" s="269">
        <f>-sigma_t-SQRT(sigma_t^2-2*Tabella34[[#This Row],[c_t]])</f>
        <v>-1.8487010447088692</v>
      </c>
      <c r="V116" s="269">
        <f>mu_t-LN(alpha*Kt/(Tabella34[[#This Row],[Italy velocity]]*sigma_t*SQRTPI(2)))</f>
        <v>-1.1364558189311991</v>
      </c>
      <c r="W116" s="269">
        <f>Tabella34[[#This Row],[Italy g.r.]]/Italy_gr_at_lockdown</f>
        <v>0.11077334647659645</v>
      </c>
      <c r="X116" s="269">
        <f>Tabella34[[#This Row],[t_alpha_t+plus]]</f>
        <v>14.328387271995837</v>
      </c>
      <c r="Y116" s="269">
        <f>Tabella34[[#This Row],[Italy h.t.]]/Italy_ht_at_lockdown</f>
        <v>0.2551796545443859</v>
      </c>
      <c r="Z116" s="91">
        <f>IFERROR(-Kf*_xlfn.LOGNORM.DIST((Tabella34[[#This Row],[Day]]-D_bk),mu_f,sigma_f,FALSE)*(1+(LN((Tabella34[[#This Row],[Day]]-D_bk))-mu_f)/sigma_f^2)/(Tabella34[[#This Row],[Day]]-D_bk),0)</f>
        <v>-127.9242266993448</v>
      </c>
      <c r="AA116" s="91">
        <f>Tabella34[[#This Row],[Italy acc. fit]]/Itali_acc_at_lockdown</f>
        <v>-0.52650885713864304</v>
      </c>
      <c r="AB116" s="96">
        <f>Tabella34[[#This Row],[Italy acc. fit]]/y_f_peak</f>
        <v>-2.5273419864761726E-2</v>
      </c>
      <c r="AC116" s="163">
        <f>Tabella34[[#This Row],[Italy (fitted Lombardy + fitted sum of the other regions)]]*NOT(ISBLANK(Tabella34[[#This Row],[Italy data]]))</f>
        <v>-129.66298735615095</v>
      </c>
      <c r="AD116" s="163">
        <f>Tabella34[[#This Row],[Italy acc. fit]]*NOT(ISBLANK(Tabella34[[#This Row],[Italy data]]))</f>
        <v>-127.9242266993448</v>
      </c>
      <c r="AE116" s="96">
        <f>Tabella34[[#This Row],[Italy acc. fit]]+CIf</f>
        <v>885.8387753209729</v>
      </c>
      <c r="AF116" s="96">
        <f>MAX(Tabella34[[#This Row],[Italy acc. fit]]-CIf,0)</f>
        <v>0</v>
      </c>
      <c r="AG116" s="4">
        <f>Tabella8[[#This Row],[Lombardy]]</f>
        <v>65381</v>
      </c>
      <c r="AH116" s="91">
        <f>(Tabella34[[#This Row],[Lombardy cumul. Data]]-AG115)</f>
        <v>1246</v>
      </c>
      <c r="AI116" s="91">
        <f>Tabella34[[#This Row],[Lombardy data]]-AH115</f>
        <v>205</v>
      </c>
      <c r="AJ116" s="96">
        <f>Tabella34[[#This Row],[Lombardy data]]*NOT(ISBLANK(Tabella34[[#This Row],[Lombardy data]]))</f>
        <v>1246</v>
      </c>
      <c r="AK116" s="96">
        <f>Tabella8[[#This Row],[Lombardy fit]]</f>
        <v>65728.209141519241</v>
      </c>
      <c r="AL116" s="163" t="e">
        <f>_xlfn.LOGNORM.INV(alpha*Tabella34[[#This Row],[Lombardy cumul. Fit]]/Kr,mu_r,sigma_r)-(Tabella34[[#This Row],[Day]]-pr)</f>
        <v>#NUM!</v>
      </c>
      <c r="AM116" s="96">
        <f>Tabella34[[#This Row],[Lombardy cumul. Fit]]/Kl</f>
        <v>0.75549665679907174</v>
      </c>
      <c r="AN116" s="96">
        <f>IFERROR(Kr*_xlfn.LOGNORM.DIST((Tabella34[[#This Row],[Day]]-pr),mu_r,sigma_r,FALSE),0)</f>
        <v>1031.8072243341942</v>
      </c>
      <c r="AO116" s="209">
        <f>Tabella34[[#This Row],[Lombardy velocity]]/Tabella34[[#This Row],[Lombardy cumul. Fit]]</f>
        <v>1.5698088200039234E-2</v>
      </c>
      <c r="AP116" s="266">
        <f>(LN(Tabella34[[#This Row],[Day]]-pr)-mu_r)/sigma_r</f>
        <v>0.69188956157193016</v>
      </c>
      <c r="AQ116" s="269">
        <f>EXP(mu_r+sigma_r*Tabella34[[#This Row],[x_r_alpha©+plus]])-(Tabella34[[#This Row],[Day]]-pr)</f>
        <v>15.491837827154228</v>
      </c>
      <c r="AR116" s="269">
        <f>EXP(mu_r+sigma_r*Tabella34[[#This Row],[x_r_alpha©-minus]])-(Tabella34[[#This Row],[Day]]-pr)</f>
        <v>-45.661617488401376</v>
      </c>
      <c r="AS116" s="269">
        <f>-sigma_r+SQRT(sigma_r^2-2*Tabella34[[#This Row],[c_r]])</f>
        <v>1.2254502384119044</v>
      </c>
      <c r="AT116" s="269">
        <f>-sigma_r-SQRT(sigma_r^2-2*Tabella34[[#This Row],[c_r]])</f>
        <v>-1.9063048356056336</v>
      </c>
      <c r="AU116" s="269">
        <f>mu_r-LN(alpha*Kr/(Tabella34[[#This Row],[Lombardy velocity]]*sigma_r*SQRTPI(2)))</f>
        <v>-1.1680408576393448</v>
      </c>
      <c r="AV116" s="269">
        <f>Tabella34[[#This Row],[t_alpha_r+plus]]</f>
        <v>15.491837827154228</v>
      </c>
      <c r="AW116" s="91">
        <f>IFERROR(-Kl*_xlfn.LOGNORM.DIST((Tabella34[[#This Row],[Day]]-pl),mu_l,sigma_l,FALSE)*(1+(LN((Tabella34[[#This Row],[Day]]-pl))-mu_l)/sigma_l^2)/(Tabella34[[#This Row],[Day]]-pl),0)</f>
        <v>-40.228296224249831</v>
      </c>
      <c r="AX116" s="96">
        <f>Tabella34[[#This Row],[Lombardy acc. fit]]/y_l_peak</f>
        <v>-2.2883582517342429E-2</v>
      </c>
      <c r="AY116" s="163">
        <f>Tabella34[[#This Row],[Lombardy acc. fit]]*NOT(ISBLANK(Tabella34[[#This Row],[Lombardy data]]))</f>
        <v>-40.228296224249831</v>
      </c>
      <c r="AZ116" s="96">
        <f>Tabella34[[#This Row],[Lombardy acc. fit]]+CIl</f>
        <v>708.72707557937383</v>
      </c>
      <c r="BA116" s="96">
        <f>MAX(Tabella34[[#This Row],[Lombardy acc. fit]]-CIl,0)</f>
        <v>0</v>
      </c>
      <c r="BB116" s="10">
        <f>Tabella8[[#This Row],[rest of Italy ]]</f>
        <v>110544</v>
      </c>
      <c r="BC116" s="10">
        <f>(Tabella34[[#This Row],[rest of Italy cum. Data]]-BB115)</f>
        <v>2245</v>
      </c>
      <c r="BD116" s="10">
        <f>Tabella34[[#This Row],[rest of Italy data]]-BC115</f>
        <v>-207</v>
      </c>
      <c r="BE116" s="96">
        <f>Tabella34[[#This Row],[rest of Italy data]]*NOT(ISBLANK(Tabella34[[#This Row],[rest of Italy data]]))</f>
        <v>2245</v>
      </c>
      <c r="BF116" s="96">
        <f>Tabella8[[#This Row],[rest of Italy fit]]</f>
        <v>111391.83488743517</v>
      </c>
      <c r="BG116" s="163" t="e">
        <f>_xlfn.LOGNORM.INV(alpha*Tabella34[[#This Row],[rest of Italy cumul. Fit]]/Ko,mu_o,sigma_o)-(Tabella34[[#This Row],[Day]]-po)</f>
        <v>#NUM!</v>
      </c>
      <c r="BH116" s="96">
        <f>Tabella34[[#This Row],[rest of Italy cumul. Fit]]/Ka</f>
        <v>0.75264762064005308</v>
      </c>
      <c r="BI116" s="163">
        <f>IFERROR(Ko*_xlfn.LOGNORM.DIST((Tabella34[[#This Row],[Day]]-po),mu_o,sigma_o,FALSE),0)</f>
        <v>2040.6800577859933</v>
      </c>
      <c r="BJ116" s="206">
        <f>Tabella34[[#This Row],[rest of Italy velocity]]/Tabella34[[#This Row],[rest of Italy cumul. Fit]]</f>
        <v>1.8319835200202621E-2</v>
      </c>
      <c r="BK116" s="261">
        <f>(LN(Tabella34[[#This Row],[Day]]-po)-mu_o)/sigma_o</f>
        <v>0.68284505119511463</v>
      </c>
      <c r="BL116" s="269">
        <f>EXP(mu_o+sigma_o*Tabella34[[#This Row],[x_o_alpha©+plus]])-(Tabella34[[#This Row],[Day]]-po)</f>
        <v>13.602308875624161</v>
      </c>
      <c r="BM116" s="269">
        <f>EXP(mu_o+sigma_o*Tabella34[[#This Row],[x_o_alpha©-minus]])-(Tabella34[[#This Row],[Day]]-po)</f>
        <v>-39.90008745712494</v>
      </c>
      <c r="BN116" s="269">
        <f>-sigma_o+SQRT(sigma_o^2-2*Tabella34[[#This Row],[c_o]])</f>
        <v>1.2260846120416589</v>
      </c>
      <c r="BO116" s="269">
        <f>-sigma_o-SQRT(sigma_o^2-2*Tabella34[[#This Row],[c_o]])</f>
        <v>-1.8690573893406852</v>
      </c>
      <c r="BP116" s="269">
        <f>mu_o-LN(alpha*Ko/(Tabella34[[#This Row],[rest of Italy velocity]]*sigma_o*SQRTPI(2)))</f>
        <v>-1.145811252046685</v>
      </c>
      <c r="BQ116" s="269">
        <f>Tabella34[[#This Row],[t_alpha_o+plus]]</f>
        <v>13.602308875624161</v>
      </c>
      <c r="BR116" s="91">
        <f>IFERROR(-Ka*_xlfn.LOGNORM.DIST((Tabella34[[#This Row],[Day]]-pa),mu_a,sigma_a,FALSE)*(1+(LN((Tabella34[[#This Row],[Day]]-pa))-mu_a)/sigma_a^2)/(Tabella34[[#This Row],[Day]]-pa),0)</f>
        <v>-89.434691131901118</v>
      </c>
      <c r="BS116" s="96">
        <f>Tabella34[[#This Row],[rest of Italy acc. fit]]/y_a_peak</f>
        <v>-2.6466630587660109E-2</v>
      </c>
      <c r="BT116" s="96">
        <f>Tabella34[[#This Row],[rest of Italy acc. fit]]*NOT(ISBLANK(Tabella34[[#This Row],[rest of Italy data]]))</f>
        <v>-89.434691131901118</v>
      </c>
      <c r="BU116" s="96">
        <f>Tabella34[[#This Row],[rest of Italy acc. fit]]+CIa</f>
        <v>605.21734473169624</v>
      </c>
      <c r="BV116" s="96">
        <f>MAX(Tabella34[[#This Row],[rest of Italy acc. fit]]-CIa,0)</f>
        <v>0</v>
      </c>
    </row>
    <row r="117" spans="2:74" x14ac:dyDescent="0.3">
      <c r="B117" s="288">
        <v>43940</v>
      </c>
      <c r="C117" s="4">
        <v>110</v>
      </c>
      <c r="D117" s="10">
        <f>Tabella8[[#This Row],[Italy cumulative]]</f>
        <v>178972</v>
      </c>
      <c r="E117" s="91">
        <f>(Tabella34[[#This Row],[Italy cumul. Data]]-D116)</f>
        <v>3047</v>
      </c>
      <c r="F117" s="91">
        <f>Tabella34[[#This Row],[Italy data]]-E116</f>
        <v>-444</v>
      </c>
      <c r="G117" s="96">
        <f>Tabella34[[#This Row],[Italy data]]*NOT(ISBLANK(Tabella34[[#This Row],[Italy data]]))</f>
        <v>3047</v>
      </c>
      <c r="H117" s="163">
        <f>Tabella8[[#This Row],[Italy fit]]</f>
        <v>179811.75520674791</v>
      </c>
      <c r="I117" s="163" t="e">
        <f>_xlfn.LOGNORM.INV(alpha*Tabella34[[#This Row],[Italy cumul. Fit]]/Kt,mu_t,sigma_t)-(Tabella34[[#This Row],[Day]]-pt)</f>
        <v>#NUM!</v>
      </c>
      <c r="J117" s="163" t="e">
        <f>Tabella34[[#This Row],[Italy d.t.]]/Italy_dt_at_lockdown</f>
        <v>#NUM!</v>
      </c>
      <c r="K117" s="96">
        <f>Tabella34[[#This Row],[Italy cumul. Fit]]/Kf</f>
        <v>0.76515661391115408</v>
      </c>
      <c r="L117" s="166">
        <f>Tabella34[[#This Row],[Lombardy acc. fit]]+Tabella34[[#This Row],[rest of Italy acc. fit]]</f>
        <v>-127.5714606760768</v>
      </c>
      <c r="M117" s="96">
        <f>Tabella34[[#This Row],[Italy (fitted Lombardy + fitted sum of the other regions)]]/(y_l_peak+y_a_peak)</f>
        <v>-2.483334406173018E-2</v>
      </c>
      <c r="N117" s="163">
        <f>IFERROR(Kt*_xlfn.LOGNORM.DIST((Tabella34[[#This Row],[Day]]-pt),mu_t,sigma_t,FALSE),0)</f>
        <v>2969.9526407449694</v>
      </c>
      <c r="O117" s="163">
        <f>Kt*EXP(-0.5*Tabella34[[#This Row],[x_t]]^2)/(sigma_t*SQRTPI(2)*(Tabella34[[#This Row],[Day]]-D_bk))</f>
        <v>2969.952640744968</v>
      </c>
      <c r="P117" s="206">
        <f>Tabella34[[#This Row],[Italy velocity]]/Tabella34[[#This Row],[Italy cumul. Fit]]</f>
        <v>1.6517010455351554E-2</v>
      </c>
      <c r="Q117" s="269">
        <f>(LN(Tabella34[[#This Row],[Day]]-D_bk)-mu_t)/sigma_t</f>
        <v>0.72298878862411442</v>
      </c>
      <c r="R117" s="269">
        <f>EXP(mu_t+sigma_t*Tabella34[[#This Row],[x_t_alpha©+plus]])-(Tabella34[[#This Row],[Day]]-D_bk)</f>
        <v>14.098912182643929</v>
      </c>
      <c r="S117" s="269">
        <f>EXP(mu_t+sigma_t*Tabella34[[#This Row],[x_t_alpha©-minus]])-(Tabella34[[#This Row],[Day]]-D_bk)</f>
        <v>-43.392103118599906</v>
      </c>
      <c r="T117" s="269">
        <f>-sigma_t+SQRT(sigma_t^2-2*Tabella34[[#This Row],[c_t]])</f>
        <v>1.2564505354650481</v>
      </c>
      <c r="U117" s="269">
        <f>-sigma_t-SQRT(sigma_t^2-2*Tabella34[[#This Row],[c_t]])</f>
        <v>-1.8756874413572853</v>
      </c>
      <c r="V117" s="269">
        <f>mu_t-LN(alpha*Kt/(Tabella34[[#This Row],[Italy velocity]]*sigma_t*SQRTPI(2)))</f>
        <v>-1.1783542450292135</v>
      </c>
      <c r="W117" s="269">
        <f>Tabella34[[#This Row],[Italy g.r.]]/Italy_gr_at_lockdown</f>
        <v>0.10443598340644553</v>
      </c>
      <c r="X117" s="269">
        <f>Tabella34[[#This Row],[t_alpha_t+plus]]</f>
        <v>14.098912182643929</v>
      </c>
      <c r="Y117" s="269">
        <f>Tabella34[[#This Row],[Italy h.t.]]/Italy_ht_at_lockdown</f>
        <v>0.25109284610490368</v>
      </c>
      <c r="Z117" s="91">
        <f>IFERROR(-Kf*_xlfn.LOGNORM.DIST((Tabella34[[#This Row],[Day]]-D_bk),mu_f,sigma_f,FALSE)*(1+(LN((Tabella34[[#This Row],[Day]]-D_bk))-mu_f)/sigma_f^2)/(Tabella34[[#This Row],[Day]]-D_bk),0)</f>
        <v>-126.17172616916486</v>
      </c>
      <c r="AA117" s="91">
        <f>Tabella34[[#This Row],[Italy acc. fit]]/Itali_acc_at_lockdown</f>
        <v>-0.51929593840473887</v>
      </c>
      <c r="AB117" s="96">
        <f>Tabella34[[#This Row],[Italy acc. fit]]/y_f_peak</f>
        <v>-2.4927186138318711E-2</v>
      </c>
      <c r="AC117" s="163">
        <f>Tabella34[[#This Row],[Italy (fitted Lombardy + fitted sum of the other regions)]]*NOT(ISBLANK(Tabella34[[#This Row],[Italy data]]))</f>
        <v>-127.5714606760768</v>
      </c>
      <c r="AD117" s="163">
        <f>Tabella34[[#This Row],[Italy acc. fit]]*NOT(ISBLANK(Tabella34[[#This Row],[Italy data]]))</f>
        <v>-126.17172616916486</v>
      </c>
      <c r="AE117" s="96">
        <f>Tabella34[[#This Row],[Italy acc. fit]]+CIf</f>
        <v>887.59127585115289</v>
      </c>
      <c r="AF117" s="96">
        <f>MAX(Tabella34[[#This Row],[Italy acc. fit]]-CIf,0)</f>
        <v>0</v>
      </c>
      <c r="AG117" s="4">
        <f>Tabella8[[#This Row],[Lombardy]]</f>
        <v>66236</v>
      </c>
      <c r="AH117" s="91">
        <f>(Tabella34[[#This Row],[Lombardy cumul. Data]]-AG116)</f>
        <v>855</v>
      </c>
      <c r="AI117" s="91">
        <f>Tabella34[[#This Row],[Lombardy data]]-AH116</f>
        <v>-391</v>
      </c>
      <c r="AJ117" s="96">
        <f>Tabella34[[#This Row],[Lombardy data]]*NOT(ISBLANK(Tabella34[[#This Row],[Lombardy data]]))</f>
        <v>855</v>
      </c>
      <c r="AK117" s="96">
        <f>Tabella8[[#This Row],[Lombardy fit]]</f>
        <v>66740.0083428785</v>
      </c>
      <c r="AL117" s="163" t="e">
        <f>_xlfn.LOGNORM.INV(alpha*Tabella34[[#This Row],[Lombardy cumul. Fit]]/Kr,mu_r,sigma_r)-(Tabella34[[#This Row],[Day]]-pr)</f>
        <v>#NUM!</v>
      </c>
      <c r="AM117" s="96">
        <f>Tabella34[[#This Row],[Lombardy cumul. Fit]]/Kl</f>
        <v>0.76712653267676434</v>
      </c>
      <c r="AN117" s="96">
        <f>IFERROR(Kr*_xlfn.LOGNORM.DIST((Tabella34[[#This Row],[Day]]-pr),mu_r,sigma_r,FALSE),0)</f>
        <v>991.90101172920083</v>
      </c>
      <c r="AO117" s="209">
        <f>Tabella34[[#This Row],[Lombardy velocity]]/Tabella34[[#This Row],[Lombardy cumul. Fit]]</f>
        <v>1.4862164934611396E-2</v>
      </c>
      <c r="AP117" s="266">
        <f>(LN(Tabella34[[#This Row],[Day]]-pr)-mu_r)/sigma_r</f>
        <v>0.7294164887091199</v>
      </c>
      <c r="AQ117" s="269">
        <f>EXP(mu_r+sigma_r*Tabella34[[#This Row],[x_r_alpha©+plus]])-(Tabella34[[#This Row],[Day]]-pr)</f>
        <v>15.288698915572965</v>
      </c>
      <c r="AR117" s="269">
        <f>EXP(mu_r+sigma_r*Tabella34[[#This Row],[x_r_alpha©-minus]])-(Tabella34[[#This Row],[Day]]-pr)</f>
        <v>-46.933681700309066</v>
      </c>
      <c r="AS117" s="269">
        <f>-sigma_r+SQRT(sigma_r^2-2*Tabella34[[#This Row],[c_r]])</f>
        <v>1.2504404175747543</v>
      </c>
      <c r="AT117" s="269">
        <f>-sigma_r-SQRT(sigma_r^2-2*Tabella34[[#This Row],[c_r]])</f>
        <v>-1.9312950147684835</v>
      </c>
      <c r="AU117" s="269">
        <f>mu_r-LN(alpha*Kr/(Tabella34[[#This Row],[Lombardy velocity]]*sigma_r*SQRTPI(2)))</f>
        <v>-1.2074846723635719</v>
      </c>
      <c r="AV117" s="269">
        <f>Tabella34[[#This Row],[t_alpha_r+plus]]</f>
        <v>15.288698915572965</v>
      </c>
      <c r="AW117" s="91">
        <f>IFERROR(-Kl*_xlfn.LOGNORM.DIST((Tabella34[[#This Row],[Day]]-pl),mu_l,sigma_l,FALSE)*(1+(LN((Tabella34[[#This Row],[Day]]-pl))-mu_l)/sigma_l^2)/(Tabella34[[#This Row],[Day]]-pl),0)</f>
        <v>-39.569499968936469</v>
      </c>
      <c r="AX117" s="96">
        <f>Tabella34[[#This Row],[Lombardy acc. fit]]/y_l_peak</f>
        <v>-2.2508830914974246E-2</v>
      </c>
      <c r="AY117" s="163">
        <f>Tabella34[[#This Row],[Lombardy acc. fit]]*NOT(ISBLANK(Tabella34[[#This Row],[Lombardy data]]))</f>
        <v>-39.569499968936469</v>
      </c>
      <c r="AZ117" s="96">
        <f>Tabella34[[#This Row],[Lombardy acc. fit]]+CIl</f>
        <v>709.38587183468712</v>
      </c>
      <c r="BA117" s="96">
        <f>MAX(Tabella34[[#This Row],[Lombardy acc. fit]]-CIl,0)</f>
        <v>0</v>
      </c>
      <c r="BB117" s="10">
        <f>Tabella8[[#This Row],[rest of Italy ]]</f>
        <v>112736</v>
      </c>
      <c r="BC117" s="10">
        <f>(Tabella34[[#This Row],[rest of Italy cum. Data]]-BB116)</f>
        <v>2192</v>
      </c>
      <c r="BD117" s="10">
        <f>Tabella34[[#This Row],[rest of Italy data]]-BC116</f>
        <v>-53</v>
      </c>
      <c r="BE117" s="96">
        <f>Tabella34[[#This Row],[rest of Italy data]]*NOT(ISBLANK(Tabella34[[#This Row],[rest of Italy data]]))</f>
        <v>2192</v>
      </c>
      <c r="BF117" s="96">
        <f>Tabella8[[#This Row],[rest of Italy fit]]</f>
        <v>113388.02458773604</v>
      </c>
      <c r="BG117" s="163" t="e">
        <f>_xlfn.LOGNORM.INV(alpha*Tabella34[[#This Row],[rest of Italy cumul. Fit]]/Ko,mu_o,sigma_o)-(Tabella34[[#This Row],[Day]]-po)</f>
        <v>#NUM!</v>
      </c>
      <c r="BH117" s="96">
        <f>Tabella34[[#This Row],[rest of Italy cumul. Fit]]/Ka</f>
        <v>0.76613539045546086</v>
      </c>
      <c r="BI117" s="163">
        <f>IFERROR(Ko*_xlfn.LOGNORM.DIST((Tabella34[[#This Row],[Day]]-po),mu_o,sigma_o,FALSE),0)</f>
        <v>1951.938244562695</v>
      </c>
      <c r="BJ117" s="206">
        <f>Tabella34[[#This Row],[rest of Italy velocity]]/Tabella34[[#This Row],[rest of Italy cumul. Fit]]</f>
        <v>1.721467722592122E-2</v>
      </c>
      <c r="BK117" s="261">
        <f>(LN(Tabella34[[#This Row],[Day]]-po)-mu_o)/sigma_o</f>
        <v>0.72617871433888115</v>
      </c>
      <c r="BL117" s="269">
        <f>EXP(mu_o+sigma_o*Tabella34[[#This Row],[x_o_alpha©+plus]])-(Tabella34[[#This Row],[Day]]-po)</f>
        <v>13.38272653101123</v>
      </c>
      <c r="BM117" s="269">
        <f>EXP(mu_o+sigma_o*Tabella34[[#This Row],[x_o_alpha©-minus]])-(Tabella34[[#This Row],[Day]]-po)</f>
        <v>-41.185984391956708</v>
      </c>
      <c r="BN117" s="269">
        <f>-sigma_o+SQRT(sigma_o^2-2*Tabella34[[#This Row],[c_o]])</f>
        <v>1.2545518498268176</v>
      </c>
      <c r="BO117" s="269">
        <f>-sigma_o-SQRT(sigma_o^2-2*Tabella34[[#This Row],[c_o]])</f>
        <v>-1.8975246271258435</v>
      </c>
      <c r="BP117" s="269">
        <f>mu_o-LN(alpha*Ko/(Tabella34[[#This Row],[rest of Italy velocity]]*sigma_o*SQRTPI(2)))</f>
        <v>-1.1902715155263346</v>
      </c>
      <c r="BQ117" s="269">
        <f>Tabella34[[#This Row],[t_alpha_o+plus]]</f>
        <v>13.38272653101123</v>
      </c>
      <c r="BR117" s="91">
        <f>IFERROR(-Ka*_xlfn.LOGNORM.DIST((Tabella34[[#This Row],[Day]]-pa),mu_a,sigma_a,FALSE)*(1+(LN((Tabella34[[#This Row],[Day]]-pa))-mu_a)/sigma_a^2)/(Tabella34[[#This Row],[Day]]-pa),0)</f>
        <v>-88.001960707140327</v>
      </c>
      <c r="BS117" s="96">
        <f>Tabella34[[#This Row],[rest of Italy acc. fit]]/y_a_peak</f>
        <v>-2.6042639109589032E-2</v>
      </c>
      <c r="BT117" s="96">
        <f>Tabella34[[#This Row],[rest of Italy acc. fit]]*NOT(ISBLANK(Tabella34[[#This Row],[rest of Italy data]]))</f>
        <v>-88.001960707140327</v>
      </c>
      <c r="BU117" s="96">
        <f>Tabella34[[#This Row],[rest of Italy acc. fit]]+CIa</f>
        <v>606.65007515645698</v>
      </c>
      <c r="BV117" s="96">
        <f>MAX(Tabella34[[#This Row],[rest of Italy acc. fit]]-CIa,0)</f>
        <v>0</v>
      </c>
    </row>
    <row r="118" spans="2:74" x14ac:dyDescent="0.3">
      <c r="B118" s="288">
        <v>43941</v>
      </c>
      <c r="C118" s="4">
        <v>111</v>
      </c>
      <c r="D118" s="10">
        <f>Tabella8[[#This Row],[Italy cumulative]]</f>
        <v>181228</v>
      </c>
      <c r="E118" s="91">
        <f>(Tabella34[[#This Row],[Italy cumul. Data]]-D117)</f>
        <v>2256</v>
      </c>
      <c r="F118" s="91">
        <f>Tabella34[[#This Row],[Italy data]]-E117</f>
        <v>-791</v>
      </c>
      <c r="G118" s="96">
        <f>Tabella34[[#This Row],[Italy data]]*NOT(ISBLANK(Tabella34[[#This Row],[Italy data]]))</f>
        <v>2256</v>
      </c>
      <c r="H118" s="163">
        <f>Tabella8[[#This Row],[Italy fit]]</f>
        <v>182718.95994659094</v>
      </c>
      <c r="I118" s="163" t="e">
        <f>_xlfn.LOGNORM.INV(alpha*Tabella34[[#This Row],[Italy cumul. Fit]]/Kt,mu_t,sigma_t)-(Tabella34[[#This Row],[Day]]-pt)</f>
        <v>#NUM!</v>
      </c>
      <c r="J118" s="163" t="e">
        <f>Tabella34[[#This Row],[Italy d.t.]]/Italy_dt_at_lockdown</f>
        <v>#NUM!</v>
      </c>
      <c r="K118" s="96">
        <f>Tabella34[[#This Row],[Italy cumul. Fit]]/Kf</f>
        <v>0.77752770128598692</v>
      </c>
      <c r="L118" s="166">
        <f>Tabella34[[#This Row],[Lombardy acc. fit]]+Tabella34[[#This Row],[rest of Italy acc. fit]]</f>
        <v>-125.13621765270142</v>
      </c>
      <c r="M118" s="96">
        <f>Tabella34[[#This Row],[Italy (fitted Lombardy + fitted sum of the other regions)]]/(y_l_peak+y_a_peak)</f>
        <v>-2.4359294242492283E-2</v>
      </c>
      <c r="N118" s="163">
        <f>IFERROR(Kt*_xlfn.LOGNORM.DIST((Tabella34[[#This Row],[Day]]-pt),mu_t,sigma_t,FALSE),0)</f>
        <v>2844.8089721158422</v>
      </c>
      <c r="O118" s="163">
        <f>Kt*EXP(-0.5*Tabella34[[#This Row],[x_t]]^2)/(sigma_t*SQRTPI(2)*(Tabella34[[#This Row],[Day]]-D_bk))</f>
        <v>2844.8089721158412</v>
      </c>
      <c r="P118" s="206">
        <f>Tabella34[[#This Row],[Italy velocity]]/Tabella34[[#This Row],[Italy cumul. Fit]]</f>
        <v>1.5569314607238267E-2</v>
      </c>
      <c r="Q118" s="269">
        <f>(LN(Tabella34[[#This Row],[Day]]-D_bk)-mu_t)/sigma_t</f>
        <v>0.7638702002629234</v>
      </c>
      <c r="R118" s="269">
        <f>EXP(mu_t+sigma_t*Tabella34[[#This Row],[x_t_alpha©+plus]])-(Tabella34[[#This Row],[Day]]-D_bk)</f>
        <v>13.883586046019204</v>
      </c>
      <c r="S118" s="269">
        <f>EXP(mu_t+sigma_t*Tabella34[[#This Row],[x_t_alpha©-minus]])-(Tabella34[[#This Row],[Day]]-D_bk)</f>
        <v>-44.687128882419216</v>
      </c>
      <c r="T118" s="269">
        <f>-sigma_t+SQRT(sigma_t^2-2*Tabella34[[#This Row],[c_t]])</f>
        <v>1.2837026853334357</v>
      </c>
      <c r="U118" s="269">
        <f>-sigma_t-SQRT(sigma_t^2-2*Tabella34[[#This Row],[c_t]])</f>
        <v>-1.9029395912256728</v>
      </c>
      <c r="V118" s="269">
        <f>mu_t-LN(alpha*Kt/(Tabella34[[#This Row],[Italy velocity]]*sigma_t*SQRTPI(2)))</f>
        <v>-1.2214043316418532</v>
      </c>
      <c r="W118" s="269">
        <f>Tabella34[[#This Row],[Italy g.r.]]/Italy_gr_at_lockdown</f>
        <v>9.8443764164624512E-2</v>
      </c>
      <c r="X118" s="269">
        <f>Tabella34[[#This Row],[t_alpha_t+plus]]</f>
        <v>13.883586046019204</v>
      </c>
      <c r="Y118" s="269">
        <f>Tabella34[[#This Row],[Italy h.t.]]/Italy_ht_at_lockdown</f>
        <v>0.24725802170246269</v>
      </c>
      <c r="Z118" s="91">
        <f>IFERROR(-Kf*_xlfn.LOGNORM.DIST((Tabella34[[#This Row],[Day]]-D_bk),mu_f,sigma_f,FALSE)*(1+(LN((Tabella34[[#This Row],[Day]]-D_bk))-mu_f)/sigma_f^2)/(Tabella34[[#This Row],[Day]]-D_bk),0)</f>
        <v>-124.05971485459392</v>
      </c>
      <c r="AA118" s="91">
        <f>Tabella34[[#This Row],[Italy acc. fit]]/Itali_acc_at_lockdown</f>
        <v>-0.51060334989207112</v>
      </c>
      <c r="AB118" s="96">
        <f>Tabella34[[#This Row],[Italy acc. fit]]/y_f_peak</f>
        <v>-2.4509925466986063E-2</v>
      </c>
      <c r="AC118" s="163">
        <f>Tabella34[[#This Row],[Italy (fitted Lombardy + fitted sum of the other regions)]]*NOT(ISBLANK(Tabella34[[#This Row],[Italy data]]))</f>
        <v>-125.13621765270142</v>
      </c>
      <c r="AD118" s="163">
        <f>Tabella34[[#This Row],[Italy acc. fit]]*NOT(ISBLANK(Tabella34[[#This Row],[Italy data]]))</f>
        <v>-124.05971485459392</v>
      </c>
      <c r="AE118" s="96">
        <f>Tabella34[[#This Row],[Italy acc. fit]]+CIf</f>
        <v>889.70328716572374</v>
      </c>
      <c r="AF118" s="96">
        <f>MAX(Tabella34[[#This Row],[Italy acc. fit]]-CIf,0)</f>
        <v>0</v>
      </c>
      <c r="AG118" s="4">
        <f>Tabella8[[#This Row],[Lombardy]]</f>
        <v>66971</v>
      </c>
      <c r="AH118" s="91">
        <f>(Tabella34[[#This Row],[Lombardy cumul. Data]]-AG117)</f>
        <v>735</v>
      </c>
      <c r="AI118" s="91">
        <f>Tabella34[[#This Row],[Lombardy data]]-AH117</f>
        <v>-120</v>
      </c>
      <c r="AJ118" s="96">
        <f>Tabella34[[#This Row],[Lombardy data]]*NOT(ISBLANK(Tabella34[[#This Row],[Lombardy data]]))</f>
        <v>735</v>
      </c>
      <c r="AK118" s="96">
        <f>Tabella8[[#This Row],[Lombardy fit]]</f>
        <v>67712.244857883314</v>
      </c>
      <c r="AL118" s="163" t="e">
        <f>_xlfn.LOGNORM.INV(alpha*Tabella34[[#This Row],[Lombardy cumul. Fit]]/Kr,mu_r,sigma_r)-(Tabella34[[#This Row],[Day]]-pr)</f>
        <v>#NUM!</v>
      </c>
      <c r="AM118" s="96">
        <f>Tabella34[[#This Row],[Lombardy cumul. Fit]]/Kl</f>
        <v>0.77830166503314158</v>
      </c>
      <c r="AN118" s="96">
        <f>IFERROR(Kr*_xlfn.LOGNORM.DIST((Tabella34[[#This Row],[Day]]-pr),mu_r,sigma_r,FALSE),0)</f>
        <v>952.6954831916421</v>
      </c>
      <c r="AO118" s="209">
        <f>Tabella34[[#This Row],[Lombardy velocity]]/Tabella34[[#This Row],[Lombardy cumul. Fit]]</f>
        <v>1.4069766630706023E-2</v>
      </c>
      <c r="AP118" s="266">
        <f>(LN(Tabella34[[#This Row],[Day]]-pr)-mu_r)/sigma_r</f>
        <v>0.76647004327381507</v>
      </c>
      <c r="AQ118" s="269">
        <f>EXP(mu_r+sigma_r*Tabella34[[#This Row],[x_r_alpha©+plus]])-(Tabella34[[#This Row],[Day]]-pr)</f>
        <v>15.09755812265972</v>
      </c>
      <c r="AR118" s="269">
        <f>EXP(mu_r+sigma_r*Tabella34[[#This Row],[x_r_alpha©-minus]])-(Tabella34[[#This Row],[Day]]-pr)</f>
        <v>-48.205168420700886</v>
      </c>
      <c r="AS118" s="269">
        <f>-sigma_r+SQRT(sigma_r^2-2*Tabella34[[#This Row],[c_r]])</f>
        <v>1.2755912924348936</v>
      </c>
      <c r="AT118" s="269">
        <f>-sigma_r-SQRT(sigma_r^2-2*Tabella34[[#This Row],[c_r]])</f>
        <v>-1.9564458896286228</v>
      </c>
      <c r="AU118" s="269">
        <f>mu_r-LN(alpha*Kr/(Tabella34[[#This Row],[Lombardy velocity]]*sigma_r*SQRTPI(2)))</f>
        <v>-1.2478126704651551</v>
      </c>
      <c r="AV118" s="269">
        <f>Tabella34[[#This Row],[t_alpha_r+plus]]</f>
        <v>15.09755812265972</v>
      </c>
      <c r="AW118" s="91">
        <f>IFERROR(-Kl*_xlfn.LOGNORM.DIST((Tabella34[[#This Row],[Day]]-pl),mu_l,sigma_l,FALSE)*(1+(LN((Tabella34[[#This Row],[Day]]-pl))-mu_l)/sigma_l^2)/(Tabella34[[#This Row],[Day]]-pl),0)</f>
        <v>-38.828901309557644</v>
      </c>
      <c r="AX118" s="96">
        <f>Tabella34[[#This Row],[Lombardy acc. fit]]/y_l_peak</f>
        <v>-2.2087546592127076E-2</v>
      </c>
      <c r="AY118" s="163">
        <f>Tabella34[[#This Row],[Lombardy acc. fit]]*NOT(ISBLANK(Tabella34[[#This Row],[Lombardy data]]))</f>
        <v>-38.828901309557644</v>
      </c>
      <c r="AZ118" s="96">
        <f>Tabella34[[#This Row],[Lombardy acc. fit]]+CIl</f>
        <v>710.12647049406598</v>
      </c>
      <c r="BA118" s="96">
        <f>MAX(Tabella34[[#This Row],[Lombardy acc. fit]]-CIl,0)</f>
        <v>0</v>
      </c>
      <c r="BB118" s="10">
        <f>Tabella8[[#This Row],[rest of Italy ]]</f>
        <v>114257</v>
      </c>
      <c r="BC118" s="10">
        <f>(Tabella34[[#This Row],[rest of Italy cum. Data]]-BB117)</f>
        <v>1521</v>
      </c>
      <c r="BD118" s="10">
        <f>Tabella34[[#This Row],[rest of Italy data]]-BC117</f>
        <v>-671</v>
      </c>
      <c r="BE118" s="96">
        <f>Tabella34[[#This Row],[rest of Italy data]]*NOT(ISBLANK(Tabella34[[#This Row],[rest of Italy data]]))</f>
        <v>1521</v>
      </c>
      <c r="BF118" s="96">
        <f>Tabella8[[#This Row],[rest of Italy fit]]</f>
        <v>115296.23414275379</v>
      </c>
      <c r="BG118" s="163" t="e">
        <f>_xlfn.LOGNORM.INV(alpha*Tabella34[[#This Row],[rest of Italy cumul. Fit]]/Ko,mu_o,sigma_o)-(Tabella34[[#This Row],[Day]]-po)</f>
        <v>#NUM!</v>
      </c>
      <c r="BH118" s="96">
        <f>Tabella34[[#This Row],[rest of Italy cumul. Fit]]/Ka</f>
        <v>0.77902869976056432</v>
      </c>
      <c r="BI118" s="163">
        <f>IFERROR(Ko*_xlfn.LOGNORM.DIST((Tabella34[[#This Row],[Day]]-po),mu_o,sigma_o,FALSE),0)</f>
        <v>1864.7634123870196</v>
      </c>
      <c r="BJ118" s="206">
        <f>Tabella34[[#This Row],[rest of Italy velocity]]/Tabella34[[#This Row],[rest of Italy cumul. Fit]]</f>
        <v>1.6173671466824899E-2</v>
      </c>
      <c r="BK118" s="261">
        <f>(LN(Tabella34[[#This Row],[Day]]-po)-mu_o)/sigma_o</f>
        <v>0.76891697348177968</v>
      </c>
      <c r="BL118" s="269">
        <f>EXP(mu_o+sigma_o*Tabella34[[#This Row],[x_o_alpha©+plus]])-(Tabella34[[#This Row],[Day]]-po)</f>
        <v>13.177559836596046</v>
      </c>
      <c r="BM118" s="269">
        <f>EXP(mu_o+sigma_o*Tabella34[[#This Row],[x_o_alpha©-minus]])-(Tabella34[[#This Row],[Day]]-po)</f>
        <v>-42.471857248001264</v>
      </c>
      <c r="BN118" s="269">
        <f>-sigma_o+SQRT(sigma_o^2-2*Tabella34[[#This Row],[c_o]])</f>
        <v>1.2832795921922786</v>
      </c>
      <c r="BO118" s="269">
        <f>-sigma_o-SQRT(sigma_o^2-2*Tabella34[[#This Row],[c_o]])</f>
        <v>-1.9262523694913045</v>
      </c>
      <c r="BP118" s="269">
        <f>mu_o-LN(alpha*Ko/(Tabella34[[#This Row],[rest of Italy velocity]]*sigma_o*SQRTPI(2)))</f>
        <v>-1.2359601775901057</v>
      </c>
      <c r="BQ118" s="269">
        <f>Tabella34[[#This Row],[t_alpha_o+plus]]</f>
        <v>13.177559836596046</v>
      </c>
      <c r="BR118" s="91">
        <f>IFERROR(-Ka*_xlfn.LOGNORM.DIST((Tabella34[[#This Row],[Day]]-pa),mu_a,sigma_a,FALSE)*(1+(LN((Tabella34[[#This Row],[Day]]-pa))-mu_a)/sigma_a^2)/(Tabella34[[#This Row],[Day]]-pa),0)</f>
        <v>-86.307316343143768</v>
      </c>
      <c r="BS118" s="96">
        <f>Tabella34[[#This Row],[rest of Italy acc. fit]]/y_a_peak</f>
        <v>-2.5541138788050394E-2</v>
      </c>
      <c r="BT118" s="96">
        <f>Tabella34[[#This Row],[rest of Italy acc. fit]]*NOT(ISBLANK(Tabella34[[#This Row],[rest of Italy data]]))</f>
        <v>-86.307316343143768</v>
      </c>
      <c r="BU118" s="96">
        <f>Tabella34[[#This Row],[rest of Italy acc. fit]]+CIa</f>
        <v>608.34471952045362</v>
      </c>
      <c r="BV118" s="96">
        <f>MAX(Tabella34[[#This Row],[rest of Italy acc. fit]]-CIa,0)</f>
        <v>0</v>
      </c>
    </row>
    <row r="119" spans="2:74" x14ac:dyDescent="0.3">
      <c r="B119" s="288">
        <v>43942</v>
      </c>
      <c r="C119" s="4">
        <v>112</v>
      </c>
      <c r="D119" s="10">
        <f>Tabella8[[#This Row],[Italy cumulative]]</f>
        <v>183957</v>
      </c>
      <c r="E119" s="91">
        <f>(Tabella34[[#This Row],[Italy cumul. Data]]-D118)</f>
        <v>2729</v>
      </c>
      <c r="F119" s="91">
        <f>Tabella34[[#This Row],[Italy data]]-E118</f>
        <v>473</v>
      </c>
      <c r="G119" s="96">
        <f>Tabella34[[#This Row],[Italy data]]*NOT(ISBLANK(Tabella34[[#This Row],[Italy data]]))</f>
        <v>2729</v>
      </c>
      <c r="H119" s="163">
        <f>Tabella8[[#This Row],[Italy fit]]</f>
        <v>185502.13098157951</v>
      </c>
      <c r="I119" s="163" t="e">
        <f>_xlfn.LOGNORM.INV(alpha*Tabella34[[#This Row],[Italy cumul. Fit]]/Kt,mu_t,sigma_t)-(Tabella34[[#This Row],[Day]]-pt)</f>
        <v>#NUM!</v>
      </c>
      <c r="J119" s="163" t="e">
        <f>Tabella34[[#This Row],[Italy d.t.]]/Italy_dt_at_lockdown</f>
        <v>#NUM!</v>
      </c>
      <c r="K119" s="96">
        <f>Tabella34[[#This Row],[Italy cumul. Fit]]/Kf</f>
        <v>0.78937098551742602</v>
      </c>
      <c r="L119" s="166">
        <f>Tabella34[[#This Row],[Lombardy acc. fit]]+Tabella34[[#This Row],[rest of Italy acc. fit]]</f>
        <v>-122.40692479383563</v>
      </c>
      <c r="M119" s="96">
        <f>Tabella34[[#This Row],[Italy (fitted Lombardy + fitted sum of the other regions)]]/(y_l_peak+y_a_peak)</f>
        <v>-2.3828004028754474E-2</v>
      </c>
      <c r="N119" s="163">
        <f>IFERROR(Kt*_xlfn.LOGNORM.DIST((Tabella34[[#This Row],[Day]]-pt),mu_t,sigma_t,FALSE),0)</f>
        <v>2721.9372668355281</v>
      </c>
      <c r="O119" s="163">
        <f>Kt*EXP(-0.5*Tabella34[[#This Row],[x_t]]^2)/(sigma_t*SQRTPI(2)*(Tabella34[[#This Row],[Day]]-D_bk))</f>
        <v>2721.937266835525</v>
      </c>
      <c r="P119" s="206">
        <f>Tabella34[[#This Row],[Italy velocity]]/Tabella34[[#This Row],[Italy cumul. Fit]]</f>
        <v>1.4673347699201464E-2</v>
      </c>
      <c r="Q119" s="269">
        <f>(LN(Tabella34[[#This Row],[Day]]-D_bk)-mu_t)/sigma_t</f>
        <v>0.80424061106117173</v>
      </c>
      <c r="R119" s="269">
        <f>EXP(mu_t+sigma_t*Tabella34[[#This Row],[x_t_alpha©+plus]])-(Tabella34[[#This Row],[Day]]-D_bk)</f>
        <v>13.681373594427257</v>
      </c>
      <c r="S119" s="269">
        <f>EXP(mu_t+sigma_t*Tabella34[[#This Row],[x_t_alpha©-minus]])-(Tabella34[[#This Row],[Day]]-D_bk)</f>
        <v>-45.982045502031553</v>
      </c>
      <c r="T119" s="269">
        <f>-sigma_t+SQRT(sigma_t^2-2*Tabella34[[#This Row],[c_t]])</f>
        <v>1.3111765296445501</v>
      </c>
      <c r="U119" s="269">
        <f>-sigma_t-SQRT(sigma_t^2-2*Tabella34[[#This Row],[c_t]])</f>
        <v>-1.9304134355367872</v>
      </c>
      <c r="V119" s="269">
        <f>mu_t-LN(alpha*Kt/(Tabella34[[#This Row],[Italy velocity]]*sigma_t*SQRTPI(2)))</f>
        <v>-1.2655563945931689</v>
      </c>
      <c r="W119" s="269">
        <f>Tabella34[[#This Row],[Italy g.r.]]/Italy_gr_at_lockdown</f>
        <v>9.2778623648222008E-2</v>
      </c>
      <c r="X119" s="269">
        <f>Tabella34[[#This Row],[t_alpha_t+plus]]</f>
        <v>13.681373594427257</v>
      </c>
      <c r="Y119" s="269">
        <f>Tabella34[[#This Row],[Italy h.t.]]/Italy_ht_at_lockdown</f>
        <v>0.24365674386412164</v>
      </c>
      <c r="Z119" s="91">
        <f>IFERROR(-Kf*_xlfn.LOGNORM.DIST((Tabella34[[#This Row],[Day]]-D_bk),mu_f,sigma_f,FALSE)*(1+(LN((Tabella34[[#This Row],[Day]]-D_bk))-mu_f)/sigma_f^2)/(Tabella34[[#This Row],[Day]]-D_bk),0)</f>
        <v>-121.63544136654021</v>
      </c>
      <c r="AA119" s="91">
        <f>Tabella34[[#This Row],[Italy acc. fit]]/Itali_acc_at_lockdown</f>
        <v>-0.50062555681471643</v>
      </c>
      <c r="AB119" s="96">
        <f>Tabella34[[#This Row],[Italy acc. fit]]/y_f_peak</f>
        <v>-2.4030972548438494E-2</v>
      </c>
      <c r="AC119" s="163">
        <f>Tabella34[[#This Row],[Italy (fitted Lombardy + fitted sum of the other regions)]]*NOT(ISBLANK(Tabella34[[#This Row],[Italy data]]))</f>
        <v>-122.40692479383563</v>
      </c>
      <c r="AD119" s="163">
        <f>Tabella34[[#This Row],[Italy acc. fit]]*NOT(ISBLANK(Tabella34[[#This Row],[Italy data]]))</f>
        <v>-121.63544136654021</v>
      </c>
      <c r="AE119" s="96">
        <f>Tabella34[[#This Row],[Italy acc. fit]]+CIf</f>
        <v>892.12756065377744</v>
      </c>
      <c r="AF119" s="96">
        <f>MAX(Tabella34[[#This Row],[Italy acc. fit]]-CIf,0)</f>
        <v>0</v>
      </c>
      <c r="AG119" s="4">
        <f>Tabella8[[#This Row],[Lombardy]]</f>
        <v>67931</v>
      </c>
      <c r="AH119" s="91">
        <f>(Tabella34[[#This Row],[Lombardy cumul. Data]]-AG118)</f>
        <v>960</v>
      </c>
      <c r="AI119" s="91">
        <f>Tabella34[[#This Row],[Lombardy data]]-AH118</f>
        <v>225</v>
      </c>
      <c r="AJ119" s="96">
        <f>Tabella34[[#This Row],[Lombardy data]]*NOT(ISBLANK(Tabella34[[#This Row],[Lombardy data]]))</f>
        <v>960</v>
      </c>
      <c r="AK119" s="96">
        <f>Tabella8[[#This Row],[Lombardy fit]]</f>
        <v>68645.658331171959</v>
      </c>
      <c r="AL119" s="163" t="e">
        <f>_xlfn.LOGNORM.INV(alpha*Tabella34[[#This Row],[Lombardy cumul. Fit]]/Kr,mu_r,sigma_r)-(Tabella34[[#This Row],[Day]]-pr)</f>
        <v>#NUM!</v>
      </c>
      <c r="AM119" s="96">
        <f>Tabella34[[#This Row],[Lombardy cumul. Fit]]/Kl</f>
        <v>0.78903055553071222</v>
      </c>
      <c r="AN119" s="96">
        <f>IFERROR(Kr*_xlfn.LOGNORM.DIST((Tabella34[[#This Row],[Day]]-pr),mu_r,sigma_r,FALSE),0)</f>
        <v>914.26665184004321</v>
      </c>
      <c r="AO119" s="209">
        <f>Tabella34[[#This Row],[Lombardy velocity]]/Tabella34[[#This Row],[Lombardy cumul. Fit]]</f>
        <v>1.3318637683235317E-2</v>
      </c>
      <c r="AP119" s="266">
        <f>(LN(Tabella34[[#This Row],[Day]]-pr)-mu_r)/sigma_r</f>
        <v>0.80306201909352815</v>
      </c>
      <c r="AQ119" s="269">
        <f>EXP(mu_r+sigma_r*Tabella34[[#This Row],[x_r_alpha©+plus]])-(Tabella34[[#This Row],[Day]]-pr)</f>
        <v>14.917590083083738</v>
      </c>
      <c r="AR119" s="269">
        <f>EXP(mu_r+sigma_r*Tabella34[[#This Row],[x_r_alpha©-minus]])-(Tabella34[[#This Row],[Day]]-pr)</f>
        <v>-49.4757202027792</v>
      </c>
      <c r="AS119" s="269">
        <f>-sigma_r+SQRT(sigma_r^2-2*Tabella34[[#This Row],[c_r]])</f>
        <v>1.3008716323696832</v>
      </c>
      <c r="AT119" s="269">
        <f>-sigma_r-SQRT(sigma_r^2-2*Tabella34[[#This Row],[c_r]])</f>
        <v>-1.9817262295634124</v>
      </c>
      <c r="AU119" s="269">
        <f>mu_r-LN(alpha*Kr/(Tabella34[[#This Row],[Lombardy velocity]]*sigma_r*SQRTPI(2)))</f>
        <v>-1.2889857175809869</v>
      </c>
      <c r="AV119" s="269">
        <f>Tabella34[[#This Row],[t_alpha_r+plus]]</f>
        <v>14.917590083083738</v>
      </c>
      <c r="AW119" s="91">
        <f>IFERROR(-Kl*_xlfn.LOGNORM.DIST((Tabella34[[#This Row],[Day]]-pl),mu_l,sigma_l,FALSE)*(1+(LN((Tabella34[[#This Row],[Day]]-pl))-mu_l)/sigma_l^2)/(Tabella34[[#This Row],[Day]]-pl),0)</f>
        <v>-38.017948324466445</v>
      </c>
      <c r="AX119" s="96">
        <f>Tabella34[[#This Row],[Lombardy acc. fit]]/y_l_peak</f>
        <v>-2.1626241707411797E-2</v>
      </c>
      <c r="AY119" s="163">
        <f>Tabella34[[#This Row],[Lombardy acc. fit]]*NOT(ISBLANK(Tabella34[[#This Row],[Lombardy data]]))</f>
        <v>-38.017948324466445</v>
      </c>
      <c r="AZ119" s="96">
        <f>Tabella34[[#This Row],[Lombardy acc. fit]]+CIl</f>
        <v>710.93742347915713</v>
      </c>
      <c r="BA119" s="96">
        <f>MAX(Tabella34[[#This Row],[Lombardy acc. fit]]-CIl,0)</f>
        <v>0</v>
      </c>
      <c r="BB119" s="10">
        <f>Tabella8[[#This Row],[rest of Italy ]]</f>
        <v>116026</v>
      </c>
      <c r="BC119" s="10">
        <f>(Tabella34[[#This Row],[rest of Italy cum. Data]]-BB118)</f>
        <v>1769</v>
      </c>
      <c r="BD119" s="10">
        <f>Tabella34[[#This Row],[rest of Italy data]]-BC118</f>
        <v>248</v>
      </c>
      <c r="BE119" s="96">
        <f>Tabella34[[#This Row],[rest of Italy data]]*NOT(ISBLANK(Tabella34[[#This Row],[rest of Italy data]]))</f>
        <v>1769</v>
      </c>
      <c r="BF119" s="96">
        <f>Tabella8[[#This Row],[rest of Italy fit]]</f>
        <v>117118.15501163721</v>
      </c>
      <c r="BG119" s="163" t="e">
        <f>_xlfn.LOGNORM.INV(alpha*Tabella34[[#This Row],[rest of Italy cumul. Fit]]/Ko,mu_o,sigma_o)-(Tabella34[[#This Row],[Day]]-po)</f>
        <v>#NUM!</v>
      </c>
      <c r="BH119" s="96">
        <f>Tabella34[[#This Row],[rest of Italy cumul. Fit]]/Ka</f>
        <v>0.79133897733472647</v>
      </c>
      <c r="BI119" s="163">
        <f>IFERROR(Ko*_xlfn.LOGNORM.DIST((Tabella34[[#This Row],[Day]]-po),mu_o,sigma_o,FALSE),0)</f>
        <v>1779.3981474922105</v>
      </c>
      <c r="BJ119" s="206">
        <f>Tabella34[[#This Row],[rest of Italy velocity]]/Tabella34[[#This Row],[rest of Italy cumul. Fit]]</f>
        <v>1.5193188001598934E-2</v>
      </c>
      <c r="BK119" s="261">
        <f>(LN(Tabella34[[#This Row],[Day]]-po)-mu_o)/sigma_o</f>
        <v>0.81107596879586774</v>
      </c>
      <c r="BL119" s="269">
        <f>EXP(mu_o+sigma_o*Tabella34[[#This Row],[x_o_alpha©+plus]])-(Tabella34[[#This Row],[Day]]-po)</f>
        <v>12.985693697184871</v>
      </c>
      <c r="BM119" s="269">
        <f>EXP(mu_o+sigma_o*Tabella34[[#This Row],[x_o_alpha©-minus]])-(Tabella34[[#This Row],[Day]]-po)</f>
        <v>-43.75717497487193</v>
      </c>
      <c r="BN119" s="269">
        <f>-sigma_o+SQRT(sigma_o^2-2*Tabella34[[#This Row],[c_o]])</f>
        <v>1.3122185585861033</v>
      </c>
      <c r="BO119" s="269">
        <f>-sigma_o-SQRT(sigma_o^2-2*Tabella34[[#This Row],[c_o]])</f>
        <v>-1.9551913358851296</v>
      </c>
      <c r="BP119" s="269">
        <f>mu_o-LN(alpha*Ko/(Tabella34[[#This Row],[rest of Italy velocity]]*sigma_o*SQRTPI(2)))</f>
        <v>-1.2828191782676113</v>
      </c>
      <c r="BQ119" s="269">
        <f>Tabella34[[#This Row],[t_alpha_o+plus]]</f>
        <v>12.985693697184871</v>
      </c>
      <c r="BR119" s="91">
        <f>IFERROR(-Ka*_xlfn.LOGNORM.DIST((Tabella34[[#This Row],[Day]]-pa),mu_a,sigma_a,FALSE)*(1+(LN((Tabella34[[#This Row],[Day]]-pa))-mu_a)/sigma_a^2)/(Tabella34[[#This Row],[Day]]-pa),0)</f>
        <v>-84.388976469369183</v>
      </c>
      <c r="BS119" s="96">
        <f>Tabella34[[#This Row],[rest of Italy acc. fit]]/y_a_peak</f>
        <v>-2.4973439697930092E-2</v>
      </c>
      <c r="BT119" s="96">
        <f>Tabella34[[#This Row],[rest of Italy acc. fit]]*NOT(ISBLANK(Tabella34[[#This Row],[rest of Italy data]]))</f>
        <v>-84.388976469369183</v>
      </c>
      <c r="BU119" s="96">
        <f>Tabella34[[#This Row],[rest of Italy acc. fit]]+CIa</f>
        <v>610.26305939422821</v>
      </c>
      <c r="BV119" s="96">
        <f>MAX(Tabella34[[#This Row],[rest of Italy acc. fit]]-CIa,0)</f>
        <v>0</v>
      </c>
    </row>
    <row r="120" spans="2:74" x14ac:dyDescent="0.3">
      <c r="B120" s="288">
        <v>43943</v>
      </c>
      <c r="C120" s="4">
        <v>113</v>
      </c>
      <c r="D120" s="10">
        <f>Tabella8[[#This Row],[Italy cumulative]]</f>
        <v>187327</v>
      </c>
      <c r="E120" s="91">
        <f>(Tabella34[[#This Row],[Italy cumul. Data]]-D119)</f>
        <v>3370</v>
      </c>
      <c r="F120" s="91">
        <f>Tabella34[[#This Row],[Italy data]]-E119</f>
        <v>641</v>
      </c>
      <c r="G120" s="96">
        <f>Tabella34[[#This Row],[Italy data]]*NOT(ISBLANK(Tabella34[[#This Row],[Italy data]]))</f>
        <v>3370</v>
      </c>
      <c r="H120" s="163">
        <f>Tabella8[[#This Row],[Italy fit]]</f>
        <v>188163.68888382229</v>
      </c>
      <c r="I120" s="163" t="e">
        <f>_xlfn.LOGNORM.INV(alpha*Tabella34[[#This Row],[Italy cumul. Fit]]/Kt,mu_t,sigma_t)-(Tabella34[[#This Row],[Day]]-pt)</f>
        <v>#NUM!</v>
      </c>
      <c r="J120" s="163" t="e">
        <f>Tabella34[[#This Row],[Italy d.t.]]/Italy_dt_at_lockdown</f>
        <v>#NUM!</v>
      </c>
      <c r="K120" s="96">
        <f>Tabella34[[#This Row],[Italy cumul. Fit]]/Kf</f>
        <v>0.80069676691512703</v>
      </c>
      <c r="L120" s="166">
        <f>Tabella34[[#This Row],[Lombardy acc. fit]]+Tabella34[[#This Row],[rest of Italy acc. fit]]</f>
        <v>-119.42981181776648</v>
      </c>
      <c r="M120" s="96">
        <f>Tabella34[[#This Row],[Italy (fitted Lombardy + fitted sum of the other regions)]]/(y_l_peak+y_a_peak)</f>
        <v>-2.3248472600223679E-2</v>
      </c>
      <c r="N120" s="163">
        <f>IFERROR(Kt*_xlfn.LOGNORM.DIST((Tabella34[[#This Row],[Day]]-pt),mu_t,sigma_t,FALSE),0)</f>
        <v>2601.6273401431858</v>
      </c>
      <c r="O120" s="163">
        <f>Kt*EXP(-0.5*Tabella34[[#This Row],[x_t]]^2)/(sigma_t*SQRTPI(2)*(Tabella34[[#This Row],[Day]]-D_bk))</f>
        <v>2601.6273401431863</v>
      </c>
      <c r="P120" s="206">
        <f>Tabella34[[#This Row],[Italy velocity]]/Tabella34[[#This Row],[Italy cumul. Fit]]</f>
        <v>1.3826404847693574E-2</v>
      </c>
      <c r="Q120" s="269">
        <f>(LN(Tabella34[[#This Row],[Day]]-D_bk)-mu_t)/sigma_t</f>
        <v>0.84411263807399994</v>
      </c>
      <c r="R120" s="269">
        <f>EXP(mu_t+sigma_t*Tabella34[[#This Row],[x_t_alpha©+plus]])-(Tabella34[[#This Row],[Day]]-D_bk)</f>
        <v>13.491326317431998</v>
      </c>
      <c r="S120" s="269">
        <f>EXP(mu_t+sigma_t*Tabella34[[#This Row],[x_t_alpha©-minus]])-(Tabella34[[#This Row],[Day]]-D_bk)</f>
        <v>-47.276391836119423</v>
      </c>
      <c r="T120" s="269">
        <f>-sigma_t+SQRT(sigma_t^2-2*Tabella34[[#This Row],[c_t]])</f>
        <v>1.3388322716757504</v>
      </c>
      <c r="U120" s="269">
        <f>-sigma_t-SQRT(sigma_t^2-2*Tabella34[[#This Row],[c_t]])</f>
        <v>-1.9580691775679875</v>
      </c>
      <c r="V120" s="269">
        <f>mu_t-LN(alpha*Kt/(Tabella34[[#This Row],[Italy velocity]]*sigma_t*SQRTPI(2)))</f>
        <v>-1.3107631025508084</v>
      </c>
      <c r="W120" s="269">
        <f>Tabella34[[#This Row],[Italy g.r.]]/Italy_gr_at_lockdown</f>
        <v>8.7423459054400049E-2</v>
      </c>
      <c r="X120" s="269">
        <f>Tabella34[[#This Row],[t_alpha_t+plus]]</f>
        <v>13.491326317431998</v>
      </c>
      <c r="Y120" s="269">
        <f>Tabella34[[#This Row],[Italy h.t.]]/Italy_ht_at_lockdown</f>
        <v>0.24027212020968325</v>
      </c>
      <c r="Z120" s="91">
        <f>IFERROR(-Kf*_xlfn.LOGNORM.DIST((Tabella34[[#This Row],[Day]]-D_bk),mu_f,sigma_f,FALSE)*(1+(LN((Tabella34[[#This Row],[Day]]-D_bk))-mu_f)/sigma_f^2)/(Tabella34[[#This Row],[Day]]-D_bk),0)</f>
        <v>-118.94331795205844</v>
      </c>
      <c r="AA120" s="91">
        <f>Tabella34[[#This Row],[Italy acc. fit]]/Itali_acc_at_lockdown</f>
        <v>-0.48954535051754416</v>
      </c>
      <c r="AB120" s="96">
        <f>Tabella34[[#This Row],[Italy acc. fit]]/y_f_peak</f>
        <v>-2.3499101712573578E-2</v>
      </c>
      <c r="AC120" s="163">
        <f>Tabella34[[#This Row],[Italy (fitted Lombardy + fitted sum of the other regions)]]*NOT(ISBLANK(Tabella34[[#This Row],[Italy data]]))</f>
        <v>-119.42981181776648</v>
      </c>
      <c r="AD120" s="163">
        <f>Tabella34[[#This Row],[Italy acc. fit]]*NOT(ISBLANK(Tabella34[[#This Row],[Italy data]]))</f>
        <v>-118.94331795205844</v>
      </c>
      <c r="AE120" s="96">
        <f>Tabella34[[#This Row],[Italy acc. fit]]+CIf</f>
        <v>894.81968406825922</v>
      </c>
      <c r="AF120" s="96">
        <f>MAX(Tabella34[[#This Row],[Italy acc. fit]]-CIf,0)</f>
        <v>0</v>
      </c>
      <c r="AG120" s="4">
        <f>Tabella8[[#This Row],[Lombardy]]</f>
        <v>69092</v>
      </c>
      <c r="AH120" s="91">
        <f>(Tabella34[[#This Row],[Lombardy cumul. Data]]-AG119)</f>
        <v>1161</v>
      </c>
      <c r="AI120" s="91">
        <f>Tabella34[[#This Row],[Lombardy data]]-AH119</f>
        <v>201</v>
      </c>
      <c r="AJ120" s="96">
        <f>Tabella34[[#This Row],[Lombardy data]]*NOT(ISBLANK(Tabella34[[#This Row],[Lombardy data]]))</f>
        <v>1161</v>
      </c>
      <c r="AK120" s="96">
        <f>Tabella8[[#This Row],[Lombardy fit]]</f>
        <v>69541.058826994791</v>
      </c>
      <c r="AL120" s="163" t="e">
        <f>_xlfn.LOGNORM.INV(alpha*Tabella34[[#This Row],[Lombardy cumul. Fit]]/Kr,mu_r,sigma_r)-(Tabella34[[#This Row],[Day]]-pr)</f>
        <v>#NUM!</v>
      </c>
      <c r="AM120" s="96">
        <f>Tabella34[[#This Row],[Lombardy cumul. Fit]]/Kl</f>
        <v>0.79932251525281373</v>
      </c>
      <c r="AN120" s="96">
        <f>IFERROR(Kr*_xlfn.LOGNORM.DIST((Tabella34[[#This Row],[Day]]-pr),mu_r,sigma_r,FALSE),0)</f>
        <v>876.67947430216725</v>
      </c>
      <c r="AO120" s="209">
        <f>Tabella34[[#This Row],[Lombardy velocity]]/Tabella34[[#This Row],[Lombardy cumul. Fit]]</f>
        <v>1.2606645470889112E-2</v>
      </c>
      <c r="AP120" s="266">
        <f>(LN(Tabella34[[#This Row],[Day]]-pr)-mu_r)/sigma_r</f>
        <v>0.83920377465784424</v>
      </c>
      <c r="AQ120" s="269">
        <f>EXP(mu_r+sigma_r*Tabella34[[#This Row],[x_r_alpha©+plus]])-(Tabella34[[#This Row],[Day]]-pr)</f>
        <v>14.748035542411444</v>
      </c>
      <c r="AR120" s="269">
        <f>EXP(mu_r+sigma_r*Tabella34[[#This Row],[x_r_alpha©-minus]])-(Tabella34[[#This Row],[Day]]-pr)</f>
        <v>-50.745022831028663</v>
      </c>
      <c r="AS120" s="269">
        <f>-sigma_r+SQRT(sigma_r^2-2*Tabella34[[#This Row],[c_r]])</f>
        <v>1.3262531837115907</v>
      </c>
      <c r="AT120" s="269">
        <f>-sigma_r-SQRT(sigma_r^2-2*Tabella34[[#This Row],[c_r]])</f>
        <v>-2.0071077809053199</v>
      </c>
      <c r="AU120" s="269">
        <f>mu_r-LN(alpha*Kr/(Tabella34[[#This Row],[Lombardy velocity]]*sigma_r*SQRTPI(2)))</f>
        <v>-1.3309665422389934</v>
      </c>
      <c r="AV120" s="269">
        <f>Tabella34[[#This Row],[t_alpha_r+plus]]</f>
        <v>14.748035542411444</v>
      </c>
      <c r="AW120" s="91">
        <f>IFERROR(-Kl*_xlfn.LOGNORM.DIST((Tabella34[[#This Row],[Day]]-pl),mu_l,sigma_l,FALSE)*(1+(LN((Tabella34[[#This Row],[Day]]-pl))-mu_l)/sigma_l^2)/(Tabella34[[#This Row],[Day]]-pl),0)</f>
        <v>-37.147306115152809</v>
      </c>
      <c r="AX120" s="96">
        <f>Tabella34[[#This Row],[Lombardy acc. fit]]/y_l_peak</f>
        <v>-2.1130983028574187E-2</v>
      </c>
      <c r="AY120" s="163">
        <f>Tabella34[[#This Row],[Lombardy acc. fit]]*NOT(ISBLANK(Tabella34[[#This Row],[Lombardy data]]))</f>
        <v>-37.147306115152809</v>
      </c>
      <c r="AZ120" s="96">
        <f>Tabella34[[#This Row],[Lombardy acc. fit]]+CIl</f>
        <v>711.80806568847083</v>
      </c>
      <c r="BA120" s="96">
        <f>MAX(Tabella34[[#This Row],[Lombardy acc. fit]]-CIl,0)</f>
        <v>0</v>
      </c>
      <c r="BB120" s="10">
        <f>Tabella8[[#This Row],[rest of Italy ]]</f>
        <v>118235</v>
      </c>
      <c r="BC120" s="10">
        <f>(Tabella34[[#This Row],[rest of Italy cum. Data]]-BB119)</f>
        <v>2209</v>
      </c>
      <c r="BD120" s="10">
        <f>Tabella34[[#This Row],[rest of Italy data]]-BC119</f>
        <v>440</v>
      </c>
      <c r="BE120" s="96">
        <f>Tabella34[[#This Row],[rest of Italy data]]*NOT(ISBLANK(Tabella34[[#This Row],[rest of Italy data]]))</f>
        <v>2209</v>
      </c>
      <c r="BF120" s="96">
        <f>Tabella8[[#This Row],[rest of Italy fit]]</f>
        <v>118855.70257040823</v>
      </c>
      <c r="BG120" s="163" t="e">
        <f>_xlfn.LOGNORM.INV(alpha*Tabella34[[#This Row],[rest of Italy cumul. Fit]]/Ko,mu_o,sigma_o)-(Tabella34[[#This Row],[Day]]-po)</f>
        <v>#NUM!</v>
      </c>
      <c r="BH120" s="96">
        <f>Tabella34[[#This Row],[rest of Italy cumul. Fit]]/Ka</f>
        <v>0.80307916490933173</v>
      </c>
      <c r="BI120" s="163">
        <f>IFERROR(Ko*_xlfn.LOGNORM.DIST((Tabella34[[#This Row],[Day]]-po),mu_o,sigma_o,FALSE),0)</f>
        <v>1696.0481398345469</v>
      </c>
      <c r="BJ120" s="206">
        <f>Tabella34[[#This Row],[rest of Italy velocity]]/Tabella34[[#This Row],[rest of Italy cumul. Fit]]</f>
        <v>1.4269808710523038E-2</v>
      </c>
      <c r="BK120" s="261">
        <f>(LN(Tabella34[[#This Row],[Day]]-po)-mu_o)/sigma_o</f>
        <v>0.85267119292987181</v>
      </c>
      <c r="BL120" s="269">
        <f>EXP(mu_o+sigma_o*Tabella34[[#This Row],[x_o_alpha©+plus]])-(Tabella34[[#This Row],[Day]]-po)</f>
        <v>12.806112453597123</v>
      </c>
      <c r="BM120" s="269">
        <f>EXP(mu_o+sigma_o*Tabella34[[#This Row],[x_o_alpha©-minus]])-(Tabella34[[#This Row],[Day]]-po)</f>
        <v>-45.041474936806075</v>
      </c>
      <c r="BN120" s="269">
        <f>-sigma_o+SQRT(sigma_o^2-2*Tabella34[[#This Row],[c_o]])</f>
        <v>1.3413246010604545</v>
      </c>
      <c r="BO120" s="269">
        <f>-sigma_o-SQRT(sigma_o^2-2*Tabella34[[#This Row],[c_o]])</f>
        <v>-1.9842973783594804</v>
      </c>
      <c r="BP120" s="269">
        <f>mu_o-LN(alpha*Ko/(Tabella34[[#This Row],[rest of Italy velocity]]*sigma_o*SQRTPI(2)))</f>
        <v>-1.3307934447066678</v>
      </c>
      <c r="BQ120" s="269">
        <f>Tabella34[[#This Row],[t_alpha_o+plus]]</f>
        <v>12.806112453597123</v>
      </c>
      <c r="BR120" s="91">
        <f>IFERROR(-Ka*_xlfn.LOGNORM.DIST((Tabella34[[#This Row],[Day]]-pa),mu_a,sigma_a,FALSE)*(1+(LN((Tabella34[[#This Row],[Day]]-pa))-mu_a)/sigma_a^2)/(Tabella34[[#This Row],[Day]]-pa),0)</f>
        <v>-82.282505702613676</v>
      </c>
      <c r="BS120" s="96">
        <f>Tabella34[[#This Row],[rest of Italy acc. fit]]/y_a_peak</f>
        <v>-2.4350066564732823E-2</v>
      </c>
      <c r="BT120" s="96">
        <f>Tabella34[[#This Row],[rest of Italy acc. fit]]*NOT(ISBLANK(Tabella34[[#This Row],[rest of Italy data]]))</f>
        <v>-82.282505702613676</v>
      </c>
      <c r="BU120" s="96">
        <f>Tabella34[[#This Row],[rest of Italy acc. fit]]+CIa</f>
        <v>612.36953016098369</v>
      </c>
      <c r="BV120" s="96">
        <f>MAX(Tabella34[[#This Row],[rest of Italy acc. fit]]-CIa,0)</f>
        <v>0</v>
      </c>
    </row>
    <row r="121" spans="2:74" x14ac:dyDescent="0.3">
      <c r="B121" s="288">
        <v>43944</v>
      </c>
      <c r="C121" s="4">
        <v>114</v>
      </c>
      <c r="D121" s="10">
        <f>Tabella8[[#This Row],[Italy cumulative]]</f>
        <v>189973</v>
      </c>
      <c r="E121" s="91">
        <f>(Tabella34[[#This Row],[Italy cumul. Data]]-D120)</f>
        <v>2646</v>
      </c>
      <c r="F121" s="91">
        <f>Tabella34[[#This Row],[Italy data]]-E120</f>
        <v>-724</v>
      </c>
      <c r="G121" s="96">
        <f>Tabella34[[#This Row],[Italy data]]*NOT(ISBLANK(Tabella34[[#This Row],[Italy data]]))</f>
        <v>2646</v>
      </c>
      <c r="H121" s="163">
        <f>Tabella8[[#This Row],[Italy fit]]</f>
        <v>190706.32231918254</v>
      </c>
      <c r="I121" s="163" t="e">
        <f>_xlfn.LOGNORM.INV(alpha*Tabella34[[#This Row],[Italy cumul. Fit]]/Kt,mu_t,sigma_t)-(Tabella34[[#This Row],[Day]]-pt)</f>
        <v>#NUM!</v>
      </c>
      <c r="J121" s="163" t="e">
        <f>Tabella34[[#This Row],[Italy d.t.]]/Italy_dt_at_lockdown</f>
        <v>#NUM!</v>
      </c>
      <c r="K121" s="96">
        <f>Tabella34[[#This Row],[Italy cumul. Fit]]/Kf</f>
        <v>0.81151648661354492</v>
      </c>
      <c r="L121" s="166">
        <f>Tabella34[[#This Row],[Lombardy acc. fit]]+Tabella34[[#This Row],[rest of Italy acc. fit]]</f>
        <v>-116.24764400859695</v>
      </c>
      <c r="M121" s="96">
        <f>Tabella34[[#This Row],[Italy (fitted Lombardy + fitted sum of the other regions)]]/(y_l_peak+y_a_peak)</f>
        <v>-2.2629024742148882E-2</v>
      </c>
      <c r="N121" s="163">
        <f>IFERROR(Kt*_xlfn.LOGNORM.DIST((Tabella34[[#This Row],[Day]]-pt),mu_t,sigma_t,FALSE),0)</f>
        <v>2484.1260516902303</v>
      </c>
      <c r="O121" s="163">
        <f>Kt*EXP(-0.5*Tabella34[[#This Row],[x_t]]^2)/(sigma_t*SQRTPI(2)*(Tabella34[[#This Row],[Day]]-D_bk))</f>
        <v>2484.1260516902303</v>
      </c>
      <c r="P121" s="206">
        <f>Tabella34[[#This Row],[Italy velocity]]/Tabella34[[#This Row],[Italy cumul. Fit]]</f>
        <v>1.3025923951973562E-2</v>
      </c>
      <c r="Q121" s="269">
        <f>(LN(Tabella34[[#This Row],[Day]]-D_bk)-mu_t)/sigma_t</f>
        <v>0.88349843676026751</v>
      </c>
      <c r="R121" s="269">
        <f>EXP(mu_t+sigma_t*Tabella34[[#This Row],[x_t_alpha©+plus]])-(Tabella34[[#This Row],[Day]]-D_bk)</f>
        <v>13.31257496267402</v>
      </c>
      <c r="S121" s="269">
        <f>EXP(mu_t+sigma_t*Tabella34[[#This Row],[x_t_alpha©-minus]])-(Tabella34[[#This Row],[Day]]-D_bk)</f>
        <v>-48.569762380607656</v>
      </c>
      <c r="T121" s="269">
        <f>-sigma_t+SQRT(sigma_t^2-2*Tabella34[[#This Row],[c_t]])</f>
        <v>1.366633996305644</v>
      </c>
      <c r="U121" s="269">
        <f>-sigma_t-SQRT(sigma_t^2-2*Tabella34[[#This Row],[c_t]])</f>
        <v>-1.9858709021978811</v>
      </c>
      <c r="V121" s="269">
        <f>mu_t-LN(alpha*Kt/(Tabella34[[#This Row],[Italy velocity]]*sigma_t*SQRTPI(2)))</f>
        <v>-1.3569793436088924</v>
      </c>
      <c r="W121" s="269">
        <f>Tabella34[[#This Row],[Italy g.r.]]/Italy_gr_at_lockdown</f>
        <v>8.2362070386724689E-2</v>
      </c>
      <c r="X121" s="269">
        <f>Tabella34[[#This Row],[t_alpha_t+plus]]</f>
        <v>13.31257496267402</v>
      </c>
      <c r="Y121" s="269">
        <f>Tabella34[[#This Row],[Italy h.t.]]/Italy_ht_at_lockdown</f>
        <v>0.23708866989593919</v>
      </c>
      <c r="Z121" s="91">
        <f>IFERROR(-Kf*_xlfn.LOGNORM.DIST((Tabella34[[#This Row],[Day]]-D_bk),mu_f,sigma_f,FALSE)*(1+(LN((Tabella34[[#This Row],[Day]]-D_bk))-mu_f)/sigma_f^2)/(Tabella34[[#This Row],[Day]]-D_bk),0)</f>
        <v>-116.02483339545543</v>
      </c>
      <c r="AA121" s="91">
        <f>Tabella34[[#This Row],[Italy acc. fit]]/Itali_acc_at_lockdown</f>
        <v>-0.47753348999572715</v>
      </c>
      <c r="AB121" s="96">
        <f>Tabella34[[#This Row],[Italy acc. fit]]/y_f_peak</f>
        <v>-2.2922509713770987E-2</v>
      </c>
      <c r="AC121" s="163">
        <f>Tabella34[[#This Row],[Italy (fitted Lombardy + fitted sum of the other regions)]]*NOT(ISBLANK(Tabella34[[#This Row],[Italy data]]))</f>
        <v>-116.24764400859695</v>
      </c>
      <c r="AD121" s="163">
        <f>Tabella34[[#This Row],[Italy acc. fit]]*NOT(ISBLANK(Tabella34[[#This Row],[Italy data]]))</f>
        <v>-116.02483339545543</v>
      </c>
      <c r="AE121" s="96">
        <f>Tabella34[[#This Row],[Italy acc. fit]]+CIf</f>
        <v>897.73816862486228</v>
      </c>
      <c r="AF121" s="96">
        <f>MAX(Tabella34[[#This Row],[Italy acc. fit]]-CIf,0)</f>
        <v>0</v>
      </c>
      <c r="AG121" s="4">
        <f>Tabella8[[#This Row],[Lombardy]]</f>
        <v>70165</v>
      </c>
      <c r="AH121" s="91">
        <f>(Tabella34[[#This Row],[Lombardy cumul. Data]]-AG120)</f>
        <v>1073</v>
      </c>
      <c r="AI121" s="91">
        <f>Tabella34[[#This Row],[Lombardy data]]-AH120</f>
        <v>-88</v>
      </c>
      <c r="AJ121" s="96">
        <f>Tabella34[[#This Row],[Lombardy data]]*NOT(ISBLANK(Tabella34[[#This Row],[Lombardy data]]))</f>
        <v>1073</v>
      </c>
      <c r="AK121" s="96">
        <f>Tabella8[[#This Row],[Lombardy fit]]</f>
        <v>70399.316163647018</v>
      </c>
      <c r="AL121" s="163" t="e">
        <f>_xlfn.LOGNORM.INV(alpha*Tabella34[[#This Row],[Lombardy cumul. Fit]]/Kr,mu_r,sigma_r)-(Tabella34[[#This Row],[Day]]-pr)</f>
        <v>#NUM!</v>
      </c>
      <c r="AM121" s="96">
        <f>Tabella34[[#This Row],[Lombardy cumul. Fit]]/Kl</f>
        <v>0.80918754211088528</v>
      </c>
      <c r="AN121" s="96">
        <f>IFERROR(Kr*_xlfn.LOGNORM.DIST((Tabella34[[#This Row],[Day]]-pr),mu_r,sigma_r,FALSE),0)</f>
        <v>839.98863163849398</v>
      </c>
      <c r="AO121" s="209">
        <f>Tabella34[[#This Row],[Lombardy velocity]]/Tabella34[[#This Row],[Lombardy cumul. Fit]]</f>
        <v>1.1931772599692516E-2</v>
      </c>
      <c r="AP121" s="266">
        <f>(LN(Tabella34[[#This Row],[Day]]-pr)-mu_r)/sigma_r</f>
        <v>0.87490625428405822</v>
      </c>
      <c r="AQ121" s="269">
        <f>EXP(mu_r+sigma_r*Tabella34[[#This Row],[x_r_alpha©+plus]])-(Tabella34[[#This Row],[Day]]-pr)</f>
        <v>14.588195722565899</v>
      </c>
      <c r="AR121" s="269">
        <f>EXP(mu_r+sigma_r*Tabella34[[#This Row],[x_r_alpha©-minus]])-(Tabella34[[#This Row],[Day]]-pr)</f>
        <v>-52.012801067743361</v>
      </c>
      <c r="AS121" s="269">
        <f>-sigma_r+SQRT(sigma_r^2-2*Tabella34[[#This Row],[c_r]])</f>
        <v>1.3517104043924812</v>
      </c>
      <c r="AT121" s="269">
        <f>-sigma_r-SQRT(sigma_r^2-2*Tabella34[[#This Row],[c_r]])</f>
        <v>-2.0325650015862102</v>
      </c>
      <c r="AU121" s="269">
        <f>mu_r-LN(alpha*Kr/(Tabella34[[#This Row],[Lombardy velocity]]*sigma_r*SQRTPI(2)))</f>
        <v>-1.3737196301240502</v>
      </c>
      <c r="AV121" s="269">
        <f>Tabella34[[#This Row],[t_alpha_r+plus]]</f>
        <v>14.588195722565899</v>
      </c>
      <c r="AW121" s="91">
        <f>IFERROR(-Kl*_xlfn.LOGNORM.DIST((Tabella34[[#This Row],[Day]]-pl),mu_l,sigma_l,FALSE)*(1+(LN((Tabella34[[#This Row],[Day]]-pl))-mu_l)/sigma_l^2)/(Tabella34[[#This Row],[Day]]-pl),0)</f>
        <v>-36.226862319130966</v>
      </c>
      <c r="AX121" s="96">
        <f>Tabella34[[#This Row],[Lombardy acc. fit]]/y_l_peak</f>
        <v>-2.0607395068462053E-2</v>
      </c>
      <c r="AY121" s="163">
        <f>Tabella34[[#This Row],[Lombardy acc. fit]]*NOT(ISBLANK(Tabella34[[#This Row],[Lombardy data]]))</f>
        <v>-36.226862319130966</v>
      </c>
      <c r="AZ121" s="96">
        <f>Tabella34[[#This Row],[Lombardy acc. fit]]+CIl</f>
        <v>712.72850948449263</v>
      </c>
      <c r="BA121" s="96">
        <f>MAX(Tabella34[[#This Row],[Lombardy acc. fit]]-CIl,0)</f>
        <v>0</v>
      </c>
      <c r="BB121" s="10">
        <f>Tabella8[[#This Row],[rest of Italy ]]</f>
        <v>119808</v>
      </c>
      <c r="BC121" s="10">
        <f>(Tabella34[[#This Row],[rest of Italy cum. Data]]-BB120)</f>
        <v>1573</v>
      </c>
      <c r="BD121" s="10">
        <f>Tabella34[[#This Row],[rest of Italy data]]-BC120</f>
        <v>-636</v>
      </c>
      <c r="BE121" s="96">
        <f>Tabella34[[#This Row],[rest of Italy data]]*NOT(ISBLANK(Tabella34[[#This Row],[rest of Italy data]]))</f>
        <v>1573</v>
      </c>
      <c r="BF121" s="96">
        <f>Tabella8[[#This Row],[rest of Italy fit]]</f>
        <v>120510.9805500728</v>
      </c>
      <c r="BG121" s="163" t="e">
        <f>_xlfn.LOGNORM.INV(alpha*Tabella34[[#This Row],[rest of Italy cumul. Fit]]/Ko,mu_o,sigma_o)-(Tabella34[[#This Row],[Day]]-po)</f>
        <v>#NUM!</v>
      </c>
      <c r="BH121" s="96">
        <f>Tabella34[[#This Row],[rest of Italy cumul. Fit]]/Ka</f>
        <v>0.81426347688472356</v>
      </c>
      <c r="BI121" s="163">
        <f>IFERROR(Ko*_xlfn.LOGNORM.DIST((Tabella34[[#This Row],[Day]]-po),mu_o,sigma_o,FALSE),0)</f>
        <v>1614.8848573725725</v>
      </c>
      <c r="BJ121" s="206">
        <f>Tabella34[[#This Row],[rest of Italy velocity]]/Tabella34[[#This Row],[rest of Italy cumul. Fit]]</f>
        <v>1.3400312983940756E-2</v>
      </c>
      <c r="BK121" s="261">
        <f>(LN(Tabella34[[#This Row],[Day]]-po)-mu_o)/sigma_o</f>
        <v>0.89371752518967895</v>
      </c>
      <c r="BL121" s="269">
        <f>EXP(mu_o+sigma_o*Tabella34[[#This Row],[x_o_alpha©+plus]])-(Tabella34[[#This Row],[Day]]-po)</f>
        <v>12.637890601899969</v>
      </c>
      <c r="BM121" s="269">
        <f>EXP(mu_o+sigma_o*Tabella34[[#This Row],[x_o_alpha©-minus]])-(Tabella34[[#This Row],[Day]]-po)</f>
        <v>-46.324355663976789</v>
      </c>
      <c r="BN121" s="269">
        <f>-sigma_o+SQRT(sigma_o^2-2*Tabella34[[#This Row],[c_o]])</f>
        <v>1.3705582069004927</v>
      </c>
      <c r="BO121" s="269">
        <f>-sigma_o-SQRT(sigma_o^2-2*Tabella34[[#This Row],[c_o]])</f>
        <v>-2.0135309841995186</v>
      </c>
      <c r="BP121" s="269">
        <f>mu_o-LN(alpha*Ko/(Tabella34[[#This Row],[rest of Italy velocity]]*sigma_o*SQRTPI(2)))</f>
        <v>-1.3798307076215384</v>
      </c>
      <c r="BQ121" s="269">
        <f>Tabella34[[#This Row],[t_alpha_o+plus]]</f>
        <v>12.637890601899969</v>
      </c>
      <c r="BR121" s="91">
        <f>IFERROR(-Ka*_xlfn.LOGNORM.DIST((Tabella34[[#This Row],[Day]]-pa),mu_a,sigma_a,FALSE)*(1+(LN((Tabella34[[#This Row],[Day]]-pa))-mu_a)/sigma_a^2)/(Tabella34[[#This Row],[Day]]-pa),0)</f>
        <v>-80.020781689465977</v>
      </c>
      <c r="BS121" s="96">
        <f>Tabella34[[#This Row],[rest of Italy acc. fit]]/y_a_peak</f>
        <v>-2.3680748952186519E-2</v>
      </c>
      <c r="BT121" s="96">
        <f>Tabella34[[#This Row],[rest of Italy acc. fit]]*NOT(ISBLANK(Tabella34[[#This Row],[rest of Italy data]]))</f>
        <v>-80.020781689465977</v>
      </c>
      <c r="BU121" s="96">
        <f>Tabella34[[#This Row],[rest of Italy acc. fit]]+CIa</f>
        <v>614.63125417413141</v>
      </c>
      <c r="BV121" s="96">
        <f>MAX(Tabella34[[#This Row],[rest of Italy acc. fit]]-CIa,0)</f>
        <v>0</v>
      </c>
    </row>
    <row r="122" spans="2:74" x14ac:dyDescent="0.3">
      <c r="B122" s="288">
        <v>43945</v>
      </c>
      <c r="C122" s="4">
        <v>115</v>
      </c>
      <c r="D122" s="10">
        <f>Tabella8[[#This Row],[Italy cumulative]]</f>
        <v>192994</v>
      </c>
      <c r="E122" s="91">
        <f>(Tabella34[[#This Row],[Italy cumul. Data]]-D121)</f>
        <v>3021</v>
      </c>
      <c r="F122" s="91">
        <f>Tabella34[[#This Row],[Italy data]]-E121</f>
        <v>375</v>
      </c>
      <c r="G122" s="96">
        <f>Tabella34[[#This Row],[Italy data]]*NOT(ISBLANK(Tabella34[[#This Row],[Italy data]]))</f>
        <v>3021</v>
      </c>
      <c r="H122" s="163">
        <f>Tabella8[[#This Row],[Italy fit]]</f>
        <v>193132.94656158893</v>
      </c>
      <c r="I122" s="163" t="e">
        <f>_xlfn.LOGNORM.INV(alpha*Tabella34[[#This Row],[Italy cumul. Fit]]/Kt,mu_t,sigma_t)-(Tabella34[[#This Row],[Day]]-pt)</f>
        <v>#NUM!</v>
      </c>
      <c r="J122" s="163" t="e">
        <f>Tabella34[[#This Row],[Italy d.t.]]/Italy_dt_at_lockdown</f>
        <v>#NUM!</v>
      </c>
      <c r="K122" s="96">
        <f>Tabella34[[#This Row],[Italy cumul. Fit]]/Kf</f>
        <v>0.82184255003703743</v>
      </c>
      <c r="L122" s="166">
        <f>Tabella34[[#This Row],[Lombardy acc. fit]]+Tabella34[[#This Row],[rest of Italy acc. fit]]</f>
        <v>-112.89974483969783</v>
      </c>
      <c r="M122" s="96">
        <f>Tabella34[[#This Row],[Italy (fitted Lombardy + fitted sum of the other regions)]]/(y_l_peak+y_a_peak)</f>
        <v>-2.1977315249252536E-2</v>
      </c>
      <c r="N122" s="163">
        <f>IFERROR(Kt*_xlfn.LOGNORM.DIST((Tabella34[[#This Row],[Day]]-pt),mu_t,sigma_t,FALSE),0)</f>
        <v>2369.6402515683762</v>
      </c>
      <c r="O122" s="163">
        <f>Kt*EXP(-0.5*Tabella34[[#This Row],[x_t]]^2)/(sigma_t*SQRTPI(2)*(Tabella34[[#This Row],[Day]]-D_bk))</f>
        <v>2369.6402515683767</v>
      </c>
      <c r="P122" s="206">
        <f>Tabella34[[#This Row],[Italy velocity]]/Tabella34[[#This Row],[Italy cumul. Fit]]</f>
        <v>1.2269477029972782E-2</v>
      </c>
      <c r="Q122" s="269">
        <f>(LN(Tabella34[[#This Row],[Day]]-D_bk)-mu_t)/sigma_t</f>
        <v>0.9224097232282763</v>
      </c>
      <c r="R122" s="269">
        <f>EXP(mu_t+sigma_t*Tabella34[[#This Row],[x_t_alpha©+plus]])-(Tabella34[[#This Row],[Day]]-D_bk)</f>
        <v>13.144322594801821</v>
      </c>
      <c r="S122" s="269">
        <f>EXP(mu_t+sigma_t*Tabella34[[#This Row],[x_t_alpha©-minus]])-(Tabella34[[#This Row],[Day]]-D_bk)</f>
        <v>-49.861801741124204</v>
      </c>
      <c r="T122" s="269">
        <f>-sigma_t+SQRT(sigma_t^2-2*Tabella34[[#This Row],[c_t]])</f>
        <v>1.3945493169660745</v>
      </c>
      <c r="U122" s="269">
        <f>-sigma_t-SQRT(sigma_t^2-2*Tabella34[[#This Row],[c_t]])</f>
        <v>-2.0137862228583119</v>
      </c>
      <c r="V122" s="269">
        <f>mu_t-LN(alpha*Kt/(Tabella34[[#This Row],[Italy velocity]]*sigma_t*SQRTPI(2)))</f>
        <v>-1.4041621008013747</v>
      </c>
      <c r="W122" s="269">
        <f>Tabella34[[#This Row],[Italy g.r.]]/Italy_gr_at_lockdown</f>
        <v>7.7579105672408971E-2</v>
      </c>
      <c r="X122" s="269">
        <f>Tabella34[[#This Row],[t_alpha_t+plus]]</f>
        <v>13.144322594801821</v>
      </c>
      <c r="Y122" s="269">
        <f>Tabella34[[#This Row],[Italy h.t.]]/Italy_ht_at_lockdown</f>
        <v>0.23409220000055769</v>
      </c>
      <c r="Z122" s="91">
        <f>IFERROR(-Kf*_xlfn.LOGNORM.DIST((Tabella34[[#This Row],[Day]]-D_bk),mu_f,sigma_f,FALSE)*(1+(LN((Tabella34[[#This Row],[Day]]-D_bk))-mu_f)/sigma_f^2)/(Tabella34[[#This Row],[Day]]-D_bk),0)</f>
        <v>-112.91851550269546</v>
      </c>
      <c r="AA122" s="91">
        <f>Tabella34[[#This Row],[Italy acc. fit]]/Itali_acc_at_lockdown</f>
        <v>-0.46474854748854882</v>
      </c>
      <c r="AB122" s="96">
        <f>Tabella34[[#This Row],[Italy acc. fit]]/y_f_peak</f>
        <v>-2.2308808319103524E-2</v>
      </c>
      <c r="AC122" s="163">
        <f>Tabella34[[#This Row],[Italy (fitted Lombardy + fitted sum of the other regions)]]*NOT(ISBLANK(Tabella34[[#This Row],[Italy data]]))</f>
        <v>-112.89974483969783</v>
      </c>
      <c r="AD122" s="163">
        <f>Tabella34[[#This Row],[Italy acc. fit]]*NOT(ISBLANK(Tabella34[[#This Row],[Italy data]]))</f>
        <v>-112.91851550269546</v>
      </c>
      <c r="AE122" s="96">
        <f>Tabella34[[#This Row],[Italy acc. fit]]+CIf</f>
        <v>900.84448651762227</v>
      </c>
      <c r="AF122" s="96">
        <f>MAX(Tabella34[[#This Row],[Italy acc. fit]]-CIf,0)</f>
        <v>0</v>
      </c>
      <c r="AG122" s="4">
        <f>Tabella8[[#This Row],[Lombardy]]</f>
        <v>71256</v>
      </c>
      <c r="AH122" s="91">
        <f>(Tabella34[[#This Row],[Lombardy cumul. Data]]-AG121)</f>
        <v>1091</v>
      </c>
      <c r="AI122" s="91">
        <f>Tabella34[[#This Row],[Lombardy data]]-AH121</f>
        <v>18</v>
      </c>
      <c r="AJ122" s="96">
        <f>Tabella34[[#This Row],[Lombardy data]]*NOT(ISBLANK(Tabella34[[#This Row],[Lombardy data]]))</f>
        <v>1091</v>
      </c>
      <c r="AK122" s="96">
        <f>Tabella8[[#This Row],[Lombardy fit]]</f>
        <v>71221.350024725776</v>
      </c>
      <c r="AL122" s="163" t="e">
        <f>_xlfn.LOGNORM.INV(alpha*Tabella34[[#This Row],[Lombardy cumul. Fit]]/Kr,mu_r,sigma_r)-(Tabella34[[#This Row],[Day]]-pr)</f>
        <v>#NUM!</v>
      </c>
      <c r="AM122" s="96">
        <f>Tabella34[[#This Row],[Lombardy cumul. Fit]]/Kl</f>
        <v>0.81863620718075603</v>
      </c>
      <c r="AN122" s="96">
        <f>IFERROR(Kr*_xlfn.LOGNORM.DIST((Tabella34[[#This Row],[Day]]-pr),mu_r,sigma_r,FALSE),0)</f>
        <v>804.23930078788555</v>
      </c>
      <c r="AO122" s="209">
        <f>Tabella34[[#This Row],[Lombardy velocity]]/Tabella34[[#This Row],[Lombardy cumul. Fit]]</f>
        <v>1.1292109746707685E-2</v>
      </c>
      <c r="AP122" s="266">
        <f>(LN(Tabella34[[#This Row],[Day]]-pr)-mu_r)/sigma_r</f>
        <v>0.91018000801193699</v>
      </c>
      <c r="AQ122" s="269">
        <f>EXP(mu_r+sigma_r*Tabella34[[#This Row],[x_r_alpha©+plus]])-(Tabella34[[#This Row],[Day]]-pr)</f>
        <v>14.437427138699974</v>
      </c>
      <c r="AR122" s="269">
        <f>EXP(mu_r+sigma_r*Tabella34[[#This Row],[x_r_alpha©-minus]])-(Tabella34[[#This Row],[Day]]-pr)</f>
        <v>-53.278814752126436</v>
      </c>
      <c r="AS122" s="269">
        <f>-sigma_r+SQRT(sigma_r^2-2*Tabella34[[#This Row],[c_r]])</f>
        <v>1.3772202195113221</v>
      </c>
      <c r="AT122" s="269">
        <f>-sigma_r-SQRT(sigma_r^2-2*Tabella34[[#This Row],[c_r]])</f>
        <v>-2.0580748167050515</v>
      </c>
      <c r="AU122" s="269">
        <f>mu_r-LN(alpha*Kr/(Tabella34[[#This Row],[Lombardy velocity]]*sigma_r*SQRTPI(2)))</f>
        <v>-1.4172111254166273</v>
      </c>
      <c r="AV122" s="269">
        <f>Tabella34[[#This Row],[t_alpha_r+plus]]</f>
        <v>14.437427138699974</v>
      </c>
      <c r="AW122" s="91">
        <f>IFERROR(-Kl*_xlfn.LOGNORM.DIST((Tabella34[[#This Row],[Day]]-pl),mu_l,sigma_l,FALSE)*(1+(LN((Tabella34[[#This Row],[Day]]-pl))-mu_l)/sigma_l^2)/(Tabella34[[#This Row],[Day]]-pl),0)</f>
        <v>-35.265740304606901</v>
      </c>
      <c r="AX122" s="96">
        <f>Tabella34[[#This Row],[Lombardy acc. fit]]/y_l_peak</f>
        <v>-2.0060667590718718E-2</v>
      </c>
      <c r="AY122" s="163">
        <f>Tabella34[[#This Row],[Lombardy acc. fit]]*NOT(ISBLANK(Tabella34[[#This Row],[Lombardy data]]))</f>
        <v>-35.265740304606901</v>
      </c>
      <c r="AZ122" s="96">
        <f>Tabella34[[#This Row],[Lombardy acc. fit]]+CIl</f>
        <v>713.68963149901674</v>
      </c>
      <c r="BA122" s="96">
        <f>MAX(Tabella34[[#This Row],[Lombardy acc. fit]]-CIl,0)</f>
        <v>0</v>
      </c>
      <c r="BB122" s="10">
        <f>Tabella8[[#This Row],[rest of Italy ]]</f>
        <v>121738</v>
      </c>
      <c r="BC122" s="10">
        <f>(Tabella34[[#This Row],[rest of Italy cum. Data]]-BB121)</f>
        <v>1930</v>
      </c>
      <c r="BD122" s="10">
        <f>Tabella34[[#This Row],[rest of Italy data]]-BC121</f>
        <v>357</v>
      </c>
      <c r="BE122" s="96">
        <f>Tabella34[[#This Row],[rest of Italy data]]*NOT(ISBLANK(Tabella34[[#This Row],[rest of Italy data]]))</f>
        <v>1930</v>
      </c>
      <c r="BF122" s="96">
        <f>Tabella8[[#This Row],[rest of Italy fit]]</f>
        <v>122086.24815815724</v>
      </c>
      <c r="BG122" s="163" t="e">
        <f>_xlfn.LOGNORM.INV(alpha*Tabella34[[#This Row],[rest of Italy cumul. Fit]]/Ko,mu_o,sigma_o)-(Tabella34[[#This Row],[Day]]-po)</f>
        <v>#NUM!</v>
      </c>
      <c r="BH122" s="96">
        <f>Tabella34[[#This Row],[rest of Italy cumul. Fit]]/Ka</f>
        <v>0.82490717817839743</v>
      </c>
      <c r="BI122" s="163">
        <f>IFERROR(Ko*_xlfn.LOGNORM.DIST((Tabella34[[#This Row],[Day]]-po),mu_o,sigma_o,FALSE),0)</f>
        <v>1536.0482315417205</v>
      </c>
      <c r="BJ122" s="206">
        <f>Tabella34[[#This Row],[rest of Italy velocity]]/Tabella34[[#This Row],[rest of Italy cumul. Fit]]</f>
        <v>1.2581664640491198E-2</v>
      </c>
      <c r="BK122" s="261">
        <f>(LN(Tabella34[[#This Row],[Day]]-po)-mu_o)/sigma_o</f>
        <v>0.93422926349285806</v>
      </c>
      <c r="BL122" s="269">
        <f>EXP(mu_o+sigma_o*Tabella34[[#This Row],[x_o_alpha©+plus]])-(Tabella34[[#This Row],[Day]]-po)</f>
        <v>12.480184294424546</v>
      </c>
      <c r="BM122" s="269">
        <f>EXP(mu_o+sigma_o*Tabella34[[#This Row],[x_o_alpha©-minus]])-(Tabella34[[#This Row],[Day]]-po)</f>
        <v>-47.605470227917564</v>
      </c>
      <c r="BN122" s="269">
        <f>-sigma_o+SQRT(sigma_o^2-2*Tabella34[[#This Row],[c_o]])</f>
        <v>1.3998840421861143</v>
      </c>
      <c r="BO122" s="269">
        <f>-sigma_o-SQRT(sigma_o^2-2*Tabella34[[#This Row],[c_o]])</f>
        <v>-2.0428568194851402</v>
      </c>
      <c r="BP122" s="269">
        <f>mu_o-LN(alpha*Ko/(Tabella34[[#This Row],[rest of Italy velocity]]*sigma_o*SQRTPI(2)))</f>
        <v>-1.4298813310341636</v>
      </c>
      <c r="BQ122" s="269">
        <f>Tabella34[[#This Row],[t_alpha_o+plus]]</f>
        <v>12.480184294424546</v>
      </c>
      <c r="BR122" s="91">
        <f>IFERROR(-Ka*_xlfn.LOGNORM.DIST((Tabella34[[#This Row],[Day]]-pa),mu_a,sigma_a,FALSE)*(1+(LN((Tabella34[[#This Row],[Day]]-pa))-mu_a)/sigma_a^2)/(Tabella34[[#This Row],[Day]]-pa),0)</f>
        <v>-77.634004535090924</v>
      </c>
      <c r="BS122" s="96">
        <f>Tabella34[[#This Row],[rest of Italy acc. fit]]/y_a_peak</f>
        <v>-2.297442405252598E-2</v>
      </c>
      <c r="BT122" s="96">
        <f>Tabella34[[#This Row],[rest of Italy acc. fit]]*NOT(ISBLANK(Tabella34[[#This Row],[rest of Italy data]]))</f>
        <v>-77.634004535090924</v>
      </c>
      <c r="BU122" s="96">
        <f>Tabella34[[#This Row],[rest of Italy acc. fit]]+CIa</f>
        <v>617.01803132850637</v>
      </c>
      <c r="BV122" s="96">
        <f>MAX(Tabella34[[#This Row],[rest of Italy acc. fit]]-CIa,0)</f>
        <v>0</v>
      </c>
    </row>
    <row r="123" spans="2:74" x14ac:dyDescent="0.3">
      <c r="B123" s="288">
        <v>43946</v>
      </c>
      <c r="C123" s="4">
        <v>116</v>
      </c>
      <c r="D123" s="10">
        <f>Tabella8[[#This Row],[Italy cumulative]]</f>
        <v>195351</v>
      </c>
      <c r="E123" s="91">
        <f>(Tabella34[[#This Row],[Italy cumul. Data]]-D122)</f>
        <v>2357</v>
      </c>
      <c r="F123" s="91">
        <f>Tabella34[[#This Row],[Italy data]]-E122</f>
        <v>-664</v>
      </c>
      <c r="G123" s="96">
        <f>Tabella34[[#This Row],[Italy data]]*NOT(ISBLANK(Tabella34[[#This Row],[Italy data]]))</f>
        <v>2357</v>
      </c>
      <c r="H123" s="163">
        <f>Tabella8[[#This Row],[Italy fit]]</f>
        <v>195446.66496482416</v>
      </c>
      <c r="I123" s="163" t="e">
        <f>_xlfn.LOGNORM.INV(alpha*Tabella34[[#This Row],[Italy cumul. Fit]]/Kt,mu_t,sigma_t)-(Tabella34[[#This Row],[Day]]-pt)</f>
        <v>#NUM!</v>
      </c>
      <c r="J123" s="163" t="e">
        <f>Tabella34[[#This Row],[Italy d.t.]]/Italy_dt_at_lockdown</f>
        <v>#NUM!</v>
      </c>
      <c r="K123" s="96">
        <f>Tabella34[[#This Row],[Italy cumul. Fit]]/Kf</f>
        <v>0.83168816294998538</v>
      </c>
      <c r="L123" s="166">
        <f>Tabella34[[#This Row],[Lombardy acc. fit]]+Tabella34[[#This Row],[rest of Italy acc. fit]]</f>
        <v>-109.42205982973708</v>
      </c>
      <c r="M123" s="96">
        <f>Tabella34[[#This Row],[Italy (fitted Lombardy + fitted sum of the other regions)]]/(y_l_peak+y_a_peak)</f>
        <v>-2.1300341356087164E-2</v>
      </c>
      <c r="N123" s="163">
        <f>IFERROR(Kt*_xlfn.LOGNORM.DIST((Tabella34[[#This Row],[Day]]-pt),mu_t,sigma_t,FALSE),0)</f>
        <v>2258.339742236954</v>
      </c>
      <c r="O123" s="163">
        <f>Kt*EXP(-0.5*Tabella34[[#This Row],[x_t]]^2)/(sigma_t*SQRTPI(2)*(Tabella34[[#This Row],[Day]]-D_bk))</f>
        <v>2258.3397422369521</v>
      </c>
      <c r="P123" s="206">
        <f>Tabella34[[#This Row],[Italy velocity]]/Tabella34[[#This Row],[Italy cumul. Fit]]</f>
        <v>1.1554762229600604E-2</v>
      </c>
      <c r="Q123" s="269">
        <f>(LN(Tabella34[[#This Row],[Day]]-D_bk)-mu_t)/sigma_t</f>
        <v>0.96085779515729997</v>
      </c>
      <c r="R123" s="269">
        <f>EXP(mu_t+sigma_t*Tabella34[[#This Row],[x_t_alpha©+plus]])-(Tabella34[[#This Row],[Day]]-D_bk)</f>
        <v>12.985838202956316</v>
      </c>
      <c r="S123" s="269">
        <f>EXP(mu_t+sigma_t*Tabella34[[#This Row],[x_t_alpha©-minus]])-(Tabella34[[#This Row],[Day]]-D_bk)</f>
        <v>-51.152199553708861</v>
      </c>
      <c r="T123" s="269">
        <f>-sigma_t+SQRT(sigma_t^2-2*Tabella34[[#This Row],[c_t]])</f>
        <v>1.4225490499573472</v>
      </c>
      <c r="U123" s="269">
        <f>-sigma_t-SQRT(sigma_t^2-2*Tabella34[[#This Row],[c_t]])</f>
        <v>-2.0417859558495843</v>
      </c>
      <c r="V123" s="269">
        <f>mu_t-LN(alpha*Kt/(Tabella34[[#This Row],[Italy velocity]]*sigma_t*SQRTPI(2)))</f>
        <v>-1.4522703358550402</v>
      </c>
      <c r="W123" s="269">
        <f>Tabella34[[#This Row],[Italy g.r.]]/Italy_gr_at_lockdown</f>
        <v>7.3060010450317764E-2</v>
      </c>
      <c r="X123" s="269">
        <f>Tabella34[[#This Row],[t_alpha_t+plus]]</f>
        <v>12.985838202956316</v>
      </c>
      <c r="Y123" s="269">
        <f>Tabella34[[#This Row],[Italy h.t.]]/Italy_ht_at_lockdown</f>
        <v>0.23126969167536363</v>
      </c>
      <c r="Z123" s="91">
        <f>IFERROR(-Kf*_xlfn.LOGNORM.DIST((Tabella34[[#This Row],[Day]]-D_bk),mu_f,sigma_f,FALSE)*(1+(LN((Tabella34[[#This Row],[Day]]-D_bk))-mu_f)/sigma_f^2)/(Tabella34[[#This Row],[Day]]-D_bk),0)</f>
        <v>-109.65993561094564</v>
      </c>
      <c r="AA123" s="91">
        <f>Tabella34[[#This Row],[Italy acc. fit]]/Itali_acc_at_lockdown</f>
        <v>-0.45133692703973083</v>
      </c>
      <c r="AB123" s="96">
        <f>Tabella34[[#This Row],[Italy acc. fit]]/y_f_peak</f>
        <v>-2.1665025199267905E-2</v>
      </c>
      <c r="AC123" s="163">
        <f>Tabella34[[#This Row],[Italy (fitted Lombardy + fitted sum of the other regions)]]*NOT(ISBLANK(Tabella34[[#This Row],[Italy data]]))</f>
        <v>-109.42205982973708</v>
      </c>
      <c r="AD123" s="163">
        <f>Tabella34[[#This Row],[Italy acc. fit]]*NOT(ISBLANK(Tabella34[[#This Row],[Italy data]]))</f>
        <v>-109.65993561094564</v>
      </c>
      <c r="AE123" s="96">
        <f>Tabella34[[#This Row],[Italy acc. fit]]+CIf</f>
        <v>904.1030664093721</v>
      </c>
      <c r="AF123" s="96">
        <f>MAX(Tabella34[[#This Row],[Italy acc. fit]]-CIf,0)</f>
        <v>0</v>
      </c>
      <c r="AG123" s="4">
        <f>Tabella8[[#This Row],[Lombardy]]</f>
        <v>71969</v>
      </c>
      <c r="AH123" s="91">
        <f>(Tabella34[[#This Row],[Lombardy cumul. Data]]-AG122)</f>
        <v>713</v>
      </c>
      <c r="AI123" s="91">
        <f>Tabella34[[#This Row],[Lombardy data]]-AH122</f>
        <v>-378</v>
      </c>
      <c r="AJ123" s="96">
        <f>Tabella34[[#This Row],[Lombardy data]]*NOT(ISBLANK(Tabella34[[#This Row],[Lombardy data]]))</f>
        <v>713</v>
      </c>
      <c r="AK123" s="96">
        <f>Tabella8[[#This Row],[Lombardy fit]]</f>
        <v>72008.120834134315</v>
      </c>
      <c r="AL123" s="163" t="e">
        <f>_xlfn.LOGNORM.INV(alpha*Tabella34[[#This Row],[Lombardy cumul. Fit]]/Kr,mu_r,sigma_r)-(Tabella34[[#This Row],[Day]]-pr)</f>
        <v>#NUM!</v>
      </c>
      <c r="AM123" s="96">
        <f>Tabella34[[#This Row],[Lombardy cumul. Fit]]/Kl</f>
        <v>0.82767954981763581</v>
      </c>
      <c r="AN123" s="96">
        <f>IFERROR(Kr*_xlfn.LOGNORM.DIST((Tabella34[[#This Row],[Day]]-pr),mu_r,sigma_r,FALSE),0)</f>
        <v>769.46790957141582</v>
      </c>
      <c r="AO123" s="209">
        <f>Tabella34[[#This Row],[Lombardy velocity]]/Tabella34[[#This Row],[Lombardy cumul. Fit]]</f>
        <v>1.068584904949584E-2</v>
      </c>
      <c r="AP123" s="266">
        <f>(LN(Tabella34[[#This Row],[Day]]-pr)-mu_r)/sigma_r</f>
        <v>0.94503521031807414</v>
      </c>
      <c r="AQ123" s="269">
        <f>EXP(mu_r+sigma_r*Tabella34[[#This Row],[x_r_alpha©+plus]])-(Tabella34[[#This Row],[Day]]-pr)</f>
        <v>14.295136844896177</v>
      </c>
      <c r="AR123" s="269">
        <f>EXP(mu_r+sigma_r*Tabella34[[#This Row],[x_r_alpha©-minus]])-(Tabella34[[#This Row],[Day]]-pr)</f>
        <v>-54.542855237529821</v>
      </c>
      <c r="AS123" s="269">
        <f>-sigma_r+SQRT(sigma_r^2-2*Tabella34[[#This Row],[c_r]])</f>
        <v>1.402761796982207</v>
      </c>
      <c r="AT123" s="269">
        <f>-sigma_r-SQRT(sigma_r^2-2*Tabella34[[#This Row],[c_r]])</f>
        <v>-2.0836163941759365</v>
      </c>
      <c r="AU123" s="269">
        <f>mu_r-LN(alpha*Kr/(Tabella34[[#This Row],[Lombardy velocity]]*sigma_r*SQRTPI(2)))</f>
        <v>-1.4614087386579113</v>
      </c>
      <c r="AV123" s="269">
        <f>Tabella34[[#This Row],[t_alpha_r+plus]]</f>
        <v>14.295136844896177</v>
      </c>
      <c r="AW123" s="91">
        <f>IFERROR(-Kl*_xlfn.LOGNORM.DIST((Tabella34[[#This Row],[Day]]-pl),mu_l,sigma_l,FALSE)*(1+(LN((Tabella34[[#This Row],[Day]]-pl))-mu_l)/sigma_l^2)/(Tabella34[[#This Row],[Day]]-pl),0)</f>
        <v>-34.272318637670665</v>
      </c>
      <c r="AX123" s="96">
        <f>Tabella34[[#This Row],[Lombardy acc. fit]]/y_l_peak</f>
        <v>-1.949556668355806E-2</v>
      </c>
      <c r="AY123" s="163">
        <f>Tabella34[[#This Row],[Lombardy acc. fit]]*NOT(ISBLANK(Tabella34[[#This Row],[Lombardy data]]))</f>
        <v>-34.272318637670665</v>
      </c>
      <c r="AZ123" s="96">
        <f>Tabella34[[#This Row],[Lombardy acc. fit]]+CIl</f>
        <v>714.68305316595297</v>
      </c>
      <c r="BA123" s="96">
        <f>MAX(Tabella34[[#This Row],[Lombardy acc. fit]]-CIl,0)</f>
        <v>0</v>
      </c>
      <c r="BB123" s="10">
        <f>Tabella8[[#This Row],[rest of Italy ]]</f>
        <v>123382</v>
      </c>
      <c r="BC123" s="10">
        <f>(Tabella34[[#This Row],[rest of Italy cum. Data]]-BB122)</f>
        <v>1644</v>
      </c>
      <c r="BD123" s="10">
        <f>Tabella34[[#This Row],[rest of Italy data]]-BC122</f>
        <v>-286</v>
      </c>
      <c r="BE123" s="96">
        <f>Tabella34[[#This Row],[rest of Italy data]]*NOT(ISBLANK(Tabella34[[#This Row],[rest of Italy data]]))</f>
        <v>1644</v>
      </c>
      <c r="BF123" s="96">
        <f>Tabella8[[#This Row],[rest of Italy fit]]</f>
        <v>123583.88987487515</v>
      </c>
      <c r="BG123" s="163" t="e">
        <f>_xlfn.LOGNORM.INV(alpha*Tabella34[[#This Row],[rest of Italy cumul. Fit]]/Ko,mu_o,sigma_o)-(Tabella34[[#This Row],[Day]]-po)</f>
        <v>#NUM!</v>
      </c>
      <c r="BH123" s="96">
        <f>Tabella34[[#This Row],[rest of Italy cumul. Fit]]/Ka</f>
        <v>0.83502638014502351</v>
      </c>
      <c r="BI123" s="163">
        <f>IFERROR(Ko*_xlfn.LOGNORM.DIST((Tabella34[[#This Row],[Day]]-po),mu_o,sigma_o,FALSE),0)</f>
        <v>1459.6493152180863</v>
      </c>
      <c r="BJ123" s="206">
        <f>Tabella34[[#This Row],[rest of Italy velocity]]/Tabella34[[#This Row],[rest of Italy cumul. Fit]]</f>
        <v>1.1810999934505507E-2</v>
      </c>
      <c r="BK123" s="261">
        <f>(LN(Tabella34[[#This Row],[Day]]-po)-mu_o)/sigma_o</f>
        <v>0.97422015426888919</v>
      </c>
      <c r="BL123" s="269">
        <f>EXP(mu_o+sigma_o*Tabella34[[#This Row],[x_o_alpha©+plus]])-(Tabella34[[#This Row],[Day]]-po)</f>
        <v>12.332223592074797</v>
      </c>
      <c r="BM123" s="269">
        <f>EXP(mu_o+sigma_o*Tabella34[[#This Row],[x_o_alpha©-minus]])-(Tabella34[[#This Row],[Day]]-po)</f>
        <v>-48.884520224663326</v>
      </c>
      <c r="BN123" s="269">
        <f>-sigma_o+SQRT(sigma_o^2-2*Tabella34[[#This Row],[c_o]])</f>
        <v>1.4292705352212591</v>
      </c>
      <c r="BO123" s="269">
        <f>-sigma_o-SQRT(sigma_o^2-2*Tabella34[[#This Row],[c_o]])</f>
        <v>-2.0722433125202855</v>
      </c>
      <c r="BP123" s="269">
        <f>mu_o-LN(alpha*Ko/(Tabella34[[#This Row],[rest of Italy velocity]]*sigma_o*SQRTPI(2)))</f>
        <v>-1.4808981541972717</v>
      </c>
      <c r="BQ123" s="269">
        <f>Tabella34[[#This Row],[t_alpha_o+plus]]</f>
        <v>12.332223592074797</v>
      </c>
      <c r="BR123" s="91">
        <f>IFERROR(-Ka*_xlfn.LOGNORM.DIST((Tabella34[[#This Row],[Day]]-pa),mu_a,sigma_a,FALSE)*(1+(LN((Tabella34[[#This Row],[Day]]-pa))-mu_a)/sigma_a^2)/(Tabella34[[#This Row],[Day]]-pa),0)</f>
        <v>-75.149741192066415</v>
      </c>
      <c r="BS123" s="96">
        <f>Tabella34[[#This Row],[rest of Italy acc. fit]]/y_a_peak</f>
        <v>-2.2239249822591817E-2</v>
      </c>
      <c r="BT123" s="96">
        <f>Tabella34[[#This Row],[rest of Italy acc. fit]]*NOT(ISBLANK(Tabella34[[#This Row],[rest of Italy data]]))</f>
        <v>-75.149741192066415</v>
      </c>
      <c r="BU123" s="96">
        <f>Tabella34[[#This Row],[rest of Italy acc. fit]]+CIa</f>
        <v>619.50229467153099</v>
      </c>
      <c r="BV123" s="96">
        <f>MAX(Tabella34[[#This Row],[rest of Italy acc. fit]]-CIa,0)</f>
        <v>0</v>
      </c>
    </row>
    <row r="124" spans="2:74" x14ac:dyDescent="0.3">
      <c r="B124" s="288">
        <v>43947</v>
      </c>
      <c r="C124" s="4">
        <v>117</v>
      </c>
      <c r="D124" s="10">
        <f>Tabella8[[#This Row],[Italy cumulative]]</f>
        <v>197675</v>
      </c>
      <c r="E124" s="91">
        <f>(Tabella34[[#This Row],[Italy cumul. Data]]-D123)</f>
        <v>2324</v>
      </c>
      <c r="F124" s="91">
        <f>Tabella34[[#This Row],[Italy data]]-E123</f>
        <v>-33</v>
      </c>
      <c r="G124" s="96">
        <f>Tabella34[[#This Row],[Italy data]]*NOT(ISBLANK(Tabella34[[#This Row],[Italy data]]))</f>
        <v>2324</v>
      </c>
      <c r="H124" s="163">
        <f>Tabella8[[#This Row],[Italy fit]]</f>
        <v>197650.73338786166</v>
      </c>
      <c r="I124" s="163" t="e">
        <f>_xlfn.LOGNORM.INV(alpha*Tabella34[[#This Row],[Italy cumul. Fit]]/Kt,mu_t,sigma_t)-(Tabella34[[#This Row],[Day]]-pt)</f>
        <v>#NUM!</v>
      </c>
      <c r="J124" s="163" t="e">
        <f>Tabella34[[#This Row],[Italy d.t.]]/Italy_dt_at_lockdown</f>
        <v>#NUM!</v>
      </c>
      <c r="K124" s="96">
        <f>Tabella34[[#This Row],[Italy cumul. Fit]]/Kf</f>
        <v>0.84106718007520487</v>
      </c>
      <c r="L124" s="166">
        <f>Tabella34[[#This Row],[Lombardy acc. fit]]+Tabella34[[#This Row],[rest of Italy acc. fit]]</f>
        <v>-105.84725354917235</v>
      </c>
      <c r="M124" s="96">
        <f>Tabella34[[#This Row],[Italy (fitted Lombardy + fitted sum of the other regions)]]/(y_l_peak+y_a_peak)</f>
        <v>-2.0604461620534795E-2</v>
      </c>
      <c r="N124" s="163">
        <f>IFERROR(Kt*_xlfn.LOGNORM.DIST((Tabella34[[#This Row],[Day]]-pt),mu_t,sigma_t,FALSE),0)</f>
        <v>2150.3602178406941</v>
      </c>
      <c r="O124" s="163">
        <f>Kt*EXP(-0.5*Tabella34[[#This Row],[x_t]]^2)/(sigma_t*SQRTPI(2)*(Tabella34[[#This Row],[Day]]-D_bk))</f>
        <v>2150.3602178406936</v>
      </c>
      <c r="P124" s="206">
        <f>Tabella34[[#This Row],[Italy velocity]]/Tabella34[[#This Row],[Italy cumul. Fit]]</f>
        <v>1.0879596452702837E-2</v>
      </c>
      <c r="Q124" s="269">
        <f>(LN(Tabella34[[#This Row],[Day]]-D_bk)-mu_t)/sigma_t</f>
        <v>0.99885355148844435</v>
      </c>
      <c r="R124" s="269">
        <f>EXP(mu_t+sigma_t*Tabella34[[#This Row],[x_t_alpha©+plus]])-(Tabella34[[#This Row],[Day]]-D_bk)</f>
        <v>12.836450837044168</v>
      </c>
      <c r="S124" s="269">
        <f>EXP(mu_t+sigma_t*Tabella34[[#This Row],[x_t_alpha©-minus]])-(Tabella34[[#This Row],[Day]]-D_bk)</f>
        <v>-52.440685842212659</v>
      </c>
      <c r="T124" s="269">
        <f>-sigma_t+SQRT(sigma_t^2-2*Tabella34[[#This Row],[c_t]])</f>
        <v>1.4506069154396719</v>
      </c>
      <c r="U124" s="269">
        <f>-sigma_t-SQRT(sigma_t^2-2*Tabella34[[#This Row],[c_t]])</f>
        <v>-2.0698438213319093</v>
      </c>
      <c r="V124" s="269">
        <f>mu_t-LN(alpha*Kt/(Tabella34[[#This Row],[Italy velocity]]*sigma_t*SQRTPI(2)))</f>
        <v>-1.5012648805520721</v>
      </c>
      <c r="W124" s="269">
        <f>Tabella34[[#This Row],[Italy g.r.]]/Italy_gr_at_lockdown</f>
        <v>6.8790981132736309E-2</v>
      </c>
      <c r="X124" s="269">
        <f>Tabella34[[#This Row],[t_alpha_t+plus]]</f>
        <v>12.836450837044168</v>
      </c>
      <c r="Y124" s="269">
        <f>Tabella34[[#This Row],[Italy h.t.]]/Italy_ht_at_lockdown</f>
        <v>0.22860919571701788</v>
      </c>
      <c r="Z124" s="91">
        <f>IFERROR(-Kf*_xlfn.LOGNORM.DIST((Tabella34[[#This Row],[Day]]-D_bk),mu_f,sigma_f,FALSE)*(1+(LN((Tabella34[[#This Row],[Day]]-D_bk))-mu_f)/sigma_f^2)/(Tabella34[[#This Row],[Day]]-D_bk),0)</f>
        <v>-106.2817481971887</v>
      </c>
      <c r="AA124" s="91">
        <f>Tabella34[[#This Row],[Italy acc. fit]]/Itali_acc_at_lockdown</f>
        <v>-0.43743302751804297</v>
      </c>
      <c r="AB124" s="96">
        <f>Tabella34[[#This Row],[Italy acc. fit]]/y_f_peak</f>
        <v>-2.0997611753882039E-2</v>
      </c>
      <c r="AC124" s="163">
        <f>Tabella34[[#This Row],[Italy (fitted Lombardy + fitted sum of the other regions)]]*NOT(ISBLANK(Tabella34[[#This Row],[Italy data]]))</f>
        <v>-105.84725354917235</v>
      </c>
      <c r="AD124" s="163">
        <f>Tabella34[[#This Row],[Italy acc. fit]]*NOT(ISBLANK(Tabella34[[#This Row],[Italy data]]))</f>
        <v>-106.2817481971887</v>
      </c>
      <c r="AE124" s="96">
        <f>Tabella34[[#This Row],[Italy acc. fit]]+CIf</f>
        <v>907.48125382312901</v>
      </c>
      <c r="AF124" s="96">
        <f>MAX(Tabella34[[#This Row],[Italy acc. fit]]-CIf,0)</f>
        <v>0</v>
      </c>
      <c r="AG124" s="4">
        <f>Tabella8[[#This Row],[Lombardy]]</f>
        <v>72889</v>
      </c>
      <c r="AH124" s="91">
        <f>(Tabella34[[#This Row],[Lombardy cumul. Data]]-AG123)</f>
        <v>920</v>
      </c>
      <c r="AI124" s="91">
        <f>Tabella34[[#This Row],[Lombardy data]]-AH123</f>
        <v>207</v>
      </c>
      <c r="AJ124" s="96">
        <f>Tabella34[[#This Row],[Lombardy data]]*NOT(ISBLANK(Tabella34[[#This Row],[Lombardy data]]))</f>
        <v>920</v>
      </c>
      <c r="AK124" s="96">
        <f>Tabella8[[#This Row],[Lombardy fit]]</f>
        <v>72760.621375470975</v>
      </c>
      <c r="AL124" s="163" t="e">
        <f>_xlfn.LOGNORM.INV(alpha*Tabella34[[#This Row],[Lombardy cumul. Fit]]/Kr,mu_r,sigma_r)-(Tabella34[[#This Row],[Day]]-pr)</f>
        <v>#NUM!</v>
      </c>
      <c r="AM124" s="96">
        <f>Tabella34[[#This Row],[Lombardy cumul. Fit]]/Kl</f>
        <v>0.83632898132725264</v>
      </c>
      <c r="AN124" s="96">
        <f>IFERROR(Kr*_xlfn.LOGNORM.DIST((Tabella34[[#This Row],[Day]]-pr),mu_r,sigma_r,FALSE),0)</f>
        <v>735.70286962182229</v>
      </c>
      <c r="AO124" s="209">
        <f>Tabella34[[#This Row],[Lombardy velocity]]/Tabella34[[#This Row],[Lombardy cumul. Fit]]</f>
        <v>1.0111277992326795E-2</v>
      </c>
      <c r="AP124" s="266">
        <f>(LN(Tabella34[[#This Row],[Day]]-pr)-mu_r)/sigma_r</f>
        <v>0.97948167773291794</v>
      </c>
      <c r="AQ124" s="269">
        <f>EXP(mu_r+sigma_r*Tabella34[[#This Row],[x_r_alpha©+plus]])-(Tabella34[[#This Row],[Day]]-pr)</f>
        <v>14.16077808319227</v>
      </c>
      <c r="AR124" s="269">
        <f>EXP(mu_r+sigma_r*Tabella34[[#This Row],[x_r_alpha©-minus]])-(Tabella34[[#This Row],[Day]]-pr)</f>
        <v>-55.804742148729908</v>
      </c>
      <c r="AS124" s="269">
        <f>-sigma_r+SQRT(sigma_r^2-2*Tabella34[[#This Row],[c_r]])</f>
        <v>1.4283163422159657</v>
      </c>
      <c r="AT124" s="269">
        <f>-sigma_r-SQRT(sigma_r^2-2*Tabella34[[#This Row],[c_r]])</f>
        <v>-2.1091709394096947</v>
      </c>
      <c r="AU124" s="269">
        <f>mu_r-LN(alpha*Kr/(Tabella34[[#This Row],[Lombardy velocity]]*sigma_r*SQRTPI(2)))</f>
        <v>-1.5062816606429337</v>
      </c>
      <c r="AV124" s="269">
        <f>Tabella34[[#This Row],[t_alpha_r+plus]]</f>
        <v>14.16077808319227</v>
      </c>
      <c r="AW124" s="91">
        <f>IFERROR(-Kl*_xlfn.LOGNORM.DIST((Tabella34[[#This Row],[Day]]-pl),mu_l,sigma_l,FALSE)*(1+(LN((Tabella34[[#This Row],[Day]]-pl))-mu_l)/sigma_l^2)/(Tabella34[[#This Row],[Day]]-pl),0)</f>
        <v>-33.254255567219786</v>
      </c>
      <c r="AX124" s="96">
        <f>Tabella34[[#This Row],[Lombardy acc. fit]]/y_l_peak</f>
        <v>-1.8916448687840454E-2</v>
      </c>
      <c r="AY124" s="163">
        <f>Tabella34[[#This Row],[Lombardy acc. fit]]*NOT(ISBLANK(Tabella34[[#This Row],[Lombardy data]]))</f>
        <v>-33.254255567219786</v>
      </c>
      <c r="AZ124" s="96">
        <f>Tabella34[[#This Row],[Lombardy acc. fit]]+CIl</f>
        <v>715.70111623640378</v>
      </c>
      <c r="BA124" s="96">
        <f>MAX(Tabella34[[#This Row],[Lombardy acc. fit]]-CIl,0)</f>
        <v>0</v>
      </c>
      <c r="BB124" s="10">
        <f>Tabella8[[#This Row],[rest of Italy ]]</f>
        <v>124786</v>
      </c>
      <c r="BC124" s="10">
        <f>(Tabella34[[#This Row],[rest of Italy cum. Data]]-BB123)</f>
        <v>1404</v>
      </c>
      <c r="BD124" s="10">
        <f>Tabella34[[#This Row],[rest of Italy data]]-BC123</f>
        <v>-240</v>
      </c>
      <c r="BE124" s="96">
        <f>Tabella34[[#This Row],[rest of Italy data]]*NOT(ISBLANK(Tabella34[[#This Row],[rest of Italy data]]))</f>
        <v>1404</v>
      </c>
      <c r="BF124" s="96">
        <f>Tabella8[[#This Row],[rest of Italy fit]]</f>
        <v>125006.38788010621</v>
      </c>
      <c r="BG124" s="163" t="e">
        <f>_xlfn.LOGNORM.INV(alpha*Tabella34[[#This Row],[rest of Italy cumul. Fit]]/Ko,mu_o,sigma_o)-(Tabella34[[#This Row],[Day]]-po)</f>
        <v>#NUM!</v>
      </c>
      <c r="BH124" s="96">
        <f>Tabella34[[#This Row],[rest of Italy cumul. Fit]]/Ka</f>
        <v>0.8446378542722276</v>
      </c>
      <c r="BI124" s="163">
        <f>IFERROR(Ko*_xlfn.LOGNORM.DIST((Tabella34[[#This Row],[Day]]-po),mu_o,sigma_o,FALSE),0)</f>
        <v>1385.7728816909639</v>
      </c>
      <c r="BJ124" s="206">
        <f>Tabella34[[#This Row],[rest of Italy velocity]]/Tabella34[[#This Row],[rest of Italy cumul. Fit]]</f>
        <v>1.1085616544812578E-2</v>
      </c>
      <c r="BK124" s="261">
        <f>(LN(Tabella34[[#This Row],[Day]]-po)-mu_o)/sigma_o</f>
        <v>1.0137034204616069</v>
      </c>
      <c r="BL124" s="269">
        <f>EXP(mu_o+sigma_o*Tabella34[[#This Row],[x_o_alpha©+plus]])-(Tabella34[[#This Row],[Day]]-po)</f>
        <v>12.193305426867184</v>
      </c>
      <c r="BM124" s="269">
        <f>EXP(mu_o+sigma_o*Tabella34[[#This Row],[x_o_alpha©-minus]])-(Tabella34[[#This Row],[Day]]-po)</f>
        <v>-50.161250337213716</v>
      </c>
      <c r="BN124" s="269">
        <f>-sigma_o+SQRT(sigma_o^2-2*Tabella34[[#This Row],[c_o]])</f>
        <v>1.4586894980184528</v>
      </c>
      <c r="BO124" s="269">
        <f>-sigma_o-SQRT(sigma_o^2-2*Tabella34[[#This Row],[c_o]])</f>
        <v>-2.1016622753174787</v>
      </c>
      <c r="BP124" s="269">
        <f>mu_o-LN(alpha*Ko/(Tabella34[[#This Row],[rest of Italy velocity]]*sigma_o*SQRTPI(2)))</f>
        <v>-1.5328363446935862</v>
      </c>
      <c r="BQ124" s="269">
        <f>Tabella34[[#This Row],[t_alpha_o+plus]]</f>
        <v>12.193305426867184</v>
      </c>
      <c r="BR124" s="91">
        <f>IFERROR(-Ka*_xlfn.LOGNORM.DIST((Tabella34[[#This Row],[Day]]-pa),mu_a,sigma_a,FALSE)*(1+(LN((Tabella34[[#This Row],[Day]]-pa))-mu_a)/sigma_a^2)/(Tabella34[[#This Row],[Day]]-pa),0)</f>
        <v>-72.592997981952564</v>
      </c>
      <c r="BS124" s="96">
        <f>Tabella34[[#This Row],[rest of Italy acc. fit]]/y_a_peak</f>
        <v>-2.1482626445318762E-2</v>
      </c>
      <c r="BT124" s="96">
        <f>Tabella34[[#This Row],[rest of Italy acc. fit]]*NOT(ISBLANK(Tabella34[[#This Row],[rest of Italy data]]))</f>
        <v>-72.592997981952564</v>
      </c>
      <c r="BU124" s="96">
        <f>Tabella34[[#This Row],[rest of Italy acc. fit]]+CIa</f>
        <v>622.05903788164483</v>
      </c>
      <c r="BV124" s="96">
        <f>MAX(Tabella34[[#This Row],[rest of Italy acc. fit]]-CIa,0)</f>
        <v>0</v>
      </c>
    </row>
    <row r="125" spans="2:74" x14ac:dyDescent="0.3">
      <c r="B125" s="288">
        <v>43948</v>
      </c>
      <c r="C125" s="4">
        <v>118</v>
      </c>
      <c r="D125" s="10">
        <f>Tabella8[[#This Row],[Italy cumulative]]</f>
        <v>199414</v>
      </c>
      <c r="E125" s="91">
        <f>(Tabella34[[#This Row],[Italy cumul. Data]]-D124)</f>
        <v>1739</v>
      </c>
      <c r="F125" s="91">
        <f>Tabella34[[#This Row],[Italy data]]-E124</f>
        <v>-585</v>
      </c>
      <c r="G125" s="96">
        <f>Tabella34[[#This Row],[Italy data]]*NOT(ISBLANK(Tabella34[[#This Row],[Italy data]]))</f>
        <v>1739</v>
      </c>
      <c r="H125" s="163">
        <f>Tabella8[[#This Row],[Italy fit]]</f>
        <v>199748.52753466243</v>
      </c>
      <c r="I125" s="163" t="e">
        <f>_xlfn.LOGNORM.INV(alpha*Tabella34[[#This Row],[Italy cumul. Fit]]/Kt,mu_t,sigma_t)-(Tabella34[[#This Row],[Day]]-pt)</f>
        <v>#NUM!</v>
      </c>
      <c r="J125" s="163" t="e">
        <f>Tabella34[[#This Row],[Italy d.t.]]/Italy_dt_at_lockdown</f>
        <v>#NUM!</v>
      </c>
      <c r="K125" s="96">
        <f>Tabella34[[#This Row],[Italy cumul. Fit]]/Kf</f>
        <v>0.84999396611432187</v>
      </c>
      <c r="L125" s="166">
        <f>Tabella34[[#This Row],[Lombardy acc. fit]]+Tabella34[[#This Row],[rest of Italy acc. fit]]</f>
        <v>-102.20483262253913</v>
      </c>
      <c r="M125" s="96">
        <f>Tabella34[[#This Row],[Italy (fitted Lombardy + fitted sum of the other regions)]]/(y_l_peak+y_a_peak)</f>
        <v>-1.9895419867705735E-2</v>
      </c>
      <c r="N125" s="163">
        <f>IFERROR(Kt*_xlfn.LOGNORM.DIST((Tabella34[[#This Row],[Day]]-pt),mu_t,sigma_t,FALSE),0)</f>
        <v>2045.8061490134219</v>
      </c>
      <c r="O125" s="163">
        <f>Kt*EXP(-0.5*Tabella34[[#This Row],[x_t]]^2)/(sigma_t*SQRTPI(2)*(Tabella34[[#This Row],[Day]]-D_bk))</f>
        <v>2045.8061490134219</v>
      </c>
      <c r="P125" s="206">
        <f>Tabella34[[#This Row],[Italy velocity]]/Tabella34[[#This Row],[Italy cumul. Fit]]</f>
        <v>1.0241908535012417E-2</v>
      </c>
      <c r="Q125" s="269">
        <f>(LN(Tabella34[[#This Row],[Day]]-D_bk)-mu_t)/sigma_t</f>
        <v>1.0364075109706494</v>
      </c>
      <c r="R125" s="269">
        <f>EXP(mu_t+sigma_t*Tabella34[[#This Row],[x_t_alpha©+plus]])-(Tabella34[[#This Row],[Day]]-D_bk)</f>
        <v>12.695544246326307</v>
      </c>
      <c r="S125" s="269">
        <f>EXP(mu_t+sigma_t*Tabella34[[#This Row],[x_t_alpha©-minus]])-(Tabella34[[#This Row],[Day]]-D_bk)</f>
        <v>-53.727026793362064</v>
      </c>
      <c r="T125" s="269">
        <f>-sigma_t+SQRT(sigma_t^2-2*Tabella34[[#This Row],[c_t]])</f>
        <v>1.4786992639761167</v>
      </c>
      <c r="U125" s="269">
        <f>-sigma_t-SQRT(sigma_t^2-2*Tabella34[[#This Row],[c_t]])</f>
        <v>-2.0979361698683539</v>
      </c>
      <c r="V125" s="269">
        <f>mu_t-LN(alpha*Kt/(Tabella34[[#This Row],[Italy velocity]]*sigma_t*SQRTPI(2)))</f>
        <v>-1.551108335126604</v>
      </c>
      <c r="W125" s="269">
        <f>Tabella34[[#This Row],[Italy g.r.]]/Italy_gr_at_lockdown</f>
        <v>6.4758921882641832E-2</v>
      </c>
      <c r="X125" s="269">
        <f>Tabella34[[#This Row],[t_alpha_t+plus]]</f>
        <v>12.695544246326307</v>
      </c>
      <c r="Y125" s="269">
        <f>Tabella34[[#This Row],[Italy h.t.]]/Italy_ht_at_lockdown</f>
        <v>0.22609973708361769</v>
      </c>
      <c r="Z125" s="91">
        <f>IFERROR(-Kf*_xlfn.LOGNORM.DIST((Tabella34[[#This Row],[Day]]-D_bk),mu_f,sigma_f,FALSE)*(1+(LN((Tabella34[[#This Row],[Day]]-D_bk))-mu_f)/sigma_f^2)/(Tabella34[[#This Row],[Day]]-D_bk),0)</f>
        <v>-102.81375930489058</v>
      </c>
      <c r="AA125" s="91">
        <f>Tabella34[[#This Row],[Italy acc. fit]]/Itali_acc_at_lockdown</f>
        <v>-0.42315952424688541</v>
      </c>
      <c r="AB125" s="96">
        <f>Tabella34[[#This Row],[Italy acc. fit]]/y_f_peak</f>
        <v>-2.0312456630237039E-2</v>
      </c>
      <c r="AC125" s="163">
        <f>Tabella34[[#This Row],[Italy (fitted Lombardy + fitted sum of the other regions)]]*NOT(ISBLANK(Tabella34[[#This Row],[Italy data]]))</f>
        <v>-102.20483262253913</v>
      </c>
      <c r="AD125" s="163">
        <f>Tabella34[[#This Row],[Italy acc. fit]]*NOT(ISBLANK(Tabella34[[#This Row],[Italy data]]))</f>
        <v>-102.81375930489058</v>
      </c>
      <c r="AE125" s="96">
        <f>Tabella34[[#This Row],[Italy acc. fit]]+CIf</f>
        <v>910.94924271542709</v>
      </c>
      <c r="AF125" s="96">
        <f>MAX(Tabella34[[#This Row],[Italy acc. fit]]-CIf,0)</f>
        <v>0</v>
      </c>
      <c r="AG125" s="4">
        <f>Tabella8[[#This Row],[Lombardy]]</f>
        <v>73479</v>
      </c>
      <c r="AH125" s="91">
        <f>(Tabella34[[#This Row],[Lombardy cumul. Data]]-AG124)</f>
        <v>590</v>
      </c>
      <c r="AI125" s="91">
        <f>Tabella34[[#This Row],[Lombardy data]]-AH124</f>
        <v>-330</v>
      </c>
      <c r="AJ125" s="96">
        <f>Tabella34[[#This Row],[Lombardy data]]*NOT(ISBLANK(Tabella34[[#This Row],[Lombardy data]]))</f>
        <v>590</v>
      </c>
      <c r="AK125" s="96">
        <f>Tabella8[[#This Row],[Lombardy fit]]</f>
        <v>73479.869131409956</v>
      </c>
      <c r="AL125" s="163" t="e">
        <f>_xlfn.LOGNORM.INV(alpha*Tabella34[[#This Row],[Lombardy cumul. Fit]]/Kr,mu_r,sigma_r)-(Tabella34[[#This Row],[Day]]-pr)</f>
        <v>#NUM!</v>
      </c>
      <c r="AM125" s="96">
        <f>Tabella34[[#This Row],[Lombardy cumul. Fit]]/Kl</f>
        <v>0.84459619691275811</v>
      </c>
      <c r="AN125" s="96">
        <f>IFERROR(Kr*_xlfn.LOGNORM.DIST((Tabella34[[#This Row],[Day]]-pr),mu_r,sigma_r,FALSE),0)</f>
        <v>702.96528278682194</v>
      </c>
      <c r="AO125" s="209">
        <f>Tabella34[[#This Row],[Lombardy velocity]]/Tabella34[[#This Row],[Lombardy cumul. Fit]]</f>
        <v>9.5667737449239686E-3</v>
      </c>
      <c r="AP125" s="266">
        <f>(LN(Tabella34[[#This Row],[Day]]-pr)-mu_r)/sigma_r</f>
        <v>1.0135288854367737</v>
      </c>
      <c r="AQ125" s="269">
        <f>EXP(mu_r+sigma_r*Tabella34[[#This Row],[x_r_alpha©+plus]])-(Tabella34[[#This Row],[Day]]-pr)</f>
        <v>14.033846308952548</v>
      </c>
      <c r="AR125" s="269">
        <f>EXP(mu_r+sigma_r*Tabella34[[#This Row],[x_r_alpha©-minus]])-(Tabella34[[#This Row],[Day]]-pr)</f>
        <v>-57.064320438973994</v>
      </c>
      <c r="AS125" s="269">
        <f>-sigma_r+SQRT(sigma_r^2-2*Tabella34[[#This Row],[c_r]])</f>
        <v>1.4538669106683895</v>
      </c>
      <c r="AT125" s="269">
        <f>-sigma_r-SQRT(sigma_r^2-2*Tabella34[[#This Row],[c_r]])</f>
        <v>-2.1347215078621185</v>
      </c>
      <c r="AU125" s="269">
        <f>mu_r-LN(alpha*Kr/(Tabella34[[#This Row],[Lombardy velocity]]*sigma_r*SQRTPI(2)))</f>
        <v>-1.5518004818864322</v>
      </c>
      <c r="AV125" s="269">
        <f>Tabella34[[#This Row],[t_alpha_r+plus]]</f>
        <v>14.033846308952548</v>
      </c>
      <c r="AW125" s="91">
        <f>IFERROR(-Kl*_xlfn.LOGNORM.DIST((Tabella34[[#This Row],[Day]]-pl),mu_l,sigma_l,FALSE)*(1+(LN((Tabella34[[#This Row],[Day]]-pl))-mu_l)/sigma_l^2)/(Tabella34[[#This Row],[Day]]-pl),0)</f>
        <v>-32.218517419327846</v>
      </c>
      <c r="AX125" s="96">
        <f>Tabella34[[#This Row],[Lombardy acc. fit]]/y_l_peak</f>
        <v>-1.832727634900903E-2</v>
      </c>
      <c r="AY125" s="163">
        <f>Tabella34[[#This Row],[Lombardy acc. fit]]*NOT(ISBLANK(Tabella34[[#This Row],[Lombardy data]]))</f>
        <v>-32.218517419327846</v>
      </c>
      <c r="AZ125" s="96">
        <f>Tabella34[[#This Row],[Lombardy acc. fit]]+CIl</f>
        <v>716.73685438429573</v>
      </c>
      <c r="BA125" s="96">
        <f>MAX(Tabella34[[#This Row],[Lombardy acc. fit]]-CIl,0)</f>
        <v>0</v>
      </c>
      <c r="BB125" s="10">
        <f>Tabella8[[#This Row],[rest of Italy ]]</f>
        <v>125935</v>
      </c>
      <c r="BC125" s="10">
        <f>(Tabella34[[#This Row],[rest of Italy cum. Data]]-BB124)</f>
        <v>1149</v>
      </c>
      <c r="BD125" s="10">
        <f>Tabella34[[#This Row],[rest of Italy data]]-BC124</f>
        <v>-255</v>
      </c>
      <c r="BE125" s="96">
        <f>Tabella34[[#This Row],[rest of Italy data]]*NOT(ISBLANK(Tabella34[[#This Row],[rest of Italy data]]))</f>
        <v>1149</v>
      </c>
      <c r="BF125" s="96">
        <f>Tabella8[[#This Row],[rest of Italy fit]]</f>
        <v>126356.29703916883</v>
      </c>
      <c r="BG125" s="163" t="e">
        <f>_xlfn.LOGNORM.INV(alpha*Tabella34[[#This Row],[rest of Italy cumul. Fit]]/Ko,mu_o,sigma_o)-(Tabella34[[#This Row],[Day]]-po)</f>
        <v>#NUM!</v>
      </c>
      <c r="BH125" s="96">
        <f>Tabella34[[#This Row],[rest of Italy cumul. Fit]]/Ka</f>
        <v>0.85375886316552219</v>
      </c>
      <c r="BI125" s="163">
        <f>IFERROR(Ko*_xlfn.LOGNORM.DIST((Tabella34[[#This Row],[Day]]-po),mu_o,sigma_o,FALSE),0)</f>
        <v>1314.4799395985358</v>
      </c>
      <c r="BJ125" s="206">
        <f>Tabella34[[#This Row],[rest of Italy velocity]]/Tabella34[[#This Row],[rest of Italy cumul. Fit]]</f>
        <v>1.0402963448596977E-2</v>
      </c>
      <c r="BK125" s="261">
        <f>(LN(Tabella34[[#This Row],[Day]]-po)-mu_o)/sigma_o</f>
        <v>1.0526917877765796</v>
      </c>
      <c r="BL125" s="269">
        <f>EXP(mu_o+sigma_o*Tabella34[[#This Row],[x_o_alpha©+plus]])-(Tabella34[[#This Row],[Day]]-po)</f>
        <v>12.062787227540653</v>
      </c>
      <c r="BM125" s="269">
        <f>EXP(mu_o+sigma_o*Tabella34[[#This Row],[x_o_alpha©-minus]])-(Tabella34[[#This Row],[Day]]-po)</f>
        <v>-51.4354434415675</v>
      </c>
      <c r="BN125" s="269">
        <f>-sigma_o+SQRT(sigma_o^2-2*Tabella34[[#This Row],[c_o]])</f>
        <v>1.4881157835655938</v>
      </c>
      <c r="BO125" s="269">
        <f>-sigma_o-SQRT(sigma_o^2-2*Tabella34[[#This Row],[c_o]])</f>
        <v>-2.1310885608646202</v>
      </c>
      <c r="BP125" s="269">
        <f>mu_o-LN(alpha*Ko/(Tabella34[[#This Row],[rest of Italy velocity]]*sigma_o*SQRTPI(2)))</f>
        <v>-1.5856532617993642</v>
      </c>
      <c r="BQ125" s="269">
        <f>Tabella34[[#This Row],[t_alpha_o+plus]]</f>
        <v>12.062787227540653</v>
      </c>
      <c r="BR125" s="91">
        <f>IFERROR(-Ka*_xlfn.LOGNORM.DIST((Tabella34[[#This Row],[Day]]-pa),mu_a,sigma_a,FALSE)*(1+(LN((Tabella34[[#This Row],[Day]]-pa))-mu_a)/sigma_a^2)/(Tabella34[[#This Row],[Day]]-pa),0)</f>
        <v>-69.986315203211291</v>
      </c>
      <c r="BS125" s="96">
        <f>Tabella34[[#This Row],[rest of Italy acc. fit]]/y_a_peak</f>
        <v>-2.0711224327292641E-2</v>
      </c>
      <c r="BT125" s="96">
        <f>Tabella34[[#This Row],[rest of Italy acc. fit]]*NOT(ISBLANK(Tabella34[[#This Row],[rest of Italy data]]))</f>
        <v>-69.986315203211291</v>
      </c>
      <c r="BU125" s="96">
        <f>Tabella34[[#This Row],[rest of Italy acc. fit]]+CIa</f>
        <v>624.66572066038611</v>
      </c>
      <c r="BV125" s="96">
        <f>MAX(Tabella34[[#This Row],[rest of Italy acc. fit]]-CIa,0)</f>
        <v>0</v>
      </c>
    </row>
    <row r="126" spans="2:74" x14ac:dyDescent="0.3">
      <c r="B126" s="288">
        <v>43949</v>
      </c>
      <c r="C126" s="4">
        <v>119</v>
      </c>
      <c r="D126" s="10">
        <f>Tabella8[[#This Row],[Italy cumulative]]</f>
        <v>201505</v>
      </c>
      <c r="E126" s="91">
        <f>(Tabella34[[#This Row],[Italy cumul. Data]]-D125)</f>
        <v>2091</v>
      </c>
      <c r="F126" s="91">
        <f>Tabella34[[#This Row],[Italy data]]-E125</f>
        <v>352</v>
      </c>
      <c r="G126" s="96">
        <f>Tabella34[[#This Row],[Italy data]]*NOT(ISBLANK(Tabella34[[#This Row],[Italy data]]))</f>
        <v>2091</v>
      </c>
      <c r="H126" s="163">
        <f>Tabella8[[#This Row],[Italy fit]]</f>
        <v>201743.51314047718</v>
      </c>
      <c r="I126" s="163" t="e">
        <f>_xlfn.LOGNORM.INV(alpha*Tabella34[[#This Row],[Italy cumul. Fit]]/Kt,mu_t,sigma_t)-(Tabella34[[#This Row],[Day]]-pt)</f>
        <v>#NUM!</v>
      </c>
      <c r="J126" s="163" t="e">
        <f>Tabella34[[#This Row],[Italy d.t.]]/Italy_dt_at_lockdown</f>
        <v>#NUM!</v>
      </c>
      <c r="K126" s="96">
        <f>Tabella34[[#This Row],[Italy cumul. Fit]]/Kf</f>
        <v>0.85848326888093773</v>
      </c>
      <c r="L126" s="166">
        <f>Tabella34[[#This Row],[Lombardy acc. fit]]+Tabella34[[#This Row],[rest of Italy acc. fit]]</f>
        <v>-98.521288457015388</v>
      </c>
      <c r="M126" s="96">
        <f>Tabella34[[#This Row],[Italy (fitted Lombardy + fitted sum of the other regions)]]/(y_l_peak+y_a_peak)</f>
        <v>-1.9178372973798187E-2</v>
      </c>
      <c r="N126" s="163">
        <f>IFERROR(Kt*_xlfn.LOGNORM.DIST((Tabella34[[#This Row],[Day]]-pt),mu_t,sigma_t,FALSE),0)</f>
        <v>1944.7535872223357</v>
      </c>
      <c r="O126" s="163">
        <f>Kt*EXP(-0.5*Tabella34[[#This Row],[x_t]]^2)/(sigma_t*SQRTPI(2)*(Tabella34[[#This Row],[Day]]-D_bk))</f>
        <v>1944.7535872223375</v>
      </c>
      <c r="P126" s="206">
        <f>Tabella34[[#This Row],[Italy velocity]]/Tabella34[[#This Row],[Italy cumul. Fit]]</f>
        <v>9.6397329309328185E-3</v>
      </c>
      <c r="Q126" s="269">
        <f>(LN(Tabella34[[#This Row],[Day]]-D_bk)-mu_t)/sigma_t</f>
        <v>1.0735298296408295</v>
      </c>
      <c r="R126" s="269">
        <f>EXP(mu_t+sigma_t*Tabella34[[#This Row],[x_t_alpha©+plus]])-(Tabella34[[#This Row],[Day]]-D_bk)</f>
        <v>12.56255198980017</v>
      </c>
      <c r="S126" s="269">
        <f>EXP(mu_t+sigma_t*Tabella34[[#This Row],[x_t_alpha©-minus]])-(Tabella34[[#This Row],[Day]]-D_bk)</f>
        <v>-55.011020925735814</v>
      </c>
      <c r="T126" s="269">
        <f>-sigma_t+SQRT(sigma_t^2-2*Tabella34[[#This Row],[c_t]])</f>
        <v>1.5068048272237644</v>
      </c>
      <c r="U126" s="269">
        <f>-sigma_t-SQRT(sigma_t^2-2*Tabella34[[#This Row],[c_t]])</f>
        <v>-2.1260417331160015</v>
      </c>
      <c r="V126" s="269">
        <f>mu_t-LN(alpha*Kt/(Tabella34[[#This Row],[Italy velocity]]*sigma_t*SQRTPI(2)))</f>
        <v>-1.6017649731691845</v>
      </c>
      <c r="W126" s="269">
        <f>Tabella34[[#This Row],[Italy g.r.]]/Italy_gr_at_lockdown</f>
        <v>6.0951404682999498E-2</v>
      </c>
      <c r="X126" s="269">
        <f>Tabella34[[#This Row],[t_alpha_t+plus]]</f>
        <v>12.56255198980017</v>
      </c>
      <c r="Y126" s="269">
        <f>Tabella34[[#This Row],[Italy h.t.]]/Italy_ht_at_lockdown</f>
        <v>0.2237312278136494</v>
      </c>
      <c r="Z126" s="91">
        <f>IFERROR(-Kf*_xlfn.LOGNORM.DIST((Tabella34[[#This Row],[Day]]-D_bk),mu_f,sigma_f,FALSE)*(1+(LN((Tabella34[[#This Row],[Day]]-D_bk))-mu_f)/sigma_f^2)/(Tabella34[[#This Row],[Day]]-D_bk),0)</f>
        <v>-99.283018148726271</v>
      </c>
      <c r="AA126" s="91">
        <f>Tabella34[[#This Row],[Italy acc. fit]]/Itali_acc_at_lockdown</f>
        <v>-0.40862774602982027</v>
      </c>
      <c r="AB126" s="96">
        <f>Tabella34[[#This Row],[Italy acc. fit]]/y_f_peak</f>
        <v>-1.9614903821235055E-2</v>
      </c>
      <c r="AC126" s="163">
        <f>Tabella34[[#This Row],[Italy (fitted Lombardy + fitted sum of the other regions)]]*NOT(ISBLANK(Tabella34[[#This Row],[Italy data]]))</f>
        <v>-98.521288457015388</v>
      </c>
      <c r="AD126" s="163">
        <f>Tabella34[[#This Row],[Italy acc. fit]]*NOT(ISBLANK(Tabella34[[#This Row],[Italy data]]))</f>
        <v>-99.283018148726271</v>
      </c>
      <c r="AE126" s="96">
        <f>Tabella34[[#This Row],[Italy acc. fit]]+CIf</f>
        <v>914.47998387159146</v>
      </c>
      <c r="AF126" s="96">
        <f>MAX(Tabella34[[#This Row],[Italy acc. fit]]-CIf,0)</f>
        <v>0</v>
      </c>
      <c r="AG126" s="4">
        <f>Tabella8[[#This Row],[Lombardy]]</f>
        <v>74348</v>
      </c>
      <c r="AH126" s="91">
        <f>(Tabella34[[#This Row],[Lombardy cumul. Data]]-AG125)</f>
        <v>869</v>
      </c>
      <c r="AI126" s="91">
        <f>Tabella34[[#This Row],[Lombardy data]]-AH125</f>
        <v>279</v>
      </c>
      <c r="AJ126" s="96">
        <f>Tabella34[[#This Row],[Lombardy data]]*NOT(ISBLANK(Tabella34[[#This Row],[Lombardy data]]))</f>
        <v>869</v>
      </c>
      <c r="AK126" s="96">
        <f>Tabella8[[#This Row],[Lombardy fit]]</f>
        <v>74166.8993147609</v>
      </c>
      <c r="AL126" s="163" t="e">
        <f>_xlfn.LOGNORM.INV(alpha*Tabella34[[#This Row],[Lombardy cumul. Fit]]/Kr,mu_r,sigma_r)-(Tabella34[[#This Row],[Day]]-pr)</f>
        <v>#NUM!</v>
      </c>
      <c r="AM126" s="96">
        <f>Tabella34[[#This Row],[Lombardy cumul. Fit]]/Kl</f>
        <v>0.8524930955719644</v>
      </c>
      <c r="AN126" s="96">
        <f>IFERROR(Kr*_xlfn.LOGNORM.DIST((Tabella34[[#This Row],[Day]]-pr),mu_r,sigma_r,FALSE),0)</f>
        <v>671.26961759335336</v>
      </c>
      <c r="AO126" s="209">
        <f>Tabella34[[#This Row],[Lombardy velocity]]/Tabella34[[#This Row],[Lombardy cumul. Fit]]</f>
        <v>9.0507979138310206E-3</v>
      </c>
      <c r="AP126" s="266">
        <f>(LN(Tabella34[[#This Row],[Day]]-pr)-mu_r)/sigma_r</f>
        <v>1.0471859829049994</v>
      </c>
      <c r="AQ126" s="269">
        <f>EXP(mu_r+sigma_r*Tabella34[[#This Row],[x_r_alpha©+plus]])-(Tabella34[[#This Row],[Day]]-pr)</f>
        <v>13.91387556518508</v>
      </c>
      <c r="AR126" s="269">
        <f>EXP(mu_r+sigma_r*Tabella34[[#This Row],[x_r_alpha©-minus]])-(Tabella34[[#This Row],[Day]]-pr)</f>
        <v>-58.321457725498661</v>
      </c>
      <c r="AS126" s="269">
        <f>-sigma_r+SQRT(sigma_r^2-2*Tabella34[[#This Row],[c_r]])</f>
        <v>1.479398237030181</v>
      </c>
      <c r="AT126" s="269">
        <f>-sigma_r-SQRT(sigma_r^2-2*Tabella34[[#This Row],[c_r]])</f>
        <v>-2.1602528342239102</v>
      </c>
      <c r="AU126" s="269">
        <f>mu_r-LN(alpha*Kr/(Tabella34[[#This Row],[Lombardy velocity]]*sigma_r*SQRTPI(2)))</f>
        <v>-1.5979371172451522</v>
      </c>
      <c r="AV126" s="269">
        <f>Tabella34[[#This Row],[t_alpha_r+plus]]</f>
        <v>13.91387556518508</v>
      </c>
      <c r="AW126" s="91">
        <f>IFERROR(-Kl*_xlfn.LOGNORM.DIST((Tabella34[[#This Row],[Day]]-pl),mu_l,sigma_l,FALSE)*(1+(LN((Tabella34[[#This Row],[Day]]-pl))-mu_l)/sigma_l^2)/(Tabella34[[#This Row],[Day]]-pl),0)</f>
        <v>-31.171409930109657</v>
      </c>
      <c r="AX126" s="96">
        <f>Tabella34[[#This Row],[Lombardy acc. fit]]/y_l_peak</f>
        <v>-1.7731636640568992E-2</v>
      </c>
      <c r="AY126" s="163">
        <f>Tabella34[[#This Row],[Lombardy acc. fit]]*NOT(ISBLANK(Tabella34[[#This Row],[Lombardy data]]))</f>
        <v>-31.171409930109657</v>
      </c>
      <c r="AZ126" s="96">
        <f>Tabella34[[#This Row],[Lombardy acc. fit]]+CIl</f>
        <v>717.78396187351393</v>
      </c>
      <c r="BA126" s="96">
        <f>MAX(Tabella34[[#This Row],[Lombardy acc. fit]]-CIl,0)</f>
        <v>0</v>
      </c>
      <c r="BB126" s="10">
        <f>Tabella8[[#This Row],[rest of Italy ]]</f>
        <v>127157</v>
      </c>
      <c r="BC126" s="10">
        <f>(Tabella34[[#This Row],[rest of Italy cum. Data]]-BB125)</f>
        <v>1222</v>
      </c>
      <c r="BD126" s="10">
        <f>Tabella34[[#This Row],[rest of Italy data]]-BC125</f>
        <v>73</v>
      </c>
      <c r="BE126" s="96">
        <f>Tabella34[[#This Row],[rest of Italy data]]*NOT(ISBLANK(Tabella34[[#This Row],[rest of Italy data]]))</f>
        <v>1222</v>
      </c>
      <c r="BF126" s="96">
        <f>Tabella8[[#This Row],[rest of Italy fit]]</f>
        <v>127636.22235321964</v>
      </c>
      <c r="BG126" s="163" t="e">
        <f>_xlfn.LOGNORM.INV(alpha*Tabella34[[#This Row],[rest of Italy cumul. Fit]]/Ko,mu_o,sigma_o)-(Tabella34[[#This Row],[Day]]-po)</f>
        <v>#NUM!</v>
      </c>
      <c r="BH126" s="96">
        <f>Tabella34[[#This Row],[rest of Italy cumul. Fit]]/Ka</f>
        <v>0.86240700818612259</v>
      </c>
      <c r="BI126" s="163">
        <f>IFERROR(Ko*_xlfn.LOGNORM.DIST((Tabella34[[#This Row],[Day]]-po),mu_o,sigma_o,FALSE),0)</f>
        <v>1245.8101444502865</v>
      </c>
      <c r="BJ126" s="206">
        <f>Tabella34[[#This Row],[rest of Italy velocity]]/Tabella34[[#This Row],[rest of Italy cumul. Fit]]</f>
        <v>9.7606315940833768E-3</v>
      </c>
      <c r="BK126" s="261">
        <f>(LN(Tabella34[[#This Row],[Day]]-po)-mu_o)/sigma_o</f>
        <v>1.0911975093037907</v>
      </c>
      <c r="BL126" s="269">
        <f>EXP(mu_o+sigma_o*Tabella34[[#This Row],[x_o_alpha©+plus]])-(Tabella34[[#This Row],[Day]]-po)</f>
        <v>11.940081158256007</v>
      </c>
      <c r="BM126" s="269">
        <f>EXP(mu_o+sigma_o*Tabella34[[#This Row],[x_o_alpha©-minus]])-(Tabella34[[#This Row],[Day]]-po)</f>
        <v>-52.706916216631704</v>
      </c>
      <c r="BN126" s="269">
        <f>-sigma_o+SQRT(sigma_o^2-2*Tabella34[[#This Row],[c_o]])</f>
        <v>1.5175269763526091</v>
      </c>
      <c r="BO126" s="269">
        <f>-sigma_o-SQRT(sigma_o^2-2*Tabella34[[#This Row],[c_o]])</f>
        <v>-2.1604997536516355</v>
      </c>
      <c r="BP126" s="269">
        <f>mu_o-LN(alpha*Ko/(Tabella34[[#This Row],[rest of Italy velocity]]*sigma_o*SQRTPI(2)))</f>
        <v>-1.6393083292847619</v>
      </c>
      <c r="BQ126" s="269">
        <f>Tabella34[[#This Row],[t_alpha_o+plus]]</f>
        <v>11.940081158256007</v>
      </c>
      <c r="BR126" s="91">
        <f>IFERROR(-Ka*_xlfn.LOGNORM.DIST((Tabella34[[#This Row],[Day]]-pa),mu_a,sigma_a,FALSE)*(1+(LN((Tabella34[[#This Row],[Day]]-pa))-mu_a)/sigma_a^2)/(Tabella34[[#This Row],[Day]]-pa),0)</f>
        <v>-67.349878526905727</v>
      </c>
      <c r="BS126" s="96">
        <f>Tabella34[[#This Row],[rest of Italy acc. fit]]/y_a_peak</f>
        <v>-1.9931017064356744E-2</v>
      </c>
      <c r="BT126" s="96">
        <f>Tabella34[[#This Row],[rest of Italy acc. fit]]*NOT(ISBLANK(Tabella34[[#This Row],[rest of Italy data]]))</f>
        <v>-67.349878526905727</v>
      </c>
      <c r="BU126" s="96">
        <f>Tabella34[[#This Row],[rest of Italy acc. fit]]+CIa</f>
        <v>627.30215733669161</v>
      </c>
      <c r="BV126" s="96">
        <f>MAX(Tabella34[[#This Row],[rest of Italy acc. fit]]-CIa,0)</f>
        <v>0</v>
      </c>
    </row>
    <row r="127" spans="2:74" x14ac:dyDescent="0.3">
      <c r="B127" s="288">
        <v>43950</v>
      </c>
      <c r="C127" s="4">
        <v>120</v>
      </c>
      <c r="E127" s="10"/>
      <c r="F127" s="10"/>
      <c r="G127" s="96">
        <f>Tabella34[[#This Row],[Italy data]]*NOT(ISBLANK(Tabella34[[#This Row],[Italy data]]))</f>
        <v>0</v>
      </c>
      <c r="H127" s="163">
        <f>Tabella8[[#This Row],[Italy fit]]</f>
        <v>203639.218913466</v>
      </c>
      <c r="I127" s="163" t="e">
        <f>_xlfn.LOGNORM.INV(alpha*Tabella34[[#This Row],[Italy cumul. Fit]]/Kt,mu_t,sigma_t)-(Tabella34[[#This Row],[Day]]-pt)</f>
        <v>#NUM!</v>
      </c>
      <c r="J127" s="163" t="e">
        <f>Tabella34[[#This Row],[Italy d.t.]]/Italy_dt_at_lockdown</f>
        <v>#NUM!</v>
      </c>
      <c r="K127" s="96">
        <f>Tabella34[[#This Row],[Italy cumul. Fit]]/Kf</f>
        <v>0.86655010415855438</v>
      </c>
      <c r="L127" s="166">
        <f>Tabella34[[#This Row],[Lombardy acc. fit]]+Tabella34[[#This Row],[rest of Italy acc. fit]]</f>
        <v>-94.820254259269291</v>
      </c>
      <c r="M127" s="96">
        <f>Tabella34[[#This Row],[Italy (fitted Lombardy + fitted sum of the other regions)]]/(y_l_peak+y_a_peak)</f>
        <v>-1.845792143134678E-2</v>
      </c>
      <c r="N127" s="163">
        <f>IFERROR(Kt*_xlfn.LOGNORM.DIST((Tabella34[[#This Row],[Day]]-pt),mu_t,sigma_t,FALSE),0)</f>
        <v>1847.2528680339526</v>
      </c>
      <c r="O127" s="163">
        <f>Kt*EXP(-0.5*Tabella34[[#This Row],[x_t]]^2)/(sigma_t*SQRTPI(2)*(Tabella34[[#This Row],[Day]]-D_bk))</f>
        <v>1847.2528680339517</v>
      </c>
      <c r="P127" s="206">
        <f>Tabella34[[#This Row],[Italy velocity]]/Tabella34[[#This Row],[Italy cumul. Fit]]</f>
        <v>9.0712038569491869E-3</v>
      </c>
      <c r="Q127" s="269">
        <f>(LN(Tabella34[[#This Row],[Day]]-D_bk)-mu_t)/sigma_t</f>
        <v>1.1102303173108041</v>
      </c>
      <c r="R127" s="269">
        <f>EXP(mu_t+sigma_t*Tabella34[[#This Row],[x_t_alpha©+plus]])-(Tabella34[[#This Row],[Day]]-D_bk)</f>
        <v>12.436952985794321</v>
      </c>
      <c r="S127" s="269">
        <f>EXP(mu_t+sigma_t*Tabella34[[#This Row],[x_t_alpha©-minus]])-(Tabella34[[#This Row],[Day]]-D_bk)</f>
        <v>-56.292495626229034</v>
      </c>
      <c r="T127" s="269">
        <f>-sigma_t+SQRT(sigma_t^2-2*Tabella34[[#This Row],[c_t]])</f>
        <v>1.5349044912104421</v>
      </c>
      <c r="U127" s="269">
        <f>-sigma_t-SQRT(sigma_t^2-2*Tabella34[[#This Row],[c_t]])</f>
        <v>-2.1541413971026793</v>
      </c>
      <c r="V127" s="269">
        <f>mu_t-LN(alpha*Kt/(Tabella34[[#This Row],[Italy velocity]]*sigma_t*SQRTPI(2)))</f>
        <v>-1.6532006525576195</v>
      </c>
      <c r="W127" s="269">
        <f>Tabella34[[#This Row],[Italy g.r.]]/Italy_gr_at_lockdown</f>
        <v>5.7356632305931785E-2</v>
      </c>
      <c r="X127" s="269">
        <f>Tabella34[[#This Row],[t_alpha_t+plus]]</f>
        <v>12.436952985794321</v>
      </c>
      <c r="Y127" s="269">
        <f>Tabella34[[#This Row],[Italy h.t.]]/Italy_ht_at_lockdown</f>
        <v>0.22149438776703981</v>
      </c>
      <c r="Z127" s="91">
        <f>IFERROR(-Kf*_xlfn.LOGNORM.DIST((Tabella34[[#This Row],[Day]]-D_bk),mu_f,sigma_f,FALSE)*(1+(LN((Tabella34[[#This Row],[Day]]-D_bk))-mu_f)/sigma_f^2)/(Tabella34[[#This Row],[Day]]-D_bk),0)</f>
        <v>-95.713926881290234</v>
      </c>
      <c r="AA127" s="91">
        <f>Tabella34[[#This Row],[Italy acc. fit]]/Itali_acc_at_lockdown</f>
        <v>-0.39393812692696051</v>
      </c>
      <c r="AB127" s="96">
        <f>Tabella34[[#This Row],[Italy acc. fit]]/y_f_peak</f>
        <v>-1.8909774351509461E-2</v>
      </c>
      <c r="AC127" s="163">
        <f>Tabella34[[#This Row],[Italy (fitted Lombardy + fitted sum of the other regions)]]*NOT(ISBLANK(Tabella34[[#This Row],[Italy data]]))</f>
        <v>0</v>
      </c>
      <c r="AD127" s="163">
        <f>Tabella34[[#This Row],[Italy acc. fit]]*NOT(ISBLANK(Tabella34[[#This Row],[Italy data]]))</f>
        <v>0</v>
      </c>
      <c r="AE127" s="96">
        <f>Tabella34[[#This Row],[Italy acc. fit]]+CIf</f>
        <v>918.04907513902742</v>
      </c>
      <c r="AF127" s="96">
        <f>MAX(Tabella34[[#This Row],[Italy acc. fit]]-CIf,0)</f>
        <v>0</v>
      </c>
      <c r="AH127" s="10"/>
      <c r="AI127" s="10"/>
      <c r="AJ127" s="96">
        <f>Tabella34[[#This Row],[Lombardy data]]*NOT(ISBLANK(Tabella34[[#This Row],[Lombardy data]]))</f>
        <v>0</v>
      </c>
      <c r="AK127" s="96">
        <f>Tabella8[[#This Row],[Lombardy fit]]</f>
        <v>74822.758559943803</v>
      </c>
      <c r="AL127" s="163" t="e">
        <f>_xlfn.LOGNORM.INV(alpha*Tabella34[[#This Row],[Lombardy cumul. Fit]]/Kr,mu_r,sigma_r)-(Tabella34[[#This Row],[Day]]-pr)</f>
        <v>#NUM!</v>
      </c>
      <c r="AM127" s="96">
        <f>Tabella34[[#This Row],[Lombardy cumul. Fit]]/Kl</f>
        <v>0.86003170758556091</v>
      </c>
      <c r="AN127" s="96">
        <f>IFERROR(Kr*_xlfn.LOGNORM.DIST((Tabella34[[#This Row],[Day]]-pr),mu_r,sigma_r,FALSE),0)</f>
        <v>640.62435326623688</v>
      </c>
      <c r="AO127" s="209">
        <f>Tabella34[[#This Row],[Lombardy velocity]]/Tabella34[[#This Row],[Lombardy cumul. Fit]]</f>
        <v>8.5618916703399071E-3</v>
      </c>
      <c r="AP127" s="266">
        <f>(LN(Tabella34[[#This Row],[Day]]-pr)-mu_r)/sigma_r</f>
        <v>1.0804618086669848</v>
      </c>
      <c r="AQ127" s="269">
        <f>EXP(mu_r+sigma_r*Tabella34[[#This Row],[x_r_alpha©+plus]])-(Tabella34[[#This Row],[Day]]-pr)</f>
        <v>13.800435178739519</v>
      </c>
      <c r="AR127" s="269">
        <f>EXP(mu_r+sigma_r*Tabella34[[#This Row],[x_r_alpha©-minus]])-(Tabella34[[#This Row],[Day]]-pr)</f>
        <v>-59.576041882010891</v>
      </c>
      <c r="AS127" s="269">
        <f>-sigma_r+SQRT(sigma_r^2-2*Tabella34[[#This Row],[c_r]])</f>
        <v>1.5048965798214882</v>
      </c>
      <c r="AT127" s="269">
        <f>-sigma_r-SQRT(sigma_r^2-2*Tabella34[[#This Row],[c_r]])</f>
        <v>-2.1857511770152174</v>
      </c>
      <c r="AU127" s="269">
        <f>mu_r-LN(alpha*Kr/(Tabella34[[#This Row],[Lombardy velocity]]*sigma_r*SQRTPI(2)))</f>
        <v>-1.6446647353154962</v>
      </c>
      <c r="AV127" s="269">
        <f>Tabella34[[#This Row],[t_alpha_r+plus]]</f>
        <v>13.800435178739519</v>
      </c>
      <c r="AW127" s="91">
        <f>IFERROR(-Kl*_xlfn.LOGNORM.DIST((Tabella34[[#This Row],[Day]]-pl),mu_l,sigma_l,FALSE)*(1+(LN((Tabella34[[#This Row],[Day]]-pl))-mu_l)/sigma_l^2)/(Tabella34[[#This Row],[Day]]-pl),0)</f>
        <v>-30.118611673543604</v>
      </c>
      <c r="AX127" s="96">
        <f>Tabella34[[#This Row],[Lombardy acc. fit]]/y_l_peak</f>
        <v>-1.7132759779268539E-2</v>
      </c>
      <c r="AY127" s="163">
        <f>Tabella34[[#This Row],[Lombardy acc. fit]]*NOT(ISBLANK(Tabella34[[#This Row],[Lombardy data]]))</f>
        <v>0</v>
      </c>
      <c r="AZ127" s="96">
        <f>Tabella34[[#This Row],[Lombardy acc. fit]]+CIl</f>
        <v>718.83676013008005</v>
      </c>
      <c r="BA127" s="96">
        <f>MAX(Tabella34[[#This Row],[Lombardy acc. fit]]-CIl,0)</f>
        <v>0</v>
      </c>
      <c r="BC127" s="10"/>
      <c r="BD127" s="10"/>
      <c r="BE127" s="96">
        <f>Tabella34[[#This Row],[rest of Italy data]]*NOT(ISBLANK(Tabella34[[#This Row],[rest of Italy data]]))</f>
        <v>0</v>
      </c>
      <c r="BF127" s="96">
        <f>Tabella8[[#This Row],[rest of Italy fit]]</f>
        <v>128848.7987632664</v>
      </c>
      <c r="BG127" s="163" t="e">
        <f>_xlfn.LOGNORM.INV(alpha*Tabella34[[#This Row],[rest of Italy cumul. Fit]]/Ko,mu_o,sigma_o)-(Tabella34[[#This Row],[Day]]-po)</f>
        <v>#NUM!</v>
      </c>
      <c r="BH127" s="96">
        <f>Tabella34[[#This Row],[rest of Italy cumul. Fit]]/Ka</f>
        <v>0.87060009299155927</v>
      </c>
      <c r="BI127" s="163">
        <f>IFERROR(Ko*_xlfn.LOGNORM.DIST((Tabella34[[#This Row],[Day]]-po),mu_o,sigma_o,FALSE),0)</f>
        <v>1179.7840923022191</v>
      </c>
      <c r="BJ127" s="206">
        <f>Tabella34[[#This Row],[rest of Italy velocity]]/Tabella34[[#This Row],[rest of Italy cumul. Fit]]</f>
        <v>9.1563452948430941E-3</v>
      </c>
      <c r="BK127" s="261">
        <f>(LN(Tabella34[[#This Row],[Day]]-po)-mu_o)/sigma_o</f>
        <v>1.1292323886348115</v>
      </c>
      <c r="BL127" s="269">
        <f>EXP(mu_o+sigma_o*Tabella34[[#This Row],[x_o_alpha©+plus]])-(Tabella34[[#This Row],[Day]]-po)</f>
        <v>11.824648919903211</v>
      </c>
      <c r="BM127" s="269">
        <f>EXP(mu_o+sigma_o*Tabella34[[#This Row],[x_o_alpha©-minus]])-(Tabella34[[#This Row],[Day]]-po)</f>
        <v>-53.9755152168104</v>
      </c>
      <c r="BN127" s="269">
        <f>-sigma_o+SQRT(sigma_o^2-2*Tabella34[[#This Row],[c_o]])</f>
        <v>1.5469031135381912</v>
      </c>
      <c r="BO127" s="269">
        <f>-sigma_o-SQRT(sigma_o^2-2*Tabella34[[#This Row],[c_o]])</f>
        <v>-2.1898758908372176</v>
      </c>
      <c r="BP127" s="269">
        <f>mu_o-LN(alpha*Ko/(Tabella34[[#This Row],[rest of Italy velocity]]*sigma_o*SQRTPI(2)))</f>
        <v>-1.6937629168991561</v>
      </c>
      <c r="BQ127" s="269">
        <f>Tabella34[[#This Row],[t_alpha_o+plus]]</f>
        <v>11.824648919903211</v>
      </c>
      <c r="BR127" s="91">
        <f>IFERROR(-Ka*_xlfn.LOGNORM.DIST((Tabella34[[#This Row],[Day]]-pa),mu_a,sigma_a,FALSE)*(1+(LN((Tabella34[[#This Row],[Day]]-pa))-mu_a)/sigma_a^2)/(Tabella34[[#This Row],[Day]]-pa),0)</f>
        <v>-64.701642585725679</v>
      </c>
      <c r="BS127" s="96">
        <f>Tabella34[[#This Row],[rest of Italy acc. fit]]/y_a_peak</f>
        <v>-1.9147318015619537E-2</v>
      </c>
      <c r="BT127" s="96">
        <f>Tabella34[[#This Row],[rest of Italy acc. fit]]*NOT(ISBLANK(Tabella34[[#This Row],[rest of Italy data]]))</f>
        <v>0</v>
      </c>
      <c r="BU127" s="212"/>
      <c r="BV127" s="142"/>
    </row>
    <row r="128" spans="2:74" x14ac:dyDescent="0.3">
      <c r="B128" s="288">
        <v>43951</v>
      </c>
      <c r="C128" s="4">
        <v>121</v>
      </c>
      <c r="E128" s="10"/>
      <c r="F128" s="10"/>
      <c r="G128" s="96">
        <f>Tabella34[[#This Row],[Italy data]]*NOT(ISBLANK(Tabella34[[#This Row],[Italy data]]))</f>
        <v>0</v>
      </c>
      <c r="H128" s="163">
        <f>Tabella8[[#This Row],[Italy fit]]</f>
        <v>205439.21212223719</v>
      </c>
      <c r="I128" s="163" t="e">
        <f>_xlfn.LOGNORM.INV(alpha*Tabella34[[#This Row],[Italy cumul. Fit]]/Kt,mu_t,sigma_t)-(Tabella34[[#This Row],[Day]]-pt)</f>
        <v>#NUM!</v>
      </c>
      <c r="J128" s="163" t="e">
        <f>Tabella34[[#This Row],[Italy d.t.]]/Italy_dt_at_lockdown</f>
        <v>#NUM!</v>
      </c>
      <c r="K128" s="96">
        <f>Tabella34[[#This Row],[Italy cumul. Fit]]/Kf</f>
        <v>0.8742096518177318</v>
      </c>
      <c r="L128" s="166">
        <f>Tabella34[[#This Row],[Lombardy acc. fit]]+Tabella34[[#This Row],[rest of Italy acc. fit]]</f>
        <v>-91.122671673254814</v>
      </c>
      <c r="M128" s="96">
        <f>Tabella34[[#This Row],[Italy (fitted Lombardy + fitted sum of the other regions)]]/(y_l_peak+y_a_peak)</f>
        <v>-1.773814178730623E-2</v>
      </c>
      <c r="N128" s="163">
        <f>IFERROR(Kt*_xlfn.LOGNORM.DIST((Tabella34[[#This Row],[Day]]-pt),mu_t,sigma_t,FALSE),0)</f>
        <v>1753.3311973975901</v>
      </c>
      <c r="O128" s="163">
        <f>Kt*EXP(-0.5*Tabella34[[#This Row],[x_t]]^2)/(sigma_t*SQRTPI(2)*(Tabella34[[#This Row],[Day]]-D_bk))</f>
        <v>1753.3311973975906</v>
      </c>
      <c r="P128" s="206">
        <f>Tabella34[[#This Row],[Italy velocity]]/Tabella34[[#This Row],[Italy cumul. Fit]]</f>
        <v>8.5345498519257892E-3</v>
      </c>
      <c r="Q128" s="269">
        <f>(LN(Tabella34[[#This Row],[Day]]-D_bk)-mu_t)/sigma_t</f>
        <v>1.1465184531279871</v>
      </c>
      <c r="R128" s="269">
        <f>EXP(mu_t+sigma_t*Tabella34[[#This Row],[x_t_alpha©+plus]])-(Tabella34[[#This Row],[Day]]-D_bk)</f>
        <v>12.318267467580455</v>
      </c>
      <c r="S128" s="269">
        <f>EXP(mu_t+sigma_t*Tabella34[[#This Row],[x_t_alpha©-minus]])-(Tabella34[[#This Row],[Day]]-D_bk)</f>
        <v>-57.571304026416158</v>
      </c>
      <c r="T128" s="269">
        <f>-sigma_t+SQRT(sigma_t^2-2*Tabella34[[#This Row],[c_t]])</f>
        <v>1.5629810905631072</v>
      </c>
      <c r="U128" s="269">
        <f>-sigma_t-SQRT(sigma_t^2-2*Tabella34[[#This Row],[c_t]])</f>
        <v>-2.1822179964553445</v>
      </c>
      <c r="V128" s="269">
        <f>mu_t-LN(alpha*Kt/(Tabella34[[#This Row],[Italy velocity]]*sigma_t*SQRTPI(2)))</f>
        <v>-1.7053827319731063</v>
      </c>
      <c r="W128" s="269">
        <f>Tabella34[[#This Row],[Italy g.r.]]/Italy_gr_at_lockdown</f>
        <v>5.3963403917832831E-2</v>
      </c>
      <c r="X128" s="269">
        <f>Tabella34[[#This Row],[t_alpha_t+plus]]</f>
        <v>12.318267467580455</v>
      </c>
      <c r="Y128" s="269">
        <f>Tabella34[[#This Row],[Italy h.t.]]/Italy_ht_at_lockdown</f>
        <v>0.21938067259712474</v>
      </c>
      <c r="Z128" s="91">
        <f>IFERROR(-Kf*_xlfn.LOGNORM.DIST((Tabella34[[#This Row],[Day]]-D_bk),mu_f,sigma_f,FALSE)*(1+(LN((Tabella34[[#This Row],[Day]]-D_bk))-mu_f)/sigma_f^2)/(Tabella34[[#This Row],[Day]]-D_bk),0)</f>
        <v>-92.128364102779841</v>
      </c>
      <c r="AA128" s="91">
        <f>Tabella34[[#This Row],[Italy acc. fit]]/Itali_acc_at_lockdown</f>
        <v>-0.37918071459450797</v>
      </c>
      <c r="AB128" s="96">
        <f>Tabella34[[#This Row],[Italy acc. fit]]/y_f_peak</f>
        <v>-1.8201390678683094E-2</v>
      </c>
      <c r="AC128" s="163">
        <f>Tabella34[[#This Row],[Italy (fitted Lombardy + fitted sum of the other regions)]]*NOT(ISBLANK(Tabella34[[#This Row],[Italy data]]))</f>
        <v>0</v>
      </c>
      <c r="AD128" s="163">
        <f>Tabella34[[#This Row],[Italy acc. fit]]*NOT(ISBLANK(Tabella34[[#This Row],[Italy data]]))</f>
        <v>0</v>
      </c>
      <c r="AE128" s="96">
        <f>Tabella34[[#This Row],[Italy acc. fit]]+CIf</f>
        <v>921.63463791753782</v>
      </c>
      <c r="AF128" s="96">
        <f>MAX(Tabella34[[#This Row],[Italy acc. fit]]-CIf,0)</f>
        <v>0</v>
      </c>
      <c r="AH128" s="10"/>
      <c r="AI128" s="10"/>
      <c r="AJ128" s="96">
        <f>Tabella34[[#This Row],[Lombardy data]]*NOT(ISBLANK(Tabella34[[#This Row],[Lombardy data]]))</f>
        <v>0</v>
      </c>
      <c r="AK128" s="96">
        <f>Tabella8[[#This Row],[Lombardy fit]]</f>
        <v>75448.499241512851</v>
      </c>
      <c r="AL128" s="163" t="e">
        <f>_xlfn.LOGNORM.INV(alpha*Tabella34[[#This Row],[Lombardy cumul. Fit]]/Kr,mu_r,sigma_r)-(Tabella34[[#This Row],[Day]]-pr)</f>
        <v>#NUM!</v>
      </c>
      <c r="AM128" s="96">
        <f>Tabella34[[#This Row],[Lombardy cumul. Fit]]/Kl</f>
        <v>0.86722412921279135</v>
      </c>
      <c r="AN128" s="96">
        <f>IFERROR(Kr*_xlfn.LOGNORM.DIST((Tabella34[[#This Row],[Day]]-pr),mu_r,sigma_r,FALSE),0)</f>
        <v>611.03258957880848</v>
      </c>
      <c r="AO128" s="209">
        <f>Tabella34[[#This Row],[Lombardy velocity]]/Tabella34[[#This Row],[Lombardy cumul. Fit]]</f>
        <v>8.0986712223774706E-3</v>
      </c>
      <c r="AP128" s="266">
        <f>(LN(Tabella34[[#This Row],[Day]]-pr)-mu_r)/sigma_r</f>
        <v>1.1133649042385139</v>
      </c>
      <c r="AQ128" s="269">
        <f>EXP(mu_r+sigma_r*Tabella34[[#This Row],[x_r_alpha©+plus]])-(Tabella34[[#This Row],[Day]]-pr)</f>
        <v>13.693126752196051</v>
      </c>
      <c r="AR128" s="269">
        <f>EXP(mu_r+sigma_r*Tabella34[[#This Row],[x_r_alpha©-minus]])-(Tabella34[[#This Row],[Day]]-pr)</f>
        <v>-60.827978866998151</v>
      </c>
      <c r="AS128" s="269">
        <f>-sigma_r+SQRT(sigma_r^2-2*Tabella34[[#This Row],[c_r]])</f>
        <v>1.5303495801743137</v>
      </c>
      <c r="AT128" s="269">
        <f>-sigma_r-SQRT(sigma_r^2-2*Tabella34[[#This Row],[c_r]])</f>
        <v>-2.2112041773680429</v>
      </c>
      <c r="AU128" s="269">
        <f>mu_r-LN(alpha*Kr/(Tabella34[[#This Row],[Lombardy velocity]]*sigma_r*SQRTPI(2)))</f>
        <v>-1.6919576922574366</v>
      </c>
      <c r="AV128" s="269">
        <f>Tabella34[[#This Row],[t_alpha_r+plus]]</f>
        <v>13.693126752196051</v>
      </c>
      <c r="AW128" s="91">
        <f>IFERROR(-Kl*_xlfn.LOGNORM.DIST((Tabella34[[#This Row],[Day]]-pl),mu_l,sigma_l,FALSE)*(1+(LN((Tabella34[[#This Row],[Day]]-pl))-mu_l)/sigma_l^2)/(Tabella34[[#This Row],[Day]]-pl),0)</f>
        <v>-29.065208857820355</v>
      </c>
      <c r="AX128" s="96">
        <f>Tabella34[[#This Row],[Lombardy acc. fit]]/y_l_peak</f>
        <v>-1.6533539018756371E-2</v>
      </c>
      <c r="AY128" s="163">
        <f>Tabella34[[#This Row],[Lombardy acc. fit]]*NOT(ISBLANK(Tabella34[[#This Row],[Lombardy data]]))</f>
        <v>0</v>
      </c>
      <c r="AZ128" s="96">
        <f>Tabella34[[#This Row],[Lombardy acc. fit]]+CIl</f>
        <v>719.89016294580324</v>
      </c>
      <c r="BA128" s="96">
        <f>MAX(Tabella34[[#This Row],[Lombardy acc. fit]]-CIl,0)</f>
        <v>0</v>
      </c>
      <c r="BC128" s="10"/>
      <c r="BD128" s="10"/>
      <c r="BE128" s="96">
        <f>Tabella34[[#This Row],[rest of Italy data]]*NOT(ISBLANK(Tabella34[[#This Row],[rest of Italy data]]))</f>
        <v>0</v>
      </c>
      <c r="BF128" s="96">
        <f>Tabella8[[#This Row],[rest of Italy fit]]</f>
        <v>129996.67318453532</v>
      </c>
      <c r="BG128" s="163" t="e">
        <f>_xlfn.LOGNORM.INV(alpha*Tabella34[[#This Row],[rest of Italy cumul. Fit]]/Ko,mu_o,sigma_o)-(Tabella34[[#This Row],[Day]]-po)</f>
        <v>#NUM!</v>
      </c>
      <c r="BH128" s="96">
        <f>Tabella34[[#This Row],[rest of Italy cumul. Fit]]/Ka</f>
        <v>0.87835600214625331</v>
      </c>
      <c r="BI128" s="163">
        <f>IFERROR(Ko*_xlfn.LOGNORM.DIST((Tabella34[[#This Row],[Day]]-po),mu_o,sigma_o,FALSE),0)</f>
        <v>1116.4054854142355</v>
      </c>
      <c r="BJ128" s="206">
        <f>Tabella34[[#This Row],[rest of Italy velocity]]/Tabella34[[#This Row],[rest of Italy cumul. Fit]]</f>
        <v>8.5879542765640981E-3</v>
      </c>
      <c r="BK128" s="261">
        <f>(LN(Tabella34[[#This Row],[Day]]-po)-mu_o)/sigma_o</f>
        <v>1.1668078015836429</v>
      </c>
      <c r="BL128" s="269">
        <f>EXP(mu_o+sigma_o*Tabella34[[#This Row],[x_o_alpha©+plus]])-(Tabella34[[#This Row],[Day]]-po)</f>
        <v>11.715997064634237</v>
      </c>
      <c r="BM128" s="269">
        <f>EXP(mu_o+sigma_o*Tabella34[[#This Row],[x_o_alpha©-minus]])-(Tabella34[[#This Row],[Day]]-po)</f>
        <v>-55.241113366284821</v>
      </c>
      <c r="BN128" s="269">
        <f>-sigma_o+SQRT(sigma_o^2-2*Tabella34[[#This Row],[c_o]])</f>
        <v>1.5762264341457737</v>
      </c>
      <c r="BO128" s="269">
        <f>-sigma_o-SQRT(sigma_o^2-2*Tabella34[[#This Row],[c_o]])</f>
        <v>-2.2191992114447996</v>
      </c>
      <c r="BP128" s="269">
        <f>mu_o-LN(alpha*Ko/(Tabella34[[#This Row],[rest of Italy velocity]]*sigma_o*SQRTPI(2)))</f>
        <v>-1.7489802298573744</v>
      </c>
      <c r="BQ128" s="269">
        <f>Tabella34[[#This Row],[t_alpha_o+plus]]</f>
        <v>11.715997064634237</v>
      </c>
      <c r="BR128" s="91">
        <f>IFERROR(-Ka*_xlfn.LOGNORM.DIST((Tabella34[[#This Row],[Day]]-pa),mu_a,sigma_a,FALSE)*(1+(LN((Tabella34[[#This Row],[Day]]-pa))-mu_a)/sigma_a^2)/(Tabella34[[#This Row],[Day]]-pa),0)</f>
        <v>-62.057462815434455</v>
      </c>
      <c r="BS128" s="96">
        <f>Tabella34[[#This Row],[rest of Italy acc. fit]]/y_a_peak</f>
        <v>-1.8364819319621927E-2</v>
      </c>
      <c r="BT128" s="96">
        <f>Tabella34[[#This Row],[rest of Italy acc. fit]]*NOT(ISBLANK(Tabella34[[#This Row],[rest of Italy data]]))</f>
        <v>0</v>
      </c>
      <c r="BU128" s="212"/>
      <c r="BV128" s="142"/>
    </row>
    <row r="129" spans="2:74" x14ac:dyDescent="0.3">
      <c r="B129" s="288">
        <v>43952</v>
      </c>
      <c r="C129" s="4">
        <v>122</v>
      </c>
      <c r="E129" s="10"/>
      <c r="F129" s="10"/>
      <c r="G129" s="96">
        <f>Tabella34[[#This Row],[Italy data]]*NOT(ISBLANK(Tabella34[[#This Row],[Italy data]]))</f>
        <v>0</v>
      </c>
      <c r="H129" s="163">
        <f>Tabella8[[#This Row],[Italy fit]]</f>
        <v>207147.07670611676</v>
      </c>
      <c r="I129" s="163" t="e">
        <f>_xlfn.LOGNORM.INV(alpha*Tabella34[[#This Row],[Italy cumul. Fit]]/Kt,mu_t,sigma_t)-(Tabella34[[#This Row],[Day]]-pt)</f>
        <v>#NUM!</v>
      </c>
      <c r="J129" s="163" t="e">
        <f>Tabella34[[#This Row],[Italy d.t.]]/Italy_dt_at_lockdown</f>
        <v>#NUM!</v>
      </c>
      <c r="K129" s="96">
        <f>Tabella34[[#This Row],[Italy cumul. Fit]]/Kf</f>
        <v>0.88147716266827392</v>
      </c>
      <c r="L129" s="166">
        <f>Tabella34[[#This Row],[Lombardy acc. fit]]+Tabella34[[#This Row],[rest of Italy acc. fit]]</f>
        <v>-87.446963077405442</v>
      </c>
      <c r="M129" s="96">
        <f>Tabella34[[#This Row],[Italy (fitted Lombardy + fitted sum of the other regions)]]/(y_l_peak+y_a_peak)</f>
        <v>-1.7022620182805984E-2</v>
      </c>
      <c r="N129" s="163">
        <f>IFERROR(Kt*_xlfn.LOGNORM.DIST((Tabella34[[#This Row],[Day]]-pt),mu_t,sigma_t,FALSE),0)</f>
        <v>1662.9951091767732</v>
      </c>
      <c r="O129" s="163">
        <f>Kt*EXP(-0.5*Tabella34[[#This Row],[x_t]]^2)/(sigma_t*SQRTPI(2)*(Tabella34[[#This Row],[Day]]-D_bk))</f>
        <v>1662.9951091767739</v>
      </c>
      <c r="P129" s="206">
        <f>Tabella34[[#This Row],[Italy velocity]]/Tabella34[[#This Row],[Italy cumul. Fit]]</f>
        <v>8.0280887165793506E-3</v>
      </c>
      <c r="Q129" s="269">
        <f>(LN(Tabella34[[#This Row],[Day]]-D_bk)-mu_t)/sigma_t</f>
        <v>1.1824034002715813</v>
      </c>
      <c r="R129" s="269">
        <f>EXP(mu_t+sigma_t*Tabella34[[#This Row],[x_t_alpha©+plus]])-(Tabella34[[#This Row],[Day]]-D_bk)</f>
        <v>12.206053312218387</v>
      </c>
      <c r="S129" s="269">
        <f>EXP(mu_t+sigma_t*Tabella34[[#This Row],[x_t_alpha©-minus]])-(Tabella34[[#This Row],[Day]]-D_bk)</f>
        <v>-58.847322191139817</v>
      </c>
      <c r="T129" s="269">
        <f>-sigma_t+SQRT(sigma_t^2-2*Tabella34[[#This Row],[c_t]])</f>
        <v>1.5910192220459014</v>
      </c>
      <c r="U129" s="269">
        <f>-sigma_t-SQRT(sigma_t^2-2*Tabella34[[#This Row],[c_t]])</f>
        <v>-2.2102561279381385</v>
      </c>
      <c r="V129" s="269">
        <f>mu_t-LN(alpha*Kt/(Tabella34[[#This Row],[Italy velocity]]*sigma_t*SQRTPI(2)))</f>
        <v>-1.7582799925971617</v>
      </c>
      <c r="W129" s="269">
        <f>Tabella34[[#This Row],[Italy g.r.]]/Italy_gr_at_lockdown</f>
        <v>5.0761083081987332E-2</v>
      </c>
      <c r="X129" s="269">
        <f>Tabella34[[#This Row],[t_alpha_t+plus]]</f>
        <v>12.206053312218387</v>
      </c>
      <c r="Y129" s="269">
        <f>Tabella34[[#This Row],[Italy h.t.]]/Italy_ht_at_lockdown</f>
        <v>0.21738220836966432</v>
      </c>
      <c r="Z129" s="91">
        <f>IFERROR(-Kf*_xlfn.LOGNORM.DIST((Tabella34[[#This Row],[Day]]-D_bk),mu_f,sigma_f,FALSE)*(1+(LN((Tabella34[[#This Row],[Day]]-D_bk))-mu_f)/sigma_f^2)/(Tabella34[[#This Row],[Day]]-D_bk),0)</f>
        <v>-88.545818257929326</v>
      </c>
      <c r="AA129" s="91">
        <f>Tabella34[[#This Row],[Italy acc. fit]]/Itali_acc_at_lockdown</f>
        <v>-0.36443571931810737</v>
      </c>
      <c r="AB129" s="96">
        <f>Tabella34[[#This Row],[Italy acc. fit]]/y_f_peak</f>
        <v>-1.7493603048006501E-2</v>
      </c>
      <c r="AC129" s="163">
        <f>Tabella34[[#This Row],[Italy (fitted Lombardy + fitted sum of the other regions)]]*NOT(ISBLANK(Tabella34[[#This Row],[Italy data]]))</f>
        <v>0</v>
      </c>
      <c r="AD129" s="163">
        <f>Tabella34[[#This Row],[Italy acc. fit]]*NOT(ISBLANK(Tabella34[[#This Row],[Italy data]]))</f>
        <v>0</v>
      </c>
      <c r="AE129" s="96">
        <f>Tabella34[[#This Row],[Italy acc. fit]]+CIf</f>
        <v>925.21718376238834</v>
      </c>
      <c r="AF129" s="96">
        <f>MAX(Tabella34[[#This Row],[Italy acc. fit]]-CIf,0)</f>
        <v>0</v>
      </c>
      <c r="AH129" s="10"/>
      <c r="AI129" s="10"/>
      <c r="AJ129" s="96">
        <f>Tabella34[[#This Row],[Lombardy data]]*NOT(ISBLANK(Tabella34[[#This Row],[Lombardy data]]))</f>
        <v>0</v>
      </c>
      <c r="AK129" s="96">
        <f>Tabella8[[#This Row],[Lombardy fit]]</f>
        <v>76045.1743849841</v>
      </c>
      <c r="AL129" s="163" t="e">
        <f>_xlfn.LOGNORM.INV(alpha*Tabella34[[#This Row],[Lombardy cumul. Fit]]/Kr,mu_r,sigma_r)-(Tabella34[[#This Row],[Day]]-pr)</f>
        <v>#NUM!</v>
      </c>
      <c r="AM129" s="96">
        <f>Tabella34[[#This Row],[Lombardy cumul. Fit]]/Kl</f>
        <v>0.87408246419521951</v>
      </c>
      <c r="AN129" s="96">
        <f>IFERROR(Kr*_xlfn.LOGNORM.DIST((Tabella34[[#This Row],[Day]]-pr),mu_r,sigma_r,FALSE),0)</f>
        <v>582.49262148530897</v>
      </c>
      <c r="AO129" s="209">
        <f>Tabella34[[#This Row],[Lombardy velocity]]/Tabella34[[#This Row],[Lombardy cumul. Fit]]</f>
        <v>7.6598236008559688E-3</v>
      </c>
      <c r="AP129" s="266">
        <f>(LN(Tabella34[[#This Row],[Day]]-pr)-mu_r)/sigma_r</f>
        <v>1.1459035272824514</v>
      </c>
      <c r="AQ129" s="269">
        <f>EXP(mu_r+sigma_r*Tabella34[[#This Row],[x_r_alpha©+plus]])-(Tabella34[[#This Row],[Day]]-pr)</f>
        <v>13.591581426473411</v>
      </c>
      <c r="AR129" s="269">
        <f>EXP(mu_r+sigma_r*Tabella34[[#This Row],[x_r_alpha©-minus]])-(Tabella34[[#This Row],[Day]]-pr)</f>
        <v>-62.077190767510785</v>
      </c>
      <c r="AS129" s="269">
        <f>-sigma_r+SQRT(sigma_r^2-2*Tabella34[[#This Row],[c_r]])</f>
        <v>1.5557461336289382</v>
      </c>
      <c r="AT129" s="269">
        <f>-sigma_r-SQRT(sigma_r^2-2*Tabella34[[#This Row],[c_r]])</f>
        <v>-2.2366007308226674</v>
      </c>
      <c r="AU129" s="269">
        <f>mu_r-LN(alpha*Kr/(Tabella34[[#This Row],[Lombardy velocity]]*sigma_r*SQRTPI(2)))</f>
        <v>-1.7397914697245112</v>
      </c>
      <c r="AV129" s="269">
        <f>Tabella34[[#This Row],[t_alpha_r+plus]]</f>
        <v>13.591581426473411</v>
      </c>
      <c r="AW129" s="91">
        <f>IFERROR(-Kl*_xlfn.LOGNORM.DIST((Tabella34[[#This Row],[Day]]-pl),mu_l,sigma_l,FALSE)*(1+(LN((Tabella34[[#This Row],[Day]]-pl))-mu_l)/sigma_l^2)/(Tabella34[[#This Row],[Day]]-pl),0)</f>
        <v>-28.015730870524134</v>
      </c>
      <c r="AX129" s="96">
        <f>Tabella34[[#This Row],[Lombardy acc. fit]]/y_l_peak</f>
        <v>-1.5936550869207283E-2</v>
      </c>
      <c r="AY129" s="163">
        <f>Tabella34[[#This Row],[Lombardy acc. fit]]*NOT(ISBLANK(Tabella34[[#This Row],[Lombardy data]]))</f>
        <v>0</v>
      </c>
      <c r="AZ129" s="96">
        <f>Tabella34[[#This Row],[Lombardy acc. fit]]+CIl</f>
        <v>720.93964093309944</v>
      </c>
      <c r="BA129" s="96">
        <f>MAX(Tabella34[[#This Row],[Lombardy acc. fit]]-CIl,0)</f>
        <v>0</v>
      </c>
      <c r="BC129" s="10"/>
      <c r="BD129" s="10"/>
      <c r="BE129" s="96">
        <f>Tabella34[[#This Row],[rest of Italy data]]*NOT(ISBLANK(Tabella34[[#This Row],[rest of Italy data]]))</f>
        <v>0</v>
      </c>
      <c r="BF129" s="96">
        <f>Tabella8[[#This Row],[rest of Italy fit]]</f>
        <v>131082.48863962723</v>
      </c>
      <c r="BG129" s="163" t="e">
        <f>_xlfn.LOGNORM.INV(alpha*Tabella34[[#This Row],[rest of Italy cumul. Fit]]/Ko,mu_o,sigma_o)-(Tabella34[[#This Row],[Day]]-po)</f>
        <v>#NUM!</v>
      </c>
      <c r="BH129" s="96">
        <f>Tabella34[[#This Row],[rest of Italy cumul. Fit]]/Ka</f>
        <v>0.88569259391310018</v>
      </c>
      <c r="BI129" s="163">
        <f>IFERROR(Ko*_xlfn.LOGNORM.DIST((Tabella34[[#This Row],[Day]]-po),mu_o,sigma_o,FALSE),0)</f>
        <v>1055.6631633557765</v>
      </c>
      <c r="BJ129" s="206">
        <f>Tabella34[[#This Row],[rest of Italy velocity]]/Tabella34[[#This Row],[rest of Italy cumul. Fit]]</f>
        <v>8.053426314311227E-3</v>
      </c>
      <c r="BK129" s="261">
        <f>(LN(Tabella34[[#This Row],[Day]]-po)-mu_o)/sigma_o</f>
        <v>1.2039347166111698</v>
      </c>
      <c r="BL129" s="269">
        <f>EXP(mu_o+sigma_o*Tabella34[[#This Row],[x_o_alpha©+plus]])-(Tabella34[[#This Row],[Day]]-po)</f>
        <v>11.613672776385826</v>
      </c>
      <c r="BM129" s="269">
        <f>EXP(mu_o+sigma_o*Tabella34[[#This Row],[x_o_alpha©-minus]])-(Tabella34[[#This Row],[Day]]-po)</f>
        <v>-56.503606835347952</v>
      </c>
      <c r="BN129" s="269">
        <f>-sigma_o+SQRT(sigma_o^2-2*Tabella34[[#This Row],[c_o]])</f>
        <v>1.6054811537586655</v>
      </c>
      <c r="BO129" s="269">
        <f>-sigma_o-SQRT(sigma_o^2-2*Tabella34[[#This Row],[c_o]])</f>
        <v>-2.2484539310576914</v>
      </c>
      <c r="BP129" s="269">
        <f>mu_o-LN(alpha*Ko/(Tabella34[[#This Row],[rest of Italy velocity]]*sigma_o*SQRTPI(2)))</f>
        <v>-1.8049252057038547</v>
      </c>
      <c r="BQ129" s="269">
        <f>Tabella34[[#This Row],[t_alpha_o+plus]]</f>
        <v>11.613672776385826</v>
      </c>
      <c r="BR129" s="91">
        <f>IFERROR(-Ka*_xlfn.LOGNORM.DIST((Tabella34[[#This Row],[Day]]-pa),mu_a,sigma_a,FALSE)*(1+(LN((Tabella34[[#This Row],[Day]]-pa))-mu_a)/sigma_a^2)/(Tabella34[[#This Row],[Day]]-pa),0)</f>
        <v>-59.431232206881305</v>
      </c>
      <c r="BS129" s="96">
        <f>Tabella34[[#This Row],[rest of Italy acc. fit]]/y_a_peak</f>
        <v>-1.7587632363700423E-2</v>
      </c>
      <c r="BT129" s="96">
        <f>Tabella34[[#This Row],[rest of Italy acc. fit]]*NOT(ISBLANK(Tabella34[[#This Row],[rest of Italy data]]))</f>
        <v>0</v>
      </c>
      <c r="BU129" s="212"/>
      <c r="BV129" s="142"/>
    </row>
    <row r="130" spans="2:74" x14ac:dyDescent="0.3">
      <c r="B130" s="288">
        <v>43953</v>
      </c>
      <c r="C130" s="4">
        <v>123</v>
      </c>
      <c r="E130" s="10"/>
      <c r="F130" s="10"/>
      <c r="G130" s="96">
        <f>Tabella34[[#This Row],[Italy data]]*NOT(ISBLANK(Tabella34[[#This Row],[Italy data]]))</f>
        <v>0</v>
      </c>
      <c r="H130" s="163">
        <f>Tabella8[[#This Row],[Italy fit]]</f>
        <v>208766.39377502905</v>
      </c>
      <c r="I130" s="163" t="e">
        <f>_xlfn.LOGNORM.INV(alpha*Tabella34[[#This Row],[Italy cumul. Fit]]/Kt,mu_t,sigma_t)-(Tabella34[[#This Row],[Day]]-pt)</f>
        <v>#NUM!</v>
      </c>
      <c r="J130" s="163" t="e">
        <f>Tabella34[[#This Row],[Italy d.t.]]/Italy_dt_at_lockdown</f>
        <v>#NUM!</v>
      </c>
      <c r="K130" s="96">
        <f>Tabella34[[#This Row],[Italy cumul. Fit]]/Kf</f>
        <v>0.88836787547997431</v>
      </c>
      <c r="L130" s="166">
        <f>Tabella34[[#This Row],[Lombardy acc. fit]]+Tabella34[[#This Row],[rest of Italy acc. fit]]</f>
        <v>-83.80920621917862</v>
      </c>
      <c r="M130" s="96">
        <f>Tabella34[[#This Row],[Italy (fitted Lombardy + fitted sum of the other regions)]]/(y_l_peak+y_a_peak)</f>
        <v>-1.6314486347898768E-2</v>
      </c>
      <c r="N130" s="163">
        <f>IFERROR(Kt*_xlfn.LOGNORM.DIST((Tabella34[[#This Row],[Day]]-pt),mu_t,sigma_t,FALSE),0)</f>
        <v>1576.2327857486753</v>
      </c>
      <c r="O130" s="163">
        <f>Kt*EXP(-0.5*Tabella34[[#This Row],[x_t]]^2)/(sigma_t*SQRTPI(2)*(Tabella34[[#This Row],[Day]]-D_bk))</f>
        <v>1576.232785748676</v>
      </c>
      <c r="P130" s="206">
        <f>Tabella34[[#This Row],[Italy velocity]]/Tabella34[[#This Row],[Italy cumul. Fit]]</f>
        <v>7.5502227980584653E-3</v>
      </c>
      <c r="Q130" s="269">
        <f>(LN(Tabella34[[#This Row],[Day]]-D_bk)-mu_t)/sigma_t</f>
        <v>1.217894019841288</v>
      </c>
      <c r="R130" s="269">
        <f>EXP(mu_t+sigma_t*Tabella34[[#This Row],[x_t_alpha©+plus]])-(Tabella34[[#This Row],[Day]]-D_bk)</f>
        <v>12.099902710965551</v>
      </c>
      <c r="S130" s="269">
        <f>EXP(mu_t+sigma_t*Tabella34[[#This Row],[x_t_alpha©-minus]])-(Tabella34[[#This Row],[Day]]-D_bk)</f>
        <v>-60.120446592321343</v>
      </c>
      <c r="T130" s="269">
        <f>-sigma_t+SQRT(sigma_t^2-2*Tabella34[[#This Row],[c_t]])</f>
        <v>1.6190050758020376</v>
      </c>
      <c r="U130" s="269">
        <f>-sigma_t-SQRT(sigma_t^2-2*Tabella34[[#This Row],[c_t]])</f>
        <v>-2.2382419816942747</v>
      </c>
      <c r="V130" s="269">
        <f>mu_t-LN(alpha*Kt/(Tabella34[[#This Row],[Italy velocity]]*sigma_t*SQRTPI(2)))</f>
        <v>-1.8118625646181208</v>
      </c>
      <c r="W130" s="269">
        <f>Tabella34[[#This Row],[Italy g.r.]]/Italy_gr_at_lockdown</f>
        <v>4.7739567943272672E-2</v>
      </c>
      <c r="X130" s="269">
        <f>Tabella34[[#This Row],[t_alpha_t+plus]]</f>
        <v>12.099902710965551</v>
      </c>
      <c r="Y130" s="269">
        <f>Tabella34[[#This Row],[Italy h.t.]]/Italy_ht_at_lockdown</f>
        <v>0.21549173226490978</v>
      </c>
      <c r="Z130" s="91">
        <f>IFERROR(-Kf*_xlfn.LOGNORM.DIST((Tabella34[[#This Row],[Day]]-D_bk),mu_f,sigma_f,FALSE)*(1+(LN((Tabella34[[#This Row],[Day]]-D_bk))-mu_f)/sigma_f^2)/(Tabella34[[#This Row],[Day]]-D_bk),0)</f>
        <v>-84.983527589338237</v>
      </c>
      <c r="AA130" s="91">
        <f>Tabella34[[#This Row],[Italy acc. fit]]/Itali_acc_at_lockdown</f>
        <v>-0.34977409003092286</v>
      </c>
      <c r="AB130" s="96">
        <f>Tabella34[[#This Row],[Italy acc. fit]]/y_f_peak</f>
        <v>-1.6789817142313888E-2</v>
      </c>
      <c r="AC130" s="163">
        <f>Tabella34[[#This Row],[Italy (fitted Lombardy + fitted sum of the other regions)]]*NOT(ISBLANK(Tabella34[[#This Row],[Italy data]]))</f>
        <v>0</v>
      </c>
      <c r="AD130" s="163">
        <f>Tabella34[[#This Row],[Italy acc. fit]]*NOT(ISBLANK(Tabella34[[#This Row],[Italy data]]))</f>
        <v>0</v>
      </c>
      <c r="AE130" s="96">
        <f>Tabella34[[#This Row],[Italy acc. fit]]+CIf</f>
        <v>928.77947443097946</v>
      </c>
      <c r="AF130" s="96">
        <f>MAX(Tabella34[[#This Row],[Italy acc. fit]]-CIf,0)</f>
        <v>0</v>
      </c>
      <c r="AH130" s="10"/>
      <c r="AI130" s="10"/>
      <c r="AJ130" s="96">
        <f>Tabella34[[#This Row],[Lombardy data]]*NOT(ISBLANK(Tabella34[[#This Row],[Lombardy data]]))</f>
        <v>0</v>
      </c>
      <c r="AK130" s="96">
        <f>Tabella8[[#This Row],[Lombardy fit]]</f>
        <v>76613.833134465094</v>
      </c>
      <c r="AL130" s="163" t="e">
        <f>_xlfn.LOGNORM.INV(alpha*Tabella34[[#This Row],[Lombardy cumul. Fit]]/Kr,mu_r,sigma_r)-(Tabella34[[#This Row],[Day]]-pr)</f>
        <v>#NUM!</v>
      </c>
      <c r="AM130" s="96">
        <f>Tabella34[[#This Row],[Lombardy cumul. Fit]]/Kl</f>
        <v>0.88061877166051827</v>
      </c>
      <c r="AN130" s="96">
        <f>IFERROR(Kr*_xlfn.LOGNORM.DIST((Tabella34[[#This Row],[Day]]-pr),mu_r,sigma_r,FALSE),0)</f>
        <v>554.99847805544789</v>
      </c>
      <c r="AO130" s="209">
        <f>Tabella34[[#This Row],[Lombardy velocity]]/Tabella34[[#This Row],[Lombardy cumul. Fit]]</f>
        <v>7.2441027337891966E-3</v>
      </c>
      <c r="AP130" s="266">
        <f>(LN(Tabella34[[#This Row],[Day]]-pr)-mu_r)/sigma_r</f>
        <v>1.1780856640484496</v>
      </c>
      <c r="AQ130" s="269">
        <f>EXP(mu_r+sigma_r*Tabella34[[#This Row],[x_r_alpha©+plus]])-(Tabella34[[#This Row],[Day]]-pr)</f>
        <v>13.495457390627209</v>
      </c>
      <c r="AR130" s="269">
        <f>EXP(mu_r+sigma_r*Tabella34[[#This Row],[x_r_alpha©-minus]])-(Tabella34[[#This Row],[Day]]-pr)</f>
        <v>-63.323614039097741</v>
      </c>
      <c r="AS130" s="269">
        <f>-sigma_r+SQRT(sigma_r^2-2*Tabella34[[#This Row],[c_r]])</f>
        <v>1.5810762738280584</v>
      </c>
      <c r="AT130" s="269">
        <f>-sigma_r-SQRT(sigma_r^2-2*Tabella34[[#This Row],[c_r]])</f>
        <v>-2.2619308710217876</v>
      </c>
      <c r="AU130" s="269">
        <f>mu_r-LN(alpha*Kr/(Tabella34[[#This Row],[Lombardy velocity]]*sigma_r*SQRTPI(2)))</f>
        <v>-1.7881426166058914</v>
      </c>
      <c r="AV130" s="269">
        <f>Tabella34[[#This Row],[t_alpha_r+plus]]</f>
        <v>13.495457390627209</v>
      </c>
      <c r="AW130" s="91">
        <f>IFERROR(-Kl*_xlfn.LOGNORM.DIST((Tabella34[[#This Row],[Day]]-pl),mu_l,sigma_l,FALSE)*(1+(LN((Tabella34[[#This Row],[Day]]-pl))-mu_l)/sigma_l^2)/(Tabella34[[#This Row],[Day]]-pl),0)</f>
        <v>-26.974186049477773</v>
      </c>
      <c r="AX130" s="96">
        <f>Tabella34[[#This Row],[Lombardy acc. fit]]/y_l_peak</f>
        <v>-1.534407544531504E-2</v>
      </c>
      <c r="AY130" s="163">
        <f>Tabella34[[#This Row],[Lombardy acc. fit]]*NOT(ISBLANK(Tabella34[[#This Row],[Lombardy data]]))</f>
        <v>0</v>
      </c>
      <c r="AZ130" s="96">
        <f>Tabella34[[#This Row],[Lombardy acc. fit]]+CIl</f>
        <v>721.98118575414583</v>
      </c>
      <c r="BA130" s="96">
        <f>MAX(Tabella34[[#This Row],[Lombardy acc. fit]]-CIl,0)</f>
        <v>0</v>
      </c>
      <c r="BC130" s="10"/>
      <c r="BD130" s="10"/>
      <c r="BE130" s="96">
        <f>Tabella34[[#This Row],[rest of Italy data]]*NOT(ISBLANK(Tabella34[[#This Row],[rest of Italy data]]))</f>
        <v>0</v>
      </c>
      <c r="BF130" s="96">
        <f>Tabella8[[#This Row],[rest of Italy fit]]</f>
        <v>132108.87035394527</v>
      </c>
      <c r="BG130" s="163" t="e">
        <f>_xlfn.LOGNORM.INV(alpha*Tabella34[[#This Row],[rest of Italy cumul. Fit]]/Ko,mu_o,sigma_o)-(Tabella34[[#This Row],[Day]]-po)</f>
        <v>#NUM!</v>
      </c>
      <c r="BH130" s="96">
        <f>Tabella34[[#This Row],[rest of Italy cumul. Fit]]/Ka</f>
        <v>0.89262760630364535</v>
      </c>
      <c r="BI130" s="163">
        <f>IFERROR(Ko*_xlfn.LOGNORM.DIST((Tabella34[[#This Row],[Day]]-po),mu_o,sigma_o,FALSE),0)</f>
        <v>997.53299609153396</v>
      </c>
      <c r="BJ130" s="206">
        <f>Tabella34[[#This Row],[rest of Italy velocity]]/Tabella34[[#This Row],[rest of Italy cumul. Fit]]</f>
        <v>7.5508404047279314E-3</v>
      </c>
      <c r="BK130" s="261">
        <f>(LN(Tabella34[[#This Row],[Day]]-po)-mu_o)/sigma_o</f>
        <v>1.2406237140450254</v>
      </c>
      <c r="BL130" s="269">
        <f>EXP(mu_o+sigma_o*Tabella34[[#This Row],[x_o_alpha©+plus]])-(Tabella34[[#This Row],[Day]]-po)</f>
        <v>11.517260072950521</v>
      </c>
      <c r="BM130" s="269">
        <f>EXP(mu_o+sigma_o*Tabella34[[#This Row],[x_o_alpha©-minus]])-(Tabella34[[#This Row],[Day]]-po)</f>
        <v>-57.762912261236984</v>
      </c>
      <c r="BN130" s="269">
        <f>-sigma_o+SQRT(sigma_o^2-2*Tabella34[[#This Row],[c_o]])</f>
        <v>1.6346532623110801</v>
      </c>
      <c r="BO130" s="269">
        <f>-sigma_o-SQRT(sigma_o^2-2*Tabella34[[#This Row],[c_o]])</f>
        <v>-2.277626039610106</v>
      </c>
      <c r="BP130" s="269">
        <f>mu_o-LN(alpha*Ko/(Tabella34[[#This Row],[rest of Italy velocity]]*sigma_o*SQRTPI(2)))</f>
        <v>-1.8615644179866626</v>
      </c>
      <c r="BQ130" s="269">
        <f>Tabella34[[#This Row],[t_alpha_o+plus]]</f>
        <v>11.517260072950521</v>
      </c>
      <c r="BR130" s="91">
        <f>IFERROR(-Ka*_xlfn.LOGNORM.DIST((Tabella34[[#This Row],[Day]]-pa),mu_a,sigma_a,FALSE)*(1+(LN((Tabella34[[#This Row],[Day]]-pa))-mu_a)/sigma_a^2)/(Tabella34[[#This Row],[Day]]-pa),0)</f>
        <v>-56.835020169700847</v>
      </c>
      <c r="BS130" s="96">
        <f>Tabella34[[#This Row],[rest of Italy acc. fit]]/y_a_peak</f>
        <v>-1.681932887826711E-2</v>
      </c>
      <c r="BT130" s="96">
        <f>Tabella34[[#This Row],[rest of Italy acc. fit]]*NOT(ISBLANK(Tabella34[[#This Row],[rest of Italy data]]))</f>
        <v>0</v>
      </c>
      <c r="BU130" s="212"/>
      <c r="BV130" s="142"/>
    </row>
    <row r="131" spans="2:74" x14ac:dyDescent="0.3">
      <c r="B131" s="288">
        <v>43954</v>
      </c>
      <c r="C131" s="4">
        <v>124</v>
      </c>
      <c r="E131" s="10"/>
      <c r="F131" s="10"/>
      <c r="G131" s="96">
        <f>Tabella34[[#This Row],[Italy data]]*NOT(ISBLANK(Tabella34[[#This Row],[Italy data]]))</f>
        <v>0</v>
      </c>
      <c r="H131" s="163">
        <f>Tabella8[[#This Row],[Italy fit]]</f>
        <v>210300.72435927263</v>
      </c>
      <c r="I131" s="163" t="e">
        <f>_xlfn.LOGNORM.INV(alpha*Tabella34[[#This Row],[Italy cumul. Fit]]/Kt,mu_t,sigma_t)-(Tabella34[[#This Row],[Day]]-pt)</f>
        <v>#NUM!</v>
      </c>
      <c r="J131" s="163" t="e">
        <f>Tabella34[[#This Row],[Italy d.t.]]/Italy_dt_at_lockdown</f>
        <v>#NUM!</v>
      </c>
      <c r="K131" s="96">
        <f>Tabella34[[#This Row],[Italy cumul. Fit]]/Kf</f>
        <v>0.89489694357738692</v>
      </c>
      <c r="L131" s="166">
        <f>Tabella34[[#This Row],[Lombardy acc. fit]]+Tabella34[[#This Row],[rest of Italy acc. fit]]</f>
        <v>-80.223308438618773</v>
      </c>
      <c r="M131" s="96">
        <f>Tabella34[[#This Row],[Italy (fitted Lombardy + fitted sum of the other regions)]]/(y_l_peak+y_a_peak)</f>
        <v>-1.5616447516306581E-2</v>
      </c>
      <c r="N131" s="163">
        <f>IFERROR(Kt*_xlfn.LOGNORM.DIST((Tabella34[[#This Row],[Day]]-pt),mu_t,sigma_t,FALSE),0)</f>
        <v>1493.0162365773947</v>
      </c>
      <c r="O131" s="163">
        <f>Kt*EXP(-0.5*Tabella34[[#This Row],[x_t]]^2)/(sigma_t*SQRTPI(2)*(Tabella34[[#This Row],[Day]]-D_bk))</f>
        <v>1493.0162365773945</v>
      </c>
      <c r="P131" s="206">
        <f>Tabella34[[#This Row],[Italy velocity]]/Tabella34[[#This Row],[Italy cumul. Fit]]</f>
        <v>7.0994345888545874E-3</v>
      </c>
      <c r="Q131" s="269">
        <f>(LN(Tabella34[[#This Row],[Day]]-D_bk)-mu_t)/sigma_t</f>
        <v>1.2529988839911861</v>
      </c>
      <c r="R131" s="269">
        <f>EXP(mu_t+sigma_t*Tabella34[[#This Row],[x_t_alpha©+plus]])-(Tabella34[[#This Row],[Day]]-D_bk)</f>
        <v>11.999439151151748</v>
      </c>
      <c r="S131" s="269">
        <f>EXP(mu_t+sigma_t*Tabella34[[#This Row],[x_t_alpha©-minus]])-(Tabella34[[#This Row],[Day]]-D_bk)</f>
        <v>-61.390591842155345</v>
      </c>
      <c r="T131" s="269">
        <f>-sigma_t+SQRT(sigma_t^2-2*Tabella34[[#This Row],[c_t]])</f>
        <v>1.6469262827593867</v>
      </c>
      <c r="U131" s="269">
        <f>-sigma_t-SQRT(sigma_t^2-2*Tabella34[[#This Row],[c_t]])</f>
        <v>-2.2661631886516238</v>
      </c>
      <c r="V131" s="269">
        <f>mu_t-LN(alpha*Kt/(Tabella34[[#This Row],[Italy velocity]]*sigma_t*SQRTPI(2)))</f>
        <v>-1.8661018582060889</v>
      </c>
      <c r="W131" s="269">
        <f>Tabella34[[#This Row],[Italy g.r.]]/Italy_gr_at_lockdown</f>
        <v>4.4889263400359224E-2</v>
      </c>
      <c r="X131" s="269">
        <f>Tabella34[[#This Row],[t_alpha_t+plus]]</f>
        <v>11.999439151151748</v>
      </c>
      <c r="Y131" s="269">
        <f>Tabella34[[#This Row],[Italy h.t.]]/Italy_ht_at_lockdown</f>
        <v>0.21370253882667192</v>
      </c>
      <c r="Z131" s="91">
        <f>IFERROR(-Kf*_xlfn.LOGNORM.DIST((Tabella34[[#This Row],[Day]]-D_bk),mu_f,sigma_f,FALSE)*(1+(LN((Tabella34[[#This Row],[Day]]-D_bk))-mu_f)/sigma_f^2)/(Tabella34[[#This Row],[Day]]-D_bk),0)</f>
        <v>-81.456623800095585</v>
      </c>
      <c r="AA131" s="91">
        <f>Tabella34[[#This Row],[Italy acc. fit]]/Itali_acc_at_lockdown</f>
        <v>-0.33525810559838526</v>
      </c>
      <c r="AB131" s="96">
        <f>Tabella34[[#This Row],[Italy acc. fit]]/y_f_peak</f>
        <v>-1.609302246480809E-2</v>
      </c>
      <c r="AC131" s="163">
        <f>Tabella34[[#This Row],[Italy (fitted Lombardy + fitted sum of the other regions)]]*NOT(ISBLANK(Tabella34[[#This Row],[Italy data]]))</f>
        <v>0</v>
      </c>
      <c r="AD131" s="163">
        <f>Tabella34[[#This Row],[Italy acc. fit]]*NOT(ISBLANK(Tabella34[[#This Row],[Italy data]]))</f>
        <v>0</v>
      </c>
      <c r="AE131" s="96">
        <f>Tabella34[[#This Row],[Italy acc. fit]]+CIf</f>
        <v>932.30637822022209</v>
      </c>
      <c r="AF131" s="96">
        <f>MAX(Tabella34[[#This Row],[Italy acc. fit]]-CIf,0)</f>
        <v>0</v>
      </c>
      <c r="AH131" s="10"/>
      <c r="AI131" s="10"/>
      <c r="AJ131" s="96">
        <f>Tabella34[[#This Row],[Lombardy data]]*NOT(ISBLANK(Tabella34[[#This Row],[Lombardy data]]))</f>
        <v>0</v>
      </c>
      <c r="AK131" s="96">
        <f>Tabella8[[#This Row],[Lombardy fit]]</f>
        <v>77155.516741352141</v>
      </c>
      <c r="AL131" s="163" t="e">
        <f>_xlfn.LOGNORM.INV(alpha*Tabella34[[#This Row],[Lombardy cumul. Fit]]/Kr,mu_r,sigma_r)-(Tabella34[[#This Row],[Day]]-pr)</f>
        <v>#NUM!</v>
      </c>
      <c r="AM131" s="96">
        <f>Tabella34[[#This Row],[Lombardy cumul. Fit]]/Kl</f>
        <v>0.88684502001554188</v>
      </c>
      <c r="AN131" s="96">
        <f>IFERROR(Kr*_xlfn.LOGNORM.DIST((Tabella34[[#This Row],[Day]]-pr),mu_r,sigma_r,FALSE),0)</f>
        <v>528.54042571051821</v>
      </c>
      <c r="AO131" s="209">
        <f>Tabella34[[#This Row],[Lombardy velocity]]/Tabella34[[#This Row],[Lombardy cumul. Fit]]</f>
        <v>6.8503257839920935E-3</v>
      </c>
      <c r="AP131" s="266">
        <f>(LN(Tabella34[[#This Row],[Day]]-pr)-mu_r)/sigma_r</f>
        <v>1.2099190411385885</v>
      </c>
      <c r="AQ131" s="269">
        <f>EXP(mu_r+sigma_r*Tabella34[[#This Row],[x_r_alpha©+plus]])-(Tabella34[[#This Row],[Day]]-pr)</f>
        <v>13.404437616866659</v>
      </c>
      <c r="AR131" s="269">
        <f>EXP(mu_r+sigma_r*Tabella34[[#This Row],[x_r_alpha©-minus]])-(Tabella34[[#This Row],[Day]]-pr)</f>
        <v>-64.567197923772781</v>
      </c>
      <c r="AS131" s="269">
        <f>-sigma_r+SQRT(sigma_r^2-2*Tabella34[[#This Row],[c_r]])</f>
        <v>1.6063310670589785</v>
      </c>
      <c r="AT131" s="269">
        <f>-sigma_r-SQRT(sigma_r^2-2*Tabella34[[#This Row],[c_r]])</f>
        <v>-2.287185664252708</v>
      </c>
      <c r="AU131" s="269">
        <f>mu_r-LN(alpha*Kr/(Tabella34[[#This Row],[Lombardy velocity]]*sigma_r*SQRTPI(2)))</f>
        <v>-1.8369886943105254</v>
      </c>
      <c r="AV131" s="269">
        <f>Tabella34[[#This Row],[t_alpha_r+plus]]</f>
        <v>13.404437616866659</v>
      </c>
      <c r="AW131" s="91">
        <f>IFERROR(-Kl*_xlfn.LOGNORM.DIST((Tabella34[[#This Row],[Day]]-pl),mu_l,sigma_l,FALSE)*(1+(LN((Tabella34[[#This Row],[Day]]-pl))-mu_l)/sigma_l^2)/(Tabella34[[#This Row],[Day]]-pl),0)</f>
        <v>-25.944097242721867</v>
      </c>
      <c r="AX131" s="96">
        <f>Tabella34[[#This Row],[Lombardy acc. fit]]/y_l_peak</f>
        <v>-1.4758116694335669E-2</v>
      </c>
      <c r="AY131" s="163">
        <f>Tabella34[[#This Row],[Lombardy acc. fit]]*NOT(ISBLANK(Tabella34[[#This Row],[Lombardy data]]))</f>
        <v>0</v>
      </c>
      <c r="AZ131" s="96">
        <f>Tabella34[[#This Row],[Lombardy acc. fit]]+CIl</f>
        <v>723.01127456090171</v>
      </c>
      <c r="BA131" s="96">
        <f>MAX(Tabella34[[#This Row],[Lombardy acc. fit]]-CIl,0)</f>
        <v>0</v>
      </c>
      <c r="BC131" s="10"/>
      <c r="BD131" s="10"/>
      <c r="BE131" s="96">
        <f>Tabella34[[#This Row],[rest of Italy data]]*NOT(ISBLANK(Tabella34[[#This Row],[rest of Italy data]]))</f>
        <v>0</v>
      </c>
      <c r="BF131" s="96">
        <f>Tabella8[[#This Row],[rest of Italy fit]]</f>
        <v>133078.41367472205</v>
      </c>
      <c r="BG131" s="163" t="e">
        <f>_xlfn.LOGNORM.INV(alpha*Tabella34[[#This Row],[rest of Italy cumul. Fit]]/Ko,mu_o,sigma_o)-(Tabella34[[#This Row],[Day]]-po)</f>
        <v>#NUM!</v>
      </c>
      <c r="BH131" s="96">
        <f>Tabella34[[#This Row],[rest of Italy cumul. Fit]]/Ka</f>
        <v>0.89917857544988045</v>
      </c>
      <c r="BI131" s="163">
        <f>IFERROR(Ko*_xlfn.LOGNORM.DIST((Tabella34[[#This Row],[Day]]-po),mu_o,sigma_o,FALSE),0)</f>
        <v>941.97963812968112</v>
      </c>
      <c r="BJ131" s="206">
        <f>Tabella34[[#This Row],[rest of Italy velocity]]/Tabella34[[#This Row],[rest of Italy cumul. Fit]]</f>
        <v>7.0783804233804752E-3</v>
      </c>
      <c r="BK131" s="261">
        <f>(LN(Tabella34[[#This Row],[Day]]-po)-mu_o)/sigma_o</f>
        <v>1.2768850041791044</v>
      </c>
      <c r="BL131" s="269">
        <f>EXP(mu_o+sigma_o*Tabella34[[#This Row],[x_o_alpha©+plus]])-(Tabella34[[#This Row],[Day]]-po)</f>
        <v>11.426376388297001</v>
      </c>
      <c r="BM131" s="269">
        <f>EXP(mu_o+sigma_o*Tabella34[[#This Row],[x_o_alpha©-minus]])-(Tabella34[[#This Row],[Day]]-po)</f>
        <v>-59.018964278412469</v>
      </c>
      <c r="BN131" s="269">
        <f>-sigma_o+SQRT(sigma_o^2-2*Tabella34[[#This Row],[c_o]])</f>
        <v>1.6637303427258763</v>
      </c>
      <c r="BO131" s="269">
        <f>-sigma_o-SQRT(sigma_o^2-2*Tabella34[[#This Row],[c_o]])</f>
        <v>-2.3067031200249022</v>
      </c>
      <c r="BP131" s="269">
        <f>mu_o-LN(alpha*Ko/(Tabella34[[#This Row],[rest of Italy velocity]]*sigma_o*SQRTPI(2)))</f>
        <v>-1.9188659862229391</v>
      </c>
      <c r="BQ131" s="269">
        <f>Tabella34[[#This Row],[t_alpha_o+plus]]</f>
        <v>11.426376388297001</v>
      </c>
      <c r="BR131" s="91">
        <f>IFERROR(-Ka*_xlfn.LOGNORM.DIST((Tabella34[[#This Row],[Day]]-pa),mu_a,sigma_a,FALSE)*(1+(LN((Tabella34[[#This Row],[Day]]-pa))-mu_a)/sigma_a^2)/(Tabella34[[#This Row],[Day]]-pa),0)</f>
        <v>-54.279211195896906</v>
      </c>
      <c r="BS131" s="96">
        <f>Tabella34[[#This Row],[rest of Italy acc. fit]]/y_a_peak</f>
        <v>-1.6062981971868867E-2</v>
      </c>
      <c r="BT131" s="96">
        <f>Tabella34[[#This Row],[rest of Italy acc. fit]]*NOT(ISBLANK(Tabella34[[#This Row],[rest of Italy data]]))</f>
        <v>0</v>
      </c>
      <c r="BU131" s="212"/>
      <c r="BV131" s="142"/>
    </row>
    <row r="132" spans="2:74" x14ac:dyDescent="0.3">
      <c r="B132" s="288">
        <v>43955</v>
      </c>
      <c r="C132" s="4">
        <v>125</v>
      </c>
      <c r="E132" s="10"/>
      <c r="F132" s="10"/>
      <c r="G132" s="96">
        <f>Tabella34[[#This Row],[Italy data]]*NOT(ISBLANK(Tabella34[[#This Row],[Italy data]]))</f>
        <v>0</v>
      </c>
      <c r="H132" s="163">
        <f>Tabella8[[#This Row],[Italy fit]]</f>
        <v>211753.59426572785</v>
      </c>
      <c r="I132" s="163" t="e">
        <f>_xlfn.LOGNORM.INV(alpha*Tabella34[[#This Row],[Italy cumul. Fit]]/Kt,mu_t,sigma_t)-(Tabella34[[#This Row],[Day]]-pt)</f>
        <v>#NUM!</v>
      </c>
      <c r="J132" s="163" t="e">
        <f>Tabella34[[#This Row],[Italy d.t.]]/Italy_dt_at_lockdown</f>
        <v>#NUM!</v>
      </c>
      <c r="K132" s="96">
        <f>Tabella34[[#This Row],[Italy cumul. Fit]]/Kf</f>
        <v>0.9010793703981389</v>
      </c>
      <c r="L132" s="166">
        <f>Tabella34[[#This Row],[Lombardy acc. fit]]+Tabella34[[#This Row],[rest of Italy acc. fit]]</f>
        <v>-76.70117824257332</v>
      </c>
      <c r="M132" s="96">
        <f>Tabella34[[#This Row],[Italy (fitted Lombardy + fitted sum of the other regions)]]/(y_l_peak+y_a_peak)</f>
        <v>-1.4930821824438899E-2</v>
      </c>
      <c r="N132" s="163">
        <f>IFERROR(Kt*_xlfn.LOGNORM.DIST((Tabella34[[#This Row],[Day]]-pt),mu_t,sigma_t,FALSE),0)</f>
        <v>1413.3033322896019</v>
      </c>
      <c r="O132" s="163">
        <f>Kt*EXP(-0.5*Tabella34[[#This Row],[x_t]]^2)/(sigma_t*SQRTPI(2)*(Tabella34[[#This Row],[Day]]-D_bk))</f>
        <v>1413.3033322896031</v>
      </c>
      <c r="P132" s="206">
        <f>Tabella34[[#This Row],[Italy velocity]]/Tabella34[[#This Row],[Italy cumul. Fit]]</f>
        <v>6.6742826122519515E-3</v>
      </c>
      <c r="Q132" s="269">
        <f>(LN(Tabella34[[#This Row],[Day]]-D_bk)-mu_t)/sigma_t</f>
        <v>1.2877262883574763</v>
      </c>
      <c r="R132" s="269">
        <f>EXP(mu_t+sigma_t*Tabella34[[#This Row],[x_t_alpha©+plus]])-(Tabella34[[#This Row],[Day]]-D_bk)</f>
        <v>11.904314681265291</v>
      </c>
      <c r="S132" s="269">
        <f>EXP(mu_t+sigma_t*Tabella34[[#This Row],[x_t_alpha©-minus]])-(Tabella34[[#This Row],[Day]]-D_bk)</f>
        <v>-62.657688661331633</v>
      </c>
      <c r="T132" s="269">
        <f>-sigma_t+SQRT(sigma_t^2-2*Tabella34[[#This Row],[c_t]])</f>
        <v>1.6747717767441359</v>
      </c>
      <c r="U132" s="269">
        <f>-sigma_t-SQRT(sigma_t^2-2*Tabella34[[#This Row],[c_t]])</f>
        <v>-2.294008682636373</v>
      </c>
      <c r="V132" s="269">
        <f>mu_t-LN(alpha*Kt/(Tabella34[[#This Row],[Italy velocity]]*sigma_t*SQRTPI(2)))</f>
        <v>-1.9209704986426965</v>
      </c>
      <c r="W132" s="269">
        <f>Tabella34[[#This Row],[Italy g.r.]]/Italy_gr_at_lockdown</f>
        <v>4.2201055089677655E-2</v>
      </c>
      <c r="X132" s="269">
        <f>Tabella34[[#This Row],[t_alpha_t+plus]]</f>
        <v>11.904314681265291</v>
      </c>
      <c r="Y132" s="269">
        <f>Tabella34[[#This Row],[Italy h.t.]]/Italy_ht_at_lockdown</f>
        <v>0.2120084312552088</v>
      </c>
      <c r="Z132" s="91">
        <f>IFERROR(-Kf*_xlfn.LOGNORM.DIST((Tabella34[[#This Row],[Day]]-D_bk),mu_f,sigma_f,FALSE)*(1+(LN((Tabella34[[#This Row],[Day]]-D_bk))-mu_f)/sigma_f^2)/(Tabella34[[#This Row],[Day]]-D_bk),0)</f>
        <v>-77.978277020020215</v>
      </c>
      <c r="AA132" s="91">
        <f>Tabella34[[#This Row],[Italy acc. fit]]/Itali_acc_at_lockdown</f>
        <v>-0.32094197146834608</v>
      </c>
      <c r="AB132" s="96">
        <f>Tabella34[[#This Row],[Italy acc. fit]]/y_f_peak</f>
        <v>-1.5405820979395185E-2</v>
      </c>
      <c r="AC132" s="163">
        <f>Tabella34[[#This Row],[Italy (fitted Lombardy + fitted sum of the other regions)]]*NOT(ISBLANK(Tabella34[[#This Row],[Italy data]]))</f>
        <v>0</v>
      </c>
      <c r="AD132" s="163">
        <f>Tabella34[[#This Row],[Italy acc. fit]]*NOT(ISBLANK(Tabella34[[#This Row],[Italy data]]))</f>
        <v>0</v>
      </c>
      <c r="AE132" s="96">
        <f>Tabella34[[#This Row],[Italy acc. fit]]+CIf</f>
        <v>935.7847250002975</v>
      </c>
      <c r="AF132" s="96">
        <f>MAX(Tabella34[[#This Row],[Italy acc. fit]]-CIf,0)</f>
        <v>0</v>
      </c>
      <c r="AH132" s="10"/>
      <c r="AI132" s="10"/>
      <c r="AJ132" s="96">
        <f>Tabella34[[#This Row],[Lombardy data]]*NOT(ISBLANK(Tabella34[[#This Row],[Lombardy data]]))</f>
        <v>0</v>
      </c>
      <c r="AK132" s="96">
        <f>Tabella8[[#This Row],[Lombardy fit]]</f>
        <v>77671.255038565258</v>
      </c>
      <c r="AL132" s="163" t="e">
        <f>_xlfn.LOGNORM.INV(alpha*Tabella34[[#This Row],[Lombardy cumul. Fit]]/Kr,mu_r,sigma_r)-(Tabella34[[#This Row],[Day]]-pr)</f>
        <v>#NUM!</v>
      </c>
      <c r="AM132" s="96">
        <f>Tabella34[[#This Row],[Lombardy cumul. Fit]]/Kl</f>
        <v>0.89277304642029032</v>
      </c>
      <c r="AN132" s="96">
        <f>IFERROR(Kr*_xlfn.LOGNORM.DIST((Tabella34[[#This Row],[Day]]-pr),mu_r,sigma_r,FALSE),0)</f>
        <v>503.10543615765926</v>
      </c>
      <c r="AO132" s="209">
        <f>Tabella34[[#This Row],[Lombardy velocity]]/Tabella34[[#This Row],[Lombardy cumul. Fit]]</f>
        <v>6.4773697284517652E-3</v>
      </c>
      <c r="AP132" s="266">
        <f>(LN(Tabella34[[#This Row],[Day]]-pr)-mu_r)/sigma_r</f>
        <v>1.2414111366423022</v>
      </c>
      <c r="AQ132" s="269">
        <f>EXP(mu_r+sigma_r*Tabella34[[#This Row],[x_r_alpha©+plus]])-(Tabella34[[#This Row],[Day]]-pr)</f>
        <v>13.318227800420431</v>
      </c>
      <c r="AR132" s="269">
        <f>EXP(mu_r+sigma_r*Tabella34[[#This Row],[x_r_alpha©-minus]])-(Tabella34[[#This Row],[Day]]-pr)</f>
        <v>-65.807903029161537</v>
      </c>
      <c r="AS132" s="269">
        <f>-sigma_r+SQRT(sigma_r^2-2*Tabella34[[#This Row],[c_r]])</f>
        <v>1.6315025166652772</v>
      </c>
      <c r="AT132" s="269">
        <f>-sigma_r-SQRT(sigma_r^2-2*Tabella34[[#This Row],[c_r]])</f>
        <v>-2.3123571138590062</v>
      </c>
      <c r="AU132" s="269">
        <f>mu_r-LN(alpha*Kr/(Tabella34[[#This Row],[Lombardy velocity]]*sigma_r*SQRTPI(2)))</f>
        <v>-1.886308225344913</v>
      </c>
      <c r="AV132" s="269">
        <f>Tabella34[[#This Row],[t_alpha_r+plus]]</f>
        <v>13.318227800420431</v>
      </c>
      <c r="AW132" s="91">
        <f>IFERROR(-Kl*_xlfn.LOGNORM.DIST((Tabella34[[#This Row],[Day]]-pl),mu_l,sigma_l,FALSE)*(1+(LN((Tabella34[[#This Row],[Day]]-pl))-mu_l)/sigma_l^2)/(Tabella34[[#This Row],[Day]]-pl),0)</f>
        <v>-24.928536798321485</v>
      </c>
      <c r="AX132" s="96">
        <f>Tabella34[[#This Row],[Lombardy acc. fit]]/y_l_peak</f>
        <v>-1.4180422299792156E-2</v>
      </c>
      <c r="AY132" s="163">
        <f>Tabella34[[#This Row],[Lombardy acc. fit]]*NOT(ISBLANK(Tabella34[[#This Row],[Lombardy data]]))</f>
        <v>0</v>
      </c>
      <c r="AZ132" s="96">
        <f>Tabella34[[#This Row],[Lombardy acc. fit]]+CIl</f>
        <v>724.02683500530213</v>
      </c>
      <c r="BA132" s="96">
        <f>MAX(Tabella34[[#This Row],[Lombardy acc. fit]]-CIl,0)</f>
        <v>0</v>
      </c>
      <c r="BC132" s="10"/>
      <c r="BD132" s="10"/>
      <c r="BE132" s="96">
        <f>Tabella34[[#This Row],[rest of Italy data]]*NOT(ISBLANK(Tabella34[[#This Row],[rest of Italy data]]))</f>
        <v>0</v>
      </c>
      <c r="BF132" s="96">
        <f>Tabella8[[#This Row],[rest of Italy fit]]</f>
        <v>133993.67367513973</v>
      </c>
      <c r="BG132" s="163" t="e">
        <f>_xlfn.LOGNORM.INV(alpha*Tabella34[[#This Row],[rest of Italy cumul. Fit]]/Ko,mu_o,sigma_o)-(Tabella34[[#This Row],[Day]]-po)</f>
        <v>#NUM!</v>
      </c>
      <c r="BH132" s="96">
        <f>Tabella34[[#This Row],[rest of Italy cumul. Fit]]/Ka</f>
        <v>0.90536276536180271</v>
      </c>
      <c r="BI132" s="163">
        <f>IFERROR(Ko*_xlfn.LOGNORM.DIST((Tabella34[[#This Row],[Day]]-po),mu_o,sigma_o,FALSE),0)</f>
        <v>888.95814490617602</v>
      </c>
      <c r="BJ132" s="206">
        <f>Tabella34[[#This Row],[rest of Italy velocity]]/Tabella34[[#This Row],[rest of Italy cumul. Fit]]</f>
        <v>6.6343292225975233E-3</v>
      </c>
      <c r="BK132" s="261">
        <f>(LN(Tabella34[[#This Row],[Day]]-po)-mu_o)/sigma_o</f>
        <v>1.3127284443302047</v>
      </c>
      <c r="BL132" s="269">
        <f>EXP(mu_o+sigma_o*Tabella34[[#This Row],[x_o_alpha©+plus]])-(Tabella34[[#This Row],[Day]]-po)</f>
        <v>11.340669497125546</v>
      </c>
      <c r="BM132" s="269">
        <f>EXP(mu_o+sigma_o*Tabella34[[#This Row],[x_o_alpha©-minus]])-(Tabella34[[#This Row],[Day]]-po)</f>
        <v>-60.271713325944852</v>
      </c>
      <c r="BN132" s="269">
        <f>-sigma_o+SQRT(sigma_o^2-2*Tabella34[[#This Row],[c_o]])</f>
        <v>1.6927014083174967</v>
      </c>
      <c r="BO132" s="269">
        <f>-sigma_o-SQRT(sigma_o^2-2*Tabella34[[#This Row],[c_o]])</f>
        <v>-2.3356741856165231</v>
      </c>
      <c r="BP132" s="269">
        <f>mu_o-LN(alpha*Ko/(Tabella34[[#This Row],[rest of Italy velocity]]*sigma_o*SQRTPI(2)))</f>
        <v>-1.9767994916819553</v>
      </c>
      <c r="BQ132" s="269">
        <f>Tabella34[[#This Row],[t_alpha_o+plus]]</f>
        <v>11.340669497125546</v>
      </c>
      <c r="BR132" s="91">
        <f>IFERROR(-Ka*_xlfn.LOGNORM.DIST((Tabella34[[#This Row],[Day]]-pa),mu_a,sigma_a,FALSE)*(1+(LN((Tabella34[[#This Row],[Day]]-pa))-mu_a)/sigma_a^2)/(Tabella34[[#This Row],[Day]]-pa),0)</f>
        <v>-51.772641444251839</v>
      </c>
      <c r="BS132" s="96">
        <f>Tabella34[[#This Row],[rest of Italy acc. fit]]/y_a_peak</f>
        <v>-1.5321206550951363E-2</v>
      </c>
      <c r="BT132" s="96">
        <f>Tabella34[[#This Row],[rest of Italy acc. fit]]*NOT(ISBLANK(Tabella34[[#This Row],[rest of Italy data]]))</f>
        <v>0</v>
      </c>
      <c r="BU132" s="212"/>
      <c r="BV132" s="142"/>
    </row>
    <row r="133" spans="2:74" x14ac:dyDescent="0.3">
      <c r="B133" s="288">
        <v>43956</v>
      </c>
      <c r="C133" s="4">
        <v>126</v>
      </c>
      <c r="E133" s="10"/>
      <c r="F133" s="10"/>
      <c r="G133" s="141">
        <f>Tabella34[[#This Row],[Italy data]]*NOT(ISBLANK(Tabella34[[#This Row],[Italy data]]))</f>
        <v>0</v>
      </c>
      <c r="H133" s="163">
        <f>Tabella8[[#This Row],[Italy fit]]</f>
        <v>213128.4808956983</v>
      </c>
      <c r="I133" s="163" t="e">
        <f>_xlfn.LOGNORM.INV(alpha*Tabella34[[#This Row],[Italy cumul. Fit]]/Kt,mu_t,sigma_t)-(Tabella34[[#This Row],[Day]]-pt)</f>
        <v>#NUM!</v>
      </c>
      <c r="J133" s="163" t="e">
        <f>Tabella34[[#This Row],[Italy d.t.]]/Italy_dt_at_lockdown</f>
        <v>#NUM!</v>
      </c>
      <c r="K133" s="96">
        <f>Tabella34[[#This Row],[Italy cumul. Fit]]/Kf</f>
        <v>0.90692995339862359</v>
      </c>
      <c r="L133" s="166">
        <f>Tabella34[[#This Row],[Lombardy acc. fit]]+Tabella34[[#This Row],[rest of Italy acc. fit]]</f>
        <v>-73.252892440422045</v>
      </c>
      <c r="M133" s="96">
        <f>Tabella34[[#This Row],[Italy (fitted Lombardy + fitted sum of the other regions)]]/(y_l_peak+y_a_peak)</f>
        <v>-1.4259570846405218E-2</v>
      </c>
      <c r="N133" s="163">
        <f>IFERROR(Kt*_xlfn.LOGNORM.DIST((Tabella34[[#This Row],[Day]]-pt),mu_t,sigma_t,FALSE),0)</f>
        <v>1337.0396939837447</v>
      </c>
      <c r="O133" s="163">
        <f>Kt*EXP(-0.5*Tabella34[[#This Row],[x_t]]^2)/(sigma_t*SQRTPI(2)*(Tabella34[[#This Row],[Day]]-D_bk))</f>
        <v>1337.0396939837456</v>
      </c>
      <c r="P133" s="206">
        <f>Tabella34[[#This Row],[Italy velocity]]/Tabella34[[#This Row],[Italy cumul. Fit]]</f>
        <v>6.2733975692252537E-3</v>
      </c>
      <c r="Q133" s="269">
        <f>(LN(Tabella34[[#This Row],[Day]]-D_bk)-mu_t)/sigma_t</f>
        <v>1.3220842638251737</v>
      </c>
      <c r="R133" s="269">
        <f>EXP(mu_t+sigma_t*Tabella34[[#This Row],[x_t_alpha©+plus]])-(Tabella34[[#This Row],[Day]]-D_bk)</f>
        <v>11.81420743298203</v>
      </c>
      <c r="S133" s="269">
        <f>EXP(mu_t+sigma_t*Tabella34[[#This Row],[x_t_alpha©-minus]])-(Tabella34[[#This Row],[Day]]-D_bk)</f>
        <v>-63.921682059582224</v>
      </c>
      <c r="T133" s="269">
        <f>-sigma_t+SQRT(sigma_t^2-2*Tabella34[[#This Row],[c_t]])</f>
        <v>1.7025316699420092</v>
      </c>
      <c r="U133" s="269">
        <f>-sigma_t-SQRT(sigma_t^2-2*Tabella34[[#This Row],[c_t]])</f>
        <v>-2.3217685758342466</v>
      </c>
      <c r="V133" s="269">
        <f>mu_t-LN(alpha*Kt/(Tabella34[[#This Row],[Italy velocity]]*sigma_t*SQRTPI(2)))</f>
        <v>-1.9764422653169804</v>
      </c>
      <c r="W133" s="269">
        <f>Tabella34[[#This Row],[Italy g.r.]]/Italy_gr_at_lockdown</f>
        <v>3.9666285022503453E-2</v>
      </c>
      <c r="X133" s="269">
        <f>Tabella34[[#This Row],[t_alpha_t+plus]]</f>
        <v>11.81420743298203</v>
      </c>
      <c r="Y133" s="269">
        <f>Tabella34[[#This Row],[Italy h.t.]]/Italy_ht_at_lockdown</f>
        <v>0.21040367727610557</v>
      </c>
      <c r="Z133" s="91">
        <f>IFERROR(-Kf*_xlfn.LOGNORM.DIST((Tabella34[[#This Row],[Day]]-D_bk),mu_f,sigma_f,FALSE)*(1+(LN((Tabella34[[#This Row],[Day]]-D_bk))-mu_f)/sigma_f^2)/(Tabella34[[#This Row],[Day]]-D_bk),0)</f>
        <v>-74.559840068933184</v>
      </c>
      <c r="AA133" s="91">
        <f>Tabella34[[#This Row],[Italy acc. fit]]/Itali_acc_at_lockdown</f>
        <v>-0.30687241342796467</v>
      </c>
      <c r="AB133" s="96">
        <f>Tabella34[[#This Row],[Italy acc. fit]]/y_f_peak</f>
        <v>-1.4730455612136874E-2</v>
      </c>
      <c r="AC133" s="163">
        <f>Tabella34[[#This Row],[Italy (fitted Lombardy + fitted sum of the other regions)]]*NOT(ISBLANK(Tabella34[[#This Row],[Italy data]]))</f>
        <v>0</v>
      </c>
      <c r="AD133" s="163">
        <f>Tabella34[[#This Row],[Italy acc. fit]]*NOT(ISBLANK(Tabella34[[#This Row],[Italy data]]))</f>
        <v>0</v>
      </c>
      <c r="AE133" s="96">
        <f>Tabella34[[#This Row],[Italy acc. fit]]+CIf</f>
        <v>939.20316195138446</v>
      </c>
      <c r="AF133" s="96">
        <f>MAX(Tabella34[[#This Row],[Italy acc. fit]]-CIf,0)</f>
        <v>0</v>
      </c>
      <c r="AH133" s="10"/>
      <c r="AI133" s="10"/>
      <c r="AJ133" s="141">
        <f>Tabella34[[#This Row],[Lombardy data]]*NOT(ISBLANK(Tabella34[[#This Row],[Lombardy data]]))</f>
        <v>0</v>
      </c>
      <c r="AK133" s="96">
        <f>Tabella8[[#This Row],[Lombardy fit]]</f>
        <v>78162.063365355221</v>
      </c>
      <c r="AL133" s="163" t="e">
        <f>_xlfn.LOGNORM.INV(alpha*Tabella34[[#This Row],[Lombardy cumul. Fit]]/Kr,mu_r,sigma_r)-(Tabella34[[#This Row],[Day]]-pr)</f>
        <v>#NUM!</v>
      </c>
      <c r="AM133" s="96">
        <f>Tabella34[[#This Row],[Lombardy cumul. Fit]]/Kl</f>
        <v>0.89841452144086464</v>
      </c>
      <c r="AN133" s="96">
        <f>IFERROR(Kr*_xlfn.LOGNORM.DIST((Tabella34[[#This Row],[Day]]-pr),mu_r,sigma_r,FALSE),0)</f>
        <v>478.67761974325276</v>
      </c>
      <c r="AO133" s="209">
        <f>Tabella34[[#This Row],[Lombardy velocity]]/Tabella34[[#This Row],[Lombardy cumul. Fit]]</f>
        <v>6.1241681595041314E-3</v>
      </c>
      <c r="AP133" s="266">
        <f>(LN(Tabella34[[#This Row],[Day]]-pr)-mu_r)/sigma_r</f>
        <v>1.2725691906807328</v>
      </c>
      <c r="AQ133" s="269">
        <f>EXP(mu_r+sigma_r*Tabella34[[#This Row],[x_r_alpha©+plus]])-(Tabella34[[#This Row],[Day]]-pr)</f>
        <v>13.23655448547575</v>
      </c>
      <c r="AR133" s="269">
        <f>EXP(mu_r+sigma_r*Tabella34[[#This Row],[x_r_alpha©-minus]])-(Tabella34[[#This Row],[Day]]-pr)</f>
        <v>-67.045700053277486</v>
      </c>
      <c r="AS133" s="269">
        <f>-sigma_r+SQRT(sigma_r^2-2*Tabella34[[#This Row],[c_r]])</f>
        <v>1.6565834764220746</v>
      </c>
      <c r="AT133" s="269">
        <f>-sigma_r-SQRT(sigma_r^2-2*Tabella34[[#This Row],[c_r]])</f>
        <v>-2.3374380736158038</v>
      </c>
      <c r="AU133" s="269">
        <f>mu_r-LN(alpha*Kr/(Tabella34[[#This Row],[Lombardy velocity]]*sigma_r*SQRTPI(2)))</f>
        <v>-1.9360806449558927</v>
      </c>
      <c r="AV133" s="269">
        <f>Tabella34[[#This Row],[t_alpha_r+plus]]</f>
        <v>13.23655448547575</v>
      </c>
      <c r="AW133" s="91">
        <f>IFERROR(-Kl*_xlfn.LOGNORM.DIST((Tabella34[[#This Row],[Day]]-pl),mu_l,sigma_l,FALSE)*(1+(LN((Tabella34[[#This Row],[Day]]-pl))-mu_l)/sigma_l^2)/(Tabella34[[#This Row],[Day]]-pl),0)</f>
        <v>-23.930160693036999</v>
      </c>
      <c r="AX133" s="96">
        <f>Tabella34[[#This Row],[Lombardy acc. fit]]/y_l_peak</f>
        <v>-1.3612503095328098E-2</v>
      </c>
      <c r="AY133" s="163">
        <f>Tabella34[[#This Row],[Lombardy acc. fit]]*NOT(ISBLANK(Tabella34[[#This Row],[Lombardy data]]))</f>
        <v>0</v>
      </c>
      <c r="AZ133" s="96">
        <f>Tabella34[[#This Row],[Lombardy acc. fit]]+CIl</f>
        <v>725.02521111058661</v>
      </c>
      <c r="BA133" s="96">
        <f>MAX(Tabella34[[#This Row],[Lombardy acc. fit]]-CIl,0)</f>
        <v>0</v>
      </c>
      <c r="BC133" s="10"/>
      <c r="BD133" s="10"/>
      <c r="BE133" s="96">
        <f>Tabella34[[#This Row],[rest of Italy data]]*NOT(ISBLANK(Tabella34[[#This Row],[rest of Italy data]]))</f>
        <v>0</v>
      </c>
      <c r="BF133" s="96">
        <f>Tabella8[[#This Row],[rest of Italy fit]]</f>
        <v>134857.15630708213</v>
      </c>
      <c r="BG133" s="163" t="e">
        <f>_xlfn.LOGNORM.INV(alpha*Tabella34[[#This Row],[rest of Italy cumul. Fit]]/Ko,mu_o,sigma_o)-(Tabella34[[#This Row],[Day]]-po)</f>
        <v>#NUM!</v>
      </c>
      <c r="BH133" s="96">
        <f>Tabella34[[#This Row],[rest of Italy cumul. Fit]]/Ka</f>
        <v>0.91119710814870625</v>
      </c>
      <c r="BI133" s="163">
        <f>IFERROR(Ko*_xlfn.LOGNORM.DIST((Tabella34[[#This Row],[Day]]-po),mu_o,sigma_o,FALSE),0)</f>
        <v>838.41545426304185</v>
      </c>
      <c r="BJ133" s="206">
        <f>Tabella34[[#This Row],[rest of Italy velocity]]/Tabella34[[#This Row],[rest of Italy cumul. Fit]]</f>
        <v>6.2170631297748325E-3</v>
      </c>
      <c r="BK133" s="261">
        <f>(LN(Tabella34[[#This Row],[Day]]-po)-mu_o)/sigma_o</f>
        <v>1.3481635549230682</v>
      </c>
      <c r="BL133" s="269">
        <f>EXP(mu_o+sigma_o*Tabella34[[#This Row],[x_o_alpha©+plus]])-(Tabella34[[#This Row],[Day]]-po)</f>
        <v>11.259814746925386</v>
      </c>
      <c r="BM133" s="269">
        <f>EXP(mu_o+sigma_o*Tabella34[[#This Row],[x_o_alpha©-minus]])-(Tabella34[[#This Row],[Day]]-po)</f>
        <v>-61.521123702437393</v>
      </c>
      <c r="BN133" s="269">
        <f>-sigma_o+SQRT(sigma_o^2-2*Tabella34[[#This Row],[c_o]])</f>
        <v>1.7215567570505019</v>
      </c>
      <c r="BO133" s="269">
        <f>-sigma_o-SQRT(sigma_o^2-2*Tabella34[[#This Row],[c_o]])</f>
        <v>-2.3645295343495283</v>
      </c>
      <c r="BP133" s="269">
        <f>mu_o-LN(alpha*Ko/(Tabella34[[#This Row],[rest of Italy velocity]]*sigma_o*SQRTPI(2)))</f>
        <v>-2.0353358985524537</v>
      </c>
      <c r="BQ133" s="269">
        <f>Tabella34[[#This Row],[t_alpha_o+plus]]</f>
        <v>11.259814746925386</v>
      </c>
      <c r="BR133" s="91">
        <f>IFERROR(-Ka*_xlfn.LOGNORM.DIST((Tabella34[[#This Row],[Day]]-pa),mu_a,sigma_a,FALSE)*(1+(LN((Tabella34[[#This Row],[Day]]-pa))-mu_a)/sigma_a^2)/(Tabella34[[#This Row],[Day]]-pa),0)</f>
        <v>-49.322731747385042</v>
      </c>
      <c r="BS133" s="96">
        <f>Tabella34[[#This Row],[rest of Italy acc. fit]]/y_a_peak</f>
        <v>-1.4596198680968668E-2</v>
      </c>
      <c r="BT133" s="141">
        <f>Tabella34[[#This Row],[rest of Italy acc. fit]]*NOT(ISBLANK(Tabella34[[#This Row],[rest of Italy data]]))</f>
        <v>0</v>
      </c>
      <c r="BU133" s="212"/>
      <c r="BV133" s="142"/>
    </row>
    <row r="134" spans="2:74" x14ac:dyDescent="0.3">
      <c r="B134" s="288">
        <v>43957</v>
      </c>
      <c r="C134" s="4">
        <v>127</v>
      </c>
      <c r="E134" s="10"/>
      <c r="F134" s="10"/>
      <c r="G134" s="141">
        <f>Tabella34[[#This Row],[Italy data]]*NOT(ISBLANK(Tabella34[[#This Row],[Italy data]]))</f>
        <v>0</v>
      </c>
      <c r="H134" s="163">
        <f>Tabella8[[#This Row],[Italy fit]]</f>
        <v>214428.80188025994</v>
      </c>
      <c r="I134" s="163" t="e">
        <f>_xlfn.LOGNORM.INV(alpha*Tabella34[[#This Row],[Italy cumul. Fit]]/Kt,mu_t,sigma_t)-(Tabella34[[#This Row],[Day]]-pt)</f>
        <v>#NUM!</v>
      </c>
      <c r="J134" s="163" t="e">
        <f>Tabella34[[#This Row],[Italy d.t.]]/Italy_dt_at_lockdown</f>
        <v>#NUM!</v>
      </c>
      <c r="K134" s="96">
        <f>Tabella34[[#This Row],[Italy cumul. Fit]]/Kf</f>
        <v>0.91246323569377052</v>
      </c>
      <c r="L134" s="166">
        <f>Tabella34[[#This Row],[Lombardy acc. fit]]+Tabella34[[#This Row],[rest of Italy acc. fit]]</f>
        <v>-69.886857444456609</v>
      </c>
      <c r="M134" s="96">
        <f>Tabella34[[#This Row],[Italy (fitted Lombardy + fitted sum of the other regions)]]/(y_l_peak+y_a_peak)</f>
        <v>-1.3604330993105415E-2</v>
      </c>
      <c r="N134" s="163">
        <f>IFERROR(Kt*_xlfn.LOGNORM.DIST((Tabella34[[#This Row],[Day]]-pt),mu_t,sigma_t,FALSE),0)</f>
        <v>1264.1604393283071</v>
      </c>
      <c r="O134" s="163">
        <f>Kt*EXP(-0.5*Tabella34[[#This Row],[x_t]]^2)/(sigma_t*SQRTPI(2)*(Tabella34[[#This Row],[Day]]-D_bk))</f>
        <v>1264.160439328308</v>
      </c>
      <c r="P134" s="206">
        <f>Tabella34[[#This Row],[Italy velocity]]/Tabella34[[#This Row],[Italy cumul. Fit]]</f>
        <v>5.895478724141881E-3</v>
      </c>
      <c r="Q134" s="269">
        <f>(LN(Tabella34[[#This Row],[Day]]-D_bk)-mu_t)/sigma_t</f>
        <v>1.356080587675506</v>
      </c>
      <c r="R134" s="269">
        <f>EXP(mu_t+sigma_t*Tabella34[[#This Row],[x_t_alpha©+plus]])-(Tabella34[[#This Row],[Day]]-D_bk)</f>
        <v>11.728819375895085</v>
      </c>
      <c r="S134" s="269">
        <f>EXP(mu_t+sigma_t*Tabella34[[#This Row],[x_t_alpha©-minus]])-(Tabella34[[#This Row],[Day]]-D_bk)</f>
        <v>-65.182529707580684</v>
      </c>
      <c r="T134" s="269">
        <f>-sigma_t+SQRT(sigma_t^2-2*Tabella34[[#This Row],[c_t]])</f>
        <v>1.7301971404465026</v>
      </c>
      <c r="U134" s="269">
        <f>-sigma_t-SQRT(sigma_t^2-2*Tabella34[[#This Row],[c_t]])</f>
        <v>-2.34943404633874</v>
      </c>
      <c r="V134" s="269">
        <f>mu_t-LN(alpha*Kt/(Tabella34[[#This Row],[Italy velocity]]*sigma_t*SQRTPI(2)))</f>
        <v>-2.0324920343214723</v>
      </c>
      <c r="W134" s="269">
        <f>Tabella34[[#This Row],[Italy g.r.]]/Italy_gr_at_lockdown</f>
        <v>3.727672873198707E-2</v>
      </c>
      <c r="X134" s="269">
        <f>Tabella34[[#This Row],[t_alpha_t+plus]]</f>
        <v>11.728819375895085</v>
      </c>
      <c r="Y134" s="269">
        <f>Tabella34[[#This Row],[Italy h.t.]]/Italy_ht_at_lockdown</f>
        <v>0.20888296915340923</v>
      </c>
      <c r="Z134" s="91">
        <f>IFERROR(-Kf*_xlfn.LOGNORM.DIST((Tabella34[[#This Row],[Day]]-D_bk),mu_f,sigma_f,FALSE)*(1+(LN((Tabella34[[#This Row],[Day]]-D_bk))-mu_f)/sigma_f^2)/(Tabella34[[#This Row],[Day]]-D_bk),0)</f>
        <v>-71.210990368059768</v>
      </c>
      <c r="AA134" s="91">
        <f>Tabella34[[#This Row],[Italy acc. fit]]/Itali_acc_at_lockdown</f>
        <v>-0.29308926168079857</v>
      </c>
      <c r="AB134" s="96">
        <f>Tabella34[[#This Row],[Italy acc. fit]]/y_f_peak</f>
        <v>-1.406883828805428E-2</v>
      </c>
      <c r="AC134" s="163">
        <f>Tabella34[[#This Row],[Italy (fitted Lombardy + fitted sum of the other regions)]]*NOT(ISBLANK(Tabella34[[#This Row],[Italy data]]))</f>
        <v>0</v>
      </c>
      <c r="AD134" s="163">
        <f>Tabella34[[#This Row],[Italy acc. fit]]*NOT(ISBLANK(Tabella34[[#This Row],[Italy data]]))</f>
        <v>0</v>
      </c>
      <c r="AE134" s="96">
        <f>Tabella34[[#This Row],[Italy acc. fit]]+CIf</f>
        <v>942.55201165225787</v>
      </c>
      <c r="AF134" s="96">
        <f>MAX(Tabella34[[#This Row],[Italy acc. fit]]-CIf,0)</f>
        <v>0</v>
      </c>
      <c r="AH134" s="10"/>
      <c r="AI134" s="10"/>
      <c r="AJ134" s="141">
        <f>Tabella34[[#This Row],[Lombardy data]]*NOT(ISBLANK(Tabella34[[#This Row],[Lombardy data]]))</f>
        <v>0</v>
      </c>
      <c r="AK134" s="96">
        <f>Tabella8[[#This Row],[Lombardy fit]]</f>
        <v>78628.939908572895</v>
      </c>
      <c r="AL134" s="163" t="e">
        <f>_xlfn.LOGNORM.INV(alpha*Tabella34[[#This Row],[Lombardy cumul. Fit]]/Kr,mu_r,sigma_r)-(Tabella34[[#This Row],[Day]]-pr)</f>
        <v>#NUM!</v>
      </c>
      <c r="AM134" s="96">
        <f>Tabella34[[#This Row],[Lombardy cumul. Fit]]/Kl</f>
        <v>0.90378091848934361</v>
      </c>
      <c r="AN134" s="96">
        <f>IFERROR(Kr*_xlfn.LOGNORM.DIST((Tabella34[[#This Row],[Day]]-pr),mu_r,sigma_r,FALSE),0)</f>
        <v>455.23862520672765</v>
      </c>
      <c r="AO134" s="209">
        <f>Tabella34[[#This Row],[Lombardy velocity]]/Tabella34[[#This Row],[Lombardy cumul. Fit]]</f>
        <v>5.7897082897984372E-3</v>
      </c>
      <c r="AP134" s="266">
        <f>(LN(Tabella34[[#This Row],[Day]]-pr)-mu_r)/sigma_r</f>
        <v>1.303400215397702</v>
      </c>
      <c r="AQ134" s="269">
        <f>EXP(mu_r+sigma_r*Tabella34[[#This Row],[x_r_alpha©+plus]])-(Tabella34[[#This Row],[Day]]-pr)</f>
        <v>13.159163359965447</v>
      </c>
      <c r="AR134" s="269">
        <f>EXP(mu_r+sigma_r*Tabella34[[#This Row],[x_r_alpha©-minus]])-(Tabella34[[#This Row],[Day]]-pr)</f>
        <v>-68.280568640654565</v>
      </c>
      <c r="AS134" s="269">
        <f>-sigma_r+SQRT(sigma_r^2-2*Tabella34[[#This Row],[c_r]])</f>
        <v>1.6815675720409047</v>
      </c>
      <c r="AT134" s="269">
        <f>-sigma_r-SQRT(sigma_r^2-2*Tabella34[[#This Row],[c_r]])</f>
        <v>-2.3624221692346339</v>
      </c>
      <c r="AU134" s="269">
        <f>mu_r-LN(alpha*Kr/(Tabella34[[#This Row],[Lombardy velocity]]*sigma_r*SQRTPI(2)))</f>
        <v>-1.9862862556277454</v>
      </c>
      <c r="AV134" s="269">
        <f>Tabella34[[#This Row],[t_alpha_r+plus]]</f>
        <v>13.159163359965447</v>
      </c>
      <c r="AW134" s="91">
        <f>IFERROR(-Kl*_xlfn.LOGNORM.DIST((Tabella34[[#This Row],[Day]]-pl),mu_l,sigma_l,FALSE)*(1+(LN((Tabella34[[#This Row],[Day]]-pl))-mu_l)/sigma_l^2)/(Tabella34[[#This Row],[Day]]-pl),0)</f>
        <v>-22.951241568968133</v>
      </c>
      <c r="AX134" s="96">
        <f>Tabella34[[#This Row],[Lombardy acc. fit]]/y_l_peak</f>
        <v>-1.3055651857369606E-2</v>
      </c>
      <c r="AY134" s="163">
        <f>Tabella34[[#This Row],[Lombardy acc. fit]]*NOT(ISBLANK(Tabella34[[#This Row],[Lombardy data]]))</f>
        <v>0</v>
      </c>
      <c r="AZ134" s="96">
        <f>Tabella34[[#This Row],[Lombardy acc. fit]]+CIl</f>
        <v>726.00413023465546</v>
      </c>
      <c r="BA134" s="96">
        <f>MAX(Tabella34[[#This Row],[Lombardy acc. fit]]-CIl,0)</f>
        <v>0</v>
      </c>
      <c r="BC134" s="10"/>
      <c r="BD134" s="10"/>
      <c r="BE134" s="96">
        <f>Tabella34[[#This Row],[rest of Italy data]]*NOT(ISBLANK(Tabella34[[#This Row],[rest of Italy data]]))</f>
        <v>0</v>
      </c>
      <c r="BF134" s="96">
        <f>Tabella8[[#This Row],[rest of Italy fit]]</f>
        <v>135671.31096960977</v>
      </c>
      <c r="BG134" s="163" t="e">
        <f>_xlfn.LOGNORM.INV(alpha*Tabella34[[#This Row],[rest of Italy cumul. Fit]]/Ko,mu_o,sigma_o)-(Tabella34[[#This Row],[Day]]-po)</f>
        <v>#NUM!</v>
      </c>
      <c r="BH134" s="96">
        <f>Tabella34[[#This Row],[rest of Italy cumul. Fit]]/Ka</f>
        <v>0.91669815380616992</v>
      </c>
      <c r="BI134" s="163">
        <f>IFERROR(Ko*_xlfn.LOGNORM.DIST((Tabella34[[#This Row],[Day]]-po),mu_o,sigma_o,FALSE),0)</f>
        <v>790.29173720672065</v>
      </c>
      <c r="BJ134" s="206">
        <f>Tabella34[[#This Row],[rest of Italy velocity]]/Tabella34[[#This Row],[rest of Italy cumul. Fit]]</f>
        <v>5.8250468102555974E-3</v>
      </c>
      <c r="BK134" s="261">
        <f>(LN(Tabella34[[#This Row],[Day]]-po)-mu_o)/sigma_o</f>
        <v>1.3831995346694879</v>
      </c>
      <c r="BL134" s="269">
        <f>EXP(mu_o+sigma_o*Tabella34[[#This Row],[x_o_alpha©+plus]])-(Tabella34[[#This Row],[Day]]-po)</f>
        <v>11.183512565984785</v>
      </c>
      <c r="BM134" s="269">
        <f>EXP(mu_o+sigma_o*Tabella34[[#This Row],[x_o_alpha©-minus]])-(Tabella34[[#This Row],[Day]]-po)</f>
        <v>-62.767171841633811</v>
      </c>
      <c r="BN134" s="269">
        <f>-sigma_o+SQRT(sigma_o^2-2*Tabella34[[#This Row],[c_o]])</f>
        <v>1.7502878409136033</v>
      </c>
      <c r="BO134" s="269">
        <f>-sigma_o-SQRT(sigma_o^2-2*Tabella34[[#This Row],[c_o]])</f>
        <v>-2.3932606182126297</v>
      </c>
      <c r="BP134" s="269">
        <f>mu_o-LN(alpha*Ko/(Tabella34[[#This Row],[rest of Italy velocity]]*sigma_o*SQRTPI(2)))</f>
        <v>-2.0944474800974691</v>
      </c>
      <c r="BQ134" s="269">
        <f>Tabella34[[#This Row],[t_alpha_o+plus]]</f>
        <v>11.183512565984785</v>
      </c>
      <c r="BR134" s="91">
        <f>IFERROR(-Ka*_xlfn.LOGNORM.DIST((Tabella34[[#This Row],[Day]]-pa),mu_a,sigma_a,FALSE)*(1+(LN((Tabella34[[#This Row],[Day]]-pa))-mu_a)/sigma_a^2)/(Tabella34[[#This Row],[Day]]-pa),0)</f>
        <v>-46.93561587548848</v>
      </c>
      <c r="BS134" s="96">
        <f>Tabella34[[#This Row],[rest of Italy acc. fit]]/y_a_peak</f>
        <v>-1.3889773543789537E-2</v>
      </c>
      <c r="BT134" s="141">
        <f>Tabella34[[#This Row],[rest of Italy acc. fit]]*NOT(ISBLANK(Tabella34[[#This Row],[rest of Italy data]]))</f>
        <v>0</v>
      </c>
      <c r="BU134" s="212"/>
      <c r="BV134" s="142"/>
    </row>
    <row r="135" spans="2:74" x14ac:dyDescent="0.3">
      <c r="B135" s="288">
        <v>43958</v>
      </c>
      <c r="C135" s="4">
        <v>128</v>
      </c>
      <c r="E135" s="10"/>
      <c r="F135" s="10"/>
      <c r="G135" s="141">
        <f>Tabella34[[#This Row],[Italy data]]*NOT(ISBLANK(Tabella34[[#This Row],[Italy data]]))</f>
        <v>0</v>
      </c>
      <c r="H135" s="163">
        <f>Tabella8[[#This Row],[Italy fit]]</f>
        <v>215657.90539131587</v>
      </c>
      <c r="I135" s="163" t="e">
        <f>_xlfn.LOGNORM.INV(alpha*Tabella34[[#This Row],[Italy cumul. Fit]]/Kt,mu_t,sigma_t)-(Tabella34[[#This Row],[Day]]-pt)</f>
        <v>#NUM!</v>
      </c>
      <c r="J135" s="163" t="e">
        <f>Tabella34[[#This Row],[Italy d.t.]]/Italy_dt_at_lockdown</f>
        <v>#NUM!</v>
      </c>
      <c r="K135" s="96">
        <f>Tabella34[[#This Row],[Italy cumul. Fit]]/Kf</f>
        <v>0.9176934648274806</v>
      </c>
      <c r="L135" s="166">
        <f>Tabella34[[#This Row],[Lombardy acc. fit]]+Tabella34[[#This Row],[rest of Italy acc. fit]]</f>
        <v>-66.609963677565531</v>
      </c>
      <c r="M135" s="96">
        <f>Tabella34[[#This Row],[Italy (fitted Lombardy + fitted sum of the other regions)]]/(y_l_peak+y_a_peak)</f>
        <v>-1.2966443569572876E-2</v>
      </c>
      <c r="N135" s="163">
        <f>IFERROR(Kt*_xlfn.LOGNORM.DIST((Tabella34[[#This Row],[Day]]-pt),mu_t,sigma_t,FALSE),0)</f>
        <v>1194.5917884914834</v>
      </c>
      <c r="O135" s="163">
        <f>Kt*EXP(-0.5*Tabella34[[#This Row],[x_t]]^2)/(sigma_t*SQRTPI(2)*(Tabella34[[#This Row],[Day]]-D_bk))</f>
        <v>1194.5917884914841</v>
      </c>
      <c r="P135" s="206">
        <f>Tabella34[[#This Row],[Italy velocity]]/Tabella34[[#This Row],[Italy cumul. Fit]]</f>
        <v>5.5392905088448817E-3</v>
      </c>
      <c r="Q135" s="269">
        <f>(LN(Tabella34[[#This Row],[Day]]-D_bk)-mu_t)/sigma_t</f>
        <v>1.3897227941526926</v>
      </c>
      <c r="R135" s="269">
        <f>EXP(mu_t+sigma_t*Tabella34[[#This Row],[x_t_alpha©+plus]])-(Tabella34[[#This Row],[Day]]-D_bk)</f>
        <v>11.647874282707733</v>
      </c>
      <c r="S135" s="269">
        <f>EXP(mu_t+sigma_t*Tabella34[[#This Row],[x_t_alpha©-minus]])-(Tabella34[[#This Row],[Day]]-D_bk)</f>
        <v>-66.440200480954147</v>
      </c>
      <c r="T135" s="269">
        <f>-sigma_t+SQRT(sigma_t^2-2*Tabella34[[#This Row],[c_t]])</f>
        <v>1.7577603307341325</v>
      </c>
      <c r="U135" s="269">
        <f>-sigma_t-SQRT(sigma_t^2-2*Tabella34[[#This Row],[c_t]])</f>
        <v>-2.3769972366263699</v>
      </c>
      <c r="V135" s="269">
        <f>mu_t-LN(alpha*Kt/(Tabella34[[#This Row],[Italy velocity]]*sigma_t*SQRTPI(2)))</f>
        <v>-2.0890957244032435</v>
      </c>
      <c r="W135" s="269">
        <f>Tabella34[[#This Row],[Italy g.r.]]/Italy_gr_at_lockdown</f>
        <v>3.502457380099129E-2</v>
      </c>
      <c r="X135" s="269">
        <f>Tabella34[[#This Row],[t_alpha_t+plus]]</f>
        <v>11.647874282707733</v>
      </c>
      <c r="Y135" s="269">
        <f>Tabella34[[#This Row],[Italy h.t.]]/Italy_ht_at_lockdown</f>
        <v>0.2074413874509812</v>
      </c>
      <c r="Z135" s="91">
        <f>IFERROR(-Kf*_xlfn.LOGNORM.DIST((Tabella34[[#This Row],[Day]]-D_bk),mu_f,sigma_f,FALSE)*(1+(LN((Tabella34[[#This Row],[Day]]-D_bk))-mu_f)/sigma_f^2)/(Tabella34[[#This Row],[Day]]-D_bk),0)</f>
        <v>-67.939868168543953</v>
      </c>
      <c r="AA135" s="91">
        <f>Tabella34[[#This Row],[Italy acc. fit]]/Itali_acc_at_lockdown</f>
        <v>-0.27962601976591317</v>
      </c>
      <c r="AB135" s="96">
        <f>Tabella34[[#This Row],[Italy acc. fit]]/y_f_peak</f>
        <v>-1.342257724032008E-2</v>
      </c>
      <c r="AC135" s="163">
        <f>Tabella34[[#This Row],[Italy (fitted Lombardy + fitted sum of the other regions)]]*NOT(ISBLANK(Tabella34[[#This Row],[Italy data]]))</f>
        <v>0</v>
      </c>
      <c r="AD135" s="163">
        <f>Tabella34[[#This Row],[Italy acc. fit]]*NOT(ISBLANK(Tabella34[[#This Row],[Italy data]]))</f>
        <v>0</v>
      </c>
      <c r="AE135" s="96">
        <f>Tabella34[[#This Row],[Italy acc. fit]]+CIf</f>
        <v>945.82313385177372</v>
      </c>
      <c r="AF135" s="96">
        <f>MAX(Tabella34[[#This Row],[Italy acc. fit]]-CIf,0)</f>
        <v>0</v>
      </c>
      <c r="AH135" s="10"/>
      <c r="AI135" s="10"/>
      <c r="AJ135" s="141">
        <f>Tabella34[[#This Row],[Lombardy data]]*NOT(ISBLANK(Tabella34[[#This Row],[Lombardy data]]))</f>
        <v>0</v>
      </c>
      <c r="AK135" s="96">
        <f>Tabella8[[#This Row],[Lombardy fit]]</f>
        <v>79072.86342737946</v>
      </c>
      <c r="AL135" s="163" t="e">
        <f>_xlfn.LOGNORM.INV(alpha*Tabella34[[#This Row],[Lombardy cumul. Fit]]/Kr,mu_r,sigma_r)-(Tabella34[[#This Row],[Day]]-pr)</f>
        <v>#NUM!</v>
      </c>
      <c r="AM135" s="96">
        <f>Tabella34[[#This Row],[Lombardy cumul. Fit]]/Kl</f>
        <v>0.90888348767102822</v>
      </c>
      <c r="AN135" s="96">
        <f>IFERROR(Kr*_xlfn.LOGNORM.DIST((Tabella34[[#This Row],[Day]]-pr),mu_r,sigma_r,FALSE),0)</f>
        <v>432.76800702007944</v>
      </c>
      <c r="AO135" s="209">
        <f>Tabella34[[#This Row],[Lombardy velocity]]/Tabella34[[#This Row],[Lombardy cumul. Fit]]</f>
        <v>5.4730281447001559E-3</v>
      </c>
      <c r="AP135" s="266">
        <f>(LN(Tabella34[[#This Row],[Day]]-pr)-mu_r)/sigma_r</f>
        <v>1.3339110044317981</v>
      </c>
      <c r="AQ135" s="269">
        <f>EXP(mu_r+sigma_r*Tabella34[[#This Row],[x_r_alpha©+plus]])-(Tabella34[[#This Row],[Day]]-pr)</f>
        <v>13.085817703456797</v>
      </c>
      <c r="AR135" s="269">
        <f>EXP(mu_r+sigma_r*Tabella34[[#This Row],[x_r_alpha©-minus]])-(Tabella34[[#This Row],[Day]]-pr)</f>
        <v>-69.51249635680162</v>
      </c>
      <c r="AS135" s="269">
        <f>-sigma_r+SQRT(sigma_r^2-2*Tabella34[[#This Row],[c_r]])</f>
        <v>1.7064491300398994</v>
      </c>
      <c r="AT135" s="269">
        <f>-sigma_r-SQRT(sigma_r^2-2*Tabella34[[#This Row],[c_r]])</f>
        <v>-2.3873037272336286</v>
      </c>
      <c r="AU135" s="269">
        <f>mu_r-LN(alpha*Kr/(Tabella34[[#This Row],[Lombardy velocity]]*sigma_r*SQRTPI(2)))</f>
        <v>-2.0369061842394176</v>
      </c>
      <c r="AV135" s="269">
        <f>Tabella34[[#This Row],[t_alpha_r+plus]]</f>
        <v>13.085817703456797</v>
      </c>
      <c r="AW135" s="91">
        <f>IFERROR(-Kl*_xlfn.LOGNORM.DIST((Tabella34[[#This Row],[Day]]-pl),mu_l,sigma_l,FALSE)*(1+(LN((Tabella34[[#This Row],[Day]]-pl))-mu_l)/sigma_l^2)/(Tabella34[[#This Row],[Day]]-pl),0)</f>
        <v>-21.993700499707469</v>
      </c>
      <c r="AX135" s="96">
        <f>Tabella34[[#This Row],[Lombardy acc. fit]]/y_l_peak</f>
        <v>-1.2510961375077638E-2</v>
      </c>
      <c r="AY135" s="163">
        <f>Tabella34[[#This Row],[Lombardy acc. fit]]*NOT(ISBLANK(Tabella34[[#This Row],[Lombardy data]]))</f>
        <v>0</v>
      </c>
      <c r="AZ135" s="96">
        <f>Tabella34[[#This Row],[Lombardy acc. fit]]+CIl</f>
        <v>726.96167130391621</v>
      </c>
      <c r="BA135" s="96">
        <f>MAX(Tabella34[[#This Row],[Lombardy acc. fit]]-CIl,0)</f>
        <v>0</v>
      </c>
      <c r="BC135" s="10"/>
      <c r="BD135" s="10"/>
      <c r="BE135" s="96">
        <f>Tabella34[[#This Row],[rest of Italy data]]*NOT(ISBLANK(Tabella34[[#This Row],[rest of Italy data]]))</f>
        <v>0</v>
      </c>
      <c r="BF135" s="96">
        <f>Tabella8[[#This Row],[rest of Italy fit]]</f>
        <v>136438.52436496739</v>
      </c>
      <c r="BG135" s="163" t="e">
        <f>_xlfn.LOGNORM.INV(alpha*Tabella34[[#This Row],[rest of Italy cumul. Fit]]/Ko,mu_o,sigma_o)-(Tabella34[[#This Row],[Day]]-po)</f>
        <v>#NUM!</v>
      </c>
      <c r="BH135" s="96">
        <f>Tabella34[[#This Row],[rest of Italy cumul. Fit]]/Ka</f>
        <v>0.92188202870258951</v>
      </c>
      <c r="BI135" s="163">
        <f>IFERROR(Ko*_xlfn.LOGNORM.DIST((Tabella34[[#This Row],[Day]]-po),mu_o,sigma_o,FALSE),0)</f>
        <v>744.52162315135365</v>
      </c>
      <c r="BJ135" s="206">
        <f>Tabella34[[#This Row],[rest of Italy velocity]]/Tabella34[[#This Row],[rest of Italy cumul. Fit]]</f>
        <v>5.4568284626106715E-3</v>
      </c>
      <c r="BK135" s="261">
        <f>(LN(Tabella34[[#This Row],[Day]]-po)-mu_o)/sigma_o</f>
        <v>1.4178452749020647</v>
      </c>
      <c r="BL135" s="269">
        <f>EXP(mu_o+sigma_o*Tabella34[[#This Row],[x_o_alpha©+plus]])-(Tabella34[[#This Row],[Day]]-po)</f>
        <v>11.111486218823885</v>
      </c>
      <c r="BM135" s="269">
        <f>EXP(mu_o+sigma_o*Tabella34[[#This Row],[x_o_alpha©-minus]])-(Tabella34[[#This Row],[Day]]-po)</f>
        <v>-64.009844784464292</v>
      </c>
      <c r="BN135" s="269">
        <f>-sigma_o+SQRT(sigma_o^2-2*Tabella34[[#This Row],[c_o]])</f>
        <v>1.7788871488320916</v>
      </c>
      <c r="BO135" s="269">
        <f>-sigma_o-SQRT(sigma_o^2-2*Tabella34[[#This Row],[c_o]])</f>
        <v>-2.421859926131118</v>
      </c>
      <c r="BP135" s="269">
        <f>mu_o-LN(alpha*Ko/(Tabella34[[#This Row],[rest of Italy velocity]]*sigma_o*SQRTPI(2)))</f>
        <v>-2.1541077494330425</v>
      </c>
      <c r="BQ135" s="269">
        <f>Tabella34[[#This Row],[t_alpha_o+plus]]</f>
        <v>11.111486218823885</v>
      </c>
      <c r="BR135" s="91">
        <f>IFERROR(-Ka*_xlfn.LOGNORM.DIST((Tabella34[[#This Row],[Day]]-pa),mu_a,sigma_a,FALSE)*(1+(LN((Tabella34[[#This Row],[Day]]-pa))-mu_a)/sigma_a^2)/(Tabella34[[#This Row],[Day]]-pa),0)</f>
        <v>-44.616263177858059</v>
      </c>
      <c r="BS135" s="96">
        <f>Tabella34[[#This Row],[rest of Italy acc. fit]]/y_a_peak</f>
        <v>-1.3203401731310819E-2</v>
      </c>
      <c r="BT135" s="141">
        <f>Tabella34[[#This Row],[rest of Italy acc. fit]]*NOT(ISBLANK(Tabella34[[#This Row],[rest of Italy data]]))</f>
        <v>0</v>
      </c>
      <c r="BU135" s="212"/>
      <c r="BV135" s="142"/>
    </row>
    <row r="136" spans="2:74" x14ac:dyDescent="0.3">
      <c r="B136" s="288">
        <v>43959</v>
      </c>
      <c r="C136" s="4">
        <v>129</v>
      </c>
      <c r="E136" s="10"/>
      <c r="F136" s="10"/>
      <c r="G136" s="141">
        <f>Tabella34[[#This Row],[Italy data]]*NOT(ISBLANK(Tabella34[[#This Row],[Italy data]]))</f>
        <v>0</v>
      </c>
      <c r="H136" s="163">
        <f>Tabella8[[#This Row],[Italy fit]]</f>
        <v>216819.06199021783</v>
      </c>
      <c r="I136" s="163" t="e">
        <f>_xlfn.LOGNORM.INV(alpha*Tabella34[[#This Row],[Italy cumul. Fit]]/Kt,mu_t,sigma_t)-(Tabella34[[#This Row],[Day]]-pt)</f>
        <v>#NUM!</v>
      </c>
      <c r="J136" s="163" t="e">
        <f>Tabella34[[#This Row],[Italy d.t.]]/Italy_dt_at_lockdown</f>
        <v>#NUM!</v>
      </c>
      <c r="K136" s="96">
        <f>Tabella34[[#This Row],[Italy cumul. Fit]]/Kf</f>
        <v>0.92263455808589878</v>
      </c>
      <c r="L136" s="166">
        <f>Tabella34[[#This Row],[Lombardy acc. fit]]+Tabella34[[#This Row],[rest of Italy acc. fit]]</f>
        <v>-63.427732322096105</v>
      </c>
      <c r="M136" s="96">
        <f>Tabella34[[#This Row],[Italy (fitted Lombardy + fitted sum of the other regions)]]/(y_l_peak+y_a_peak)</f>
        <v>-1.2346983341434109E-2</v>
      </c>
      <c r="N136" s="163">
        <f>IFERROR(Kt*_xlfn.LOGNORM.DIST((Tabella34[[#This Row],[Day]]-pt),mu_t,sigma_t,FALSE),0)</f>
        <v>1128.2525341323064</v>
      </c>
      <c r="O136" s="163">
        <f>Kt*EXP(-0.5*Tabella34[[#This Row],[x_t]]^2)/(sigma_t*SQRTPI(2)*(Tabella34[[#This Row],[Day]]-D_bk))</f>
        <v>1128.2525341323064</v>
      </c>
      <c r="P136" s="206">
        <f>Tabella34[[#This Row],[Italy velocity]]/Tabella34[[#This Row],[Italy cumul. Fit]]</f>
        <v>5.203659326702601E-3</v>
      </c>
      <c r="Q136" s="269">
        <f>(LN(Tabella34[[#This Row],[Day]]-D_bk)-mu_t)/sigma_t</f>
        <v>1.4230181844860661</v>
      </c>
      <c r="R136" s="269">
        <f>EXP(mu_t+sigma_t*Tabella34[[#This Row],[x_t_alpha©+plus]])-(Tabella34[[#This Row],[Day]]-D_bk)</f>
        <v>11.571115884588849</v>
      </c>
      <c r="S136" s="269">
        <f>EXP(mu_t+sigma_t*Tabella34[[#This Row],[x_t_alpha©-minus]])-(Tabella34[[#This Row],[Day]]-D_bk)</f>
        <v>-67.694673158858265</v>
      </c>
      <c r="T136" s="269">
        <f>-sigma_t+SQRT(sigma_t^2-2*Tabella34[[#This Row],[c_t]])</f>
        <v>1.7852142560051714</v>
      </c>
      <c r="U136" s="269">
        <f>-sigma_t-SQRT(sigma_t^2-2*Tabella34[[#This Row],[c_t]])</f>
        <v>-2.4044511618974087</v>
      </c>
      <c r="V136" s="269">
        <f>mu_t-LN(alpha*Kt/(Tabella34[[#This Row],[Italy velocity]]*sigma_t*SQRTPI(2)))</f>
        <v>-2.1462302460437259</v>
      </c>
      <c r="W136" s="269">
        <f>Tabella34[[#This Row],[Italy g.r.]]/Italy_gr_at_lockdown</f>
        <v>3.2902399654304838E-2</v>
      </c>
      <c r="X136" s="269">
        <f>Tabella34[[#This Row],[t_alpha_t+plus]]</f>
        <v>11.571115884588849</v>
      </c>
      <c r="Y136" s="269">
        <f>Tabella34[[#This Row],[Italy h.t.]]/Italy_ht_at_lockdown</f>
        <v>0.20607436818052643</v>
      </c>
      <c r="Z136" s="91">
        <f>IFERROR(-Kf*_xlfn.LOGNORM.DIST((Tabella34[[#This Row],[Day]]-D_bk),mu_f,sigma_f,FALSE)*(1+(LN((Tabella34[[#This Row],[Day]]-D_bk))-mu_f)/sigma_f^2)/(Tabella34[[#This Row],[Day]]-D_bk),0)</f>
        <v>-64.753210046220062</v>
      </c>
      <c r="AA136" s="91">
        <f>Tabella34[[#This Row],[Italy acc. fit]]/Itali_acc_at_lockdown</f>
        <v>-0.26651041399391506</v>
      </c>
      <c r="AB136" s="96">
        <f>Tabella34[[#This Row],[Italy acc. fit]]/y_f_peak</f>
        <v>-1.2793003384226115E-2</v>
      </c>
      <c r="AC136" s="163">
        <f>Tabella34[[#This Row],[Italy (fitted Lombardy + fitted sum of the other regions)]]*NOT(ISBLANK(Tabella34[[#This Row],[Italy data]]))</f>
        <v>0</v>
      </c>
      <c r="AD136" s="163">
        <f>Tabella34[[#This Row],[Italy acc. fit]]*NOT(ISBLANK(Tabella34[[#This Row],[Italy data]]))</f>
        <v>0</v>
      </c>
      <c r="AE136" s="96">
        <f>Tabella34[[#This Row],[Italy acc. fit]]+CIf</f>
        <v>949.00979197409765</v>
      </c>
      <c r="AF136" s="96">
        <f>MAX(Tabella34[[#This Row],[Italy acc. fit]]-CIf,0)</f>
        <v>0</v>
      </c>
      <c r="AH136" s="10"/>
      <c r="AI136" s="10"/>
      <c r="AJ136" s="141">
        <f>Tabella34[[#This Row],[Lombardy data]]*NOT(ISBLANK(Tabella34[[#This Row],[Lombardy data]]))</f>
        <v>0</v>
      </c>
      <c r="AK136" s="96">
        <f>Tabella8[[#This Row],[Lombardy fit]]</f>
        <v>79494.791329642132</v>
      </c>
      <c r="AL136" s="163" t="e">
        <f>_xlfn.LOGNORM.INV(alpha*Tabella34[[#This Row],[Lombardy cumul. Fit]]/Kr,mu_r,sigma_r)-(Tabella34[[#This Row],[Day]]-pr)</f>
        <v>#NUM!</v>
      </c>
      <c r="AM136" s="96">
        <f>Tabella34[[#This Row],[Lombardy cumul. Fit]]/Kl</f>
        <v>0.91373323367404746</v>
      </c>
      <c r="AN136" s="96">
        <f>IFERROR(Kr*_xlfn.LOGNORM.DIST((Tabella34[[#This Row],[Day]]-pr),mu_r,sigma_r,FALSE),0)</f>
        <v>411.24356165364134</v>
      </c>
      <c r="AO136" s="209">
        <f>Tabella34[[#This Row],[Lombardy velocity]]/Tabella34[[#This Row],[Lombardy cumul. Fit]]</f>
        <v>5.1732139272915641E-3</v>
      </c>
      <c r="AP136" s="266">
        <f>(LN(Tabella34[[#This Row],[Day]]-pr)-mu_r)/sigma_r</f>
        <v>1.3641081419015644</v>
      </c>
      <c r="AQ136" s="269">
        <f>EXP(mu_r+sigma_r*Tabella34[[#This Row],[x_r_alpha©+plus]])-(Tabella34[[#This Row],[Day]]-pr)</f>
        <v>13.016296973793317</v>
      </c>
      <c r="AR136" s="269">
        <f>EXP(mu_r+sigma_r*Tabella34[[#This Row],[x_r_alpha©-minus]])-(Tabella34[[#This Row],[Day]]-pr)</f>
        <v>-70.741477769117978</v>
      </c>
      <c r="AS136" s="269">
        <f>-sigma_r+SQRT(sigma_r^2-2*Tabella34[[#This Row],[c_r]])</f>
        <v>1.7312231132813229</v>
      </c>
      <c r="AT136" s="269">
        <f>-sigma_r-SQRT(sigma_r^2-2*Tabella34[[#This Row],[c_r]])</f>
        <v>-2.4120777104750522</v>
      </c>
      <c r="AU136" s="269">
        <f>mu_r-LN(alpha*Kr/(Tabella34[[#This Row],[Lombardy velocity]]*sigma_r*SQRTPI(2)))</f>
        <v>-2.0879223417025523</v>
      </c>
      <c r="AV136" s="269">
        <f>Tabella34[[#This Row],[t_alpha_r+plus]]</f>
        <v>13.016296973793317</v>
      </c>
      <c r="AW136" s="91">
        <f>IFERROR(-Kl*_xlfn.LOGNORM.DIST((Tabella34[[#This Row],[Day]]-pl),mu_l,sigma_l,FALSE)*(1+(LN((Tabella34[[#This Row],[Day]]-pl))-mu_l)/sigma_l^2)/(Tabella34[[#This Row],[Day]]-pl),0)</f>
        <v>-21.059137352968424</v>
      </c>
      <c r="AX136" s="96">
        <f>Tabella34[[#This Row],[Lombardy acc. fit]]/y_l_peak</f>
        <v>-1.1979341721914739E-2</v>
      </c>
      <c r="AY136" s="163">
        <f>Tabella34[[#This Row],[Lombardy acc. fit]]*NOT(ISBLANK(Tabella34[[#This Row],[Lombardy data]]))</f>
        <v>0</v>
      </c>
      <c r="AZ136" s="96">
        <f>Tabella34[[#This Row],[Lombardy acc. fit]]+CIl</f>
        <v>727.89623445065524</v>
      </c>
      <c r="BA136" s="96">
        <f>MAX(Tabella34[[#This Row],[Lombardy acc. fit]]-CIl,0)</f>
        <v>0</v>
      </c>
      <c r="BC136" s="10"/>
      <c r="BD136" s="10"/>
      <c r="BE136" s="96">
        <f>Tabella34[[#This Row],[rest of Italy data]]*NOT(ISBLANK(Tabella34[[#This Row],[rest of Italy data]]))</f>
        <v>0</v>
      </c>
      <c r="BF136" s="96">
        <f>Tabella8[[#This Row],[rest of Italy fit]]</f>
        <v>137161.11551953363</v>
      </c>
      <c r="BG136" s="163" t="e">
        <f>_xlfn.LOGNORM.INV(alpha*Tabella34[[#This Row],[rest of Italy cumul. Fit]]/Ko,mu_o,sigma_o)-(Tabella34[[#This Row],[Day]]-po)</f>
        <v>#NUM!</v>
      </c>
      <c r="BH136" s="96">
        <f>Tabella34[[#This Row],[rest of Italy cumul. Fit]]/Ka</f>
        <v>0.92676440193694198</v>
      </c>
      <c r="BI136" s="163">
        <f>IFERROR(Ko*_xlfn.LOGNORM.DIST((Tabella34[[#This Row],[Day]]-po),mu_o,sigma_o,FALSE),0)</f>
        <v>701.03530560469312</v>
      </c>
      <c r="BJ136" s="206">
        <f>Tabella34[[#This Row],[rest of Italy velocity]]/Tabella34[[#This Row],[rest of Italy cumul. Fit]]</f>
        <v>5.1110353174756446E-3</v>
      </c>
      <c r="BK136" s="261">
        <f>(LN(Tabella34[[#This Row],[Day]]-po)-mu_o)/sigma_o</f>
        <v>1.4521093731184296</v>
      </c>
      <c r="BL136" s="269">
        <f>EXP(mu_o+sigma_o*Tabella34[[#This Row],[x_o_alpha©+plus]])-(Tabella34[[#This Row],[Day]]-po)</f>
        <v>11.043479783344637</v>
      </c>
      <c r="BM136" s="269">
        <f>EXP(mu_o+sigma_o*Tabella34[[#This Row],[x_o_alpha©-minus]])-(Tabella34[[#This Row],[Day]]-po)</f>
        <v>-65.249138825732388</v>
      </c>
      <c r="BN136" s="269">
        <f>-sigma_o+SQRT(sigma_o^2-2*Tabella34[[#This Row],[c_o]])</f>
        <v>1.8073481016951685</v>
      </c>
      <c r="BO136" s="269">
        <f>-sigma_o-SQRT(sigma_o^2-2*Tabella34[[#This Row],[c_o]])</f>
        <v>-2.4503208789941948</v>
      </c>
      <c r="BP136" s="269">
        <f>mu_o-LN(alpha*Ko/(Tabella34[[#This Row],[rest of Italy velocity]]*sigma_o*SQRTPI(2)))</f>
        <v>-2.2142913945970975</v>
      </c>
      <c r="BQ136" s="269">
        <f>Tabella34[[#This Row],[t_alpha_o+plus]]</f>
        <v>11.043479783344637</v>
      </c>
      <c r="BR136" s="91">
        <f>IFERROR(-Ka*_xlfn.LOGNORM.DIST((Tabella34[[#This Row],[Day]]-pa),mu_a,sigma_a,FALSE)*(1+(LN((Tabella34[[#This Row],[Day]]-pa))-mu_a)/sigma_a^2)/(Tabella34[[#This Row],[Day]]-pa),0)</f>
        <v>-42.368594969127678</v>
      </c>
      <c r="BS136" s="96">
        <f>Tabella34[[#This Row],[rest of Italy acc. fit]]/y_a_peak</f>
        <v>-1.2538243687925176E-2</v>
      </c>
      <c r="BT136" s="141">
        <f>Tabella34[[#This Row],[rest of Italy acc. fit]]*NOT(ISBLANK(Tabella34[[#This Row],[rest of Italy data]]))</f>
        <v>0</v>
      </c>
      <c r="BU136" s="212"/>
      <c r="BV136" s="142"/>
    </row>
    <row r="137" spans="2:74" x14ac:dyDescent="0.3">
      <c r="B137" s="288">
        <v>43960</v>
      </c>
      <c r="C137" s="4">
        <v>130</v>
      </c>
      <c r="E137" s="10"/>
      <c r="F137" s="10"/>
      <c r="G137" s="141">
        <f>Tabella34[[#This Row],[Italy data]]*NOT(ISBLANK(Tabella34[[#This Row],[Italy data]]))</f>
        <v>0</v>
      </c>
      <c r="H137" s="163">
        <f>Tabella8[[#This Row],[Italy fit]]</f>
        <v>217915.45788052466</v>
      </c>
      <c r="I137" s="163" t="e">
        <f>_xlfn.LOGNORM.INV(alpha*Tabella34[[#This Row],[Italy cumul. Fit]]/Kt,mu_t,sigma_t)-(Tabella34[[#This Row],[Day]]-pt)</f>
        <v>#NUM!</v>
      </c>
      <c r="J137" s="163" t="e">
        <f>Tabella34[[#This Row],[Italy d.t.]]/Italy_dt_at_lockdown</f>
        <v>#NUM!</v>
      </c>
      <c r="K137" s="96">
        <f>Tabella34[[#This Row],[Italy cumul. Fit]]/Kf</f>
        <v>0.92730007378574109</v>
      </c>
      <c r="L137" s="166">
        <f>Tabella34[[#This Row],[Lombardy acc. fit]]+Tabella34[[#This Row],[rest of Italy acc. fit]]</f>
        <v>-60.344453891163106</v>
      </c>
      <c r="M137" s="96">
        <f>Tabella34[[#This Row],[Italy (fitted Lombardy + fitted sum of the other regions)]]/(y_l_peak+y_a_peak)</f>
        <v>-1.1746785509507666E-2</v>
      </c>
      <c r="N137" s="163">
        <f>IFERROR(Kt*_xlfn.LOGNORM.DIST((Tabella34[[#This Row],[Day]]-pt),mu_t,sigma_t,FALSE),0)</f>
        <v>1065.0553806090427</v>
      </c>
      <c r="O137" s="163">
        <f>Kt*EXP(-0.5*Tabella34[[#This Row],[x_t]]^2)/(sigma_t*SQRTPI(2)*(Tabella34[[#This Row],[Day]]-D_bk))</f>
        <v>1065.0553806090434</v>
      </c>
      <c r="P137" s="206">
        <f>Tabella34[[#This Row],[Italy velocity]]/Tabella34[[#This Row],[Italy cumul. Fit]]</f>
        <v>4.887470540033809E-3</v>
      </c>
      <c r="Q137" s="269">
        <f>(LN(Tabella34[[#This Row],[Day]]-D_bk)-mu_t)/sigma_t</f>
        <v>1.4559738364008425</v>
      </c>
      <c r="R137" s="269">
        <f>EXP(mu_t+sigma_t*Tabella34[[#This Row],[x_t_alpha©+plus]])-(Tabella34[[#This Row],[Day]]-D_bk)</f>
        <v>11.498306198224896</v>
      </c>
      <c r="S137" s="269">
        <f>EXP(mu_t+sigma_t*Tabella34[[#This Row],[x_t_alpha©-minus]])-(Tabella34[[#This Row],[Day]]-D_bk)</f>
        <v>-68.94593526117842</v>
      </c>
      <c r="T137" s="269">
        <f>-sigma_t+SQRT(sigma_t^2-2*Tabella34[[#This Row],[c_t]])</f>
        <v>1.8125527214225599</v>
      </c>
      <c r="U137" s="269">
        <f>-sigma_t-SQRT(sigma_t^2-2*Tabella34[[#This Row],[c_t]])</f>
        <v>-2.4317896273147972</v>
      </c>
      <c r="V137" s="269">
        <f>mu_t-LN(alpha*Kt/(Tabella34[[#This Row],[Italy velocity]]*sigma_t*SQRTPI(2)))</f>
        <v>-2.2038734534582938</v>
      </c>
      <c r="W137" s="269">
        <f>Tabella34[[#This Row],[Italy g.r.]]/Italy_gr_at_lockdown</f>
        <v>3.0903158510327294E-2</v>
      </c>
      <c r="X137" s="269">
        <f>Tabella34[[#This Row],[t_alpha_t+plus]]</f>
        <v>11.498306198224896</v>
      </c>
      <c r="Y137" s="269">
        <f>Tabella34[[#This Row],[Italy h.t.]]/Italy_ht_at_lockdown</f>
        <v>0.20477767300743102</v>
      </c>
      <c r="Z137" s="91">
        <f>IFERROR(-Kf*_xlfn.LOGNORM.DIST((Tabella34[[#This Row],[Day]]-D_bk),mu_f,sigma_f,FALSE)*(1+(LN((Tabella34[[#This Row],[Day]]-D_bk))-mu_f)/sigma_f^2)/(Tabella34[[#This Row],[Day]]-D_bk),0)</f>
        <v>-61.656476856682175</v>
      </c>
      <c r="AA137" s="91">
        <f>Tabella34[[#This Row],[Italy acc. fit]]/Itali_acc_at_lockdown</f>
        <v>-0.25376492008275076</v>
      </c>
      <c r="AB137" s="96">
        <f>Tabella34[[#This Row],[Italy acc. fit]]/y_f_peak</f>
        <v>-1.2181195596696729E-2</v>
      </c>
      <c r="AC137" s="163">
        <f>Tabella34[[#This Row],[Italy (fitted Lombardy + fitted sum of the other regions)]]*NOT(ISBLANK(Tabella34[[#This Row],[Italy data]]))</f>
        <v>0</v>
      </c>
      <c r="AD137" s="163">
        <f>Tabella34[[#This Row],[Italy acc. fit]]*NOT(ISBLANK(Tabella34[[#This Row],[Italy data]]))</f>
        <v>0</v>
      </c>
      <c r="AE137" s="96">
        <f>Tabella34[[#This Row],[Italy acc. fit]]+CIf</f>
        <v>952.10652516363552</v>
      </c>
      <c r="AF137" s="96">
        <f>MAX(Tabella34[[#This Row],[Italy acc. fit]]-CIf,0)</f>
        <v>0</v>
      </c>
      <c r="AH137" s="10"/>
      <c r="AI137" s="10"/>
      <c r="AJ137" s="141">
        <f>Tabella34[[#This Row],[Lombardy data]]*NOT(ISBLANK(Tabella34[[#This Row],[Lombardy data]]))</f>
        <v>0</v>
      </c>
      <c r="AK137" s="96">
        <f>Tabella8[[#This Row],[Lombardy fit]]</f>
        <v>79895.658069660931</v>
      </c>
      <c r="AL137" s="163" t="e">
        <f>_xlfn.LOGNORM.INV(alpha*Tabella34[[#This Row],[Lombardy cumul. Fit]]/Kr,mu_r,sigma_r)-(Tabella34[[#This Row],[Day]]-pr)</f>
        <v>#NUM!</v>
      </c>
      <c r="AM137" s="96">
        <f>Tabella34[[#This Row],[Lombardy cumul. Fit]]/Kl</f>
        <v>0.91834089735242452</v>
      </c>
      <c r="AN137" s="96">
        <f>IFERROR(Kr*_xlfn.LOGNORM.DIST((Tabella34[[#This Row],[Day]]-pr),mu_r,sigma_r,FALSE),0)</f>
        <v>390.64163422160391</v>
      </c>
      <c r="AO137" s="209">
        <f>Tabella34[[#This Row],[Lombardy velocity]]/Tabella34[[#This Row],[Lombardy cumul. Fit]]</f>
        <v>4.8893975424922831E-3</v>
      </c>
      <c r="AP137" s="266">
        <f>(LN(Tabella34[[#This Row],[Day]]-pr)-mu_r)/sigma_r</f>
        <v>1.3939980109335559</v>
      </c>
      <c r="AQ137" s="269">
        <f>EXP(mu_r+sigma_r*Tabella34[[#This Row],[x_r_alpha©+plus]])-(Tabella34[[#This Row],[Day]]-pr)</f>
        <v>12.950395519447738</v>
      </c>
      <c r="AR137" s="269">
        <f>EXP(mu_r+sigma_r*Tabella34[[#This Row],[x_r_alpha©-minus]])-(Tabella34[[#This Row],[Day]]-pr)</f>
        <v>-71.96751362351398</v>
      </c>
      <c r="AS137" s="269">
        <f>-sigma_r+SQRT(sigma_r^2-2*Tabella34[[#This Row],[c_r]])</f>
        <v>1.7558850625410418</v>
      </c>
      <c r="AT137" s="269">
        <f>-sigma_r-SQRT(sigma_r^2-2*Tabella34[[#This Row],[c_r]])</f>
        <v>-2.436739659734771</v>
      </c>
      <c r="AU137" s="269">
        <f>mu_r-LN(alpha*Kr/(Tabella34[[#This Row],[Lombardy velocity]]*sigma_r*SQRTPI(2)))</f>
        <v>-2.139317384914813</v>
      </c>
      <c r="AV137" s="269">
        <f>Tabella34[[#This Row],[t_alpha_r+plus]]</f>
        <v>12.950395519447738</v>
      </c>
      <c r="AW137" s="91">
        <f>IFERROR(-Kl*_xlfn.LOGNORM.DIST((Tabella34[[#This Row],[Day]]-pl),mu_l,sigma_l,FALSE)*(1+(LN((Tabella34[[#This Row],[Day]]-pl))-mu_l)/sigma_l^2)/(Tabella34[[#This Row],[Day]]-pl),0)</f>
        <v>-20.148859655713835</v>
      </c>
      <c r="AX137" s="96">
        <f>Tabella34[[#This Row],[Lombardy acc. fit]]/y_l_peak</f>
        <v>-1.1461536675369786E-2</v>
      </c>
      <c r="AY137" s="163">
        <f>Tabella34[[#This Row],[Lombardy acc. fit]]*NOT(ISBLANK(Tabella34[[#This Row],[Lombardy data]]))</f>
        <v>0</v>
      </c>
      <c r="AZ137" s="96">
        <f>Tabella34[[#This Row],[Lombardy acc. fit]]+CIl</f>
        <v>728.80651214790976</v>
      </c>
      <c r="BA137" s="96">
        <f>MAX(Tabella34[[#This Row],[Lombardy acc. fit]]-CIl,0)</f>
        <v>0</v>
      </c>
      <c r="BC137" s="10"/>
      <c r="BD137" s="10"/>
      <c r="BE137" s="96">
        <f>Tabella34[[#This Row],[rest of Italy data]]*NOT(ISBLANK(Tabella34[[#This Row],[rest of Italy data]]))</f>
        <v>0</v>
      </c>
      <c r="BF137" s="96">
        <f>Tabella8[[#This Row],[rest of Italy fit]]</f>
        <v>137841.33185336328</v>
      </c>
      <c r="BG137" s="163" t="e">
        <f>_xlfn.LOGNORM.INV(alpha*Tabella34[[#This Row],[rest of Italy cumul. Fit]]/Ko,mu_o,sigma_o)-(Tabella34[[#This Row],[Day]]-po)</f>
        <v>#NUM!</v>
      </c>
      <c r="BH137" s="96">
        <f>Tabella34[[#This Row],[rest of Italy cumul. Fit]]/Ka</f>
        <v>0.93136045878163576</v>
      </c>
      <c r="BI137" s="163">
        <f>IFERROR(Ko*_xlfn.LOGNORM.DIST((Tabella34[[#This Row],[Day]]-po),mu_o,sigma_o,FALSE),0)</f>
        <v>659.75953478016152</v>
      </c>
      <c r="BJ137" s="206">
        <f>Tabella34[[#This Row],[rest of Italy velocity]]/Tabella34[[#This Row],[rest of Italy cumul. Fit]]</f>
        <v>4.7863694140885043E-3</v>
      </c>
      <c r="BK137" s="261">
        <f>(LN(Tabella34[[#This Row],[Day]]-po)-mu_o)/sigma_o</f>
        <v>1.4860001457875807</v>
      </c>
      <c r="BL137" s="269">
        <f>EXP(mu_o+sigma_o*Tabella34[[#This Row],[x_o_alpha©+plus]])-(Tabella34[[#This Row],[Day]]-po)</f>
        <v>10.979256326603078</v>
      </c>
      <c r="BM137" s="269">
        <f>EXP(mu_o+sigma_o*Tabella34[[#This Row],[x_o_alpha©-minus]])-(Tabella34[[#This Row],[Day]]-po)</f>
        <v>-66.485058315915822</v>
      </c>
      <c r="BN137" s="269">
        <f>-sigma_o+SQRT(sigma_o^2-2*Tabella34[[#This Row],[c_o]])</f>
        <v>1.8356649582177633</v>
      </c>
      <c r="BO137" s="269">
        <f>-sigma_o-SQRT(sigma_o^2-2*Tabella34[[#This Row],[c_o]])</f>
        <v>-2.4786377355167897</v>
      </c>
      <c r="BP137" s="269">
        <f>mu_o-LN(alpha*Ko/(Tabella34[[#This Row],[rest of Italy velocity]]*sigma_o*SQRTPI(2)))</f>
        <v>-2.2749742176021996</v>
      </c>
      <c r="BQ137" s="269">
        <f>Tabella34[[#This Row],[t_alpha_o+plus]]</f>
        <v>10.979256326603078</v>
      </c>
      <c r="BR137" s="91">
        <f>IFERROR(-Ka*_xlfn.LOGNORM.DIST((Tabella34[[#This Row],[Day]]-pa),mu_a,sigma_a,FALSE)*(1+(LN((Tabella34[[#This Row],[Day]]-pa))-mu_a)/sigma_a^2)/(Tabella34[[#This Row],[Day]]-pa),0)</f>
        <v>-40.195594235449271</v>
      </c>
      <c r="BS137" s="96">
        <f>Tabella34[[#This Row],[rest of Italy acc. fit]]/y_a_peak</f>
        <v>-1.18951821761438E-2</v>
      </c>
      <c r="BT137" s="141">
        <f>Tabella34[[#This Row],[rest of Italy acc. fit]]*NOT(ISBLANK(Tabella34[[#This Row],[rest of Italy data]]))</f>
        <v>0</v>
      </c>
      <c r="BU137" s="212"/>
      <c r="BV137" s="142"/>
    </row>
    <row r="138" spans="2:74" x14ac:dyDescent="0.3">
      <c r="B138" s="288">
        <v>43961</v>
      </c>
      <c r="C138" s="4">
        <v>131</v>
      </c>
      <c r="E138" s="10"/>
      <c r="F138" s="10"/>
      <c r="G138" s="141">
        <f>Tabella34[[#This Row],[Italy data]]*NOT(ISBLANK(Tabella34[[#This Row],[Italy data]]))</f>
        <v>0</v>
      </c>
      <c r="H138" s="163">
        <f>Tabella8[[#This Row],[Italy fit]]</f>
        <v>218950.18943699327</v>
      </c>
      <c r="I138" s="163" t="e">
        <f>_xlfn.LOGNORM.INV(alpha*Tabella34[[#This Row],[Italy cumul. Fit]]/Kt,mu_t,sigma_t)-(Tabella34[[#This Row],[Day]]-pt)</f>
        <v>#NUM!</v>
      </c>
      <c r="J138" s="163" t="e">
        <f>Tabella34[[#This Row],[Italy d.t.]]/Italy_dt_at_lockdown</f>
        <v>#NUM!</v>
      </c>
      <c r="K138" s="96">
        <f>Tabella34[[#This Row],[Italy cumul. Fit]]/Kf</f>
        <v>0.93170318799339791</v>
      </c>
      <c r="L138" s="166">
        <f>Tabella34[[#This Row],[Lombardy acc. fit]]+Tabella34[[#This Row],[rest of Italy acc. fit]]</f>
        <v>-57.363318311719176</v>
      </c>
      <c r="M138" s="96">
        <f>Tabella34[[#This Row],[Italy (fitted Lombardy + fitted sum of the other regions)]]/(y_l_peak+y_a_peak)</f>
        <v>-1.1166471032063736E-2</v>
      </c>
      <c r="N138" s="163">
        <f>IFERROR(Kt*_xlfn.LOGNORM.DIST((Tabella34[[#This Row],[Day]]-pt),mu_t,sigma_t,FALSE),0)</f>
        <v>1004.9081582577937</v>
      </c>
      <c r="O138" s="163">
        <f>Kt*EXP(-0.5*Tabella34[[#This Row],[x_t]]^2)/(sigma_t*SQRTPI(2)*(Tabella34[[#This Row],[Day]]-D_bk))</f>
        <v>1004.9081582577938</v>
      </c>
      <c r="P138" s="206">
        <f>Tabella34[[#This Row],[Italy velocity]]/Tabella34[[#This Row],[Italy cumul. Fit]]</f>
        <v>4.5896656259663731E-3</v>
      </c>
      <c r="Q138" s="269">
        <f>(LN(Tabella34[[#This Row],[Day]]-D_bk)-mu_t)/sigma_t</f>
        <v>1.4885966131485477</v>
      </c>
      <c r="R138" s="269">
        <f>EXP(mu_t+sigma_t*Tabella34[[#This Row],[x_t_alpha©+plus]])-(Tabella34[[#This Row],[Day]]-D_bk)</f>
        <v>11.429224007825482</v>
      </c>
      <c r="S138" s="269">
        <f>EXP(mu_t+sigma_t*Tabella34[[#This Row],[x_t_alpha©-minus]])-(Tabella34[[#This Row],[Day]]-D_bk)</f>
        <v>-70.193982009938708</v>
      </c>
      <c r="T138" s="269">
        <f>-sigma_t+SQRT(sigma_t^2-2*Tabella34[[#This Row],[c_t]])</f>
        <v>1.839770247370726</v>
      </c>
      <c r="U138" s="269">
        <f>-sigma_t-SQRT(sigma_t^2-2*Tabella34[[#This Row],[c_t]])</f>
        <v>-2.4590071532629634</v>
      </c>
      <c r="V138" s="269">
        <f>mu_t-LN(alpha*Kt/(Tabella34[[#This Row],[Italy velocity]]*sigma_t*SQRTPI(2)))</f>
        <v>-2.2620040993224935</v>
      </c>
      <c r="W138" s="269">
        <f>Tabella34[[#This Row],[Italy g.r.]]/Italy_gr_at_lockdown</f>
        <v>2.902015739774837E-2</v>
      </c>
      <c r="X138" s="269">
        <f>Tabella34[[#This Row],[t_alpha_t+plus]]</f>
        <v>11.429224007825482</v>
      </c>
      <c r="Y138" s="269">
        <f>Tabella34[[#This Row],[Italy h.t.]]/Italy_ht_at_lockdown</f>
        <v>0.20354736221622666</v>
      </c>
      <c r="Z138" s="91">
        <f>IFERROR(-Kf*_xlfn.LOGNORM.DIST((Tabella34[[#This Row],[Day]]-D_bk),mu_f,sigma_f,FALSE)*(1+(LN((Tabella34[[#This Row],[Day]]-D_bk))-mu_f)/sigma_f^2)/(Tabella34[[#This Row],[Day]]-D_bk),0)</f>
        <v>-58.653975556922667</v>
      </c>
      <c r="AA138" s="91">
        <f>Tabella34[[#This Row],[Italy acc. fit]]/Itali_acc_at_lockdown</f>
        <v>-0.24140726454961189</v>
      </c>
      <c r="AB138" s="96">
        <f>Tabella34[[#This Row],[Italy acc. fit]]/y_f_peak</f>
        <v>-1.1588004784047451E-2</v>
      </c>
      <c r="AC138" s="163">
        <f>Tabella34[[#This Row],[Italy (fitted Lombardy + fitted sum of the other regions)]]*NOT(ISBLANK(Tabella34[[#This Row],[Italy data]]))</f>
        <v>0</v>
      </c>
      <c r="AD138" s="163">
        <f>Tabella34[[#This Row],[Italy acc. fit]]*NOT(ISBLANK(Tabella34[[#This Row],[Italy data]]))</f>
        <v>0</v>
      </c>
      <c r="AE138" s="96">
        <f>Tabella34[[#This Row],[Italy acc. fit]]+CIf</f>
        <v>955.10902646339503</v>
      </c>
      <c r="AF138" s="96">
        <f>MAX(Tabella34[[#This Row],[Italy acc. fit]]-CIf,0)</f>
        <v>0</v>
      </c>
      <c r="AH138" s="10"/>
      <c r="AI138" s="10"/>
      <c r="AJ138" s="141">
        <f>Tabella34[[#This Row],[Lombardy data]]*NOT(ISBLANK(Tabella34[[#This Row],[Lombardy data]]))</f>
        <v>0</v>
      </c>
      <c r="AK138" s="96">
        <f>Tabella8[[#This Row],[Lombardy fit]]</f>
        <v>80276.373838365733</v>
      </c>
      <c r="AL138" s="163" t="e">
        <f>_xlfn.LOGNORM.INV(alpha*Tabella34[[#This Row],[Lombardy cumul. Fit]]/Kr,mu_r,sigma_r)-(Tabella34[[#This Row],[Day]]-pr)</f>
        <v>#NUM!</v>
      </c>
      <c r="AM138" s="96">
        <f>Tabella34[[#This Row],[Lombardy cumul. Fit]]/Kl</f>
        <v>0.92271694067087051</v>
      </c>
      <c r="AN138" s="96">
        <f>IFERROR(Kr*_xlfn.LOGNORM.DIST((Tabella34[[#This Row],[Day]]-pr),mu_r,sigma_r,FALSE),0)</f>
        <v>370.93739703769523</v>
      </c>
      <c r="AO138" s="209">
        <f>Tabella34[[#This Row],[Lombardy velocity]]/Tabella34[[#This Row],[Lombardy cumul. Fit]]</f>
        <v>4.6207542680560968E-3</v>
      </c>
      <c r="AP138" s="266">
        <f>(LN(Tabella34[[#This Row],[Day]]-pr)-mu_r)/sigma_r</f>
        <v>1.4235868017608413</v>
      </c>
      <c r="AQ138" s="269">
        <f>EXP(mu_r+sigma_r*Tabella34[[#This Row],[x_r_alpha©+plus]])-(Tabella34[[#This Row],[Day]]-pr)</f>
        <v>12.887921405748017</v>
      </c>
      <c r="AR138" s="269">
        <f>EXP(mu_r+sigma_r*Tabella34[[#This Row],[x_r_alpha©-minus]])-(Tabella34[[#This Row],[Day]]-pr)</f>
        <v>-73.190610107004531</v>
      </c>
      <c r="AS138" s="269">
        <f>-sigma_r+SQRT(sigma_r^2-2*Tabella34[[#This Row],[c_r]])</f>
        <v>1.7804310435327313</v>
      </c>
      <c r="AT138" s="269">
        <f>-sigma_r-SQRT(sigma_r^2-2*Tabella34[[#This Row],[c_r]])</f>
        <v>-2.4612856407264605</v>
      </c>
      <c r="AU138" s="269">
        <f>mu_r-LN(alpha*Kr/(Tabella34[[#This Row],[Lombardy velocity]]*sigma_r*SQRTPI(2)))</f>
        <v>-2.1910746808753698</v>
      </c>
      <c r="AV138" s="269">
        <f>Tabella34[[#This Row],[t_alpha_r+plus]]</f>
        <v>12.887921405748017</v>
      </c>
      <c r="AW138" s="91">
        <f>IFERROR(-Kl*_xlfn.LOGNORM.DIST((Tabella34[[#This Row],[Day]]-pl),mu_l,sigma_l,FALSE)*(1+(LN((Tabella34[[#This Row],[Day]]-pl))-mu_l)/sigma_l^2)/(Tabella34[[#This Row],[Day]]-pl),0)</f>
        <v>-19.263909901126588</v>
      </c>
      <c r="AX138" s="96">
        <f>Tabella34[[#This Row],[Lombardy acc. fit]]/y_l_peak</f>
        <v>-1.0958139250335616E-2</v>
      </c>
      <c r="AY138" s="163">
        <f>Tabella34[[#This Row],[Lombardy acc. fit]]*NOT(ISBLANK(Tabella34[[#This Row],[Lombardy data]]))</f>
        <v>0</v>
      </c>
      <c r="AZ138" s="96">
        <f>Tabella34[[#This Row],[Lombardy acc. fit]]+CIl</f>
        <v>729.69146190249705</v>
      </c>
      <c r="BA138" s="96">
        <f>MAX(Tabella34[[#This Row],[Lombardy acc. fit]]-CIl,0)</f>
        <v>0</v>
      </c>
      <c r="BC138" s="10"/>
      <c r="BD138" s="10"/>
      <c r="BE138" s="96">
        <f>Tabella34[[#This Row],[rest of Italy data]]*NOT(ISBLANK(Tabella34[[#This Row],[rest of Italy data]]))</f>
        <v>0</v>
      </c>
      <c r="BF138" s="96">
        <f>Tabella8[[#This Row],[rest of Italy fit]]</f>
        <v>138481.34618863615</v>
      </c>
      <c r="BG138" s="163" t="e">
        <f>_xlfn.LOGNORM.INV(alpha*Tabella34[[#This Row],[rest of Italy cumul. Fit]]/Ko,mu_o,sigma_o)-(Tabella34[[#This Row],[Day]]-po)</f>
        <v>#NUM!</v>
      </c>
      <c r="BH138" s="96">
        <f>Tabella34[[#This Row],[rest of Italy cumul. Fit]]/Ka</f>
        <v>0.9356848804693243</v>
      </c>
      <c r="BI138" s="163">
        <f>IFERROR(Ko*_xlfn.LOGNORM.DIST((Tabella34[[#This Row],[Day]]-po),mu_o,sigma_o,FALSE),0)</f>
        <v>620.61850395336728</v>
      </c>
      <c r="BJ138" s="206">
        <f>Tabella34[[#This Row],[rest of Italy velocity]]/Tabella34[[#This Row],[rest of Italy cumul. Fit]]</f>
        <v>4.4816036313510043E-3</v>
      </c>
      <c r="BK138" s="261">
        <f>(LN(Tabella34[[#This Row],[Day]]-po)-mu_o)/sigma_o</f>
        <v>1.5195256404660813</v>
      </c>
      <c r="BL138" s="269">
        <f>EXP(mu_o+sigma_o*Tabella34[[#This Row],[x_o_alpha©+plus]])-(Tabella34[[#This Row],[Day]]-po)</f>
        <v>10.918596258498482</v>
      </c>
      <c r="BM138" s="269">
        <f>EXP(mu_o+sigma_o*Tabella34[[#This Row],[x_o_alpha©-minus]])-(Tabella34[[#This Row],[Day]]-po)</f>
        <v>-67.717614600639294</v>
      </c>
      <c r="BN138" s="269">
        <f>-sigma_o+SQRT(sigma_o^2-2*Tabella34[[#This Row],[c_o]])</f>
        <v>1.863832730488058</v>
      </c>
      <c r="BO138" s="269">
        <f>-sigma_o-SQRT(sigma_o^2-2*Tabella34[[#This Row],[c_o]])</f>
        <v>-2.5068055077870843</v>
      </c>
      <c r="BP138" s="269">
        <f>mu_o-LN(alpha*Ko/(Tabella34[[#This Row],[rest of Italy velocity]]*sigma_o*SQRTPI(2)))</f>
        <v>-2.3361330771906523</v>
      </c>
      <c r="BQ138" s="269">
        <f>Tabella34[[#This Row],[t_alpha_o+plus]]</f>
        <v>10.918596258498482</v>
      </c>
      <c r="BR138" s="91">
        <f>IFERROR(-Ka*_xlfn.LOGNORM.DIST((Tabella34[[#This Row],[Day]]-pa),mu_a,sigma_a,FALSE)*(1+(LN((Tabella34[[#This Row],[Day]]-pa))-mu_a)/sigma_a^2)/(Tabella34[[#This Row],[Day]]-pa),0)</f>
        <v>-38.099408410592588</v>
      </c>
      <c r="BS138" s="96">
        <f>Tabella34[[#This Row],[rest of Italy acc. fit]]/y_a_peak</f>
        <v>-1.1274852691383246E-2</v>
      </c>
      <c r="BT138" s="141">
        <f>Tabella34[[#This Row],[rest of Italy acc. fit]]*NOT(ISBLANK(Tabella34[[#This Row],[rest of Italy data]]))</f>
        <v>0</v>
      </c>
      <c r="BU138" s="212"/>
      <c r="BV138" s="142"/>
    </row>
    <row r="139" spans="2:74" x14ac:dyDescent="0.3">
      <c r="B139" s="288">
        <v>43962</v>
      </c>
      <c r="C139" s="4">
        <v>132</v>
      </c>
      <c r="E139" s="10"/>
      <c r="F139" s="10"/>
      <c r="G139" s="141">
        <f>Tabella34[[#This Row],[Italy data]]*NOT(ISBLANK(Tabella34[[#This Row],[Italy data]]))</f>
        <v>0</v>
      </c>
      <c r="H139" s="163">
        <f>Tabella8[[#This Row],[Italy fit]]</f>
        <v>219926.25888901411</v>
      </c>
      <c r="I139" s="163" t="e">
        <f>_xlfn.LOGNORM.INV(alpha*Tabella34[[#This Row],[Italy cumul. Fit]]/Kt,mu_t,sigma_t)-(Tabella34[[#This Row],[Day]]-pt)</f>
        <v>#NUM!</v>
      </c>
      <c r="J139" s="163" t="e">
        <f>Tabella34[[#This Row],[Italy d.t.]]/Italy_dt_at_lockdown</f>
        <v>#NUM!</v>
      </c>
      <c r="K139" s="96">
        <f>Tabella34[[#This Row],[Italy cumul. Fit]]/Kf</f>
        <v>0.93585667615656976</v>
      </c>
      <c r="L139" s="166">
        <f>Tabella34[[#This Row],[Lombardy acc. fit]]+Tabella34[[#This Row],[rest of Italy acc. fit]]</f>
        <v>-54.486536381679215</v>
      </c>
      <c r="M139" s="96">
        <f>Tabella34[[#This Row],[Italy (fitted Lombardy + fitted sum of the other regions)]]/(y_l_peak+y_a_peak)</f>
        <v>-1.0606470267937911E-2</v>
      </c>
      <c r="N139" s="163">
        <f>IFERROR(Kt*_xlfn.LOGNORM.DIST((Tabella34[[#This Row],[Day]]-pt),mu_t,sigma_t,FALSE),0)</f>
        <v>947.71491909443876</v>
      </c>
      <c r="O139" s="163">
        <f>Kt*EXP(-0.5*Tabella34[[#This Row],[x_t]]^2)/(sigma_t*SQRTPI(2)*(Tabella34[[#This Row],[Day]]-D_bk))</f>
        <v>947.71491909443898</v>
      </c>
      <c r="P139" s="206">
        <f>Tabella34[[#This Row],[Italy velocity]]/Tabella34[[#This Row],[Italy cumul. Fit]]</f>
        <v>4.3092394872806146E-3</v>
      </c>
      <c r="Q139" s="269">
        <f>(LN(Tabella34[[#This Row],[Day]]-D_bk)-mu_t)/sigma_t</f>
        <v>1.5208931720859251</v>
      </c>
      <c r="R139" s="269">
        <f>EXP(mu_t+sigma_t*Tabella34[[#This Row],[x_t_alpha©+plus]])-(Tabella34[[#This Row],[Day]]-D_bk)</f>
        <v>11.363663486934527</v>
      </c>
      <c r="S139" s="269">
        <f>EXP(mu_t+sigma_t*Tabella34[[#This Row],[x_t_alpha©-minus]])-(Tabella34[[#This Row],[Day]]-D_bk)</f>
        <v>-71.438815401912933</v>
      </c>
      <c r="T139" s="269">
        <f>-sigma_t+SQRT(sigma_t^2-2*Tabella34[[#This Row],[c_t]])</f>
        <v>1.8668620019390947</v>
      </c>
      <c r="U139" s="269">
        <f>-sigma_t-SQRT(sigma_t^2-2*Tabella34[[#This Row],[c_t]])</f>
        <v>-2.486098907831332</v>
      </c>
      <c r="V139" s="269">
        <f>mu_t-LN(alpha*Kt/(Tabella34[[#This Row],[Italy velocity]]*sigma_t*SQRTPI(2)))</f>
        <v>-2.3206017920462987</v>
      </c>
      <c r="W139" s="269">
        <f>Tabella34[[#This Row],[Italy g.r.]]/Italy_gr_at_lockdown</f>
        <v>2.7247041152185267E-2</v>
      </c>
      <c r="X139" s="269">
        <f>Tabella34[[#This Row],[t_alpha_t+plus]]</f>
        <v>11.363663486934527</v>
      </c>
      <c r="Y139" s="269">
        <f>Tabella34[[#This Row],[Italy h.t.]]/Italy_ht_at_lockdown</f>
        <v>0.20237977016590558</v>
      </c>
      <c r="Z139" s="91">
        <f>IFERROR(-Kf*_xlfn.LOGNORM.DIST((Tabella34[[#This Row],[Day]]-D_bk),mu_f,sigma_f,FALSE)*(1+(LN((Tabella34[[#This Row],[Day]]-D_bk))-mu_f)/sigma_f^2)/(Tabella34[[#This Row],[Day]]-D_bk),0)</f>
        <v>-55.7489744821142</v>
      </c>
      <c r="AA139" s="91">
        <f>Tabella34[[#This Row],[Italy acc. fit]]/Itali_acc_at_lockdown</f>
        <v>-0.22945089916560471</v>
      </c>
      <c r="AB139" s="96">
        <f>Tabella34[[#This Row],[Italy acc. fit]]/y_f_peak</f>
        <v>-1.1014076656705528E-2</v>
      </c>
      <c r="AC139" s="163">
        <f>Tabella34[[#This Row],[Italy (fitted Lombardy + fitted sum of the other regions)]]*NOT(ISBLANK(Tabella34[[#This Row],[Italy data]]))</f>
        <v>0</v>
      </c>
      <c r="AD139" s="163">
        <f>Tabella34[[#This Row],[Italy acc. fit]]*NOT(ISBLANK(Tabella34[[#This Row],[Italy data]]))</f>
        <v>0</v>
      </c>
      <c r="AE139" s="96">
        <f>Tabella34[[#This Row],[Italy acc. fit]]+CIf</f>
        <v>958.01402753820344</v>
      </c>
      <c r="AF139" s="96">
        <f>MAX(Tabella34[[#This Row],[Italy acc. fit]]-CIf,0)</f>
        <v>0</v>
      </c>
      <c r="AH139" s="10"/>
      <c r="AI139" s="10"/>
      <c r="AJ139" s="141">
        <f>Tabella34[[#This Row],[Lombardy data]]*NOT(ISBLANK(Tabella34[[#This Row],[Lombardy data]]))</f>
        <v>0</v>
      </c>
      <c r="AK139" s="96">
        <f>Tabella8[[#This Row],[Lombardy fit]]</f>
        <v>80637.823518680394</v>
      </c>
      <c r="AL139" s="163" t="e">
        <f>_xlfn.LOGNORM.INV(alpha*Tabella34[[#This Row],[Lombardy cumul. Fit]]/Kr,mu_r,sigma_r)-(Tabella34[[#This Row],[Day]]-pr)</f>
        <v>#NUM!</v>
      </c>
      <c r="AM139" s="96">
        <f>Tabella34[[#This Row],[Lombardy cumul. Fit]]/Kl</f>
        <v>0.92687153469747574</v>
      </c>
      <c r="AN139" s="96">
        <f>IFERROR(Kr*_xlfn.LOGNORM.DIST((Tabella34[[#This Row],[Day]]-pr),mu_r,sigma_r,FALSE),0)</f>
        <v>352.10510165754272</v>
      </c>
      <c r="AO139" s="209">
        <f>Tabella34[[#This Row],[Lombardy velocity]]/Tabella34[[#This Row],[Lombardy cumul. Fit]]</f>
        <v>4.3665005613150601E-3</v>
      </c>
      <c r="AP139" s="266">
        <f>(LN(Tabella34[[#This Row],[Day]]-pr)-mu_r)/sigma_r</f>
        <v>1.4528805194177059</v>
      </c>
      <c r="AQ139" s="269">
        <f>EXP(mu_r+sigma_r*Tabella34[[#This Row],[x_r_alpha©+plus]])-(Tabella34[[#This Row],[Day]]-pr)</f>
        <v>12.828695344257341</v>
      </c>
      <c r="AR139" s="269">
        <f>EXP(mu_r+sigma_r*Tabella34[[#This Row],[x_r_alpha©-minus]])-(Tabella34[[#This Row],[Day]]-pr)</f>
        <v>-74.410778187491616</v>
      </c>
      <c r="AS139" s="269">
        <f>-sigma_r+SQRT(sigma_r^2-2*Tabella34[[#This Row],[c_r]])</f>
        <v>1.8048575988636273</v>
      </c>
      <c r="AT139" s="269">
        <f>-sigma_r-SQRT(sigma_r^2-2*Tabella34[[#This Row],[c_r]])</f>
        <v>-2.4857121960573565</v>
      </c>
      <c r="AU139" s="269">
        <f>mu_r-LN(alpha*Kr/(Tabella34[[#This Row],[Lombardy velocity]]*sigma_r*SQRTPI(2)))</f>
        <v>-2.2431782728210568</v>
      </c>
      <c r="AV139" s="269">
        <f>Tabella34[[#This Row],[t_alpha_r+plus]]</f>
        <v>12.828695344257341</v>
      </c>
      <c r="AW139" s="91">
        <f>IFERROR(-Kl*_xlfn.LOGNORM.DIST((Tabella34[[#This Row],[Day]]-pl),mu_l,sigma_l,FALSE)*(1+(LN((Tabella34[[#This Row],[Day]]-pl))-mu_l)/sigma_l^2)/(Tabella34[[#This Row],[Day]]-pl),0)</f>
        <v>-18.40509126492115</v>
      </c>
      <c r="AX139" s="96">
        <f>Tabella34[[#This Row],[Lombardy acc. fit]]/y_l_peak</f>
        <v>-1.0469606327651412E-2</v>
      </c>
      <c r="AY139" s="163">
        <f>Tabella34[[#This Row],[Lombardy acc. fit]]*NOT(ISBLANK(Tabella34[[#This Row],[Lombardy data]]))</f>
        <v>0</v>
      </c>
      <c r="AZ139" s="96">
        <f>Tabella34[[#This Row],[Lombardy acc. fit]]+CIl</f>
        <v>730.55028053870251</v>
      </c>
      <c r="BA139" s="96">
        <f>MAX(Tabella34[[#This Row],[Lombardy acc. fit]]-CIl,0)</f>
        <v>0</v>
      </c>
      <c r="BC139" s="10"/>
      <c r="BD139" s="10"/>
      <c r="BE139" s="96">
        <f>Tabella34[[#This Row],[rest of Italy data]]*NOT(ISBLANK(Tabella34[[#This Row],[rest of Italy data]]))</f>
        <v>0</v>
      </c>
      <c r="BF139" s="96">
        <f>Tabella8[[#This Row],[rest of Italy fit]]</f>
        <v>139083.25459424485</v>
      </c>
      <c r="BG139" s="163" t="e">
        <f>_xlfn.LOGNORM.INV(alpha*Tabella34[[#This Row],[rest of Italy cumul. Fit]]/Ko,mu_o,sigma_o)-(Tabella34[[#This Row],[Day]]-po)</f>
        <v>#NUM!</v>
      </c>
      <c r="BH139" s="96">
        <f>Tabella34[[#This Row],[rest of Italy cumul. Fit]]/Ka</f>
        <v>0.93975182962930925</v>
      </c>
      <c r="BI139" s="163">
        <f>IFERROR(Ko*_xlfn.LOGNORM.DIST((Tabella34[[#This Row],[Day]]-po),mu_o,sigma_o,FALSE),0)</f>
        <v>583.53463655676308</v>
      </c>
      <c r="BJ139" s="206">
        <f>Tabella34[[#This Row],[rest of Italy velocity]]/Tabella34[[#This Row],[rest of Italy cumul. Fit]]</f>
        <v>4.1955779526380828E-3</v>
      </c>
      <c r="BK139" s="261">
        <f>(LN(Tabella34[[#This Row],[Day]]-po)-mu_o)/sigma_o</f>
        <v>1.552693647268208</v>
      </c>
      <c r="BL139" s="269">
        <f>EXP(mu_o+sigma_o*Tabella34[[#This Row],[x_o_alpha©+plus]])-(Tabella34[[#This Row],[Day]]-po)</f>
        <v>10.861295844844605</v>
      </c>
      <c r="BM139" s="269">
        <f>EXP(mu_o+sigma_o*Tabella34[[#This Row],[x_o_alpha©-minus]])-(Tabella34[[#This Row],[Day]]-po)</f>
        <v>-68.946825082271971</v>
      </c>
      <c r="BN139" s="269">
        <f>-sigma_o+SQRT(sigma_o^2-2*Tabella34[[#This Row],[c_o]])</f>
        <v>1.8918471081720662</v>
      </c>
      <c r="BO139" s="269">
        <f>-sigma_o-SQRT(sigma_o^2-2*Tabella34[[#This Row],[c_o]])</f>
        <v>-2.5348198854710926</v>
      </c>
      <c r="BP139" s="269">
        <f>mu_o-LN(alpha*Ko/(Tabella34[[#This Row],[rest of Italy velocity]]*sigma_o*SQRTPI(2)))</f>
        <v>-2.3977458350327669</v>
      </c>
      <c r="BQ139" s="269">
        <f>Tabella34[[#This Row],[t_alpha_o+plus]]</f>
        <v>10.861295844844605</v>
      </c>
      <c r="BR139" s="91">
        <f>IFERROR(-Ka*_xlfn.LOGNORM.DIST((Tabella34[[#This Row],[Day]]-pa),mu_a,sigma_a,FALSE)*(1+(LN((Tabella34[[#This Row],[Day]]-pa))-mu_a)/sigma_a^2)/(Tabella34[[#This Row],[Day]]-pa),0)</f>
        <v>-36.081445116758061</v>
      </c>
      <c r="BS139" s="96">
        <f>Tabella34[[#This Row],[rest of Italy acc. fit]]/y_a_peak</f>
        <v>-1.0677671794782313E-2</v>
      </c>
      <c r="BT139" s="141">
        <f>Tabella34[[#This Row],[rest of Italy acc. fit]]*NOT(ISBLANK(Tabella34[[#This Row],[rest of Italy data]]))</f>
        <v>0</v>
      </c>
      <c r="BU139" s="212"/>
      <c r="BV139" s="142"/>
    </row>
    <row r="140" spans="2:74" x14ac:dyDescent="0.3">
      <c r="B140" s="288">
        <v>43963</v>
      </c>
      <c r="C140" s="4">
        <v>133</v>
      </c>
      <c r="E140" s="10"/>
      <c r="F140" s="10"/>
      <c r="G140" s="141">
        <f>Tabella34[[#This Row],[Italy data]]*NOT(ISBLANK(Tabella34[[#This Row],[Italy data]]))</f>
        <v>0</v>
      </c>
      <c r="H140" s="163">
        <f>Tabella8[[#This Row],[Italy fit]]</f>
        <v>220846.57104323604</v>
      </c>
      <c r="I140" s="163" t="e">
        <f>_xlfn.LOGNORM.INV(alpha*Tabella34[[#This Row],[Italy cumul. Fit]]/Kt,mu_t,sigma_t)-(Tabella34[[#This Row],[Day]]-pt)</f>
        <v>#NUM!</v>
      </c>
      <c r="J140" s="163" t="e">
        <f>Tabella34[[#This Row],[Italy d.t.]]/Italy_dt_at_lockdown</f>
        <v>#NUM!</v>
      </c>
      <c r="K140" s="96">
        <f>Tabella34[[#This Row],[Italy cumul. Fit]]/Kf</f>
        <v>0.93977289915798623</v>
      </c>
      <c r="L140" s="166">
        <f>Tabella34[[#This Row],[Lombardy acc. fit]]+Tabella34[[#This Row],[rest of Italy acc. fit]]</f>
        <v>-51.715452605363886</v>
      </c>
      <c r="M140" s="96">
        <f>Tabella34[[#This Row],[Italy (fitted Lombardy + fitted sum of the other regions)]]/(y_l_peak+y_a_peak)</f>
        <v>-1.0067044941329404E-2</v>
      </c>
      <c r="N140" s="163">
        <f>IFERROR(Kt*_xlfn.LOGNORM.DIST((Tabella34[[#This Row],[Day]]-pt),mu_t,sigma_t,FALSE),0)</f>
        <v>893.37692062482665</v>
      </c>
      <c r="O140" s="163">
        <f>Kt*EXP(-0.5*Tabella34[[#This Row],[x_t]]^2)/(sigma_t*SQRTPI(2)*(Tabella34[[#This Row],[Day]]-D_bk))</f>
        <v>893.37692062482574</v>
      </c>
      <c r="P140" s="206">
        <f>Tabella34[[#This Row],[Italy velocity]]/Tabella34[[#This Row],[Italy cumul. Fit]]</f>
        <v>4.0452379061385862E-3</v>
      </c>
      <c r="Q140" s="269">
        <f>(LN(Tabella34[[#This Row],[Day]]-D_bk)-mu_t)/sigma_t</f>
        <v>1.5528699728291471</v>
      </c>
      <c r="R140" s="269">
        <f>EXP(mu_t+sigma_t*Tabella34[[#This Row],[x_t_alpha©+plus]])-(Tabella34[[#This Row],[Day]]-D_bk)</f>
        <v>11.301432946374319</v>
      </c>
      <c r="S140" s="269">
        <f>EXP(mu_t+sigma_t*Tabella34[[#This Row],[x_t_alpha©-minus]])-(Tabella34[[#This Row],[Day]]-D_bk)</f>
        <v>-72.68044338073318</v>
      </c>
      <c r="T140" s="269">
        <f>-sigma_t+SQRT(sigma_t^2-2*Tabella34[[#This Row],[c_t]])</f>
        <v>1.893823739911846</v>
      </c>
      <c r="U140" s="269">
        <f>-sigma_t-SQRT(sigma_t^2-2*Tabella34[[#This Row],[c_t]])</f>
        <v>-2.5130606458040834</v>
      </c>
      <c r="V140" s="269">
        <f>mu_t-LN(alpha*Kt/(Tabella34[[#This Row],[Italy velocity]]*sigma_t*SQRTPI(2)))</f>
        <v>-2.3796469554309843</v>
      </c>
      <c r="W140" s="269">
        <f>Tabella34[[#This Row],[Italy g.r.]]/Italy_gr_at_lockdown</f>
        <v>2.557777631627841E-2</v>
      </c>
      <c r="X140" s="269">
        <f>Tabella34[[#This Row],[t_alpha_t+plus]]</f>
        <v>11.301432946374319</v>
      </c>
      <c r="Y140" s="269">
        <f>Tabella34[[#This Row],[Italy h.t.]]/Italy_ht_at_lockdown</f>
        <v>0.20127148299158409</v>
      </c>
      <c r="Z140" s="91">
        <f>IFERROR(-Kf*_xlfn.LOGNORM.DIST((Tabella34[[#This Row],[Day]]-D_bk),mu_f,sigma_f,FALSE)*(1+(LN((Tabella34[[#This Row],[Day]]-D_bk))-mu_f)/sigma_f^2)/(Tabella34[[#This Row],[Day]]-D_bk),0)</f>
        <v>-52.943811821223029</v>
      </c>
      <c r="AA140" s="91">
        <f>Tabella34[[#This Row],[Italy acc. fit]]/Itali_acc_at_lockdown</f>
        <v>-0.21790544741825896</v>
      </c>
      <c r="AB140" s="96">
        <f>Tabella34[[#This Row],[Italy acc. fit]]/y_f_peak</f>
        <v>-1.0459873160253845E-2</v>
      </c>
      <c r="AC140" s="163">
        <f>Tabella34[[#This Row],[Italy (fitted Lombardy + fitted sum of the other regions)]]*NOT(ISBLANK(Tabella34[[#This Row],[Italy data]]))</f>
        <v>0</v>
      </c>
      <c r="AD140" s="163">
        <f>Tabella34[[#This Row],[Italy acc. fit]]*NOT(ISBLANK(Tabella34[[#This Row],[Italy data]]))</f>
        <v>0</v>
      </c>
      <c r="AE140" s="96">
        <f>Tabella34[[#This Row],[Italy acc. fit]]+CIf</f>
        <v>960.81919019909469</v>
      </c>
      <c r="AF140" s="96">
        <f>MAX(Tabella34[[#This Row],[Italy acc. fit]]-CIf,0)</f>
        <v>0</v>
      </c>
      <c r="AH140" s="10"/>
      <c r="AI140" s="10"/>
      <c r="AJ140" s="141">
        <f>Tabella34[[#This Row],[Lombardy data]]*NOT(ISBLANK(Tabella34[[#This Row],[Lombardy data]]))</f>
        <v>0</v>
      </c>
      <c r="AK140" s="96">
        <f>Tabella8[[#This Row],[Lombardy fit]]</f>
        <v>80980.86588033702</v>
      </c>
      <c r="AL140" s="163" t="e">
        <f>_xlfn.LOGNORM.INV(alpha*Tabella34[[#This Row],[Lombardy cumul. Fit]]/Kr,mu_r,sigma_r)-(Tabella34[[#This Row],[Day]]-pr)</f>
        <v>#NUM!</v>
      </c>
      <c r="AM140" s="96">
        <f>Tabella34[[#This Row],[Lombardy cumul. Fit]]/Kl</f>
        <v>0.93081455034870142</v>
      </c>
      <c r="AN140" s="96">
        <f>IFERROR(Kr*_xlfn.LOGNORM.DIST((Tabella34[[#This Row],[Day]]-pr),mu_r,sigma_r,FALSE),0)</f>
        <v>334.1183060046618</v>
      </c>
      <c r="AO140" s="209">
        <f>Tabella34[[#This Row],[Lombardy velocity]]/Tabella34[[#This Row],[Lombardy cumul. Fit]]</f>
        <v>4.125891991552404E-3</v>
      </c>
      <c r="AP140" s="266">
        <f>(LN(Tabella34[[#This Row],[Day]]-pr)-mu_r)/sigma_r</f>
        <v>1.4818849910544318</v>
      </c>
      <c r="AQ140" s="269">
        <f>EXP(mu_r+sigma_r*Tabella34[[#This Row],[x_r_alpha©+plus]])-(Tabella34[[#This Row],[Day]]-pr)</f>
        <v>12.77254971560518</v>
      </c>
      <c r="AR140" s="269">
        <f>EXP(mu_r+sigma_r*Tabella34[[#This Row],[x_r_alpha©-minus]])-(Tabella34[[#This Row],[Day]]-pr)</f>
        <v>-75.628033022818798</v>
      </c>
      <c r="AS140" s="269">
        <f>-sigma_r+SQRT(sigma_r^2-2*Tabella34[[#This Row],[c_r]])</f>
        <v>1.8291617044481923</v>
      </c>
      <c r="AT140" s="269">
        <f>-sigma_r-SQRT(sigma_r^2-2*Tabella34[[#This Row],[c_r]])</f>
        <v>-2.5100163016419215</v>
      </c>
      <c r="AU140" s="269">
        <f>mu_r-LN(alpha*Kr/(Tabella34[[#This Row],[Lombardy velocity]]*sigma_r*SQRTPI(2)))</f>
        <v>-2.2956128482520421</v>
      </c>
      <c r="AV140" s="269">
        <f>Tabella34[[#This Row],[t_alpha_r+plus]]</f>
        <v>12.77254971560518</v>
      </c>
      <c r="AW140" s="91">
        <f>IFERROR(-Kl*_xlfn.LOGNORM.DIST((Tabella34[[#This Row],[Day]]-pl),mu_l,sigma_l,FALSE)*(1+(LN((Tabella34[[#This Row],[Day]]-pl))-mu_l)/sigma_l^2)/(Tabella34[[#This Row],[Day]]-pl),0)</f>
        <v>-17.572991722059733</v>
      </c>
      <c r="AX140" s="96">
        <f>Tabella34[[#This Row],[Lombardy acc. fit]]/y_l_peak</f>
        <v>-9.9962723727265741E-3</v>
      </c>
      <c r="AY140" s="163">
        <f>Tabella34[[#This Row],[Lombardy acc. fit]]*NOT(ISBLANK(Tabella34[[#This Row],[Lombardy data]]))</f>
        <v>0</v>
      </c>
      <c r="AZ140" s="96">
        <f>Tabella34[[#This Row],[Lombardy acc. fit]]+CIl</f>
        <v>731.38238008156384</v>
      </c>
      <c r="BA140" s="96">
        <f>MAX(Tabella34[[#This Row],[Lombardy acc. fit]]-CIl,0)</f>
        <v>0</v>
      </c>
      <c r="BC140" s="10"/>
      <c r="BD140" s="10"/>
      <c r="BE140" s="96">
        <f>Tabella34[[#This Row],[rest of Italy data]]*NOT(ISBLANK(Tabella34[[#This Row],[rest of Italy data]]))</f>
        <v>0</v>
      </c>
      <c r="BF140" s="96">
        <f>Tabella8[[#This Row],[rest of Italy fit]]</f>
        <v>139649.07497077979</v>
      </c>
      <c r="BG140" s="163" t="e">
        <f>_xlfn.LOGNORM.INV(alpha*Tabella34[[#This Row],[rest of Italy cumul. Fit]]/Ko,mu_o,sigma_o)-(Tabella34[[#This Row],[Day]]-po)</f>
        <v>#NUM!</v>
      </c>
      <c r="BH140" s="96">
        <f>Tabella34[[#This Row],[rest of Italy cumul. Fit]]/Ka</f>
        <v>0.94357494072662651</v>
      </c>
      <c r="BI140" s="163">
        <f>IFERROR(Ko*_xlfn.LOGNORM.DIST((Tabella34[[#This Row],[Day]]-po),mu_o,sigma_o,FALSE),0)</f>
        <v>548.42928104988653</v>
      </c>
      <c r="BJ140" s="206">
        <f>Tabella34[[#This Row],[rest of Italy velocity]]/Tabella34[[#This Row],[rest of Italy cumul. Fit]]</f>
        <v>3.9271959457278178E-3</v>
      </c>
      <c r="BK140" s="261">
        <f>(LN(Tabella34[[#This Row],[Day]]-po)-mu_o)/sigma_o</f>
        <v>1.5855117097310152</v>
      </c>
      <c r="BL140" s="269">
        <f>EXP(mu_o+sigma_o*Tabella34[[#This Row],[x_o_alpha©+plus]])-(Tabella34[[#This Row],[Day]]-po)</f>
        <v>10.807165863258049</v>
      </c>
      <c r="BM140" s="269">
        <f>EXP(mu_o+sigma_o*Tabella34[[#This Row],[x_o_alpha©-minus]])-(Tabella34[[#This Row],[Day]]-po)</f>
        <v>-70.172712389818955</v>
      </c>
      <c r="BN140" s="269">
        <f>-sigma_o+SQRT(sigma_o^2-2*Tabella34[[#This Row],[c_o]])</f>
        <v>1.9197043904558364</v>
      </c>
      <c r="BO140" s="269">
        <f>-sigma_o-SQRT(sigma_o^2-2*Tabella34[[#This Row],[c_o]])</f>
        <v>-2.5626771677548628</v>
      </c>
      <c r="BP140" s="269">
        <f>mu_o-LN(alpha*Ko/(Tabella34[[#This Row],[rest of Italy velocity]]*sigma_o*SQRTPI(2)))</f>
        <v>-2.4597913051299685</v>
      </c>
      <c r="BQ140" s="269">
        <f>Tabella34[[#This Row],[t_alpha_o+plus]]</f>
        <v>10.807165863258049</v>
      </c>
      <c r="BR140" s="91">
        <f>IFERROR(-Ka*_xlfn.LOGNORM.DIST((Tabella34[[#This Row],[Day]]-pa),mu_a,sigma_a,FALSE)*(1+(LN((Tabella34[[#This Row],[Day]]-pa))-mu_a)/sigma_a^2)/(Tabella34[[#This Row],[Day]]-pa),0)</f>
        <v>-34.142460883304153</v>
      </c>
      <c r="BS140" s="96">
        <f>Tabella34[[#This Row],[rest of Italy acc. fit]]/y_a_peak</f>
        <v>-1.0103863367955681E-2</v>
      </c>
      <c r="BT140" s="141">
        <f>Tabella34[[#This Row],[rest of Italy acc. fit]]*NOT(ISBLANK(Tabella34[[#This Row],[rest of Italy data]]))</f>
        <v>0</v>
      </c>
      <c r="BU140" s="212"/>
      <c r="BV140" s="142"/>
    </row>
    <row r="141" spans="2:74" x14ac:dyDescent="0.3">
      <c r="B141" s="288">
        <v>43964</v>
      </c>
      <c r="C141" s="4">
        <v>134</v>
      </c>
      <c r="E141" s="10"/>
      <c r="F141" s="10"/>
      <c r="G141" s="141">
        <f>Tabella34[[#This Row],[Italy data]]*NOT(ISBLANK(Tabella34[[#This Row],[Italy data]]))</f>
        <v>0</v>
      </c>
      <c r="H141" s="163">
        <f>Tabella8[[#This Row],[Italy fit]]</f>
        <v>221713.93093691496</v>
      </c>
      <c r="I141" s="163" t="e">
        <f>_xlfn.LOGNORM.INV(alpha*Tabella34[[#This Row],[Italy cumul. Fit]]/Kt,mu_t,sigma_t)-(Tabella34[[#This Row],[Day]]-pt)</f>
        <v>#NUM!</v>
      </c>
      <c r="J141" s="163" t="e">
        <f>Tabella34[[#This Row],[Italy d.t.]]/Italy_dt_at_lockdown</f>
        <v>#NUM!</v>
      </c>
      <c r="K141" s="96">
        <f>Tabella34[[#This Row],[Italy cumul. Fit]]/Kf</f>
        <v>0.94346379332965269</v>
      </c>
      <c r="L141" s="166">
        <f>Tabella34[[#This Row],[Lombardy acc. fit]]+Tabella34[[#This Row],[rest of Italy acc. fit]]</f>
        <v>-49.050649526334098</v>
      </c>
      <c r="M141" s="96">
        <f>Tabella34[[#This Row],[Italy (fitted Lombardy + fitted sum of the other regions)]]/(y_l_peak+y_a_peak)</f>
        <v>-9.5483084514624769E-3</v>
      </c>
      <c r="N141" s="163">
        <f>IFERROR(Kt*_xlfn.LOGNORM.DIST((Tabella34[[#This Row],[Day]]-pt),mu_t,sigma_t,FALSE),0)</f>
        <v>841.79350463715036</v>
      </c>
      <c r="O141" s="163">
        <f>Kt*EXP(-0.5*Tabella34[[#This Row],[x_t]]^2)/(sigma_t*SQRTPI(2)*(Tabella34[[#This Row],[Day]]-D_bk))</f>
        <v>841.79350463715105</v>
      </c>
      <c r="P141" s="206">
        <f>Tabella34[[#This Row],[Italy velocity]]/Tabella34[[#This Row],[Italy cumul. Fit]]</f>
        <v>3.7967551298193746E-3</v>
      </c>
      <c r="Q141" s="269">
        <f>(LN(Tabella34[[#This Row],[Day]]-D_bk)-mu_t)/sigma_t</f>
        <v>1.5845332850083056</v>
      </c>
      <c r="R141" s="269">
        <f>EXP(mu_t+sigma_t*Tabella34[[#This Row],[x_t_alpha©+plus]])-(Tabella34[[#This Row],[Day]]-D_bk)</f>
        <v>11.242353695989664</v>
      </c>
      <c r="S141" s="269">
        <f>EXP(mu_t+sigma_t*Tabella34[[#This Row],[x_t_alpha©-minus]])-(Tabella34[[#This Row],[Day]]-D_bk)</f>
        <v>-73.918879097984714</v>
      </c>
      <c r="T141" s="269">
        <f>-sigma_t+SQRT(sigma_t^2-2*Tabella34[[#This Row],[c_t]])</f>
        <v>1.9206517476160594</v>
      </c>
      <c r="U141" s="269">
        <f>-sigma_t-SQRT(sigma_t^2-2*Tabella34[[#This Row],[c_t]])</f>
        <v>-2.5398886535082967</v>
      </c>
      <c r="V141" s="269">
        <f>mu_t-LN(alpha*Kt/(Tabella34[[#This Row],[Italy velocity]]*sigma_t*SQRTPI(2)))</f>
        <v>-2.4391207905554548</v>
      </c>
      <c r="W141" s="269">
        <f>Tabella34[[#This Row],[Italy g.r.]]/Italy_gr_at_lockdown</f>
        <v>2.4006635874452713E-2</v>
      </c>
      <c r="X141" s="269">
        <f>Tabella34[[#This Row],[t_alpha_t+plus]]</f>
        <v>11.242353695989664</v>
      </c>
      <c r="Y141" s="269">
        <f>Tabella34[[#This Row],[Italy h.t.]]/Italy_ht_at_lockdown</f>
        <v>0.20021931833287454</v>
      </c>
      <c r="Z141" s="91">
        <f>IFERROR(-Kf*_xlfn.LOGNORM.DIST((Tabella34[[#This Row],[Day]]-D_bk),mu_f,sigma_f,FALSE)*(1+(LN((Tabella34[[#This Row],[Day]]-D_bk))-mu_f)/sigma_f^2)/(Tabella34[[#This Row],[Day]]-D_bk),0)</f>
        <v>-50.239997165745656</v>
      </c>
      <c r="AA141" s="91">
        <f>Tabella34[[#This Row],[Italy acc. fit]]/Itali_acc_at_lockdown</f>
        <v>-0.20677712246448851</v>
      </c>
      <c r="AB141" s="96">
        <f>Tabella34[[#This Row],[Italy acc. fit]]/y_f_peak</f>
        <v>-9.92569253796265E-3</v>
      </c>
      <c r="AC141" s="163">
        <f>Tabella34[[#This Row],[Italy (fitted Lombardy + fitted sum of the other regions)]]*NOT(ISBLANK(Tabella34[[#This Row],[Italy data]]))</f>
        <v>0</v>
      </c>
      <c r="AD141" s="163">
        <f>Tabella34[[#This Row],[Italy acc. fit]]*NOT(ISBLANK(Tabella34[[#This Row],[Italy data]]))</f>
        <v>0</v>
      </c>
      <c r="AE141" s="96">
        <f>Tabella34[[#This Row],[Italy acc. fit]]+CIf</f>
        <v>963.52300485457204</v>
      </c>
      <c r="AF141" s="96">
        <f>MAX(Tabella34[[#This Row],[Italy acc. fit]]-CIf,0)</f>
        <v>0</v>
      </c>
      <c r="AH141" s="10"/>
      <c r="AI141" s="10"/>
      <c r="AJ141" s="141">
        <f>Tabella34[[#This Row],[Lombardy data]]*NOT(ISBLANK(Tabella34[[#This Row],[Lombardy data]]))</f>
        <v>0</v>
      </c>
      <c r="AK141" s="96">
        <f>Tabella8[[#This Row],[Lombardy fit]]</f>
        <v>81306.332990023977</v>
      </c>
      <c r="AL141" s="163" t="e">
        <f>_xlfn.LOGNORM.INV(alpha*Tabella34[[#This Row],[Lombardy cumul. Fit]]/Kr,mu_r,sigma_r)-(Tabella34[[#This Row],[Day]]-pr)</f>
        <v>#NUM!</v>
      </c>
      <c r="AM141" s="96">
        <f>Tabella34[[#This Row],[Lombardy cumul. Fit]]/Kl</f>
        <v>0.93455555160947101</v>
      </c>
      <c r="AN141" s="96">
        <f>IFERROR(Kr*_xlfn.LOGNORM.DIST((Tabella34[[#This Row],[Day]]-pr),mu_r,sigma_r,FALSE),0)</f>
        <v>316.95007817583087</v>
      </c>
      <c r="AO141" s="209">
        <f>Tabella34[[#This Row],[Lombardy velocity]]/Tabella34[[#This Row],[Lombardy cumul. Fit]]</f>
        <v>3.8982212887982491E-3</v>
      </c>
      <c r="AP141" s="266">
        <f>(LN(Tabella34[[#This Row],[Day]]-pr)-mu_r)/sigma_r</f>
        <v>1.5106058728944847</v>
      </c>
      <c r="AQ141" s="269">
        <f>EXP(mu_r+sigma_r*Tabella34[[#This Row],[x_r_alpha©+plus]])-(Tabella34[[#This Row],[Day]]-pr)</f>
        <v>12.719327677001672</v>
      </c>
      <c r="AR141" s="269">
        <f>EXP(mu_r+sigma_r*Tabella34[[#This Row],[x_r_alpha©-minus]])-(Tabella34[[#This Row],[Day]]-pr)</f>
        <v>-76.842393431973846</v>
      </c>
      <c r="AS141" s="269">
        <f>-sigma_r+SQRT(sigma_r^2-2*Tabella34[[#This Row],[c_r]])</f>
        <v>1.8533407299515532</v>
      </c>
      <c r="AT141" s="269">
        <f>-sigma_r-SQRT(sigma_r^2-2*Tabella34[[#This Row],[c_r]])</f>
        <v>-2.5341953271452824</v>
      </c>
      <c r="AU141" s="269">
        <f>mu_r-LN(alpha*Kr/(Tabella34[[#This Row],[Lombardy velocity]]*sigma_r*SQRTPI(2)))</f>
        <v>-2.3483637087256266</v>
      </c>
      <c r="AV141" s="269">
        <f>Tabella34[[#This Row],[t_alpha_r+plus]]</f>
        <v>12.719327677001672</v>
      </c>
      <c r="AW141" s="91">
        <f>IFERROR(-Kl*_xlfn.LOGNORM.DIST((Tabella34[[#This Row],[Day]]-pl),mu_l,sigma_l,FALSE)*(1+(LN((Tabella34[[#This Row],[Day]]-pl))-mu_l)/sigma_l^2)/(Tabella34[[#This Row],[Day]]-pl),0)</f>
        <v>-16.768006574426934</v>
      </c>
      <c r="AX141" s="96">
        <f>Tabella34[[#This Row],[Lombardy acc. fit]]/y_l_peak</f>
        <v>-9.5383622502494998E-3</v>
      </c>
      <c r="AY141" s="163">
        <f>Tabella34[[#This Row],[Lombardy acc. fit]]*NOT(ISBLANK(Tabella34[[#This Row],[Lombardy data]]))</f>
        <v>0</v>
      </c>
      <c r="AZ141" s="96">
        <f>Tabella34[[#This Row],[Lombardy acc. fit]]+CIl</f>
        <v>732.18736522919664</v>
      </c>
      <c r="BA141" s="96">
        <f>MAX(Tabella34[[#This Row],[Lombardy acc. fit]]-CIl,0)</f>
        <v>0</v>
      </c>
      <c r="BC141" s="10"/>
      <c r="BD141" s="10"/>
      <c r="BE141" s="96">
        <f>Tabella34[[#This Row],[rest of Italy data]]*NOT(ISBLANK(Tabella34[[#This Row],[rest of Italy data]]))</f>
        <v>0</v>
      </c>
      <c r="BF141" s="96">
        <f>Tabella8[[#This Row],[rest of Italy fit]]</f>
        <v>140180.74628718375</v>
      </c>
      <c r="BG141" s="163" t="e">
        <f>_xlfn.LOGNORM.INV(alpha*Tabella34[[#This Row],[rest of Italy cumul. Fit]]/Ko,mu_o,sigma_o)-(Tabella34[[#This Row],[Day]]-po)</f>
        <v>#NUM!</v>
      </c>
      <c r="BH141" s="96">
        <f>Tabella34[[#This Row],[rest of Italy cumul. Fit]]/Ka</f>
        <v>0.94716731490430628</v>
      </c>
      <c r="BI141" s="163">
        <f>IFERROR(Ko*_xlfn.LOGNORM.DIST((Tabella34[[#This Row],[Day]]-po),mu_o,sigma_o,FALSE),0)</f>
        <v>515.22332054014612</v>
      </c>
      <c r="BJ141" s="206">
        <f>Tabella34[[#This Row],[rest of Italy velocity]]/Tabella34[[#This Row],[rest of Italy cumul. Fit]]</f>
        <v>3.6754214411487355E-3</v>
      </c>
      <c r="BK141" s="261">
        <f>(LN(Tabella34[[#This Row],[Day]]-po)-mu_o)/sigma_o</f>
        <v>1.6179871351121868</v>
      </c>
      <c r="BL141" s="269">
        <f>EXP(mu_o+sigma_o*Tabella34[[#This Row],[x_o_alpha©+plus]])-(Tabella34[[#This Row],[Day]]-po)</f>
        <v>10.756030387066431</v>
      </c>
      <c r="BM141" s="269">
        <f>EXP(mu_o+sigma_o*Tabella34[[#This Row],[x_o_alpha©-minus]])-(Tabella34[[#This Row],[Day]]-po)</f>
        <v>-71.395303644818185</v>
      </c>
      <c r="BN141" s="269">
        <f>-sigma_o+SQRT(sigma_o^2-2*Tabella34[[#This Row],[c_o]])</f>
        <v>1.9474014249041933</v>
      </c>
      <c r="BO141" s="269">
        <f>-sigma_o-SQRT(sigma_o^2-2*Tabella34[[#This Row],[c_o]])</f>
        <v>-2.5903742022032197</v>
      </c>
      <c r="BP141" s="269">
        <f>mu_o-LN(alpha*Ko/(Tabella34[[#This Row],[rest of Italy velocity]]*sigma_o*SQRTPI(2)))</f>
        <v>-2.5222492062028063</v>
      </c>
      <c r="BQ141" s="269">
        <f>Tabella34[[#This Row],[t_alpha_o+plus]]</f>
        <v>10.756030387066431</v>
      </c>
      <c r="BR141" s="91">
        <f>IFERROR(-Ka*_xlfn.LOGNORM.DIST((Tabella34[[#This Row],[Day]]-pa),mu_a,sigma_a,FALSE)*(1+(LN((Tabella34[[#This Row],[Day]]-pa))-mu_a)/sigma_a^2)/(Tabella34[[#This Row],[Day]]-pa),0)</f>
        <v>-32.282642951907164</v>
      </c>
      <c r="BS141" s="96">
        <f>Tabella34[[#This Row],[rest of Italy acc. fit]]/y_a_peak</f>
        <v>-9.5534828217983241E-3</v>
      </c>
      <c r="BT141" s="141">
        <f>Tabella34[[#This Row],[rest of Italy acc. fit]]*NOT(ISBLANK(Tabella34[[#This Row],[rest of Italy data]]))</f>
        <v>0</v>
      </c>
      <c r="BU141" s="212"/>
      <c r="BV141" s="142"/>
    </row>
    <row r="142" spans="2:74" x14ac:dyDescent="0.3">
      <c r="B142" s="288">
        <v>43965</v>
      </c>
      <c r="C142" s="4">
        <v>135</v>
      </c>
      <c r="E142" s="10"/>
      <c r="F142" s="10"/>
      <c r="G142" s="141">
        <f>Tabella34[[#This Row],[Italy data]]*NOT(ISBLANK(Tabella34[[#This Row],[Italy data]]))</f>
        <v>0</v>
      </c>
      <c r="H142" s="163">
        <f>Tabella8[[#This Row],[Italy fit]]</f>
        <v>222531.04232043843</v>
      </c>
      <c r="I142" s="163" t="e">
        <f>_xlfn.LOGNORM.INV(alpha*Tabella34[[#This Row],[Italy cumul. Fit]]/Kt,mu_t,sigma_t)-(Tabella34[[#This Row],[Day]]-pt)</f>
        <v>#NUM!</v>
      </c>
      <c r="J142" s="163" t="e">
        <f>Tabella34[[#This Row],[Italy d.t.]]/Italy_dt_at_lockdown</f>
        <v>#NUM!</v>
      </c>
      <c r="K142" s="96">
        <f>Tabella34[[#This Row],[Italy cumul. Fit]]/Kf</f>
        <v>0.94694086399550648</v>
      </c>
      <c r="L142" s="166">
        <f>Tabella34[[#This Row],[Lombardy acc. fit]]+Tabella34[[#This Row],[rest of Italy acc. fit]]</f>
        <v>-46.492043767830019</v>
      </c>
      <c r="M142" s="96">
        <f>Tabella34[[#This Row],[Italy (fitted Lombardy + fitted sum of the other regions)]]/(y_l_peak+y_a_peak)</f>
        <v>-9.0502445680317595E-3</v>
      </c>
      <c r="N142" s="163">
        <f>IFERROR(Kt*_xlfn.LOGNORM.DIST((Tabella34[[#This Row],[Day]]-pt),mu_t,sigma_t,FALSE),0)</f>
        <v>792.86287792015048</v>
      </c>
      <c r="O142" s="163">
        <f>Kt*EXP(-0.5*Tabella34[[#This Row],[x_t]]^2)/(sigma_t*SQRTPI(2)*(Tabella34[[#This Row],[Day]]-D_bk))</f>
        <v>792.86287792015105</v>
      </c>
      <c r="P142" s="206">
        <f>Tabella34[[#This Row],[Italy velocity]]/Tabella34[[#This Row],[Italy cumul. Fit]]</f>
        <v>3.5629315786803815E-3</v>
      </c>
      <c r="Q142" s="269">
        <f>(LN(Tabella34[[#This Row],[Day]]-D_bk)-mu_t)/sigma_t</f>
        <v>1.615889195645456</v>
      </c>
      <c r="R142" s="269">
        <f>EXP(mu_t+sigma_t*Tabella34[[#This Row],[x_t_alpha©+plus]])-(Tabella34[[#This Row],[Day]]-D_bk)</f>
        <v>11.186259009089838</v>
      </c>
      <c r="S142" s="269">
        <f>EXP(mu_t+sigma_t*Tabella34[[#This Row],[x_t_alpha©-minus]])-(Tabella34[[#This Row],[Day]]-D_bk)</f>
        <v>-75.154140253859978</v>
      </c>
      <c r="T142" s="269">
        <f>-sigma_t+SQRT(sigma_t^2-2*Tabella34[[#This Row],[c_t]])</f>
        <v>1.947342793044726</v>
      </c>
      <c r="U142" s="269">
        <f>-sigma_t-SQRT(sigma_t^2-2*Tabella34[[#This Row],[c_t]])</f>
        <v>-2.5665796989369634</v>
      </c>
      <c r="V142" s="269">
        <f>mu_t-LN(alpha*Kt/(Tabella34[[#This Row],[Italy velocity]]*sigma_t*SQRTPI(2)))</f>
        <v>-2.4990052397498994</v>
      </c>
      <c r="W142" s="269">
        <f>Tabella34[[#This Row],[Italy g.r.]]/Italy_gr_at_lockdown</f>
        <v>2.2528184760505755E-2</v>
      </c>
      <c r="X142" s="269">
        <f>Tabella34[[#This Row],[t_alpha_t+plus]]</f>
        <v>11.186259009089838</v>
      </c>
      <c r="Y142" s="269">
        <f>Tabella34[[#This Row],[Italy h.t.]]/Italy_ht_at_lockdown</f>
        <v>0.19922030689124151</v>
      </c>
      <c r="Z142" s="91">
        <f>IFERROR(-Kf*_xlfn.LOGNORM.DIST((Tabella34[[#This Row],[Day]]-D_bk),mu_f,sigma_f,FALSE)*(1+(LN((Tabella34[[#This Row],[Day]]-D_bk))-mu_f)/sigma_f^2)/(Tabella34[[#This Row],[Day]]-D_bk),0)</f>
        <v>-47.638306114563058</v>
      </c>
      <c r="AA142" s="91">
        <f>Tabella34[[#This Row],[Italy acc. fit]]/Itali_acc_at_lockdown</f>
        <v>-0.1960691165040116</v>
      </c>
      <c r="AB142" s="96">
        <f>Tabella34[[#This Row],[Italy acc. fit]]/y_f_peak</f>
        <v>-9.4116880214493766E-3</v>
      </c>
      <c r="AC142" s="163">
        <f>Tabella34[[#This Row],[Italy (fitted Lombardy + fitted sum of the other regions)]]*NOT(ISBLANK(Tabella34[[#This Row],[Italy data]]))</f>
        <v>0</v>
      </c>
      <c r="AD142" s="163">
        <f>Tabella34[[#This Row],[Italy acc. fit]]*NOT(ISBLANK(Tabella34[[#This Row],[Italy data]]))</f>
        <v>0</v>
      </c>
      <c r="AE142" s="96">
        <f>Tabella34[[#This Row],[Italy acc. fit]]+CIf</f>
        <v>966.12469590575461</v>
      </c>
      <c r="AF142" s="96">
        <f>MAX(Tabella34[[#This Row],[Italy acc. fit]]-CIf,0)</f>
        <v>0</v>
      </c>
      <c r="AH142" s="10"/>
      <c r="AI142" s="10"/>
      <c r="AJ142" s="141">
        <f>Tabella34[[#This Row],[Lombardy data]]*NOT(ISBLANK(Tabella34[[#This Row],[Lombardy data]]))</f>
        <v>0</v>
      </c>
      <c r="AK142" s="96">
        <f>Tabella8[[#This Row],[Lombardy fit]]</f>
        <v>81615.02981433706</v>
      </c>
      <c r="AL142" s="163" t="e">
        <f>_xlfn.LOGNORM.INV(alpha*Tabella34[[#This Row],[Lombardy cumul. Fit]]/Kr,mu_r,sigma_r)-(Tabella34[[#This Row],[Day]]-pr)</f>
        <v>#NUM!</v>
      </c>
      <c r="AM142" s="96">
        <f>Tabella34[[#This Row],[Lombardy cumul. Fit]]/Kl</f>
        <v>0.93810379096939145</v>
      </c>
      <c r="AN142" s="96">
        <f>IFERROR(Kr*_xlfn.LOGNORM.DIST((Tabella34[[#This Row],[Day]]-pr),mu_r,sigma_r,FALSE),0)</f>
        <v>300.57317850286819</v>
      </c>
      <c r="AO142" s="209">
        <f>Tabella34[[#This Row],[Lombardy velocity]]/Tabella34[[#This Row],[Lombardy cumul. Fit]]</f>
        <v>3.6828165006694323E-3</v>
      </c>
      <c r="AP142" s="266">
        <f>(LN(Tabella34[[#This Row],[Day]]-pr)-mu_r)/sigma_r</f>
        <v>1.5390486568548551</v>
      </c>
      <c r="AQ142" s="269">
        <f>EXP(mu_r+sigma_r*Tabella34[[#This Row],[x_r_alpha©+plus]])-(Tabella34[[#This Row],[Day]]-pr)</f>
        <v>12.668882346508923</v>
      </c>
      <c r="AR142" s="269">
        <f>EXP(mu_r+sigma_r*Tabella34[[#This Row],[x_r_alpha©-minus]])-(Tabella34[[#This Row],[Day]]-pr)</f>
        <v>-78.053881422035204</v>
      </c>
      <c r="AS142" s="269">
        <f>-sigma_r+SQRT(sigma_r^2-2*Tabella34[[#This Row],[c_r]])</f>
        <v>1.8773924028759685</v>
      </c>
      <c r="AT142" s="269">
        <f>-sigma_r-SQRT(sigma_r^2-2*Tabella34[[#This Row],[c_r]])</f>
        <v>-2.5582470000696977</v>
      </c>
      <c r="AU142" s="269">
        <f>mu_r-LN(alpha*Kr/(Tabella34[[#This Row],[Lombardy velocity]]*sigma_r*SQRTPI(2)))</f>
        <v>-2.4014167413055443</v>
      </c>
      <c r="AV142" s="269">
        <f>Tabella34[[#This Row],[t_alpha_r+plus]]</f>
        <v>12.668882346508923</v>
      </c>
      <c r="AW142" s="91">
        <f>IFERROR(-Kl*_xlfn.LOGNORM.DIST((Tabella34[[#This Row],[Day]]-pl),mu_l,sigma_l,FALSE)*(1+(LN((Tabella34[[#This Row],[Day]]-pl))-mu_l)/sigma_l^2)/(Tabella34[[#This Row],[Day]]-pl),0)</f>
        <v>-15.990359415924694</v>
      </c>
      <c r="AX142" s="96">
        <f>Tabella34[[#This Row],[Lombardy acc. fit]]/y_l_peak</f>
        <v>-9.0960031500339714E-3</v>
      </c>
      <c r="AY142" s="163">
        <f>Tabella34[[#This Row],[Lombardy acc. fit]]*NOT(ISBLANK(Tabella34[[#This Row],[Lombardy data]]))</f>
        <v>0</v>
      </c>
      <c r="AZ142" s="96">
        <f>Tabella34[[#This Row],[Lombardy acc. fit]]+CIl</f>
        <v>732.96501238769895</v>
      </c>
      <c r="BA142" s="96">
        <f>MAX(Tabella34[[#This Row],[Lombardy acc. fit]]-CIl,0)</f>
        <v>0</v>
      </c>
      <c r="BC142" s="10"/>
      <c r="BD142" s="10"/>
      <c r="BE142" s="96">
        <f>Tabella34[[#This Row],[rest of Italy data]]*NOT(ISBLANK(Tabella34[[#This Row],[rest of Italy data]]))</f>
        <v>0</v>
      </c>
      <c r="BF142" s="96">
        <f>Tabella8[[#This Row],[rest of Italy fit]]</f>
        <v>140680.12838725458</v>
      </c>
      <c r="BG142" s="163" t="e">
        <f>_xlfn.LOGNORM.INV(alpha*Tabella34[[#This Row],[rest of Italy cumul. Fit]]/Ko,mu_o,sigma_o)-(Tabella34[[#This Row],[Day]]-po)</f>
        <v>#NUM!</v>
      </c>
      <c r="BH142" s="96">
        <f>Tabella34[[#This Row],[rest of Italy cumul. Fit]]/Ka</f>
        <v>0.95054151867595937</v>
      </c>
      <c r="BI142" s="163">
        <f>IFERROR(Ko*_xlfn.LOGNORM.DIST((Tabella34[[#This Row],[Day]]-po),mu_o,sigma_o,FALSE),0)</f>
        <v>483.83770398131725</v>
      </c>
      <c r="BJ142" s="206">
        <f>Tabella34[[#This Row],[rest of Italy velocity]]/Tabella34[[#This Row],[rest of Italy cumul. Fit]]</f>
        <v>3.4392753939592813E-3</v>
      </c>
      <c r="BK142" s="261">
        <f>(LN(Tabella34[[#This Row],[Day]]-po)-mu_o)/sigma_o</f>
        <v>1.6501270041558471</v>
      </c>
      <c r="BL142" s="269">
        <f>EXP(mu_o+sigma_o*Tabella34[[#This Row],[x_o_alpha©+plus]])-(Tabella34[[#This Row],[Day]]-po)</f>
        <v>10.707725684026244</v>
      </c>
      <c r="BM142" s="269">
        <f>EXP(mu_o+sigma_o*Tabella34[[#This Row],[x_o_alpha©-minus]])-(Tabella34[[#This Row],[Day]]-po)</f>
        <v>-72.614629812336318</v>
      </c>
      <c r="BN142" s="269">
        <f>-sigma_o+SQRT(sigma_o^2-2*Tabella34[[#This Row],[c_o]])</f>
        <v>1.9749355525035837</v>
      </c>
      <c r="BO142" s="269">
        <f>-sigma_o-SQRT(sigma_o^2-2*Tabella34[[#This Row],[c_o]])</f>
        <v>-2.61790832980261</v>
      </c>
      <c r="BP142" s="269">
        <f>mu_o-LN(alpha*Ko/(Tabella34[[#This Row],[rest of Italy velocity]]*sigma_o*SQRTPI(2)))</f>
        <v>-2.5851001168612253</v>
      </c>
      <c r="BQ142" s="269">
        <f>Tabella34[[#This Row],[t_alpha_o+plus]]</f>
        <v>10.707725684026244</v>
      </c>
      <c r="BR142" s="91">
        <f>IFERROR(-Ka*_xlfn.LOGNORM.DIST((Tabella34[[#This Row],[Day]]-pa),mu_a,sigma_a,FALSE)*(1+(LN((Tabella34[[#This Row],[Day]]-pa))-mu_a)/sigma_a^2)/(Tabella34[[#This Row],[Day]]-pa),0)</f>
        <v>-30.501684351905325</v>
      </c>
      <c r="BS142" s="96">
        <f>Tabella34[[#This Row],[rest of Italy acc. fit]]/y_a_peak</f>
        <v>-9.0264393137188103E-3</v>
      </c>
      <c r="BT142" s="141">
        <f>Tabella34[[#This Row],[rest of Italy acc. fit]]*NOT(ISBLANK(Tabella34[[#This Row],[rest of Italy data]]))</f>
        <v>0</v>
      </c>
      <c r="BU142" s="212"/>
      <c r="BV142" s="142"/>
    </row>
    <row r="143" spans="2:74" x14ac:dyDescent="0.3">
      <c r="B143" s="288">
        <v>43966</v>
      </c>
      <c r="C143" s="4">
        <v>136</v>
      </c>
      <c r="E143" s="10"/>
      <c r="F143" s="10"/>
      <c r="G143" s="141">
        <f>Tabella34[[#This Row],[Italy data]]*NOT(ISBLANK(Tabella34[[#This Row],[Italy data]]))</f>
        <v>0</v>
      </c>
      <c r="H143" s="163">
        <f>Tabella8[[#This Row],[Italy fit]]</f>
        <v>223300.50687441678</v>
      </c>
      <c r="I143" s="163" t="e">
        <f>_xlfn.LOGNORM.INV(alpha*Tabella34[[#This Row],[Italy cumul. Fit]]/Kt,mu_t,sigma_t)-(Tabella34[[#This Row],[Day]]-pt)</f>
        <v>#NUM!</v>
      </c>
      <c r="J143" s="163" t="e">
        <f>Tabella34[[#This Row],[Italy d.t.]]/Italy_dt_at_lockdown</f>
        <v>#NUM!</v>
      </c>
      <c r="K143" s="96">
        <f>Tabella34[[#This Row],[Italy cumul. Fit]]/Kf</f>
        <v>0.95021518213988909</v>
      </c>
      <c r="L143" s="166">
        <f>Tabella34[[#This Row],[Lombardy acc. fit]]+Tabella34[[#This Row],[rest of Italy acc. fit]]</f>
        <v>-44.038974061751958</v>
      </c>
      <c r="M143" s="96">
        <f>Tabella34[[#This Row],[Italy (fitted Lombardy + fitted sum of the other regions)]]/(y_l_peak+y_a_peak)</f>
        <v>-8.5727245671193015E-3</v>
      </c>
      <c r="N143" s="163">
        <f>IFERROR(Kt*_xlfn.LOGNORM.DIST((Tabella34[[#This Row],[Day]]-pt),mu_t,sigma_t,FALSE),0)</f>
        <v>746.48280182148176</v>
      </c>
      <c r="O143" s="163">
        <f>Kt*EXP(-0.5*Tabella34[[#This Row],[x_t]]^2)/(sigma_t*SQRTPI(2)*(Tabella34[[#This Row],[Day]]-D_bk))</f>
        <v>746.48280182148233</v>
      </c>
      <c r="P143" s="206">
        <f>Tabella34[[#This Row],[Italy velocity]]/Tabella34[[#This Row],[Italy cumul. Fit]]</f>
        <v>3.3429516675539854E-3</v>
      </c>
      <c r="Q143" s="269">
        <f>(LN(Tabella34[[#This Row],[Day]]-D_bk)-mu_t)/sigma_t</f>
        <v>1.6469436161779785</v>
      </c>
      <c r="R143" s="269">
        <f>EXP(mu_t+sigma_t*Tabella34[[#This Row],[x_t_alpha©+plus]])-(Tabella34[[#This Row],[Day]]-D_bk)</f>
        <v>11.132993179597293</v>
      </c>
      <c r="S143" s="269">
        <f>EXP(mu_t+sigma_t*Tabella34[[#This Row],[x_t_alpha©-minus]])-(Tabella34[[#This Row],[Day]]-D_bk)</f>
        <v>-76.386248508930123</v>
      </c>
      <c r="T143" s="269">
        <f>-sigma_t+SQRT(sigma_t^2-2*Tabella34[[#This Row],[c_t]])</f>
        <v>1.9738940807298102</v>
      </c>
      <c r="U143" s="269">
        <f>-sigma_t-SQRT(sigma_t^2-2*Tabella34[[#This Row],[c_t]])</f>
        <v>-2.5931309866220476</v>
      </c>
      <c r="V143" s="269">
        <f>mu_t-LN(alpha*Kt/(Tabella34[[#This Row],[Italy velocity]]*sigma_t*SQRTPI(2)))</f>
        <v>-2.5592829525251561</v>
      </c>
      <c r="W143" s="269">
        <f>Tabella34[[#This Row],[Italy g.r.]]/Italy_gr_at_lockdown</f>
        <v>2.1137266082440494E-2</v>
      </c>
      <c r="X143" s="269">
        <f>Tabella34[[#This Row],[t_alpha_t+plus]]</f>
        <v>11.132993179597293</v>
      </c>
      <c r="Y143" s="269">
        <f>Tabella34[[#This Row],[Italy h.t.]]/Italy_ht_at_lockdown</f>
        <v>0.19827167563840725</v>
      </c>
      <c r="Z143" s="91">
        <f>IFERROR(-Kf*_xlfn.LOGNORM.DIST((Tabella34[[#This Row],[Day]]-D_bk),mu_f,sigma_f,FALSE)*(1+(LN((Tabella34[[#This Row],[Day]]-D_bk))-mu_f)/sigma_f^2)/(Tabella34[[#This Row],[Day]]-D_bk),0)</f>
        <v>-45.13886800715175</v>
      </c>
      <c r="AA143" s="91">
        <f>Tabella34[[#This Row],[Italy acc. fit]]/Itali_acc_at_lockdown</f>
        <v>-0.18578196187055199</v>
      </c>
      <c r="AB143" s="96">
        <f>Tabella34[[#This Row],[Italy acc. fit]]/y_f_peak</f>
        <v>-8.9178851637384936E-3</v>
      </c>
      <c r="AC143" s="163">
        <f>Tabella34[[#This Row],[Italy (fitted Lombardy + fitted sum of the other regions)]]*NOT(ISBLANK(Tabella34[[#This Row],[Italy data]]))</f>
        <v>0</v>
      </c>
      <c r="AD143" s="163">
        <f>Tabella34[[#This Row],[Italy acc. fit]]*NOT(ISBLANK(Tabella34[[#This Row],[Italy data]]))</f>
        <v>0</v>
      </c>
      <c r="AE143" s="96">
        <f>Tabella34[[#This Row],[Italy acc. fit]]+CIf</f>
        <v>968.62413401316599</v>
      </c>
      <c r="AF143" s="96">
        <f>MAX(Tabella34[[#This Row],[Italy acc. fit]]-CIf,0)</f>
        <v>0</v>
      </c>
      <c r="AH143" s="10"/>
      <c r="AI143" s="10"/>
      <c r="AJ143" s="141">
        <f>Tabella34[[#This Row],[Lombardy data]]*NOT(ISBLANK(Tabella34[[#This Row],[Lombardy data]]))</f>
        <v>0</v>
      </c>
      <c r="AK143" s="96">
        <f>Tabella8[[#This Row],[Lombardy fit]]</f>
        <v>81907.733994565613</v>
      </c>
      <c r="AL143" s="163" t="e">
        <f>_xlfn.LOGNORM.INV(alpha*Tabella34[[#This Row],[Lombardy cumul. Fit]]/Kr,mu_r,sigma_r)-(Tabella34[[#This Row],[Day]]-pr)</f>
        <v>#NUM!</v>
      </c>
      <c r="AM143" s="96">
        <f>Tabella34[[#This Row],[Lombardy cumul. Fit]]/Kl</f>
        <v>0.9414682068340875</v>
      </c>
      <c r="AN143" s="96">
        <f>IFERROR(Kr*_xlfn.LOGNORM.DIST((Tabella34[[#This Row],[Day]]-pr),mu_r,sigma_r,FALSE),0)</f>
        <v>284.96022141471974</v>
      </c>
      <c r="AO143" s="209">
        <f>Tabella34[[#This Row],[Lombardy velocity]]/Tabella34[[#This Row],[Lombardy cumul. Fit]]</f>
        <v>3.4790392496223395E-3</v>
      </c>
      <c r="AP143" s="266">
        <f>(LN(Tabella34[[#This Row],[Day]]-pr)-mu_r)/sigma_r</f>
        <v>1.5672186768489498</v>
      </c>
      <c r="AQ143" s="269">
        <f>EXP(mu_r+sigma_r*Tabella34[[#This Row],[x_r_alpha©+plus]])-(Tabella34[[#This Row],[Day]]-pr)</f>
        <v>12.621076056917317</v>
      </c>
      <c r="AR143" s="269">
        <f>EXP(mu_r+sigma_r*Tabella34[[#This Row],[x_r_alpha©-minus]])-(Tabella34[[#This Row],[Day]]-pr)</f>
        <v>-79.262521765110762</v>
      </c>
      <c r="AS143" s="269">
        <f>-sigma_r+SQRT(sigma_r^2-2*Tabella34[[#This Row],[c_r]])</f>
        <v>1.9013147759412625</v>
      </c>
      <c r="AT143" s="269">
        <f>-sigma_r-SQRT(sigma_r^2-2*Tabella34[[#This Row],[c_r]])</f>
        <v>-2.5821693731349917</v>
      </c>
      <c r="AU143" s="269">
        <f>mu_r-LN(alpha*Kr/(Tabella34[[#This Row],[Lombardy velocity]]*sigma_r*SQRTPI(2)))</f>
        <v>-2.4547583915622733</v>
      </c>
      <c r="AV143" s="269">
        <f>Tabella34[[#This Row],[t_alpha_r+plus]]</f>
        <v>12.621076056917317</v>
      </c>
      <c r="AW143" s="91">
        <f>IFERROR(-Kl*_xlfn.LOGNORM.DIST((Tabella34[[#This Row],[Day]]-pl),mu_l,sigma_l,FALSE)*(1+(LN((Tabella34[[#This Row],[Day]]-pl))-mu_l)/sigma_l^2)/(Tabella34[[#This Row],[Day]]-pl),0)</f>
        <v>-15.240121574217195</v>
      </c>
      <c r="AX143" s="96">
        <f>Tabella34[[#This Row],[Lombardy acc. fit]]/y_l_peak</f>
        <v>-8.6692356463185793E-3</v>
      </c>
      <c r="AY143" s="163">
        <f>Tabella34[[#This Row],[Lombardy acc. fit]]*NOT(ISBLANK(Tabella34[[#This Row],[Lombardy data]]))</f>
        <v>0</v>
      </c>
      <c r="AZ143" s="96">
        <f>Tabella34[[#This Row],[Lombardy acc. fit]]+CIl</f>
        <v>733.71525022940648</v>
      </c>
      <c r="BA143" s="96">
        <f>MAX(Tabella34[[#This Row],[Lombardy acc. fit]]-CIl,0)</f>
        <v>0</v>
      </c>
      <c r="BC143" s="10"/>
      <c r="BD143" s="10"/>
      <c r="BE143" s="96">
        <f>Tabella34[[#This Row],[rest of Italy data]]*NOT(ISBLANK(Tabella34[[#This Row],[rest of Italy data]]))</f>
        <v>0</v>
      </c>
      <c r="BF143" s="96">
        <f>Tabella8[[#This Row],[rest of Italy fit]]</f>
        <v>141149.00229090173</v>
      </c>
      <c r="BG143" s="163" t="e">
        <f>_xlfn.LOGNORM.INV(alpha*Tabella34[[#This Row],[rest of Italy cumul. Fit]]/Ko,mu_o,sigma_o)-(Tabella34[[#This Row],[Day]]-po)</f>
        <v>#NUM!</v>
      </c>
      <c r="BH143" s="96">
        <f>Tabella34[[#This Row],[rest of Italy cumul. Fit]]/Ka</f>
        <v>0.95370958596129374</v>
      </c>
      <c r="BI143" s="163">
        <f>IFERROR(Ko*_xlfn.LOGNORM.DIST((Tabella34[[#This Row],[Day]]-po),mu_o,sigma_o,FALSE),0)</f>
        <v>454.19390556290517</v>
      </c>
      <c r="BJ143" s="206">
        <f>Tabella34[[#This Row],[rest of Italy velocity]]/Tabella34[[#This Row],[rest of Italy cumul. Fit]]</f>
        <v>3.2178329155089034E-3</v>
      </c>
      <c r="BK143" s="261">
        <f>(LN(Tabella34[[#This Row],[Day]]-po)-mu_o)/sigma_o</f>
        <v>1.6819381803589759</v>
      </c>
      <c r="BL143" s="269">
        <f>EXP(mu_o+sigma_o*Tabella34[[#This Row],[x_o_alpha©+plus]])-(Tabella34[[#This Row],[Day]]-po)</f>
        <v>10.662099218066629</v>
      </c>
      <c r="BM143" s="269">
        <f>EXP(mu_o+sigma_o*Tabella34[[#This Row],[x_o_alpha©-minus]])-(Tabella34[[#This Row],[Day]]-po)</f>
        <v>-73.830725127393094</v>
      </c>
      <c r="BN143" s="269">
        <f>-sigma_o+SQRT(sigma_o^2-2*Tabella34[[#This Row],[c_o]])</f>
        <v>2.0023045582359291</v>
      </c>
      <c r="BO143" s="269">
        <f>-sigma_o-SQRT(sigma_o^2-2*Tabella34[[#This Row],[c_o]])</f>
        <v>-2.6452773355349555</v>
      </c>
      <c r="BP143" s="269">
        <f>mu_o-LN(alpha*Ko/(Tabella34[[#This Row],[rest of Italy velocity]]*sigma_o*SQRTPI(2)))</f>
        <v>-2.6483254333699167</v>
      </c>
      <c r="BQ143" s="269">
        <f>Tabella34[[#This Row],[t_alpha_o+plus]]</f>
        <v>10.662099218066629</v>
      </c>
      <c r="BR143" s="91">
        <f>IFERROR(-Ka*_xlfn.LOGNORM.DIST((Tabella34[[#This Row],[Day]]-pa),mu_a,sigma_a,FALSE)*(1+(LN((Tabella34[[#This Row],[Day]]-pa))-mu_a)/sigma_a^2)/(Tabella34[[#This Row],[Day]]-pa),0)</f>
        <v>-28.798852487534759</v>
      </c>
      <c r="BS143" s="96">
        <f>Tabella34[[#This Row],[rest of Italy acc. fit]]/y_a_peak</f>
        <v>-8.5225160448306296E-3</v>
      </c>
      <c r="BT143" s="141">
        <f>Tabella34[[#This Row],[rest of Italy acc. fit]]*NOT(ISBLANK(Tabella34[[#This Row],[rest of Italy data]]))</f>
        <v>0</v>
      </c>
      <c r="BU143" s="212"/>
      <c r="BV143" s="142"/>
    </row>
    <row r="144" spans="2:74" x14ac:dyDescent="0.3">
      <c r="B144" s="288">
        <v>43967</v>
      </c>
      <c r="C144" s="4">
        <v>137</v>
      </c>
      <c r="E144" s="10"/>
      <c r="F144" s="10"/>
      <c r="G144" s="141">
        <f>Tabella34[[#This Row],[Italy data]]*NOT(ISBLANK(Tabella34[[#This Row],[Italy data]]))</f>
        <v>0</v>
      </c>
      <c r="H144" s="163">
        <f>Tabella8[[#This Row],[Italy fit]]</f>
        <v>224024.82407359386</v>
      </c>
      <c r="I144" s="163" t="e">
        <f>_xlfn.LOGNORM.INV(alpha*Tabella34[[#This Row],[Italy cumul. Fit]]/Kt,mu_t,sigma_t)-(Tabella34[[#This Row],[Day]]-pt)</f>
        <v>#NUM!</v>
      </c>
      <c r="J144" s="163" t="e">
        <f>Tabella34[[#This Row],[Italy d.t.]]/Italy_dt_at_lockdown</f>
        <v>#NUM!</v>
      </c>
      <c r="K144" s="96">
        <f>Tabella34[[#This Row],[Italy cumul. Fit]]/Kf</f>
        <v>0.9532973838284422</v>
      </c>
      <c r="L144" s="166">
        <f>Tabella34[[#This Row],[Lombardy acc. fit]]+Tabella34[[#This Row],[rest of Italy acc. fit]]</f>
        <v>-41.690281600338309</v>
      </c>
      <c r="M144" s="96">
        <f>Tabella34[[#This Row],[Italy (fitted Lombardy + fitted sum of the other regions)]]/(y_l_peak+y_a_peak)</f>
        <v>-8.1155228726307871E-3</v>
      </c>
      <c r="N144" s="163">
        <f>IFERROR(Kt*_xlfn.LOGNORM.DIST((Tabella34[[#This Row],[Day]]-pt),mu_t,sigma_t,FALSE),0)</f>
        <v>702.55119745119828</v>
      </c>
      <c r="O144" s="163">
        <f>Kt*EXP(-0.5*Tabella34[[#This Row],[x_t]]^2)/(sigma_t*SQRTPI(2)*(Tabella34[[#This Row],[Day]]-D_bk))</f>
        <v>702.55119745119771</v>
      </c>
      <c r="P144" s="206">
        <f>Tabella34[[#This Row],[Italy velocity]]/Tabella34[[#This Row],[Italy cumul. Fit]]</f>
        <v>3.1360417326805035E-3</v>
      </c>
      <c r="Q144" s="269">
        <f>(LN(Tabella34[[#This Row],[Day]]-D_bk)-mu_t)/sigma_t</f>
        <v>1.6777022891474602</v>
      </c>
      <c r="R144" s="269">
        <f>EXP(mu_t+sigma_t*Tabella34[[#This Row],[x_t_alpha©+plus]])-(Tabella34[[#This Row],[Day]]-D_bk)</f>
        <v>11.082410662915194</v>
      </c>
      <c r="S144" s="269">
        <f>EXP(mu_t+sigma_t*Tabella34[[#This Row],[x_t_alpha©-minus]])-(Tabella34[[#This Row],[Day]]-D_bk)</f>
        <v>-77.6152289594786</v>
      </c>
      <c r="T144" s="269">
        <f>-sigma_t+SQRT(sigma_t^2-2*Tabella34[[#This Row],[c_t]])</f>
        <v>2.0003032108934282</v>
      </c>
      <c r="U144" s="269">
        <f>-sigma_t-SQRT(sigma_t^2-2*Tabella34[[#This Row],[c_t]])</f>
        <v>-2.6195401167856658</v>
      </c>
      <c r="V144" s="269">
        <f>mu_t-LN(alpha*Kt/(Tabella34[[#This Row],[Italy velocity]]*sigma_t*SQRTPI(2)))</f>
        <v>-2.619937253335257</v>
      </c>
      <c r="W144" s="269">
        <f>Tabella34[[#This Row],[Italy g.r.]]/Italy_gr_at_lockdown</f>
        <v>1.9828988014597149E-2</v>
      </c>
      <c r="X144" s="269">
        <f>Tabella34[[#This Row],[t_alpha_t+plus]]</f>
        <v>11.082410662915194</v>
      </c>
      <c r="Y144" s="269">
        <f>Tabella34[[#This Row],[Italy h.t.]]/Italy_ht_at_lockdown</f>
        <v>0.1973708325157377</v>
      </c>
      <c r="Z144" s="91">
        <f>IFERROR(-Kf*_xlfn.LOGNORM.DIST((Tabella34[[#This Row],[Day]]-D_bk),mu_f,sigma_f,FALSE)*(1+(LN((Tabella34[[#This Row],[Day]]-D_bk))-mu_f)/sigma_f^2)/(Tabella34[[#This Row],[Day]]-D_bk),0)</f>
        <v>-42.741246929526554</v>
      </c>
      <c r="AA144" s="91">
        <f>Tabella34[[#This Row],[Italy acc. fit]]/Itali_acc_at_lockdown</f>
        <v>-0.17591386443503762</v>
      </c>
      <c r="AB144" s="96">
        <f>Tabella34[[#This Row],[Italy acc. fit]]/y_f_peak</f>
        <v>-8.4441978432449275E-3</v>
      </c>
      <c r="AC144" s="163">
        <f>Tabella34[[#This Row],[Italy (fitted Lombardy + fitted sum of the other regions)]]*NOT(ISBLANK(Tabella34[[#This Row],[Italy data]]))</f>
        <v>0</v>
      </c>
      <c r="AD144" s="163">
        <f>Tabella34[[#This Row],[Italy acc. fit]]*NOT(ISBLANK(Tabella34[[#This Row],[Italy data]]))</f>
        <v>0</v>
      </c>
      <c r="AE144" s="96">
        <f>Tabella34[[#This Row],[Italy acc. fit]]+CIf</f>
        <v>971.02175509079109</v>
      </c>
      <c r="AF144" s="96">
        <f>MAX(Tabella34[[#This Row],[Italy acc. fit]]-CIf,0)</f>
        <v>0</v>
      </c>
      <c r="AH144" s="10"/>
      <c r="AI144" s="10"/>
      <c r="AJ144" s="141">
        <f>Tabella34[[#This Row],[Lombardy data]]*NOT(ISBLANK(Tabella34[[#This Row],[Lombardy data]]))</f>
        <v>0</v>
      </c>
      <c r="AK144" s="96">
        <f>Tabella8[[#This Row],[Lombardy fit]]</f>
        <v>82185.195773867905</v>
      </c>
      <c r="AL144" s="163" t="e">
        <f>_xlfn.LOGNORM.INV(alpha*Tabella34[[#This Row],[Lombardy cumul. Fit]]/Kr,mu_r,sigma_r)-(Tabella34[[#This Row],[Day]]-pr)</f>
        <v>#NUM!</v>
      </c>
      <c r="AM144" s="96">
        <f>Tabella34[[#This Row],[Lombardy cumul. Fit]]/Kl</f>
        <v>0.94465742268813679</v>
      </c>
      <c r="AN144" s="96">
        <f>IFERROR(Kr*_xlfn.LOGNORM.DIST((Tabella34[[#This Row],[Day]]-pr),mu_r,sigma_r,FALSE),0)</f>
        <v>270.08381859928841</v>
      </c>
      <c r="AO144" s="209">
        <f>Tabella34[[#This Row],[Lombardy velocity]]/Tabella34[[#This Row],[Lombardy cumul. Fit]]</f>
        <v>3.286283083664149E-3</v>
      </c>
      <c r="AP144" s="266">
        <f>(LN(Tabella34[[#This Row],[Day]]-pr)-mu_r)/sigma_r</f>
        <v>1.5951211147901325</v>
      </c>
      <c r="AQ144" s="269">
        <f>EXP(mu_r+sigma_r*Tabella34[[#This Row],[x_r_alpha©+plus]])-(Tabella34[[#This Row],[Day]]-pr)</f>
        <v>12.575779672767084</v>
      </c>
      <c r="AR144" s="269">
        <f>EXP(mu_r+sigma_r*Tabella34[[#This Row],[x_r_alpha©-minus]])-(Tabella34[[#This Row],[Day]]-pr)</f>
        <v>-80.468341620107495</v>
      </c>
      <c r="AS144" s="269">
        <f>-sigma_r+SQRT(sigma_r^2-2*Tabella34[[#This Row],[c_r]])</f>
        <v>1.9251061974443684</v>
      </c>
      <c r="AT144" s="269">
        <f>-sigma_r-SQRT(sigma_r^2-2*Tabella34[[#This Row],[c_r]])</f>
        <v>-2.6059607946380976</v>
      </c>
      <c r="AU144" s="269">
        <f>mu_r-LN(alpha*Kr/(Tabella34[[#This Row],[Lombardy velocity]]*sigma_r*SQRTPI(2)))</f>
        <v>-2.5083756380274265</v>
      </c>
      <c r="AV144" s="269">
        <f>Tabella34[[#This Row],[t_alpha_r+plus]]</f>
        <v>12.575779672767084</v>
      </c>
      <c r="AW144" s="91">
        <f>IFERROR(-Kl*_xlfn.LOGNORM.DIST((Tabella34[[#This Row],[Day]]-pl),mu_l,sigma_l,FALSE)*(1+(LN((Tabella34[[#This Row],[Day]]-pl))-mu_l)/sigma_l^2)/(Tabella34[[#This Row],[Day]]-pl),0)</f>
        <v>-14.517230078392585</v>
      </c>
      <c r="AX144" s="96">
        <f>Tabella34[[#This Row],[Lombardy acc. fit]]/y_l_peak</f>
        <v>-8.2580239185443428E-3</v>
      </c>
      <c r="AY144" s="163">
        <f>Tabella34[[#This Row],[Lombardy acc. fit]]*NOT(ISBLANK(Tabella34[[#This Row],[Lombardy data]]))</f>
        <v>0</v>
      </c>
      <c r="AZ144" s="96">
        <f>Tabella34[[#This Row],[Lombardy acc. fit]]+CIl</f>
        <v>734.43814172523105</v>
      </c>
      <c r="BA144" s="96">
        <f>MAX(Tabella34[[#This Row],[Lombardy acc. fit]]-CIl,0)</f>
        <v>0</v>
      </c>
      <c r="BC144" s="10"/>
      <c r="BD144" s="10"/>
      <c r="BE144" s="96">
        <f>Tabella34[[#This Row],[rest of Italy data]]*NOT(ISBLANK(Tabella34[[#This Row],[rest of Italy data]]))</f>
        <v>0</v>
      </c>
      <c r="BF144" s="96">
        <f>Tabella8[[#This Row],[rest of Italy fit]]</f>
        <v>141589.07092154451</v>
      </c>
      <c r="BG144" s="163" t="e">
        <f>_xlfn.LOGNORM.INV(alpha*Tabella34[[#This Row],[rest of Italy cumul. Fit]]/Ko,mu_o,sigma_o)-(Tabella34[[#This Row],[Day]]-po)</f>
        <v>#NUM!</v>
      </c>
      <c r="BH144" s="96">
        <f>Tabella34[[#This Row],[rest of Italy cumul. Fit]]/Ka</f>
        <v>0.9566830230009683</v>
      </c>
      <c r="BI144" s="163">
        <f>IFERROR(Ko*_xlfn.LOGNORM.DIST((Tabella34[[#This Row],[Day]]-po),mu_o,sigma_o,FALSE),0)</f>
        <v>426.21431863905917</v>
      </c>
      <c r="BJ144" s="206">
        <f>Tabella34[[#This Row],[rest of Italy velocity]]/Tabella34[[#This Row],[rest of Italy cumul. Fit]]</f>
        <v>3.0102204630979429E-3</v>
      </c>
      <c r="BK144" s="261">
        <f>(LN(Tabella34[[#This Row],[Day]]-po)-mu_o)/sigma_o</f>
        <v>1.7134273187687841</v>
      </c>
      <c r="BL144" s="269">
        <f>EXP(mu_o+sigma_o*Tabella34[[#This Row],[x_o_alpha©+plus]])-(Tabella34[[#This Row],[Day]]-po)</f>
        <v>10.619008743541272</v>
      </c>
      <c r="BM144" s="269">
        <f>EXP(mu_o+sigma_o*Tabella34[[#This Row],[x_o_alpha©-minus]])-(Tabella34[[#This Row],[Day]]-po)</f>
        <v>-75.04362658824266</v>
      </c>
      <c r="BN144" s="269">
        <f>-sigma_o+SQRT(sigma_o^2-2*Tabella34[[#This Row],[c_o]])</f>
        <v>2.0295066266014405</v>
      </c>
      <c r="BO144" s="269">
        <f>-sigma_o-SQRT(sigma_o^2-2*Tabella34[[#This Row],[c_o]])</f>
        <v>-2.6724794039004669</v>
      </c>
      <c r="BP144" s="269">
        <f>mu_o-LN(alpha*Ko/(Tabella34[[#This Row],[rest of Italy velocity]]*sigma_o*SQRTPI(2)))</f>
        <v>-2.7119073298359329</v>
      </c>
      <c r="BQ144" s="269">
        <f>Tabella34[[#This Row],[t_alpha_o+plus]]</f>
        <v>10.619008743541272</v>
      </c>
      <c r="BR144" s="91">
        <f>IFERROR(-Ka*_xlfn.LOGNORM.DIST((Tabella34[[#This Row],[Day]]-pa),mu_a,sigma_a,FALSE)*(1+(LN((Tabella34[[#This Row],[Day]]-pa))-mu_a)/sigma_a^2)/(Tabella34[[#This Row],[Day]]-pa),0)</f>
        <v>-27.173051521945727</v>
      </c>
      <c r="BS144" s="96">
        <f>Tabella34[[#This Row],[rest of Italy acc. fit]]/y_a_peak</f>
        <v>-8.0413887214092882E-3</v>
      </c>
      <c r="BT144" s="141">
        <f>Tabella34[[#This Row],[rest of Italy acc. fit]]*NOT(ISBLANK(Tabella34[[#This Row],[rest of Italy data]]))</f>
        <v>0</v>
      </c>
      <c r="BU144" s="212"/>
      <c r="BV144" s="142"/>
    </row>
    <row r="145" spans="2:74" x14ac:dyDescent="0.3">
      <c r="B145" s="288">
        <v>43968</v>
      </c>
      <c r="C145" s="4">
        <v>138</v>
      </c>
      <c r="E145" s="10"/>
      <c r="F145" s="10"/>
      <c r="G145" s="141">
        <f>Tabella34[[#This Row],[Italy data]]*NOT(ISBLANK(Tabella34[[#This Row],[Italy data]]))</f>
        <v>0</v>
      </c>
      <c r="H145" s="163">
        <f>Tabella8[[#This Row],[Italy fit]]</f>
        <v>224706.39161655519</v>
      </c>
      <c r="I145" s="163" t="e">
        <f>_xlfn.LOGNORM.INV(alpha*Tabella34[[#This Row],[Italy cumul. Fit]]/Kt,mu_t,sigma_t)-(Tabella34[[#This Row],[Day]]-pt)</f>
        <v>#NUM!</v>
      </c>
      <c r="J145" s="163" t="e">
        <f>Tabella34[[#This Row],[Italy d.t.]]/Italy_dt_at_lockdown</f>
        <v>#NUM!</v>
      </c>
      <c r="K145" s="96">
        <f>Tabella34[[#This Row],[Italy cumul. Fit]]/Kf</f>
        <v>0.95619767203665429</v>
      </c>
      <c r="L145" s="166">
        <f>Tabella34[[#This Row],[Lombardy acc. fit]]+Tabella34[[#This Row],[rest of Italy acc. fit]]</f>
        <v>-39.444383083055378</v>
      </c>
      <c r="M145" s="96">
        <f>Tabella34[[#This Row],[Italy (fitted Lombardy + fitted sum of the other regions)]]/(y_l_peak+y_a_peak)</f>
        <v>-7.6783312757654574E-3</v>
      </c>
      <c r="N145" s="163">
        <f>IFERROR(Kt*_xlfn.LOGNORM.DIST((Tabella34[[#This Row],[Day]]-pt),mu_t,sigma_t,FALSE),0)</f>
        <v>660.96667316094317</v>
      </c>
      <c r="O145" s="163">
        <f>Kt*EXP(-0.5*Tabella34[[#This Row],[x_t]]^2)/(sigma_t*SQRTPI(2)*(Tabella34[[#This Row],[Day]]-D_bk))</f>
        <v>660.96667316094317</v>
      </c>
      <c r="P145" s="206">
        <f>Tabella34[[#This Row],[Italy velocity]]/Tabella34[[#This Row],[Italy cumul. Fit]]</f>
        <v>2.9414680570761594E-3</v>
      </c>
      <c r="Q145" s="269">
        <f>(LN(Tabella34[[#This Row],[Day]]-D_bk)-mu_t)/sigma_t</f>
        <v>1.7081707945730884</v>
      </c>
      <c r="R145" s="269">
        <f>EXP(mu_t+sigma_t*Tabella34[[#This Row],[x_t_alpha©+plus]])-(Tabella34[[#This Row],[Day]]-D_bk)</f>
        <v>11.034375292436764</v>
      </c>
      <c r="S145" s="269">
        <f>EXP(mu_t+sigma_t*Tabella34[[#This Row],[x_t_alpha©-minus]])-(Tabella34[[#This Row],[Day]]-D_bk)</f>
        <v>-78.841109669643473</v>
      </c>
      <c r="T145" s="269">
        <f>-sigma_t+SQRT(sigma_t^2-2*Tabella34[[#This Row],[c_t]])</f>
        <v>2.0265681424533195</v>
      </c>
      <c r="U145" s="269">
        <f>-sigma_t-SQRT(sigma_t^2-2*Tabella34[[#This Row],[c_t]])</f>
        <v>-2.6458050483455571</v>
      </c>
      <c r="V145" s="269">
        <f>mu_t-LN(alpha*Kt/(Tabella34[[#This Row],[Italy velocity]]*sigma_t*SQRTPI(2)))</f>
        <v>-2.6809521110596357</v>
      </c>
      <c r="W145" s="269">
        <f>Tabella34[[#This Row],[Italy g.r.]]/Italy_gr_at_lockdown</f>
        <v>1.8598711312183214E-2</v>
      </c>
      <c r="X145" s="269">
        <f>Tabella34[[#This Row],[t_alpha_t+plus]]</f>
        <v>11.034375292436764</v>
      </c>
      <c r="Y145" s="269">
        <f>Tabella34[[#This Row],[Italy h.t.]]/Italy_ht_at_lockdown</f>
        <v>0.19651535248076163</v>
      </c>
      <c r="Z145" s="91">
        <f>IFERROR(-Kf*_xlfn.LOGNORM.DIST((Tabella34[[#This Row],[Day]]-D_bk),mu_f,sigma_f,FALSE)*(1+(LN((Tabella34[[#This Row],[Day]]-D_bk))-mu_f)/sigma_f^2)/(Tabella34[[#This Row],[Day]]-D_bk),0)</f>
        <v>-40.444516194419627</v>
      </c>
      <c r="AA145" s="91">
        <f>Tabella34[[#This Row],[Italy acc. fit]]/Itali_acc_at_lockdown</f>
        <v>-0.16646101015014603</v>
      </c>
      <c r="AB145" s="96">
        <f>Tabella34[[#This Row],[Italy acc. fit]]/y_f_peak</f>
        <v>-7.9904429784914046E-3</v>
      </c>
      <c r="AC145" s="163">
        <f>Tabella34[[#This Row],[Italy (fitted Lombardy + fitted sum of the other regions)]]*NOT(ISBLANK(Tabella34[[#This Row],[Italy data]]))</f>
        <v>0</v>
      </c>
      <c r="AD145" s="163">
        <f>Tabella34[[#This Row],[Italy acc. fit]]*NOT(ISBLANK(Tabella34[[#This Row],[Italy data]]))</f>
        <v>0</v>
      </c>
      <c r="AE145" s="96">
        <f>Tabella34[[#This Row],[Italy acc. fit]]+CIf</f>
        <v>973.31848582589805</v>
      </c>
      <c r="AF145" s="96">
        <f>MAX(Tabella34[[#This Row],[Italy acc. fit]]-CIf,0)</f>
        <v>0</v>
      </c>
      <c r="AH145" s="10"/>
      <c r="AI145" s="10"/>
      <c r="AJ145" s="141">
        <f>Tabella34[[#This Row],[Lombardy data]]*NOT(ISBLANK(Tabella34[[#This Row],[Lombardy data]]))</f>
        <v>0</v>
      </c>
      <c r="AK145" s="96">
        <f>Tabella8[[#This Row],[Lombardy fit]]</f>
        <v>82448.138058862911</v>
      </c>
      <c r="AL145" s="163" t="e">
        <f>_xlfn.LOGNORM.INV(alpha*Tabella34[[#This Row],[Lombardy cumul. Fit]]/Kr,mu_r,sigma_r)-(Tabella34[[#This Row],[Day]]-pr)</f>
        <v>#NUM!</v>
      </c>
      <c r="AM145" s="96">
        <f>Tabella34[[#This Row],[Lombardy cumul. Fit]]/Kl</f>
        <v>0.947679747803022</v>
      </c>
      <c r="AN145" s="96">
        <f>IFERROR(Kr*_xlfn.LOGNORM.DIST((Tabella34[[#This Row],[Day]]-pr),mu_r,sigma_r,FALSE),0)</f>
        <v>255.91670491119669</v>
      </c>
      <c r="AO145" s="209">
        <f>Tabella34[[#This Row],[Lombardy velocity]]/Tabella34[[#This Row],[Lombardy cumul. Fit]]</f>
        <v>3.1039719141806193E-3</v>
      </c>
      <c r="AP145" s="266">
        <f>(LN(Tabella34[[#This Row],[Day]]-pr)-mu_r)/sigma_r</f>
        <v>1.622761006312784</v>
      </c>
      <c r="AQ145" s="269">
        <f>EXP(mu_r+sigma_r*Tabella34[[#This Row],[x_r_alpha©+plus]])-(Tabella34[[#This Row],[Day]]-pr)</f>
        <v>12.532871964684489</v>
      </c>
      <c r="AR145" s="269">
        <f>EXP(mu_r+sigma_r*Tabella34[[#This Row],[x_r_alpha©-minus]])-(Tabella34[[#This Row],[Day]]-pr)</f>
        <v>-81.671370194701353</v>
      </c>
      <c r="AS145" s="269">
        <f>-sigma_r+SQRT(sigma_r^2-2*Tabella34[[#This Row],[c_r]])</f>
        <v>1.9487652843139558</v>
      </c>
      <c r="AT145" s="269">
        <f>-sigma_r-SQRT(sigma_r^2-2*Tabella34[[#This Row],[c_r]])</f>
        <v>-2.629619881507685</v>
      </c>
      <c r="AU145" s="269">
        <f>mu_r-LN(alpha*Kr/(Tabella34[[#This Row],[Lombardy velocity]]*sigma_r*SQRTPI(2)))</f>
        <v>-2.5622559680119767</v>
      </c>
      <c r="AV145" s="269">
        <f>Tabella34[[#This Row],[t_alpha_r+plus]]</f>
        <v>12.532871964684489</v>
      </c>
      <c r="AW145" s="91">
        <f>IFERROR(-Kl*_xlfn.LOGNORM.DIST((Tabella34[[#This Row],[Day]]-pl),mu_l,sigma_l,FALSE)*(1+(LN((Tabella34[[#This Row],[Day]]-pl))-mu_l)/sigma_l^2)/(Tabella34[[#This Row],[Day]]-pl),0)</f>
        <v>-13.82150420948942</v>
      </c>
      <c r="AX145" s="96">
        <f>Tabella34[[#This Row],[Lombardy acc. fit]]/y_l_peak</f>
        <v>-7.8622651660049253E-3</v>
      </c>
      <c r="AY145" s="163">
        <f>Tabella34[[#This Row],[Lombardy acc. fit]]*NOT(ISBLANK(Tabella34[[#This Row],[Lombardy data]]))</f>
        <v>0</v>
      </c>
      <c r="AZ145" s="96">
        <f>Tabella34[[#This Row],[Lombardy acc. fit]]+CIl</f>
        <v>735.13386759413424</v>
      </c>
      <c r="BA145" s="96">
        <f>MAX(Tabella34[[#This Row],[Lombardy acc. fit]]-CIl,0)</f>
        <v>0</v>
      </c>
      <c r="BC145" s="10"/>
      <c r="BD145" s="10"/>
      <c r="BE145" s="96">
        <f>Tabella34[[#This Row],[rest of Italy data]]*NOT(ISBLANK(Tabella34[[#This Row],[rest of Italy data]]))</f>
        <v>0</v>
      </c>
      <c r="BF145" s="96">
        <f>Tabella8[[#This Row],[rest of Italy fit]]</f>
        <v>142001.96019724241</v>
      </c>
      <c r="BG145" s="163" t="e">
        <f>_xlfn.LOGNORM.INV(alpha*Tabella34[[#This Row],[rest of Italy cumul. Fit]]/Ko,mu_o,sigma_o)-(Tabella34[[#This Row],[Day]]-po)</f>
        <v>#NUM!</v>
      </c>
      <c r="BH145" s="96">
        <f>Tabella34[[#This Row],[rest of Italy cumul. Fit]]/Ka</f>
        <v>0.95947281572909648</v>
      </c>
      <c r="BI145" s="163">
        <f>IFERROR(Ko*_xlfn.LOGNORM.DIST((Tabella34[[#This Row],[Day]]-po),mu_o,sigma_o,FALSE),0)</f>
        <v>399.82259024460336</v>
      </c>
      <c r="BJ145" s="206">
        <f>Tabella34[[#This Row],[rest of Italy velocity]]/Tabella34[[#This Row],[rest of Italy cumul. Fit]]</f>
        <v>2.8156131766719629E-3</v>
      </c>
      <c r="BK145" s="261">
        <f>(LN(Tabella34[[#This Row],[Day]]-po)-mu_o)/sigma_o</f>
        <v>1.7446008743392243</v>
      </c>
      <c r="BL145" s="269">
        <f>EXP(mu_o+sigma_o*Tabella34[[#This Row],[x_o_alpha©+plus]])-(Tabella34[[#This Row],[Day]]-po)</f>
        <v>10.578321482606583</v>
      </c>
      <c r="BM145" s="269">
        <f>EXP(mu_o+sigma_o*Tabella34[[#This Row],[x_o_alpha©-minus]])-(Tabella34[[#This Row],[Day]]-po)</f>
        <v>-76.2533735089185</v>
      </c>
      <c r="BN145" s="269">
        <f>-sigma_o+SQRT(sigma_o^2-2*Tabella34[[#This Row],[c_o]])</f>
        <v>2.0565403015716424</v>
      </c>
      <c r="BO145" s="269">
        <f>-sigma_o-SQRT(sigma_o^2-2*Tabella34[[#This Row],[c_o]])</f>
        <v>-2.6995130788706687</v>
      </c>
      <c r="BP145" s="269">
        <f>mu_o-LN(alpha*Ko/(Tabella34[[#This Row],[rest of Italy velocity]]*sigma_o*SQRTPI(2)))</f>
        <v>-2.7758287206586392</v>
      </c>
      <c r="BQ145" s="269">
        <f>Tabella34[[#This Row],[t_alpha_o+plus]]</f>
        <v>10.578321482606583</v>
      </c>
      <c r="BR145" s="91">
        <f>IFERROR(-Ka*_xlfn.LOGNORM.DIST((Tabella34[[#This Row],[Day]]-pa),mu_a,sigma_a,FALSE)*(1+(LN((Tabella34[[#This Row],[Day]]-pa))-mu_a)/sigma_a^2)/(Tabella34[[#This Row],[Day]]-pa),0)</f>
        <v>-25.622878873565956</v>
      </c>
      <c r="BS145" s="96">
        <f>Tabella34[[#This Row],[rest of Italy acc. fit]]/y_a_peak</f>
        <v>-7.5826422740016153E-3</v>
      </c>
      <c r="BT145" s="141">
        <f>Tabella34[[#This Row],[rest of Italy acc. fit]]*NOT(ISBLANK(Tabella34[[#This Row],[rest of Italy data]]))</f>
        <v>0</v>
      </c>
      <c r="BU145" s="212"/>
      <c r="BV145" s="142"/>
    </row>
    <row r="146" spans="2:74" x14ac:dyDescent="0.3">
      <c r="B146" s="288">
        <v>43969</v>
      </c>
      <c r="C146" s="4">
        <v>139</v>
      </c>
      <c r="E146" s="10"/>
      <c r="F146" s="10"/>
      <c r="G146" s="141">
        <f>Tabella34[[#This Row],[Italy data]]*NOT(ISBLANK(Tabella34[[#This Row],[Italy data]]))</f>
        <v>0</v>
      </c>
      <c r="H146" s="163">
        <f>Tabella8[[#This Row],[Italy fit]]</f>
        <v>225347.50634673334</v>
      </c>
      <c r="I146" s="163" t="e">
        <f>_xlfn.LOGNORM.INV(alpha*Tabella34[[#This Row],[Italy cumul. Fit]]/Kt,mu_t,sigma_t)-(Tabella34[[#This Row],[Day]]-pt)</f>
        <v>#NUM!</v>
      </c>
      <c r="J146" s="163" t="e">
        <f>Tabella34[[#This Row],[Italy d.t.]]/Italy_dt_at_lockdown</f>
        <v>#NUM!</v>
      </c>
      <c r="K146" s="96">
        <f>Tabella34[[#This Row],[Italy cumul. Fit]]/Kf</f>
        <v>0.95892582056903264</v>
      </c>
      <c r="L146" s="166">
        <f>Tabella34[[#This Row],[Lombardy acc. fit]]+Tabella34[[#This Row],[rest of Italy acc. fit]]</f>
        <v>-37.299336857039542</v>
      </c>
      <c r="M146" s="96">
        <f>Tabella34[[#This Row],[Italy (fitted Lombardy + fitted sum of the other regions)]]/(y_l_peak+y_a_peak)</f>
        <v>-7.26077181006157E-3</v>
      </c>
      <c r="N146" s="163">
        <f>IFERROR(Kt*_xlfn.LOGNORM.DIST((Tabella34[[#This Row],[Day]]-pt),mu_t,sigma_t,FALSE),0)</f>
        <v>621.62898070506117</v>
      </c>
      <c r="O146" s="163">
        <f>Kt*EXP(-0.5*Tabella34[[#This Row],[x_t]]^2)/(sigma_t*SQRTPI(2)*(Tabella34[[#This Row],[Day]]-D_bk))</f>
        <v>621.62898070506037</v>
      </c>
      <c r="P146" s="206">
        <f>Tabella34[[#This Row],[Italy velocity]]/Tabella34[[#This Row],[Italy cumul. Fit]]</f>
        <v>2.7585349879513869E-3</v>
      </c>
      <c r="Q146" s="269">
        <f>(LN(Tabella34[[#This Row],[Day]]-D_bk)-mu_t)/sigma_t</f>
        <v>1.7383545560272009</v>
      </c>
      <c r="R146" s="269">
        <f>EXP(mu_t+sigma_t*Tabella34[[#This Row],[x_t_alpha©+plus]])-(Tabella34[[#This Row],[Day]]-D_bk)</f>
        <v>10.988759564434005</v>
      </c>
      <c r="S146" s="269">
        <f>EXP(mu_t+sigma_t*Tabella34[[#This Row],[x_t_alpha©-minus]])-(Tabella34[[#This Row],[Day]]-D_bk)</f>
        <v>-80.063921254331547</v>
      </c>
      <c r="T146" s="269">
        <f>-sigma_t+SQRT(sigma_t^2-2*Tabella34[[#This Row],[c_t]])</f>
        <v>2.052687159501839</v>
      </c>
      <c r="U146" s="269">
        <f>-sigma_t-SQRT(sigma_t^2-2*Tabella34[[#This Row],[c_t]])</f>
        <v>-2.6719240653940766</v>
      </c>
      <c r="V146" s="269">
        <f>mu_t-LN(alpha*Kt/(Tabella34[[#This Row],[Italy velocity]]*sigma_t*SQRTPI(2)))</f>
        <v>-2.7423121100991867</v>
      </c>
      <c r="W146" s="269">
        <f>Tabella34[[#This Row],[Italy g.r.]]/Italy_gr_at_lockdown</f>
        <v>1.7442037407831783E-2</v>
      </c>
      <c r="X146" s="269">
        <f>Tabella34[[#This Row],[t_alpha_t+plus]]</f>
        <v>10.988759564434005</v>
      </c>
      <c r="Y146" s="269">
        <f>Tabella34[[#This Row],[Italy h.t.]]/Italy_ht_at_lockdown</f>
        <v>0.19570296477148436</v>
      </c>
      <c r="Z146" s="91">
        <f>IFERROR(-Kf*_xlfn.LOGNORM.DIST((Tabella34[[#This Row],[Day]]-D_bk),mu_f,sigma_f,FALSE)*(1+(LN((Tabella34[[#This Row],[Day]]-D_bk))-mu_f)/sigma_f^2)/(Tabella34[[#This Row],[Day]]-D_bk),0)</f>
        <v>-38.24732654134516</v>
      </c>
      <c r="AA146" s="91">
        <f>Tabella34[[#This Row],[Italy acc. fit]]/Itali_acc_at_lockdown</f>
        <v>-0.15741784574723772</v>
      </c>
      <c r="AB146" s="96">
        <f>Tabella34[[#This Row],[Italy acc. fit]]/y_f_peak</f>
        <v>-7.556354002091553E-3</v>
      </c>
      <c r="AC146" s="163">
        <f>Tabella34[[#This Row],[Italy (fitted Lombardy + fitted sum of the other regions)]]*NOT(ISBLANK(Tabella34[[#This Row],[Italy data]]))</f>
        <v>0</v>
      </c>
      <c r="AD146" s="163">
        <f>Tabella34[[#This Row],[Italy acc. fit]]*NOT(ISBLANK(Tabella34[[#This Row],[Italy data]]))</f>
        <v>0</v>
      </c>
      <c r="AE146" s="96">
        <f>Tabella34[[#This Row],[Italy acc. fit]]+CIf</f>
        <v>975.51567547897253</v>
      </c>
      <c r="AF146" s="96">
        <f>MAX(Tabella34[[#This Row],[Italy acc. fit]]-CIf,0)</f>
        <v>0</v>
      </c>
      <c r="AH146" s="10"/>
      <c r="AI146" s="10"/>
      <c r="AJ146" s="141">
        <f>Tabella34[[#This Row],[Lombardy data]]*NOT(ISBLANK(Tabella34[[#This Row],[Lombardy data]]))</f>
        <v>0</v>
      </c>
      <c r="AK146" s="96">
        <f>Tabella8[[#This Row],[Lombardy fit]]</f>
        <v>82697.256599083383</v>
      </c>
      <c r="AL146" s="163" t="e">
        <f>_xlfn.LOGNORM.INV(alpha*Tabella34[[#This Row],[Lombardy cumul. Fit]]/Kr,mu_r,sigma_r)-(Tabella34[[#This Row],[Day]]-pr)</f>
        <v>#NUM!</v>
      </c>
      <c r="AM146" s="96">
        <f>Tabella34[[#This Row],[Lombardy cumul. Fit]]/Kl</f>
        <v>0.95054317929980903</v>
      </c>
      <c r="AN146" s="96">
        <f>IFERROR(Kr*_xlfn.LOGNORM.DIST((Tabella34[[#This Row],[Day]]-pr),mu_r,sigma_r,FALSE),0)</f>
        <v>242.43184841168704</v>
      </c>
      <c r="AO146" s="209">
        <f>Tabella34[[#This Row],[Lombardy velocity]]/Tabella34[[#This Row],[Lombardy cumul. Fit]]</f>
        <v>2.9315585350914069E-3</v>
      </c>
      <c r="AP146" s="266">
        <f>(LN(Tabella34[[#This Row],[Day]]-pr)-mu_r)/sigma_r</f>
        <v>1.6501432462267225</v>
      </c>
      <c r="AQ146" s="269">
        <f>EXP(mu_r+sigma_r*Tabella34[[#This Row],[x_r_alpha©+plus]])-(Tabella34[[#This Row],[Day]]-pr)</f>
        <v>12.492239035770481</v>
      </c>
      <c r="AR146" s="269">
        <f>EXP(mu_r+sigma_r*Tabella34[[#This Row],[x_r_alpha©-minus]])-(Tabella34[[#This Row],[Day]]-pr)</f>
        <v>-82.871638443356105</v>
      </c>
      <c r="AS146" s="269">
        <f>-sigma_r+SQRT(sigma_r^2-2*Tabella34[[#This Row],[c_r]])</f>
        <v>1.9722908976041262</v>
      </c>
      <c r="AT146" s="269">
        <f>-sigma_r-SQRT(sigma_r^2-2*Tabella34[[#This Row],[c_r]])</f>
        <v>-2.6531454947978554</v>
      </c>
      <c r="AU146" s="269">
        <f>mu_r-LN(alpha*Kr/(Tabella34[[#This Row],[Lombardy velocity]]*sigma_r*SQRTPI(2)))</f>
        <v>-2.616387354704603</v>
      </c>
      <c r="AV146" s="269">
        <f>Tabella34[[#This Row],[t_alpha_r+plus]]</f>
        <v>12.492239035770481</v>
      </c>
      <c r="AW146" s="91">
        <f>IFERROR(-Kl*_xlfn.LOGNORM.DIST((Tabella34[[#This Row],[Day]]-pl),mu_l,sigma_l,FALSE)*(1+(LN((Tabella34[[#This Row],[Day]]-pl))-mu_l)/sigma_l^2)/(Tabella34[[#This Row],[Day]]-pl),0)</f>
        <v>-13.152660696485565</v>
      </c>
      <c r="AX146" s="96">
        <f>Tabella34[[#This Row],[Lombardy acc. fit]]/y_l_peak</f>
        <v>-7.4817982519777117E-3</v>
      </c>
      <c r="AY146" s="163">
        <f>Tabella34[[#This Row],[Lombardy acc. fit]]*NOT(ISBLANK(Tabella34[[#This Row],[Lombardy data]]))</f>
        <v>0</v>
      </c>
      <c r="AZ146" s="96">
        <f>Tabella34[[#This Row],[Lombardy acc. fit]]+CIl</f>
        <v>735.80271110713807</v>
      </c>
      <c r="BA146" s="96">
        <f>MAX(Tabella34[[#This Row],[Lombardy acc. fit]]-CIl,0)</f>
        <v>0</v>
      </c>
      <c r="BC146" s="10"/>
      <c r="BD146" s="10"/>
      <c r="BE146" s="96">
        <f>Tabella34[[#This Row],[rest of Italy data]]*NOT(ISBLANK(Tabella34[[#This Row],[rest of Italy data]]))</f>
        <v>0</v>
      </c>
      <c r="BF146" s="96">
        <f>Tabella8[[#This Row],[rest of Italy fit]]</f>
        <v>142389.22042903272</v>
      </c>
      <c r="BG146" s="163" t="e">
        <f>_xlfn.LOGNORM.INV(alpha*Tabella34[[#This Row],[rest of Italy cumul. Fit]]/Ko,mu_o,sigma_o)-(Tabella34[[#This Row],[Day]]-po)</f>
        <v>#NUM!</v>
      </c>
      <c r="BH146" s="96">
        <f>Tabella34[[#This Row],[rest of Italy cumul. Fit]]/Ka</f>
        <v>0.96208943922147394</v>
      </c>
      <c r="BI146" s="163">
        <f>IFERROR(Ko*_xlfn.LOGNORM.DIST((Tabella34[[#This Row],[Day]]-po),mu_o,sigma_o,FALSE),0)</f>
        <v>374.94390191921877</v>
      </c>
      <c r="BJ146" s="206">
        <f>Tabella34[[#This Row],[rest of Italy velocity]]/Tabella34[[#This Row],[rest of Italy cumul. Fit]]</f>
        <v>2.6332323527685306E-3</v>
      </c>
      <c r="BK146" s="261">
        <f>(LN(Tabella34[[#This Row],[Day]]-po)-mu_o)/sigma_o</f>
        <v>1.7754651098729042</v>
      </c>
      <c r="BL146" s="269">
        <f>EXP(mu_o+sigma_o*Tabella34[[#This Row],[x_o_alpha©+plus]])-(Tabella34[[#This Row],[Day]]-po)</f>
        <v>10.539913377352519</v>
      </c>
      <c r="BM146" s="269">
        <f>EXP(mu_o+sigma_o*Tabella34[[#This Row],[x_o_alpha©-minus]])-(Tabella34[[#This Row],[Day]]-po)</f>
        <v>-77.460007124317201</v>
      </c>
      <c r="BN146" s="269">
        <f>-sigma_o+SQRT(sigma_o^2-2*Tabella34[[#This Row],[c_o]])</f>
        <v>2.0834044505104066</v>
      </c>
      <c r="BO146" s="269">
        <f>-sigma_o-SQRT(sigma_o^2-2*Tabella34[[#This Row],[c_o]])</f>
        <v>-2.7263772278094329</v>
      </c>
      <c r="BP146" s="269">
        <f>mu_o-LN(alpha*Ko/(Tabella34[[#This Row],[rest of Italy velocity]]*sigma_o*SQRTPI(2)))</f>
        <v>-2.8400732250941987</v>
      </c>
      <c r="BQ146" s="269">
        <f>Tabella34[[#This Row],[t_alpha_o+plus]]</f>
        <v>10.539913377352519</v>
      </c>
      <c r="BR146" s="91">
        <f>IFERROR(-Ka*_xlfn.LOGNORM.DIST((Tabella34[[#This Row],[Day]]-pa),mu_a,sigma_a,FALSE)*(1+(LN((Tabella34[[#This Row],[Day]]-pa))-mu_a)/sigma_a^2)/(Tabella34[[#This Row],[Day]]-pa),0)</f>
        <v>-24.146676160553977</v>
      </c>
      <c r="BS146" s="96">
        <f>Tabella34[[#This Row],[rest of Italy acc. fit]]/y_a_peak</f>
        <v>-7.1457859335445559E-3</v>
      </c>
      <c r="BT146" s="141">
        <f>Tabella34[[#This Row],[rest of Italy acc. fit]]*NOT(ISBLANK(Tabella34[[#This Row],[rest of Italy data]]))</f>
        <v>0</v>
      </c>
      <c r="BU146" s="212"/>
      <c r="BV146" s="142"/>
    </row>
    <row r="147" spans="2:74" x14ac:dyDescent="0.3">
      <c r="B147" s="288">
        <v>43970</v>
      </c>
      <c r="C147" s="4">
        <v>140</v>
      </c>
      <c r="E147" s="10"/>
      <c r="F147" s="10"/>
      <c r="G147" s="141">
        <f>Tabella34[[#This Row],[Italy data]]*NOT(ISBLANK(Tabella34[[#This Row],[Italy data]]))</f>
        <v>0</v>
      </c>
      <c r="H147" s="163">
        <f>Tabella8[[#This Row],[Italy fit]]</f>
        <v>225950.36559648617</v>
      </c>
      <c r="I147" s="163" t="e">
        <f>_xlfn.LOGNORM.INV(alpha*Tabella34[[#This Row],[Italy cumul. Fit]]/Kt,mu_t,sigma_t)-(Tabella34[[#This Row],[Day]]-pt)</f>
        <v>#NUM!</v>
      </c>
      <c r="J147" s="163" t="e">
        <f>Tabella34[[#This Row],[Italy d.t.]]/Italy_dt_at_lockdown</f>
        <v>#NUM!</v>
      </c>
      <c r="K147" s="96">
        <f>Tabella34[[#This Row],[Italy cumul. Fit]]/Kf</f>
        <v>0.96149117977858778</v>
      </c>
      <c r="L147" s="166">
        <f>Tabella34[[#This Row],[Lombardy acc. fit]]+Tabella34[[#This Row],[rest of Italy acc. fit]]</f>
        <v>-35.25290256482792</v>
      </c>
      <c r="M147" s="96">
        <f>Tabella34[[#This Row],[Italy (fitted Lombardy + fitted sum of the other regions)]]/(y_l_peak+y_a_peak)</f>
        <v>-6.862408362556225E-3</v>
      </c>
      <c r="N147" s="163">
        <f>IFERROR(Kt*_xlfn.LOGNORM.DIST((Tabella34[[#This Row],[Day]]-pt),mu_t,sigma_t,FALSE),0)</f>
        <v>584.43940622669379</v>
      </c>
      <c r="O147" s="163">
        <f>Kt*EXP(-0.5*Tabella34[[#This Row],[x_t]]^2)/(sigma_t*SQRTPI(2)*(Tabella34[[#This Row],[Day]]-D_bk))</f>
        <v>584.43940622669356</v>
      </c>
      <c r="P147" s="206">
        <f>Tabella34[[#This Row],[Italy velocity]]/Tabella34[[#This Row],[Italy cumul. Fit]]</f>
        <v>2.5865831404336642E-3</v>
      </c>
      <c r="Q147" s="269">
        <f>(LN(Tabella34[[#This Row],[Day]]-D_bk)-mu_t)/sigma_t</f>
        <v>1.768258846429581</v>
      </c>
      <c r="R147" s="269">
        <f>EXP(mu_t+sigma_t*Tabella34[[#This Row],[x_t_alpha©+plus]])-(Tabella34[[#This Row],[Day]]-D_bk)</f>
        <v>10.945443984800164</v>
      </c>
      <c r="S147" s="269">
        <f>EXP(mu_t+sigma_t*Tabella34[[#This Row],[x_t_alpha©-minus]])-(Tabella34[[#This Row],[Day]]-D_bk)</f>
        <v>-81.283696507513781</v>
      </c>
      <c r="T147" s="269">
        <f>-sigma_t+SQRT(sigma_t^2-2*Tabella34[[#This Row],[c_t]])</f>
        <v>2.0786588409167068</v>
      </c>
      <c r="U147" s="269">
        <f>-sigma_t-SQRT(sigma_t^2-2*Tabella34[[#This Row],[c_t]])</f>
        <v>-2.6978957468089444</v>
      </c>
      <c r="V147" s="269">
        <f>mu_t-LN(alpha*Kt/(Tabella34[[#This Row],[Italy velocity]]*sigma_t*SQRTPI(2)))</f>
        <v>-2.8040024229879972</v>
      </c>
      <c r="W147" s="269">
        <f>Tabella34[[#This Row],[Italy g.r.]]/Italy_gr_at_lockdown</f>
        <v>1.6354797053857791E-2</v>
      </c>
      <c r="X147" s="269">
        <f>Tabella34[[#This Row],[t_alpha_t+plus]]</f>
        <v>10.945443984800164</v>
      </c>
      <c r="Y147" s="269">
        <f>Tabella34[[#This Row],[Italy h.t.]]/Italy_ht_at_lockdown</f>
        <v>0.19493154127227752</v>
      </c>
      <c r="Z147" s="91">
        <f>IFERROR(-Kf*_xlfn.LOGNORM.DIST((Tabella34[[#This Row],[Day]]-D_bk),mu_f,sigma_f,FALSE)*(1+(LN((Tabella34[[#This Row],[Day]]-D_bk))-mu_f)/sigma_f^2)/(Tabella34[[#This Row],[Day]]-D_bk),0)</f>
        <v>-36.14796833512068</v>
      </c>
      <c r="AA147" s="91">
        <f>Tabella34[[#This Row],[Italy acc. fit]]/Itali_acc_at_lockdown</f>
        <v>-0.14877733473221555</v>
      </c>
      <c r="AB147" s="96">
        <f>Tabella34[[#This Row],[Italy acc. fit]]/y_f_peak</f>
        <v>-7.1415931490348113E-3</v>
      </c>
      <c r="AC147" s="163">
        <f>Tabella34[[#This Row],[Italy (fitted Lombardy + fitted sum of the other regions)]]*NOT(ISBLANK(Tabella34[[#This Row],[Italy data]]))</f>
        <v>0</v>
      </c>
      <c r="AD147" s="163">
        <f>Tabella34[[#This Row],[Italy acc. fit]]*NOT(ISBLANK(Tabella34[[#This Row],[Italy data]]))</f>
        <v>0</v>
      </c>
      <c r="AE147" s="96">
        <f>Tabella34[[#This Row],[Italy acc. fit]]+CIf</f>
        <v>977.61503368519698</v>
      </c>
      <c r="AF147" s="96">
        <f>MAX(Tabella34[[#This Row],[Italy acc. fit]]-CIf,0)</f>
        <v>0</v>
      </c>
      <c r="AH147" s="10"/>
      <c r="AI147" s="10"/>
      <c r="AJ147" s="141">
        <f>Tabella34[[#This Row],[Lombardy data]]*NOT(ISBLANK(Tabella34[[#This Row],[Lombardy data]]))</f>
        <v>0</v>
      </c>
      <c r="AK147" s="96">
        <f>Tabella8[[#This Row],[Lombardy fit]]</f>
        <v>82933.220269088051</v>
      </c>
      <c r="AL147" s="163" t="e">
        <f>_xlfn.LOGNORM.INV(alpha*Tabella34[[#This Row],[Lombardy cumul. Fit]]/Kr,mu_r,sigma_r)-(Tabella34[[#This Row],[Day]]-pr)</f>
        <v>#NUM!</v>
      </c>
      <c r="AM147" s="96">
        <f>Tabella34[[#This Row],[Lombardy cumul. Fit]]/Kl</f>
        <v>0.95325540539181663</v>
      </c>
      <c r="AN147" s="96">
        <f>IFERROR(Kr*_xlfn.LOGNORM.DIST((Tabella34[[#This Row],[Day]]-pr),mu_r,sigma_r,FALSE),0)</f>
        <v>229.60254586220248</v>
      </c>
      <c r="AO147" s="209">
        <f>Tabella34[[#This Row],[Lombardy velocity]]/Tabella34[[#This Row],[Lombardy cumul. Fit]]</f>
        <v>2.7685232180449035E-3</v>
      </c>
      <c r="AP147" s="266">
        <f>(LN(Tabella34[[#This Row],[Day]]-pr)-mu_r)/sigma_r</f>
        <v>1.6772725937197379</v>
      </c>
      <c r="AQ147" s="269">
        <f>EXP(mu_r+sigma_r*Tabella34[[#This Row],[x_r_alpha©+plus]])-(Tabella34[[#This Row],[Day]]-pr)</f>
        <v>12.453773795292378</v>
      </c>
      <c r="AR147" s="269">
        <f>EXP(mu_r+sigma_r*Tabella34[[#This Row],[x_r_alpha©-minus]])-(Tabella34[[#This Row],[Day]]-pr)</f>
        <v>-84.069178797669949</v>
      </c>
      <c r="AS147" s="269">
        <f>-sigma_r+SQRT(sigma_r^2-2*Tabella34[[#This Row],[c_r]])</f>
        <v>1.9956821201963395</v>
      </c>
      <c r="AT147" s="269">
        <f>-sigma_r-SQRT(sigma_r^2-2*Tabella34[[#This Row],[c_r]])</f>
        <v>-2.6765367173900687</v>
      </c>
      <c r="AU147" s="269">
        <f>mu_r-LN(alpha*Kr/(Tabella34[[#This Row],[Lombardy velocity]]*sigma_r*SQRTPI(2)))</f>
        <v>-2.6707582354721815</v>
      </c>
      <c r="AV147" s="269">
        <f>Tabella34[[#This Row],[t_alpha_r+plus]]</f>
        <v>12.453773795292378</v>
      </c>
      <c r="AW147" s="91">
        <f>IFERROR(-Kl*_xlfn.LOGNORM.DIST((Tabella34[[#This Row],[Day]]-pl),mu_l,sigma_l,FALSE)*(1+(LN((Tabella34[[#This Row],[Day]]-pl))-mu_l)/sigma_l^2)/(Tabella34[[#This Row],[Day]]-pl),0)</f>
        <v>-12.510327624274115</v>
      </c>
      <c r="AX147" s="96">
        <f>Tabella34[[#This Row],[Lombardy acc. fit]]/y_l_peak</f>
        <v>-7.116411615177811E-3</v>
      </c>
      <c r="AY147" s="163">
        <f>Tabella34[[#This Row],[Lombardy acc. fit]]*NOT(ISBLANK(Tabella34[[#This Row],[Lombardy data]]))</f>
        <v>0</v>
      </c>
      <c r="AZ147" s="96">
        <f>Tabella34[[#This Row],[Lombardy acc. fit]]+CIl</f>
        <v>736.44504417934945</v>
      </c>
      <c r="BA147" s="96">
        <f>MAX(Tabella34[[#This Row],[Lombardy acc. fit]]-CIl,0)</f>
        <v>0</v>
      </c>
      <c r="BC147" s="10"/>
      <c r="BD147" s="10"/>
      <c r="BE147" s="96">
        <f>Tabella34[[#This Row],[rest of Italy data]]*NOT(ISBLANK(Tabella34[[#This Row],[rest of Italy data]]))</f>
        <v>0</v>
      </c>
      <c r="BF147" s="96">
        <f>Tabella8[[#This Row],[rest of Italy fit]]</f>
        <v>142752.32797550212</v>
      </c>
      <c r="BG147" s="163" t="e">
        <f>_xlfn.LOGNORM.INV(alpha*Tabella34[[#This Row],[rest of Italy cumul. Fit]]/Ko,mu_o,sigma_o)-(Tabella34[[#This Row],[Day]]-po)</f>
        <v>#NUM!</v>
      </c>
      <c r="BH147" s="96">
        <f>Tabella34[[#This Row],[rest of Italy cumul. Fit]]/Ka</f>
        <v>0.96454286887511786</v>
      </c>
      <c r="BI147" s="163">
        <f>IFERROR(Ko*_xlfn.LOGNORM.DIST((Tabella34[[#This Row],[Day]]-po),mu_o,sigma_o,FALSE),0)</f>
        <v>351.50520221873751</v>
      </c>
      <c r="BJ147" s="206">
        <f>Tabella34[[#This Row],[rest of Italy velocity]]/Tabella34[[#This Row],[rest of Italy cumul. Fit]]</f>
        <v>2.4623430468962977E-3</v>
      </c>
      <c r="BK147" s="261">
        <f>(LN(Tabella34[[#This Row],[Day]]-po)-mu_o)/sigma_o</f>
        <v>1.806026103572846</v>
      </c>
      <c r="BL147" s="269">
        <f>EXP(mu_o+sigma_o*Tabella34[[#This Row],[x_o_alpha©+plus]])-(Tabella34[[#This Row],[Day]]-po)</f>
        <v>10.503668409210619</v>
      </c>
      <c r="BM147" s="269">
        <f>EXP(mu_o+sigma_o*Tabella34[[#This Row],[x_o_alpha©-minus]])-(Tabella34[[#This Row],[Day]]-po)</f>
        <v>-78.663570241865159</v>
      </c>
      <c r="BN147" s="269">
        <f>-sigma_o+SQRT(sigma_o^2-2*Tabella34[[#This Row],[c_o]])</f>
        <v>2.1100982316510191</v>
      </c>
      <c r="BO147" s="269">
        <f>-sigma_o-SQRT(sigma_o^2-2*Tabella34[[#This Row],[c_o]])</f>
        <v>-2.7530710089500454</v>
      </c>
      <c r="BP147" s="269">
        <f>mu_o-LN(alpha*Ko/(Tabella34[[#This Row],[rest of Italy velocity]]*sigma_o*SQRTPI(2)))</f>
        <v>-2.9046251337975884</v>
      </c>
      <c r="BQ147" s="269">
        <f>Tabella34[[#This Row],[t_alpha_o+plus]]</f>
        <v>10.503668409210619</v>
      </c>
      <c r="BR147" s="91">
        <f>IFERROR(-Ka*_xlfn.LOGNORM.DIST((Tabella34[[#This Row],[Day]]-pa),mu_a,sigma_a,FALSE)*(1+(LN((Tabella34[[#This Row],[Day]]-pa))-mu_a)/sigma_a^2)/(Tabella34[[#This Row],[Day]]-pa),0)</f>
        <v>-22.742574940553805</v>
      </c>
      <c r="BS147" s="96">
        <f>Tabella34[[#This Row],[rest of Italy acc. fit]]/y_a_peak</f>
        <v>-6.7302667672445356E-3</v>
      </c>
      <c r="BT147" s="141">
        <f>Tabella34[[#This Row],[rest of Italy acc. fit]]*NOT(ISBLANK(Tabella34[[#This Row],[rest of Italy data]]))</f>
        <v>0</v>
      </c>
      <c r="BU147" s="212"/>
      <c r="BV147" s="142"/>
    </row>
    <row r="148" spans="2:74" x14ac:dyDescent="0.3">
      <c r="B148" s="288">
        <v>43971</v>
      </c>
      <c r="C148" s="4">
        <v>141</v>
      </c>
      <c r="E148" s="10"/>
      <c r="F148" s="10"/>
      <c r="G148" s="141">
        <f>Tabella34[[#This Row],[Italy data]]*NOT(ISBLANK(Tabella34[[#This Row],[Italy data]]))</f>
        <v>0</v>
      </c>
      <c r="H148" s="163">
        <f>Tabella8[[#This Row],[Italy fit]]</f>
        <v>226517.06889202536</v>
      </c>
      <c r="I148" s="163" t="e">
        <f>_xlfn.LOGNORM.INV(alpha*Tabella34[[#This Row],[Italy cumul. Fit]]/Kt,mu_t,sigma_t)-(Tabella34[[#This Row],[Day]]-pt)</f>
        <v>#NUM!</v>
      </c>
      <c r="J148" s="163" t="e">
        <f>Tabella34[[#This Row],[Italy d.t.]]/Italy_dt_at_lockdown</f>
        <v>#NUM!</v>
      </c>
      <c r="K148" s="96">
        <f>Tabella34[[#This Row],[Italy cumul. Fit]]/Kf</f>
        <v>0.96390268382184952</v>
      </c>
      <c r="L148" s="166">
        <f>Tabella34[[#This Row],[Lombardy acc. fit]]+Tabella34[[#This Row],[rest of Italy acc. fit]]</f>
        <v>-33.302594719888248</v>
      </c>
      <c r="M148" s="96">
        <f>Tabella34[[#This Row],[Italy (fitted Lombardy + fitted sum of the other regions)]]/(y_l_peak+y_a_peak)</f>
        <v>-6.482757102917079E-3</v>
      </c>
      <c r="N148" s="163">
        <f>IFERROR(Kt*_xlfn.LOGNORM.DIST((Tabella34[[#This Row],[Day]]-pt),mu_t,sigma_t,FALSE),0)</f>
        <v>549.30110192110874</v>
      </c>
      <c r="O148" s="163">
        <f>Kt*EXP(-0.5*Tabella34[[#This Row],[x_t]]^2)/(sigma_t*SQRTPI(2)*(Tabella34[[#This Row],[Day]]-D_bk))</f>
        <v>549.30110192110874</v>
      </c>
      <c r="P148" s="206">
        <f>Tabella34[[#This Row],[Italy velocity]]/Tabella34[[#This Row],[Italy cumul. Fit]]</f>
        <v>2.4249876824202856E-3</v>
      </c>
      <c r="Q148" s="269">
        <f>(LN(Tabella34[[#This Row],[Day]]-D_bk)-mu_t)/sigma_t</f>
        <v>1.7978887935759422</v>
      </c>
      <c r="R148" s="269">
        <f>EXP(mu_t+sigma_t*Tabella34[[#This Row],[x_t_alpha©+plus]])-(Tabella34[[#This Row],[Day]]-D_bk)</f>
        <v>10.90431647177563</v>
      </c>
      <c r="S148" s="269">
        <f>EXP(mu_t+sigma_t*Tabella34[[#This Row],[x_t_alpha©-minus]])-(Tabella34[[#This Row],[Day]]-D_bk)</f>
        <v>-82.500470071085772</v>
      </c>
      <c r="T148" s="269">
        <f>-sigma_t+SQRT(sigma_t^2-2*Tabella34[[#This Row],[c_t]])</f>
        <v>2.104482032796529</v>
      </c>
      <c r="U148" s="269">
        <f>-sigma_t-SQRT(sigma_t^2-2*Tabella34[[#This Row],[c_t]])</f>
        <v>-2.7237189386887666</v>
      </c>
      <c r="V148" s="269">
        <f>mu_t-LN(alpha*Kt/(Tabella34[[#This Row],[Italy velocity]]*sigma_t*SQRTPI(2)))</f>
        <v>-2.86600878442907</v>
      </c>
      <c r="W148" s="269">
        <f>Tabella34[[#This Row],[Italy g.r.]]/Italy_gr_at_lockdown</f>
        <v>1.533303947749359E-2</v>
      </c>
      <c r="X148" s="269">
        <f>Tabella34[[#This Row],[t_alpha_t+plus]]</f>
        <v>10.90431647177563</v>
      </c>
      <c r="Y148" s="269">
        <f>Tabella34[[#This Row],[Italy h.t.]]/Italy_ht_at_lockdown</f>
        <v>0.19419908587679963</v>
      </c>
      <c r="Z148" s="91">
        <f>IFERROR(-Kf*_xlfn.LOGNORM.DIST((Tabella34[[#This Row],[Day]]-D_bk),mu_f,sigma_f,FALSE)*(1+(LN((Tabella34[[#This Row],[Day]]-D_bk))-mu_f)/sigma_f^2)/(Tabella34[[#This Row],[Day]]-D_bk),0)</f>
        <v>-34.144428064779916</v>
      </c>
      <c r="AA148" s="91">
        <f>Tabella34[[#This Row],[Italy acc. fit]]/Itali_acc_at_lockdown</f>
        <v>-0.14053118992301056</v>
      </c>
      <c r="AB148" s="96">
        <f>Tabella34[[#This Row],[Italy acc. fit]]/y_f_peak</f>
        <v>-6.7457626189250698E-3</v>
      </c>
      <c r="AC148" s="163">
        <f>Tabella34[[#This Row],[Italy (fitted Lombardy + fitted sum of the other regions)]]*NOT(ISBLANK(Tabella34[[#This Row],[Italy data]]))</f>
        <v>0</v>
      </c>
      <c r="AD148" s="163">
        <f>Tabella34[[#This Row],[Italy acc. fit]]*NOT(ISBLANK(Tabella34[[#This Row],[Italy data]]))</f>
        <v>0</v>
      </c>
      <c r="AE148" s="96">
        <f>Tabella34[[#This Row],[Italy acc. fit]]+CIf</f>
        <v>979.61857395553773</v>
      </c>
      <c r="AF148" s="96">
        <f>MAX(Tabella34[[#This Row],[Italy acc. fit]]-CIf,0)</f>
        <v>0</v>
      </c>
      <c r="AH148" s="10"/>
      <c r="AI148" s="10"/>
      <c r="AJ148" s="141">
        <f>Tabella34[[#This Row],[Lombardy data]]*NOT(ISBLANK(Tabella34[[#This Row],[Lombardy data]]))</f>
        <v>0</v>
      </c>
      <c r="AK148" s="96">
        <f>Tabella8[[#This Row],[Lombardy fit]]</f>
        <v>83156.671439319733</v>
      </c>
      <c r="AL148" s="163" t="e">
        <f>_xlfn.LOGNORM.INV(alpha*Tabella34[[#This Row],[Lombardy cumul. Fit]]/Kr,mu_r,sigma_r)-(Tabella34[[#This Row],[Day]]-pr)</f>
        <v>#NUM!</v>
      </c>
      <c r="AM148" s="96">
        <f>Tabella34[[#This Row],[Lombardy cumul. Fit]]/Kl</f>
        <v>0.95582380964735325</v>
      </c>
      <c r="AN148" s="96">
        <f>IFERROR(Kr*_xlfn.LOGNORM.DIST((Tabella34[[#This Row],[Day]]-pr),mu_r,sigma_r,FALSE),0)</f>
        <v>217.40250492532616</v>
      </c>
      <c r="AO148" s="209">
        <f>Tabella34[[#This Row],[Lombardy velocity]]/Tabella34[[#This Row],[Lombardy cumul. Fit]]</f>
        <v>2.6143723788170981E-3</v>
      </c>
      <c r="AP148" s="266">
        <f>(LN(Tabella34[[#This Row],[Day]]-pr)-mu_r)/sigma_r</f>
        <v>1.7041536773220749</v>
      </c>
      <c r="AQ148" s="269">
        <f>EXP(mu_r+sigma_r*Tabella34[[#This Row],[x_r_alpha©+plus]])-(Tabella34[[#This Row],[Day]]-pr)</f>
        <v>12.417375475386706</v>
      </c>
      <c r="AR148" s="269">
        <f>EXP(mu_r+sigma_r*Tabella34[[#This Row],[x_r_alpha©-minus]])-(Tabella34[[#This Row],[Day]]-pr)</f>
        <v>-85.264024925713883</v>
      </c>
      <c r="AS148" s="269">
        <f>-sigma_r+SQRT(sigma_r^2-2*Tabella34[[#This Row],[c_r]])</f>
        <v>2.0189382365014028</v>
      </c>
      <c r="AT148" s="269">
        <f>-sigma_r-SQRT(sigma_r^2-2*Tabella34[[#This Row],[c_r]])</f>
        <v>-2.699792833695132</v>
      </c>
      <c r="AU148" s="269">
        <f>mu_r-LN(alpha*Kr/(Tabella34[[#This Row],[Lombardy velocity]]*sigma_r*SQRTPI(2)))</f>
        <v>-2.7253574912897873</v>
      </c>
      <c r="AV148" s="269">
        <f>Tabella34[[#This Row],[t_alpha_r+plus]]</f>
        <v>12.417375475386706</v>
      </c>
      <c r="AW148" s="91">
        <f>IFERROR(-Kl*_xlfn.LOGNORM.DIST((Tabella34[[#This Row],[Day]]-pl),mu_l,sigma_l,FALSE)*(1+(LN((Tabella34[[#This Row],[Day]]-pl))-mu_l)/sigma_l^2)/(Tabella34[[#This Row],[Day]]-pl),0)</f>
        <v>-11.89405712261615</v>
      </c>
      <c r="AX148" s="96">
        <f>Tabella34[[#This Row],[Lombardy acc. fit]]/y_l_peak</f>
        <v>-6.765850487779306E-3</v>
      </c>
      <c r="AY148" s="163">
        <f>Tabella34[[#This Row],[Lombardy acc. fit]]*NOT(ISBLANK(Tabella34[[#This Row],[Lombardy data]]))</f>
        <v>0</v>
      </c>
      <c r="AZ148" s="96">
        <f>Tabella34[[#This Row],[Lombardy acc. fit]]+CIl</f>
        <v>737.0613146810075</v>
      </c>
      <c r="BA148" s="96">
        <f>MAX(Tabella34[[#This Row],[Lombardy acc. fit]]-CIl,0)</f>
        <v>0</v>
      </c>
      <c r="BC148" s="10"/>
      <c r="BD148" s="10"/>
      <c r="BE148" s="96">
        <f>Tabella34[[#This Row],[rest of Italy data]]*NOT(ISBLANK(Tabella34[[#This Row],[rest of Italy data]]))</f>
        <v>0</v>
      </c>
      <c r="BF148" s="96">
        <f>Tabella8[[#This Row],[rest of Italy fit]]</f>
        <v>143092.68710782341</v>
      </c>
      <c r="BG148" s="163" t="e">
        <f>_xlfn.LOGNORM.INV(alpha*Tabella34[[#This Row],[rest of Italy cumul. Fit]]/Ko,mu_o,sigma_o)-(Tabella34[[#This Row],[Day]]-po)</f>
        <v>#NUM!</v>
      </c>
      <c r="BH148" s="96">
        <f>Tabella34[[#This Row],[rest of Italy cumul. Fit]]/Ka</f>
        <v>0.96684259300986797</v>
      </c>
      <c r="BI148" s="163">
        <f>IFERROR(Ko*_xlfn.LOGNORM.DIST((Tabella34[[#This Row],[Day]]-po),mu_o,sigma_o,FALSE),0)</f>
        <v>329.43539594258692</v>
      </c>
      <c r="BJ148" s="206">
        <f>Tabella34[[#This Row],[rest of Italy velocity]]/Tabella34[[#This Row],[rest of Italy cumul. Fit]]</f>
        <v>2.3022517963783174E-3</v>
      </c>
      <c r="BK148" s="261">
        <f>(LN(Tabella34[[#This Row],[Day]]-po)-mu_o)/sigma_o</f>
        <v>1.8362897562268496</v>
      </c>
      <c r="BL148" s="269">
        <f>EXP(mu_o+sigma_o*Tabella34[[#This Row],[x_o_alpha©+plus]])-(Tabella34[[#This Row],[Day]]-po)</f>
        <v>10.469477978962985</v>
      </c>
      <c r="BM148" s="269">
        <f>EXP(mu_o+sigma_o*Tabella34[[#This Row],[x_o_alpha©-minus]])-(Tabella34[[#This Row],[Day]]-po)</f>
        <v>-79.864106934493719</v>
      </c>
      <c r="BN148" s="269">
        <f>-sigma_o+SQRT(sigma_o^2-2*Tabella34[[#This Row],[c_o]])</f>
        <v>2.1366210647620316</v>
      </c>
      <c r="BO148" s="269">
        <f>-sigma_o-SQRT(sigma_o^2-2*Tabella34[[#This Row],[c_o]])</f>
        <v>-2.779593842061058</v>
      </c>
      <c r="BP148" s="269">
        <f>mu_o-LN(alpha*Ko/(Tabella34[[#This Row],[rest of Italy velocity]]*sigma_o*SQRTPI(2)))</f>
        <v>-2.9694693772152423</v>
      </c>
      <c r="BQ148" s="269">
        <f>Tabella34[[#This Row],[t_alpha_o+plus]]</f>
        <v>10.469477978962985</v>
      </c>
      <c r="BR148" s="91">
        <f>IFERROR(-Ka*_xlfn.LOGNORM.DIST((Tabella34[[#This Row],[Day]]-pa),mu_a,sigma_a,FALSE)*(1+(LN((Tabella34[[#This Row],[Day]]-pa))-mu_a)/sigma_a^2)/(Tabella34[[#This Row],[Day]]-pa),0)</f>
        <v>-21.408537597272094</v>
      </c>
      <c r="BS148" s="96">
        <f>Tabella34[[#This Row],[rest of Italy acc. fit]]/y_a_peak</f>
        <v>-6.3354817782439246E-3</v>
      </c>
      <c r="BT148" s="141">
        <f>Tabella34[[#This Row],[rest of Italy acc. fit]]*NOT(ISBLANK(Tabella34[[#This Row],[rest of Italy data]]))</f>
        <v>0</v>
      </c>
      <c r="BU148" s="212"/>
      <c r="BV148" s="142"/>
    </row>
    <row r="149" spans="2:74" x14ac:dyDescent="0.3">
      <c r="B149" s="288">
        <v>43972</v>
      </c>
      <c r="C149" s="4">
        <v>142</v>
      </c>
      <c r="E149" s="10"/>
      <c r="F149" s="10"/>
      <c r="G149" s="141">
        <f>Tabella34[[#This Row],[Italy data]]*NOT(ISBLANK(Tabella34[[#This Row],[Italy data]]))</f>
        <v>0</v>
      </c>
      <c r="H149" s="163">
        <f>Tabella8[[#This Row],[Italy fit]]</f>
        <v>227049.61996266877</v>
      </c>
      <c r="I149" s="163" t="e">
        <f>_xlfn.LOGNORM.INV(alpha*Tabella34[[#This Row],[Italy cumul. Fit]]/Kt,mu_t,sigma_t)-(Tabella34[[#This Row],[Day]]-pt)</f>
        <v>#NUM!</v>
      </c>
      <c r="J149" s="163" t="e">
        <f>Tabella34[[#This Row],[Italy d.t.]]/Italy_dt_at_lockdown</f>
        <v>#NUM!</v>
      </c>
      <c r="K149" s="96">
        <f>Tabella34[[#This Row],[Italy cumul. Fit]]/Kf</f>
        <v>0.96616885920887996</v>
      </c>
      <c r="L149" s="166">
        <f>Tabella34[[#This Row],[Lombardy acc. fit]]+Tabella34[[#This Row],[rest of Italy acc. fit]]</f>
        <v>-31.445730630216936</v>
      </c>
      <c r="M149" s="96">
        <f>Tabella34[[#This Row],[Italy (fitted Lombardy + fitted sum of the other regions)]]/(y_l_peak+y_a_peak)</f>
        <v>-6.1212958123564509E-3</v>
      </c>
      <c r="N149" s="163">
        <f>IFERROR(Kt*_xlfn.LOGNORM.DIST((Tabella34[[#This Row],[Day]]-pt),mu_t,sigma_t,FALSE),0)</f>
        <v>516.11936391818824</v>
      </c>
      <c r="O149" s="163">
        <f>Kt*EXP(-0.5*Tabella34[[#This Row],[x_t]]^2)/(sigma_t*SQRTPI(2)*(Tabella34[[#This Row],[Day]]-D_bk))</f>
        <v>516.11936391818824</v>
      </c>
      <c r="P149" s="206">
        <f>Tabella34[[#This Row],[Italy velocity]]/Tabella34[[#This Row],[Italy cumul. Fit]]</f>
        <v>2.2731566958933821E-3</v>
      </c>
      <c r="Q149" s="269">
        <f>(LN(Tabella34[[#This Row],[Day]]-D_bk)-mu_t)/sigma_t</f>
        <v>1.8272493854151255</v>
      </c>
      <c r="R149" s="269">
        <f>EXP(mu_t+sigma_t*Tabella34[[#This Row],[x_t_alpha©+plus]])-(Tabella34[[#This Row],[Day]]-D_bk)</f>
        <v>10.865271809385405</v>
      </c>
      <c r="S149" s="269">
        <f>EXP(mu_t+sigma_t*Tabella34[[#This Row],[x_t_alpha©-minus]])-(Tabella34[[#This Row],[Day]]-D_bk)</f>
        <v>-83.714278139994718</v>
      </c>
      <c r="T149" s="269">
        <f>-sigma_t+SQRT(sigma_t^2-2*Tabella34[[#This Row],[c_t]])</f>
        <v>2.1301558234455613</v>
      </c>
      <c r="U149" s="269">
        <f>-sigma_t-SQRT(sigma_t^2-2*Tabella34[[#This Row],[c_t]])</f>
        <v>-2.7493927293377989</v>
      </c>
      <c r="V149" s="269">
        <f>mu_t-LN(alpha*Kt/(Tabella34[[#This Row],[Italy velocity]]*sigma_t*SQRTPI(2)))</f>
        <v>-2.9283174666688998</v>
      </c>
      <c r="W149" s="269">
        <f>Tabella34[[#This Row],[Italy g.r.]]/Italy_gr_at_lockdown</f>
        <v>1.4373022019590342E-2</v>
      </c>
      <c r="X149" s="269">
        <f>Tabella34[[#This Row],[t_alpha_t+plus]]</f>
        <v>10.865271809385405</v>
      </c>
      <c r="Y149" s="269">
        <f>Tabella34[[#This Row],[Italy h.t.]]/Italy_ht_at_lockdown</f>
        <v>0.19350372475405744</v>
      </c>
      <c r="Z149" s="91">
        <f>IFERROR(-Kf*_xlfn.LOGNORM.DIST((Tabella34[[#This Row],[Day]]-D_bk),mu_f,sigma_f,FALSE)*(1+(LN((Tabella34[[#This Row],[Day]]-D_bk))-mu_f)/sigma_f^2)/(Tabella34[[#This Row],[Day]]-D_bk),0)</f>
        <v>-32.234439460047611</v>
      </c>
      <c r="AA149" s="91">
        <f>Tabella34[[#This Row],[Italy acc. fit]]/Itali_acc_at_lockdown</f>
        <v>-0.13267008383409967</v>
      </c>
      <c r="AB149" s="96">
        <f>Tabella34[[#This Row],[Italy acc. fit]]/y_f_peak</f>
        <v>-6.3684146748349988E-3</v>
      </c>
      <c r="AC149" s="163">
        <f>Tabella34[[#This Row],[Italy (fitted Lombardy + fitted sum of the other regions)]]*NOT(ISBLANK(Tabella34[[#This Row],[Italy data]]))</f>
        <v>0</v>
      </c>
      <c r="AD149" s="163">
        <f>Tabella34[[#This Row],[Italy acc. fit]]*NOT(ISBLANK(Tabella34[[#This Row],[Italy data]]))</f>
        <v>0</v>
      </c>
      <c r="AE149" s="96">
        <f>Tabella34[[#This Row],[Italy acc. fit]]+CIf</f>
        <v>981.52856256027007</v>
      </c>
      <c r="AF149" s="96">
        <f>MAX(Tabella34[[#This Row],[Italy acc. fit]]-CIf,0)</f>
        <v>0</v>
      </c>
      <c r="AH149" s="10"/>
      <c r="AI149" s="10"/>
      <c r="AJ149" s="141">
        <f>Tabella34[[#This Row],[Lombardy data]]*NOT(ISBLANK(Tabella34[[#This Row],[Lombardy data]]))</f>
        <v>0</v>
      </c>
      <c r="AK149" s="96">
        <f>Tabella8[[#This Row],[Lombardy fit]]</f>
        <v>83368.226423014072</v>
      </c>
      <c r="AL149" s="163" t="e">
        <f>_xlfn.LOGNORM.INV(alpha*Tabella34[[#This Row],[Lombardy cumul. Fit]]/Kr,mu_r,sigma_r)-(Tabella34[[#This Row],[Day]]-pr)</f>
        <v>#NUM!</v>
      </c>
      <c r="AM149" s="96">
        <f>Tabella34[[#This Row],[Lombardy cumul. Fit]]/Kl</f>
        <v>0.95825547612659856</v>
      </c>
      <c r="AN149" s="96">
        <f>IFERROR(Kr*_xlfn.LOGNORM.DIST((Tabella34[[#This Row],[Day]]-pr),mu_r,sigma_r,FALSE),0)</f>
        <v>205.8059142570437</v>
      </c>
      <c r="AO149" s="209">
        <f>Tabella34[[#This Row],[Lombardy velocity]]/Tabella34[[#This Row],[Lombardy cumul. Fit]]</f>
        <v>2.4686373104877554E-3</v>
      </c>
      <c r="AP149" s="266">
        <f>(LN(Tabella34[[#This Row],[Day]]-pr)-mu_r)/sigma_r</f>
        <v>1.7307909996458044</v>
      </c>
      <c r="AQ149" s="269">
        <f>EXP(mu_r+sigma_r*Tabella34[[#This Row],[x_r_alpha©+plus]])-(Tabella34[[#This Row],[Day]]-pr)</f>
        <v>12.382949186899708</v>
      </c>
      <c r="AR149" s="269">
        <f>EXP(mu_r+sigma_r*Tabella34[[#This Row],[x_r_alpha©-minus]])-(Tabella34[[#This Row],[Day]]-pr)</f>
        <v>-86.456211517373248</v>
      </c>
      <c r="AS149" s="269">
        <f>-sigma_r+SQRT(sigma_r^2-2*Tabella34[[#This Row],[c_r]])</f>
        <v>2.04205871397386</v>
      </c>
      <c r="AT149" s="269">
        <f>-sigma_r-SQRT(sigma_r^2-2*Tabella34[[#This Row],[c_r]])</f>
        <v>-2.7229133111675892</v>
      </c>
      <c r="AU149" s="269">
        <f>mu_r-LN(alpha*Kr/(Tabella34[[#This Row],[Lombardy velocity]]*sigma_r*SQRTPI(2)))</f>
        <v>-2.7801744272325957</v>
      </c>
      <c r="AV149" s="269">
        <f>Tabella34[[#This Row],[t_alpha_r+plus]]</f>
        <v>12.382949186899708</v>
      </c>
      <c r="AW149" s="91">
        <f>IFERROR(-Kl*_xlfn.LOGNORM.DIST((Tabella34[[#This Row],[Day]]-pl),mu_l,sigma_l,FALSE)*(1+(LN((Tabella34[[#This Row],[Day]]-pl))-mu_l)/sigma_l^2)/(Tabella34[[#This Row],[Day]]-pl),0)</f>
        <v>-11.303336906300101</v>
      </c>
      <c r="AX149" s="96">
        <f>Tabella34[[#This Row],[Lombardy acc. fit]]/y_l_peak</f>
        <v>-6.4298234599535018E-3</v>
      </c>
      <c r="AY149" s="163">
        <f>Tabella34[[#This Row],[Lombardy acc. fit]]*NOT(ISBLANK(Tabella34[[#This Row],[Lombardy data]]))</f>
        <v>0</v>
      </c>
      <c r="AZ149" s="96">
        <f>Tabella34[[#This Row],[Lombardy acc. fit]]+CIl</f>
        <v>737.65203489732357</v>
      </c>
      <c r="BA149" s="96">
        <f>MAX(Tabella34[[#This Row],[Lombardy acc. fit]]-CIl,0)</f>
        <v>0</v>
      </c>
      <c r="BC149" s="10"/>
      <c r="BD149" s="10"/>
      <c r="BE149" s="96">
        <f>Tabella34[[#This Row],[rest of Italy data]]*NOT(ISBLANK(Tabella34[[#This Row],[rest of Italy data]]))</f>
        <v>0</v>
      </c>
      <c r="BF149" s="96">
        <f>Tabella8[[#This Row],[rest of Italy fit]]</f>
        <v>143411.63204434121</v>
      </c>
      <c r="BG149" s="163" t="e">
        <f>_xlfn.LOGNORM.INV(alpha*Tabella34[[#This Row],[rest of Italy cumul. Fit]]/Ko,mu_o,sigma_o)-(Tabella34[[#This Row],[Day]]-po)</f>
        <v>#NUM!</v>
      </c>
      <c r="BH149" s="96">
        <f>Tabella34[[#This Row],[rest of Italy cumul. Fit]]/Ka</f>
        <v>0.96899762661558864</v>
      </c>
      <c r="BI149" s="163">
        <f>IFERROR(Ko*_xlfn.LOGNORM.DIST((Tabella34[[#This Row],[Day]]-po),mu_o,sigma_o,FALSE),0)</f>
        <v>308.66549475520475</v>
      </c>
      <c r="BJ149" s="206">
        <f>Tabella34[[#This Row],[rest of Italy velocity]]/Tabella34[[#This Row],[rest of Italy cumul. Fit]]</f>
        <v>2.1523044564458267E-3</v>
      </c>
      <c r="BK149" s="261">
        <f>(LN(Tabella34[[#This Row],[Day]]-po)-mu_o)/sigma_o</f>
        <v>1.8662617980457208</v>
      </c>
      <c r="BL149" s="269">
        <f>EXP(mu_o+sigma_o*Tabella34[[#This Row],[x_o_alpha©+plus]])-(Tabella34[[#This Row],[Day]]-po)</f>
        <v>10.437240341386953</v>
      </c>
      <c r="BM149" s="269">
        <f>EXP(mu_o+sigma_o*Tabella34[[#This Row],[x_o_alpha©-minus]])-(Tabella34[[#This Row],[Day]]-po)</f>
        <v>-81.061662270252171</v>
      </c>
      <c r="BN149" s="269">
        <f>-sigma_o+SQRT(sigma_o^2-2*Tabella34[[#This Row],[c_o]])</f>
        <v>2.1629726046744211</v>
      </c>
      <c r="BO149" s="269">
        <f>-sigma_o-SQRT(sigma_o^2-2*Tabella34[[#This Row],[c_o]])</f>
        <v>-2.8059453819734475</v>
      </c>
      <c r="BP149" s="269">
        <f>mu_o-LN(alpha*Ko/(Tabella34[[#This Row],[rest of Italy velocity]]*sigma_o*SQRTPI(2)))</f>
        <v>-3.034591495710635</v>
      </c>
      <c r="BQ149" s="269">
        <f>Tabella34[[#This Row],[t_alpha_o+plus]]</f>
        <v>10.437240341386953</v>
      </c>
      <c r="BR149" s="91">
        <f>IFERROR(-Ka*_xlfn.LOGNORM.DIST((Tabella34[[#This Row],[Day]]-pa),mu_a,sigma_a,FALSE)*(1+(LN((Tabella34[[#This Row],[Day]]-pa))-mu_a)/sigma_a^2)/(Tabella34[[#This Row],[Day]]-pa),0)</f>
        <v>-20.142393723916836</v>
      </c>
      <c r="BS149" s="96">
        <f>Tabella34[[#This Row],[rest of Italy acc. fit]]/y_a_peak</f>
        <v>-5.960788672662554E-3</v>
      </c>
      <c r="BT149" s="141">
        <f>Tabella34[[#This Row],[rest of Italy acc. fit]]*NOT(ISBLANK(Tabella34[[#This Row],[rest of Italy data]]))</f>
        <v>0</v>
      </c>
      <c r="BU149" s="212"/>
      <c r="BV149" s="142"/>
    </row>
    <row r="150" spans="2:74" x14ac:dyDescent="0.3">
      <c r="B150" s="288">
        <v>43973</v>
      </c>
      <c r="C150" s="4">
        <v>143</v>
      </c>
      <c r="E150" s="10"/>
      <c r="F150" s="10"/>
      <c r="G150" s="141">
        <f>Tabella34[[#This Row],[Italy data]]*NOT(ISBLANK(Tabella34[[#This Row],[Italy data]]))</f>
        <v>0</v>
      </c>
      <c r="H150" s="163">
        <f>Tabella8[[#This Row],[Italy fit]]</f>
        <v>227549.92900327404</v>
      </c>
      <c r="I150" s="163" t="e">
        <f>_xlfn.LOGNORM.INV(alpha*Tabella34[[#This Row],[Italy cumul. Fit]]/Kt,mu_t,sigma_t)-(Tabella34[[#This Row],[Day]]-pt)</f>
        <v>#NUM!</v>
      </c>
      <c r="J150" s="163" t="e">
        <f>Tabella34[[#This Row],[Italy d.t.]]/Italy_dt_at_lockdown</f>
        <v>#NUM!</v>
      </c>
      <c r="K150" s="96">
        <f>Tabella34[[#This Row],[Italy cumul. Fit]]/Kf</f>
        <v>0.96829783443065287</v>
      </c>
      <c r="L150" s="166">
        <f>Tabella34[[#This Row],[Lombardy acc. fit]]+Tabella34[[#This Row],[rest of Italy acc. fit]]</f>
        <v>-29.679473084398069</v>
      </c>
      <c r="M150" s="96">
        <f>Tabella34[[#This Row],[Italy (fitted Lombardy + fitted sum of the other regions)]]/(y_l_peak+y_a_peak)</f>
        <v>-5.7774721929944413E-3</v>
      </c>
      <c r="N150" s="163">
        <f>IFERROR(Kt*_xlfn.LOGNORM.DIST((Tabella34[[#This Row],[Day]]-pt),mu_t,sigma_t,FALSE),0)</f>
        <v>484.80186160418259</v>
      </c>
      <c r="O150" s="163">
        <f>Kt*EXP(-0.5*Tabella34[[#This Row],[x_t]]^2)/(sigma_t*SQRTPI(2)*(Tabella34[[#This Row],[Day]]-D_bk))</f>
        <v>484.80186160418316</v>
      </c>
      <c r="P150" s="206">
        <f>Tabella34[[#This Row],[Italy velocity]]/Tabella34[[#This Row],[Italy cumul. Fit]]</f>
        <v>2.1305296104803758E-3</v>
      </c>
      <c r="Q150" s="269">
        <f>(LN(Tabella34[[#This Row],[Day]]-D_bk)-mu_t)/sigma_t</f>
        <v>1.8563454750885946</v>
      </c>
      <c r="R150" s="269">
        <f>EXP(mu_t+sigma_t*Tabella34[[#This Row],[x_t_alpha©+plus]])-(Tabella34[[#This Row],[Day]]-D_bk)</f>
        <v>10.82821114683874</v>
      </c>
      <c r="S150" s="269">
        <f>EXP(mu_t+sigma_t*Tabella34[[#This Row],[x_t_alpha©-minus]])-(Tabella34[[#This Row],[Day]]-D_bk)</f>
        <v>-84.925158199793501</v>
      </c>
      <c r="T150" s="269">
        <f>-sigma_t+SQRT(sigma_t^2-2*Tabella34[[#This Row],[c_t]])</f>
        <v>2.1556795206602071</v>
      </c>
      <c r="U150" s="269">
        <f>-sigma_t-SQRT(sigma_t^2-2*Tabella34[[#This Row],[c_t]])</f>
        <v>-2.7749164265524446</v>
      </c>
      <c r="V150" s="269">
        <f>mu_t-LN(alpha*Kt/(Tabella34[[#This Row],[Italy velocity]]*sigma_t*SQRTPI(2)))</f>
        <v>-2.9909152561313546</v>
      </c>
      <c r="W150" s="269">
        <f>Tabella34[[#This Row],[Italy g.r.]]/Italy_gr_at_lockdown</f>
        <v>1.3471200230122609E-2</v>
      </c>
      <c r="X150" s="269">
        <f>Tabella34[[#This Row],[t_alpha_t+plus]]</f>
        <v>10.82821114683874</v>
      </c>
      <c r="Y150" s="269">
        <f>Tabella34[[#This Row],[Italy h.t.]]/Italy_ht_at_lockdown</f>
        <v>0.19284369743302546</v>
      </c>
      <c r="Z150" s="91">
        <f>IFERROR(-Kf*_xlfn.LOGNORM.DIST((Tabella34[[#This Row],[Day]]-D_bk),mu_f,sigma_f,FALSE)*(1+(LN((Tabella34[[#This Row],[Day]]-D_bk))-mu_f)/sigma_f^2)/(Tabella34[[#This Row],[Day]]-D_bk),0)</f>
        <v>-30.415529550988332</v>
      </c>
      <c r="AA150" s="91">
        <f>Tabella34[[#This Row],[Italy acc. fit]]/Itali_acc_at_lockdown</f>
        <v>-0.12518383824820503</v>
      </c>
      <c r="AB150" s="96">
        <f>Tabella34[[#This Row],[Italy acc. fit]]/y_f_peak</f>
        <v>-6.0090607431057697E-3</v>
      </c>
      <c r="AC150" s="163">
        <f>Tabella34[[#This Row],[Italy (fitted Lombardy + fitted sum of the other regions)]]*NOT(ISBLANK(Tabella34[[#This Row],[Italy data]]))</f>
        <v>0</v>
      </c>
      <c r="AD150" s="163">
        <f>Tabella34[[#This Row],[Italy acc. fit]]*NOT(ISBLANK(Tabella34[[#This Row],[Italy data]]))</f>
        <v>0</v>
      </c>
      <c r="AE150" s="96">
        <f>Tabella34[[#This Row],[Italy acc. fit]]+CIf</f>
        <v>983.34747246932932</v>
      </c>
      <c r="AF150" s="96">
        <f>MAX(Tabella34[[#This Row],[Italy acc. fit]]-CIf,0)</f>
        <v>0</v>
      </c>
      <c r="AH150" s="10"/>
      <c r="AI150" s="10"/>
      <c r="AJ150" s="141">
        <f>Tabella34[[#This Row],[Lombardy data]]*NOT(ISBLANK(Tabella34[[#This Row],[Lombardy data]]))</f>
        <v>0</v>
      </c>
      <c r="AK150" s="96">
        <f>Tabella8[[#This Row],[Lombardy fit]]</f>
        <v>83568.475987613274</v>
      </c>
      <c r="AL150" s="163" t="e">
        <f>_xlfn.LOGNORM.INV(alpha*Tabella34[[#This Row],[Lombardy cumul. Fit]]/Kr,mu_r,sigma_r)-(Tabella34[[#This Row],[Day]]-pr)</f>
        <v>#NUM!</v>
      </c>
      <c r="AM150" s="96">
        <f>Tabella34[[#This Row],[Lombardy cumul. Fit]]/Kl</f>
        <v>0.96055719525992267</v>
      </c>
      <c r="AN150" s="96">
        <f>IFERROR(Kr*_xlfn.LOGNORM.DIST((Tabella34[[#This Row],[Day]]-pr),mu_r,sigma_r,FALSE),0)</f>
        <v>194.78750260386664</v>
      </c>
      <c r="AO150" s="209">
        <f>Tabella34[[#This Row],[Lombardy velocity]]/Tabella34[[#This Row],[Lombardy cumul. Fit]]</f>
        <v>2.3308729793365926E-3</v>
      </c>
      <c r="AP150" s="266">
        <f>(LN(Tabella34[[#This Row],[Day]]-pr)-mu_r)/sigma_r</f>
        <v>1.7571889419112507</v>
      </c>
      <c r="AQ150" s="269">
        <f>EXP(mu_r+sigma_r*Tabella34[[#This Row],[x_r_alpha©+plus]])-(Tabella34[[#This Row],[Day]]-pr)</f>
        <v>12.350405510865585</v>
      </c>
      <c r="AR150" s="269">
        <f>EXP(mu_r+sigma_r*Tabella34[[#This Row],[x_r_alpha©-minus]])-(Tabella34[[#This Row],[Day]]-pr)</f>
        <v>-87.645774093013742</v>
      </c>
      <c r="AS150" s="269">
        <f>-sigma_r+SQRT(sigma_r^2-2*Tabella34[[#This Row],[c_r]])</f>
        <v>2.0650431862695147</v>
      </c>
      <c r="AT150" s="269">
        <f>-sigma_r-SQRT(sigma_r^2-2*Tabella34[[#This Row],[c_r]])</f>
        <v>-2.7458977834632439</v>
      </c>
      <c r="AU150" s="269">
        <f>mu_r-LN(alpha*Kr/(Tabella34[[#This Row],[Lombardy velocity]]*sigma_r*SQRTPI(2)))</f>
        <v>-2.835198753966667</v>
      </c>
      <c r="AV150" s="269">
        <f>Tabella34[[#This Row],[t_alpha_r+plus]]</f>
        <v>12.350405510865585</v>
      </c>
      <c r="AW150" s="91">
        <f>IFERROR(-Kl*_xlfn.LOGNORM.DIST((Tabella34[[#This Row],[Day]]-pl),mu_l,sigma_l,FALSE)*(1+(LN((Tabella34[[#This Row],[Day]]-pl))-mu_l)/sigma_l^2)/(Tabella34[[#This Row],[Day]]-pl),0)</f>
        <v>-10.737600736961605</v>
      </c>
      <c r="AX150" s="96">
        <f>Tabella34[[#This Row],[Lombardy acc. fit]]/y_l_peak</f>
        <v>-6.1080084310013508E-3</v>
      </c>
      <c r="AY150" s="163">
        <f>Tabella34[[#This Row],[Lombardy acc. fit]]*NOT(ISBLANK(Tabella34[[#This Row],[Lombardy data]]))</f>
        <v>0</v>
      </c>
      <c r="AZ150" s="96">
        <f>Tabella34[[#This Row],[Lombardy acc. fit]]+CIl</f>
        <v>738.21777106666207</v>
      </c>
      <c r="BA150" s="96">
        <f>MAX(Tabella34[[#This Row],[Lombardy acc. fit]]-CIl,0)</f>
        <v>0</v>
      </c>
      <c r="BC150" s="10"/>
      <c r="BD150" s="10"/>
      <c r="BE150" s="96">
        <f>Tabella34[[#This Row],[rest of Italy data]]*NOT(ISBLANK(Tabella34[[#This Row],[rest of Italy data]]))</f>
        <v>0</v>
      </c>
      <c r="BF150" s="96">
        <f>Tabella8[[#This Row],[rest of Italy fit]]</f>
        <v>143710.42911829479</v>
      </c>
      <c r="BG150" s="163" t="e">
        <f>_xlfn.LOGNORM.INV(alpha*Tabella34[[#This Row],[rest of Italy cumul. Fit]]/Ko,mu_o,sigma_o)-(Tabella34[[#This Row],[Day]]-po)</f>
        <v>#NUM!</v>
      </c>
      <c r="BH150" s="96">
        <f>Tabella34[[#This Row],[rest of Italy cumul. Fit]]/Ka</f>
        <v>0.97101652599894672</v>
      </c>
      <c r="BI150" s="163">
        <f>IFERROR(Ko*_xlfn.LOGNORM.DIST((Tabella34[[#This Row],[Day]]-po),mu_o,sigma_o,FALSE),0)</f>
        <v>289.12873353190429</v>
      </c>
      <c r="BJ150" s="206">
        <f>Tabella34[[#This Row],[rest of Italy velocity]]/Tabella34[[#This Row],[rest of Italy cumul. Fit]]</f>
        <v>2.0118841430353594E-3</v>
      </c>
      <c r="BK150" s="261">
        <f>(LN(Tabella34[[#This Row],[Day]]-po)-mu_o)/sigma_o</f>
        <v>1.8959477951751866</v>
      </c>
      <c r="BL150" s="269">
        <f>EXP(mu_o+sigma_o*Tabella34[[#This Row],[x_o_alpha©+plus]])-(Tabella34[[#This Row],[Day]]-po)</f>
        <v>10.406860089202894</v>
      </c>
      <c r="BM150" s="269">
        <f>EXP(mu_o+sigma_o*Tabella34[[#This Row],[x_o_alpha©-minus]])-(Tabella34[[#This Row],[Day]]-po)</f>
        <v>-82.25628207442081</v>
      </c>
      <c r="BN150" s="269">
        <f>-sigma_o+SQRT(sigma_o^2-2*Tabella34[[#This Row],[c_o]])</f>
        <v>2.1891527173779148</v>
      </c>
      <c r="BO150" s="269">
        <f>-sigma_o-SQRT(sigma_o^2-2*Tabella34[[#This Row],[c_o]])</f>
        <v>-2.8321254946769412</v>
      </c>
      <c r="BP150" s="269">
        <f>mu_o-LN(alpha*Ko/(Tabella34[[#This Row],[rest of Italy velocity]]*sigma_o*SQRTPI(2)))</f>
        <v>-3.0999776113136486</v>
      </c>
      <c r="BQ150" s="269">
        <f>Tabella34[[#This Row],[t_alpha_o+plus]]</f>
        <v>10.406860089202894</v>
      </c>
      <c r="BR150" s="91">
        <f>IFERROR(-Ka*_xlfn.LOGNORM.DIST((Tabella34[[#This Row],[Day]]-pa),mu_a,sigma_a,FALSE)*(1+(LN((Tabella34[[#This Row],[Day]]-pa))-mu_a)/sigma_a^2)/(Tabella34[[#This Row],[Day]]-pa),0)</f>
        <v>-18.941872347436465</v>
      </c>
      <c r="BS150" s="96">
        <f>Tabella34[[#This Row],[rest of Italy acc. fit]]/y_a_peak</f>
        <v>-5.6055153957969336E-3</v>
      </c>
      <c r="BT150" s="141">
        <f>Tabella34[[#This Row],[rest of Italy acc. fit]]*NOT(ISBLANK(Tabella34[[#This Row],[rest of Italy data]]))</f>
        <v>0</v>
      </c>
      <c r="BU150" s="212"/>
      <c r="BV150" s="142"/>
    </row>
    <row r="151" spans="2:74" x14ac:dyDescent="0.3">
      <c r="B151" s="288">
        <v>43974</v>
      </c>
      <c r="C151" s="4">
        <v>144</v>
      </c>
      <c r="E151" s="10"/>
      <c r="F151" s="10"/>
      <c r="G151" s="141">
        <f>Tabella34[[#This Row],[Italy data]]*NOT(ISBLANK(Tabella34[[#This Row],[Italy data]]))</f>
        <v>0</v>
      </c>
      <c r="H151" s="163">
        <f>Tabella8[[#This Row],[Italy fit]]</f>
        <v>228019.81514376547</v>
      </c>
      <c r="I151" s="163" t="e">
        <f>_xlfn.LOGNORM.INV(alpha*Tabella34[[#This Row],[Italy cumul. Fit]]/Kt,mu_t,sigma_t)-(Tabella34[[#This Row],[Day]]-pt)</f>
        <v>#NUM!</v>
      </c>
      <c r="J151" s="163" t="e">
        <f>Tabella34[[#This Row],[Italy d.t.]]/Italy_dt_at_lockdown</f>
        <v>#NUM!</v>
      </c>
      <c r="K151" s="96">
        <f>Tabella34[[#This Row],[Italy cumul. Fit]]/Kf</f>
        <v>0.97029735046768173</v>
      </c>
      <c r="L151" s="166">
        <f>Tabella34[[#This Row],[Lombardy acc. fit]]+Tabella34[[#This Row],[rest of Italy acc. fit]]</f>
        <v>-28.000868204206384</v>
      </c>
      <c r="M151" s="96">
        <f>Tabella34[[#This Row],[Italy (fitted Lombardy + fitted sum of the other regions)]]/(y_l_peak+y_a_peak)</f>
        <v>-5.4507112363307488E-3</v>
      </c>
      <c r="N151" s="163">
        <f>IFERROR(Kt*_xlfn.LOGNORM.DIST((Tabella34[[#This Row],[Day]]-pt),mu_t,sigma_t,FALSE),0)</f>
        <v>455.25882327540688</v>
      </c>
      <c r="O151" s="163">
        <f>Kt*EXP(-0.5*Tabella34[[#This Row],[x_t]]^2)/(sigma_t*SQRTPI(2)*(Tabella34[[#This Row],[Day]]-D_bk))</f>
        <v>455.25882327540734</v>
      </c>
      <c r="P151" s="206">
        <f>Tabella34[[#This Row],[Italy velocity]]/Tabella34[[#This Row],[Italy cumul. Fit]]</f>
        <v>1.9965757054419514E-3</v>
      </c>
      <c r="Q151" s="269">
        <f>(LN(Tabella34[[#This Row],[Day]]-D_bk)-mu_t)/sigma_t</f>
        <v>1.8851817857449293</v>
      </c>
      <c r="R151" s="269">
        <f>EXP(mu_t+sigma_t*Tabella34[[#This Row],[x_t_alpha©+plus]])-(Tabella34[[#This Row],[Day]]-D_bk)</f>
        <v>10.793041539624539</v>
      </c>
      <c r="S151" s="269">
        <f>EXP(mu_t+sigma_t*Tabella34[[#This Row],[x_t_alpha©-minus]])-(Tabella34[[#This Row],[Day]]-D_bk)</f>
        <v>-86.133148793194039</v>
      </c>
      <c r="T151" s="269">
        <f>-sigma_t+SQRT(sigma_t^2-2*Tabella34[[#This Row],[c_t]])</f>
        <v>2.1810526310949219</v>
      </c>
      <c r="U151" s="269">
        <f>-sigma_t-SQRT(sigma_t^2-2*Tabella34[[#This Row],[c_t]])</f>
        <v>-2.8002895369871594</v>
      </c>
      <c r="V151" s="269">
        <f>mu_t-LN(alpha*Kt/(Tabella34[[#This Row],[Italy velocity]]*sigma_t*SQRTPI(2)))</f>
        <v>-3.0537894312367131</v>
      </c>
      <c r="W151" s="269">
        <f>Tabella34[[#This Row],[Italy g.r.]]/Italy_gr_at_lockdown</f>
        <v>1.2624218396355663E-2</v>
      </c>
      <c r="X151" s="269">
        <f>Tabella34[[#This Row],[t_alpha_t+plus]]</f>
        <v>10.793041539624539</v>
      </c>
      <c r="Y151" s="269">
        <f>Tabella34[[#This Row],[Italy h.t.]]/Italy_ht_at_lockdown</f>
        <v>0.19221734862984077</v>
      </c>
      <c r="Z151" s="91">
        <f>IFERROR(-Kf*_xlfn.LOGNORM.DIST((Tabella34[[#This Row],[Day]]-D_bk),mu_f,sigma_f,FALSE)*(1+(LN((Tabella34[[#This Row],[Day]]-D_bk))-mu_f)/sigma_f^2)/(Tabella34[[#This Row],[Day]]-D_bk),0)</f>
        <v>-28.685059999228539</v>
      </c>
      <c r="AA151" s="91">
        <f>Tabella34[[#This Row],[Italy acc. fit]]/Itali_acc_at_lockdown</f>
        <v>-0.11806159432679671</v>
      </c>
      <c r="AB151" s="96">
        <f>Tabella34[[#This Row],[Italy acc. fit]]/y_f_peak</f>
        <v>-5.6671795789725709E-3</v>
      </c>
      <c r="AC151" s="163">
        <f>Tabella34[[#This Row],[Italy (fitted Lombardy + fitted sum of the other regions)]]*NOT(ISBLANK(Tabella34[[#This Row],[Italy data]]))</f>
        <v>0</v>
      </c>
      <c r="AD151" s="163">
        <f>Tabella34[[#This Row],[Italy acc. fit]]*NOT(ISBLANK(Tabella34[[#This Row],[Italy data]]))</f>
        <v>0</v>
      </c>
      <c r="AE151" s="96">
        <f>Tabella34[[#This Row],[Italy acc. fit]]+CIf</f>
        <v>985.07794202108914</v>
      </c>
      <c r="AF151" s="96">
        <f>MAX(Tabella34[[#This Row],[Italy acc. fit]]-CIf,0)</f>
        <v>0</v>
      </c>
      <c r="AH151" s="10"/>
      <c r="AI151" s="10"/>
      <c r="AJ151" s="141">
        <f>Tabella34[[#This Row],[Lombardy data]]*NOT(ISBLANK(Tabella34[[#This Row],[Lombardy data]]))</f>
        <v>0</v>
      </c>
      <c r="AK151" s="96">
        <f>Tabella8[[#This Row],[Lombardy fit]]</f>
        <v>83757.985920216946</v>
      </c>
      <c r="AL151" s="163" t="e">
        <f>_xlfn.LOGNORM.INV(alpha*Tabella34[[#This Row],[Lombardy cumul. Fit]]/Kr,mu_r,sigma_r)-(Tabella34[[#This Row],[Day]]-pr)</f>
        <v>#NUM!</v>
      </c>
      <c r="AM151" s="96">
        <f>Tabella34[[#This Row],[Lombardy cumul. Fit]]/Kl</f>
        <v>0.96273547034732121</v>
      </c>
      <c r="AN151" s="96">
        <f>IFERROR(Kr*_xlfn.LOGNORM.DIST((Tabella34[[#This Row],[Day]]-pr),mu_r,sigma_r,FALSE),0)</f>
        <v>184.32258794816315</v>
      </c>
      <c r="AO151" s="209">
        <f>Tabella34[[#This Row],[Lombardy velocity]]/Tabella34[[#This Row],[Lombardy cumul. Fit]]</f>
        <v>2.20065687973608E-3</v>
      </c>
      <c r="AP151" s="266">
        <f>(LN(Tabella34[[#This Row],[Day]]-pr)-mu_r)/sigma_r</f>
        <v>1.783351768271827</v>
      </c>
      <c r="AQ151" s="269">
        <f>EXP(mu_r+sigma_r*Tabella34[[#This Row],[x_r_alpha©+plus]])-(Tabella34[[#This Row],[Day]]-pr)</f>
        <v>12.319660122456625</v>
      </c>
      <c r="AR151" s="269">
        <f>EXP(mu_r+sigma_r*Tabella34[[#This Row],[x_r_alpha©-minus]])-(Tabella34[[#This Row],[Day]]-pr)</f>
        <v>-88.832748833071051</v>
      </c>
      <c r="AS151" s="269">
        <f>-sigma_r+SQRT(sigma_r^2-2*Tabella34[[#This Row],[c_r]])</f>
        <v>2.0878914378933726</v>
      </c>
      <c r="AT151" s="269">
        <f>-sigma_r-SQRT(sigma_r^2-2*Tabella34[[#This Row],[c_r]])</f>
        <v>-2.7687460350871018</v>
      </c>
      <c r="AU151" s="269">
        <f>mu_r-LN(alpha*Kr/(Tabella34[[#This Row],[Lombardy velocity]]*sigma_r*SQRTPI(2)))</f>
        <v>-2.890420570179792</v>
      </c>
      <c r="AV151" s="269">
        <f>Tabella34[[#This Row],[t_alpha_r+plus]]</f>
        <v>12.319660122456625</v>
      </c>
      <c r="AW151" s="91">
        <f>IFERROR(-Kl*_xlfn.LOGNORM.DIST((Tabella34[[#This Row],[Day]]-pl),mu_l,sigma_l,FALSE)*(1+(LN((Tabella34[[#This Row],[Day]]-pl))-mu_l)/sigma_l^2)/(Tabella34[[#This Row],[Day]]-pl),0)</f>
        <v>-10.196237876409175</v>
      </c>
      <c r="AX151" s="96">
        <f>Tabella34[[#This Row],[Lombardy acc. fit]]/y_l_peak</f>
        <v>-5.800057986811066E-3</v>
      </c>
      <c r="AY151" s="163">
        <f>Tabella34[[#This Row],[Lombardy acc. fit]]*NOT(ISBLANK(Tabella34[[#This Row],[Lombardy data]]))</f>
        <v>0</v>
      </c>
      <c r="AZ151" s="96">
        <f>Tabella34[[#This Row],[Lombardy acc. fit]]+CIl</f>
        <v>738.75913392721441</v>
      </c>
      <c r="BA151" s="96">
        <f>MAX(Tabella34[[#This Row],[Lombardy acc. fit]]-CIl,0)</f>
        <v>0</v>
      </c>
      <c r="BC151" s="10"/>
      <c r="BD151" s="10"/>
      <c r="BE151" s="96">
        <f>Tabella34[[#This Row],[rest of Italy data]]*NOT(ISBLANK(Tabella34[[#This Row],[rest of Italy data]]))</f>
        <v>0</v>
      </c>
      <c r="BF151" s="96">
        <f>Tabella8[[#This Row],[rest of Italy fit]]</f>
        <v>143990.27904642586</v>
      </c>
      <c r="BG151" s="163" t="e">
        <f>_xlfn.LOGNORM.INV(alpha*Tabella34[[#This Row],[rest of Italy cumul. Fit]]/Ko,mu_o,sigma_o)-(Tabella34[[#This Row],[Day]]-po)</f>
        <v>#NUM!</v>
      </c>
      <c r="BH151" s="96">
        <f>Tabella34[[#This Row],[rest of Italy cumul. Fit]]/Ka</f>
        <v>0.97290740411184418</v>
      </c>
      <c r="BI151" s="163">
        <f>IFERROR(Ko*_xlfn.LOGNORM.DIST((Tabella34[[#This Row],[Day]]-po),mu_o,sigma_o,FALSE),0)</f>
        <v>270.76065642037685</v>
      </c>
      <c r="BJ151" s="206">
        <f>Tabella34[[#This Row],[rest of Italy velocity]]/Tabella34[[#This Row],[rest of Italy cumul. Fit]]</f>
        <v>1.8804092763309197E-3</v>
      </c>
      <c r="BK151" s="261">
        <f>(LN(Tabella34[[#This Row],[Day]]-po)-mu_o)/sigma_o</f>
        <v>1.925353155899979</v>
      </c>
      <c r="BL151" s="269">
        <f>EXP(mu_o+sigma_o*Tabella34[[#This Row],[x_o_alpha©+plus]])-(Tabella34[[#This Row],[Day]]-po)</f>
        <v>10.378247681551485</v>
      </c>
      <c r="BM151" s="269">
        <f>EXP(mu_o+sigma_o*Tabella34[[#This Row],[x_o_alpha©-minus]])-(Tabella34[[#This Row],[Day]]-po)</f>
        <v>-83.448012720458237</v>
      </c>
      <c r="BN151" s="269">
        <f>-sigma_o+SQRT(sigma_o^2-2*Tabella34[[#This Row],[c_o]])</f>
        <v>2.2151614584256896</v>
      </c>
      <c r="BO151" s="269">
        <f>-sigma_o-SQRT(sigma_o^2-2*Tabella34[[#This Row],[c_o]])</f>
        <v>-2.8581342357247159</v>
      </c>
      <c r="BP151" s="269">
        <f>mu_o-LN(alpha*Ko/(Tabella34[[#This Row],[rest of Italy velocity]]*sigma_o*SQRTPI(2)))</f>
        <v>-3.1656144009921778</v>
      </c>
      <c r="BQ151" s="269">
        <f>Tabella34[[#This Row],[t_alpha_o+plus]]</f>
        <v>10.378247681551485</v>
      </c>
      <c r="BR151" s="91">
        <f>IFERROR(-Ka*_xlfn.LOGNORM.DIST((Tabella34[[#This Row],[Day]]-pa),mu_a,sigma_a,FALSE)*(1+(LN((Tabella34[[#This Row],[Day]]-pa))-mu_a)/sigma_a^2)/(Tabella34[[#This Row],[Day]]-pa),0)</f>
        <v>-17.804630327797209</v>
      </c>
      <c r="BS151" s="96">
        <f>Tabella34[[#This Row],[rest of Italy acc. fit]]/y_a_peak</f>
        <v>-5.2689685363890354E-3</v>
      </c>
      <c r="BT151" s="141">
        <f>Tabella34[[#This Row],[rest of Italy acc. fit]]*NOT(ISBLANK(Tabella34[[#This Row],[rest of Italy data]]))</f>
        <v>0</v>
      </c>
      <c r="BU151" s="212"/>
      <c r="BV151" s="142"/>
    </row>
    <row r="152" spans="2:74" x14ac:dyDescent="0.3">
      <c r="B152" s="288">
        <v>43975</v>
      </c>
      <c r="C152" s="4">
        <v>145</v>
      </c>
      <c r="E152" s="10"/>
      <c r="F152" s="10"/>
      <c r="G152" s="141">
        <f>Tabella34[[#This Row],[Italy data]]*NOT(ISBLANK(Tabella34[[#This Row],[Italy data]]))</f>
        <v>0</v>
      </c>
      <c r="H152" s="163">
        <f>Tabella8[[#This Row],[Italy fit]]</f>
        <v>228461.00908439638</v>
      </c>
      <c r="I152" s="163" t="e">
        <f>_xlfn.LOGNORM.INV(alpha*Tabella34[[#This Row],[Italy cumul. Fit]]/Kt,mu_t,sigma_t)-(Tabella34[[#This Row],[Day]]-pt)</f>
        <v>#NUM!</v>
      </c>
      <c r="J152" s="163" t="e">
        <f>Tabella34[[#This Row],[Italy d.t.]]/Italy_dt_at_lockdown</f>
        <v>#NUM!</v>
      </c>
      <c r="K152" s="96">
        <f>Tabella34[[#This Row],[Italy cumul. Fit]]/Kf</f>
        <v>0.97217477200390501</v>
      </c>
      <c r="L152" s="166">
        <f>Tabella34[[#This Row],[Lombardy acc. fit]]+Tabella34[[#This Row],[rest of Italy acc. fit]]</f>
        <v>-26.406878854098885</v>
      </c>
      <c r="M152" s="96">
        <f>Tabella34[[#This Row],[Italy (fitted Lombardy + fitted sum of the other regions)]]/(y_l_peak+y_a_peak)</f>
        <v>-5.1404217268105649E-3</v>
      </c>
      <c r="N152" s="163">
        <f>IFERROR(Kt*_xlfn.LOGNORM.DIST((Tabella34[[#This Row],[Day]]-pt),mu_t,sigma_t,FALSE),0)</f>
        <v>427.40318268864502</v>
      </c>
      <c r="O152" s="163">
        <f>Kt*EXP(-0.5*Tabella34[[#This Row],[x_t]]^2)/(sigma_t*SQRTPI(2)*(Tabella34[[#This Row],[Day]]-D_bk))</f>
        <v>427.40318268864553</v>
      </c>
      <c r="P152" s="206">
        <f>Tabella34[[#This Row],[Italy velocity]]/Tabella34[[#This Row],[Italy cumul. Fit]]</f>
        <v>1.8707926766214924E-3</v>
      </c>
      <c r="Q152" s="269">
        <f>(LN(Tabella34[[#This Row],[Day]]-D_bk)-mu_t)/sigma_t</f>
        <v>1.9137629151413238</v>
      </c>
      <c r="R152" s="269">
        <f>EXP(mu_t+sigma_t*Tabella34[[#This Row],[x_t_alpha©+plus]])-(Tabella34[[#This Row],[Day]]-D_bk)</f>
        <v>10.759675528457706</v>
      </c>
      <c r="S152" s="269">
        <f>EXP(mu_t+sigma_t*Tabella34[[#This Row],[x_t_alpha©-minus]])-(Tabella34[[#This Row],[Day]]-D_bk)</f>
        <v>-87.33828931255907</v>
      </c>
      <c r="T152" s="269">
        <f>-sigma_t+SQRT(sigma_t^2-2*Tabella34[[#This Row],[c_t]])</f>
        <v>2.2062748415078173</v>
      </c>
      <c r="U152" s="269">
        <f>-sigma_t-SQRT(sigma_t^2-2*Tabella34[[#This Row],[c_t]])</f>
        <v>-2.8255117474000548</v>
      </c>
      <c r="V152" s="269">
        <f>mu_t-LN(alpha*Kt/(Tabella34[[#This Row],[Italy velocity]]*sigma_t*SQRTPI(2)))</f>
        <v>-3.1169277413367658</v>
      </c>
      <c r="W152" s="269">
        <f>Tabella34[[#This Row],[Italy g.r.]]/Italy_gr_at_lockdown</f>
        <v>1.1828900481759943E-2</v>
      </c>
      <c r="X152" s="269">
        <f>Tabella34[[#This Row],[t_alpha_t+plus]]</f>
        <v>10.759675528457706</v>
      </c>
      <c r="Y152" s="269">
        <f>Tabella34[[#This Row],[Italy h.t.]]/Italy_ht_at_lockdown</f>
        <v>0.1916231207490996</v>
      </c>
      <c r="Z152" s="91">
        <f>IFERROR(-Kf*_xlfn.LOGNORM.DIST((Tabella34[[#This Row],[Day]]-D_bk),mu_f,sigma_f,FALSE)*(1+(LN((Tabella34[[#This Row],[Day]]-D_bk))-mu_f)/sigma_f^2)/(Tabella34[[#This Row],[Day]]-D_bk),0)</f>
        <v>-27.040264027302168</v>
      </c>
      <c r="AA152" s="91">
        <f>Tabella34[[#This Row],[Italy acc. fit]]/Itali_acc_at_lockdown</f>
        <v>-0.11129196460340959</v>
      </c>
      <c r="AB152" s="96">
        <f>Tabella34[[#This Row],[Italy acc. fit]]/y_f_peak</f>
        <v>-5.3422245625309754E-3</v>
      </c>
      <c r="AC152" s="163">
        <f>Tabella34[[#This Row],[Italy (fitted Lombardy + fitted sum of the other regions)]]*NOT(ISBLANK(Tabella34[[#This Row],[Italy data]]))</f>
        <v>0</v>
      </c>
      <c r="AD152" s="163">
        <f>Tabella34[[#This Row],[Italy acc. fit]]*NOT(ISBLANK(Tabella34[[#This Row],[Italy data]]))</f>
        <v>0</v>
      </c>
      <c r="AE152" s="96">
        <f>Tabella34[[#This Row],[Italy acc. fit]]+CIf</f>
        <v>986.72273799301547</v>
      </c>
      <c r="AF152" s="96">
        <f>MAX(Tabella34[[#This Row],[Italy acc. fit]]-CIf,0)</f>
        <v>0</v>
      </c>
      <c r="AH152" s="10"/>
      <c r="AI152" s="10"/>
      <c r="AJ152" s="141">
        <f>Tabella34[[#This Row],[Lombardy data]]*NOT(ISBLANK(Tabella34[[#This Row],[Lombardy data]]))</f>
        <v>0</v>
      </c>
      <c r="AK152" s="96">
        <f>Tabella8[[#This Row],[Lombardy fit]]</f>
        <v>83937.297637611147</v>
      </c>
      <c r="AL152" s="163" t="e">
        <f>_xlfn.LOGNORM.INV(alpha*Tabella34[[#This Row],[Lombardy cumul. Fit]]/Kr,mu_r,sigma_r)-(Tabella34[[#This Row],[Day]]-pr)</f>
        <v>#NUM!</v>
      </c>
      <c r="AM152" s="96">
        <f>Tabella34[[#This Row],[Lombardy cumul. Fit]]/Kl</f>
        <v>0.96479652457024312</v>
      </c>
      <c r="AN152" s="96">
        <f>IFERROR(Kr*_xlfn.LOGNORM.DIST((Tabella34[[#This Row],[Day]]-pr),mu_r,sigma_r,FALSE),0)</f>
        <v>174.38711767577294</v>
      </c>
      <c r="AO152" s="209">
        <f>Tabella34[[#This Row],[Lombardy velocity]]/Tabella34[[#This Row],[Lombardy cumul. Fit]]</f>
        <v>2.0775879446187041E-3</v>
      </c>
      <c r="AP152" s="266">
        <f>(LN(Tabella34[[#This Row],[Day]]-pr)-mu_r)/sigma_r</f>
        <v>1.8092836299479713</v>
      </c>
      <c r="AQ152" s="269">
        <f>EXP(mu_r+sigma_r*Tabella34[[#This Row],[x_r_alpha©+plus]])-(Tabella34[[#This Row],[Day]]-pr)</f>
        <v>12.290633444544497</v>
      </c>
      <c r="AR152" s="269">
        <f>EXP(mu_r+sigma_r*Tabella34[[#This Row],[x_r_alpha©-minus]])-(Tabella34[[#This Row],[Day]]-pr)</f>
        <v>-90.017172426412543</v>
      </c>
      <c r="AS152" s="269">
        <f>-sigma_r+SQRT(sigma_r^2-2*Tabella34[[#This Row],[c_r]])</f>
        <v>2.1106033902001959</v>
      </c>
      <c r="AT152" s="269">
        <f>-sigma_r-SQRT(sigma_r^2-2*Tabella34[[#This Row],[c_r]])</f>
        <v>-2.7914579873939251</v>
      </c>
      <c r="AU152" s="269">
        <f>mu_r-LN(alpha*Kr/(Tabella34[[#This Row],[Lombardy velocity]]*sigma_r*SQRTPI(2)))</f>
        <v>-2.9458303458975168</v>
      </c>
      <c r="AV152" s="269">
        <f>Tabella34[[#This Row],[t_alpha_r+plus]]</f>
        <v>12.290633444544497</v>
      </c>
      <c r="AW152" s="91">
        <f>IFERROR(-Kl*_xlfn.LOGNORM.DIST((Tabella34[[#This Row],[Day]]-pl),mu_l,sigma_l,FALSE)*(1+(LN((Tabella34[[#This Row],[Day]]-pl))-mu_l)/sigma_l^2)/(Tabella34[[#This Row],[Day]]-pl),0)</f>
        <v>-9.6786016000166608</v>
      </c>
      <c r="AX152" s="96">
        <f>Tabella34[[#This Row],[Lombardy acc. fit]]/y_l_peak</f>
        <v>-5.5056042426413713E-3</v>
      </c>
      <c r="AY152" s="163">
        <f>Tabella34[[#This Row],[Lombardy acc. fit]]*NOT(ISBLANK(Tabella34[[#This Row],[Lombardy data]]))</f>
        <v>0</v>
      </c>
      <c r="AZ152" s="96">
        <f>Tabella34[[#This Row],[Lombardy acc. fit]]+CIl</f>
        <v>739.27677020360693</v>
      </c>
      <c r="BA152" s="96">
        <f>MAX(Tabella34[[#This Row],[Lombardy acc. fit]]-CIl,0)</f>
        <v>0</v>
      </c>
      <c r="BC152" s="10"/>
      <c r="BD152" s="10"/>
      <c r="BE152" s="96">
        <f>Tabella34[[#This Row],[rest of Italy data]]*NOT(ISBLANK(Tabella34[[#This Row],[rest of Italy data]]))</f>
        <v>0</v>
      </c>
      <c r="BF152" s="96">
        <f>Tabella8[[#This Row],[rest of Italy fit]]</f>
        <v>144252.31927004526</v>
      </c>
      <c r="BG152" s="163" t="e">
        <f>_xlfn.LOGNORM.INV(alpha*Tabella34[[#This Row],[rest of Italy cumul. Fit]]/Ko,mu_o,sigma_o)-(Tabella34[[#This Row],[Day]]-po)</f>
        <v>#NUM!</v>
      </c>
      <c r="BH152" s="96">
        <f>Tabella34[[#This Row],[rest of Italy cumul. Fit]]/Ka</f>
        <v>0.97467794636943816</v>
      </c>
      <c r="BI152" s="163">
        <f>IFERROR(Ko*_xlfn.LOGNORM.DIST((Tabella34[[#This Row],[Day]]-po),mu_o,sigma_o,FALSE),0)</f>
        <v>253.49917628072163</v>
      </c>
      <c r="BJ152" s="206">
        <f>Tabella34[[#This Row],[rest of Italy velocity]]/Tabella34[[#This Row],[rest of Italy cumul. Fit]]</f>
        <v>1.7573317196111248E-3</v>
      </c>
      <c r="BK152" s="261">
        <f>(LN(Tabella34[[#This Row],[Day]]-po)-mu_o)/sigma_o</f>
        <v>1.9544831365574293</v>
      </c>
      <c r="BL152" s="269">
        <f>EXP(mu_o+sigma_o*Tabella34[[#This Row],[x_o_alpha©+plus]])-(Tabella34[[#This Row],[Day]]-po)</f>
        <v>10.351319012729078</v>
      </c>
      <c r="BM152" s="269">
        <f>EXP(mu_o+sigma_o*Tabella34[[#This Row],[x_o_alpha©-minus]])-(Tabella34[[#This Row],[Day]]-po)</f>
        <v>-84.636900946534453</v>
      </c>
      <c r="BN152" s="269">
        <f>-sigma_o+SQRT(sigma_o^2-2*Tabella34[[#This Row],[c_o]])</f>
        <v>2.2409990534146185</v>
      </c>
      <c r="BO152" s="269">
        <f>-sigma_o-SQRT(sigma_o^2-2*Tabella34[[#This Row],[c_o]])</f>
        <v>-2.8839718307136448</v>
      </c>
      <c r="BP152" s="269">
        <f>mu_o-LN(alpha*Ko/(Tabella34[[#This Row],[rest of Italy velocity]]*sigma_o*SQRTPI(2)))</f>
        <v>-3.2314890713518505</v>
      </c>
      <c r="BQ152" s="269">
        <f>Tabella34[[#This Row],[t_alpha_o+plus]]</f>
        <v>10.351319012729078</v>
      </c>
      <c r="BR152" s="91">
        <f>IFERROR(-Ka*_xlfn.LOGNORM.DIST((Tabella34[[#This Row],[Day]]-pa),mu_a,sigma_a,FALSE)*(1+(LN((Tabella34[[#This Row],[Day]]-pa))-mu_a)/sigma_a^2)/(Tabella34[[#This Row],[Day]]-pa),0)</f>
        <v>-16.728277254082222</v>
      </c>
      <c r="BS152" s="96">
        <f>Tabella34[[#This Row],[rest of Italy acc. fit]]/y_a_peak</f>
        <v>-4.9504406941908346E-3</v>
      </c>
      <c r="BT152" s="141">
        <f>Tabella34[[#This Row],[rest of Italy acc. fit]]*NOT(ISBLANK(Tabella34[[#This Row],[rest of Italy data]]))</f>
        <v>0</v>
      </c>
      <c r="BU152" s="212"/>
      <c r="BV152" s="142"/>
    </row>
    <row r="153" spans="2:74" x14ac:dyDescent="0.3">
      <c r="B153" s="288">
        <v>43976</v>
      </c>
      <c r="C153" s="4">
        <v>146</v>
      </c>
      <c r="E153" s="10"/>
      <c r="F153" s="10"/>
      <c r="G153" s="141">
        <f>Tabella34[[#This Row],[Italy data]]*NOT(ISBLANK(Tabella34[[#This Row],[Italy data]]))</f>
        <v>0</v>
      </c>
      <c r="H153" s="163">
        <f>Tabella8[[#This Row],[Italy fit]]</f>
        <v>228875.15585979028</v>
      </c>
      <c r="I153" s="163" t="e">
        <f>_xlfn.LOGNORM.INV(alpha*Tabella34[[#This Row],[Italy cumul. Fit]]/Kt,mu_t,sigma_t)-(Tabella34[[#This Row],[Day]]-pt)</f>
        <v>#NUM!</v>
      </c>
      <c r="J153" s="163" t="e">
        <f>Tabella34[[#This Row],[Italy d.t.]]/Italy_dt_at_lockdown</f>
        <v>#NUM!</v>
      </c>
      <c r="K153" s="96">
        <f>Tabella34[[#This Row],[Italy cumul. Fit]]/Kf</f>
        <v>0.97393709918856686</v>
      </c>
      <c r="L153" s="166">
        <f>Tabella34[[#This Row],[Lombardy acc. fit]]+Tabella34[[#This Row],[rest of Italy acc. fit]]</f>
        <v>-24.894413981660698</v>
      </c>
      <c r="M153" s="96">
        <f>Tabella34[[#This Row],[Italy (fitted Lombardy + fitted sum of the other regions)]]/(y_l_peak+y_a_peak)</f>
        <v>-4.8460019533009737E-3</v>
      </c>
      <c r="N153" s="163">
        <f>IFERROR(Kt*_xlfn.LOGNORM.DIST((Tabella34[[#This Row],[Day]]-pt),mu_t,sigma_t,FALSE),0)</f>
        <v>401.15069074913811</v>
      </c>
      <c r="O153" s="163">
        <f>Kt*EXP(-0.5*Tabella34[[#This Row],[x_t]]^2)/(sigma_t*SQRTPI(2)*(Tabella34[[#This Row],[Day]]-D_bk))</f>
        <v>401.15069074913839</v>
      </c>
      <c r="P153" s="206">
        <f>Tabella34[[#This Row],[Italy velocity]]/Tabella34[[#This Row],[Italy cumul. Fit]]</f>
        <v>1.7527052652009309E-3</v>
      </c>
      <c r="Q153" s="269">
        <f>(LN(Tabella34[[#This Row],[Day]]-D_bk)-mu_t)/sigma_t</f>
        <v>1.9420933400432216</v>
      </c>
      <c r="R153" s="269">
        <f>EXP(mu_t+sigma_t*Tabella34[[#This Row],[x_t_alpha©+plus]])-(Tabella34[[#This Row],[Day]]-D_bk)</f>
        <v>10.728030752612753</v>
      </c>
      <c r="S153" s="269">
        <f>EXP(mu_t+sigma_t*Tabella34[[#This Row],[x_t_alpha©-minus]])-(Tabella34[[#This Row],[Day]]-D_bk)</f>
        <v>-88.54061981559758</v>
      </c>
      <c r="T153" s="269">
        <f>-sigma_t+SQRT(sigma_t^2-2*Tabella34[[#This Row],[c_t]])</f>
        <v>2.2313460017063189</v>
      </c>
      <c r="U153" s="269">
        <f>-sigma_t-SQRT(sigma_t^2-2*Tabella34[[#This Row],[c_t]])</f>
        <v>-2.8505829075985565</v>
      </c>
      <c r="V153" s="269">
        <f>mu_t-LN(alpha*Kt/(Tabella34[[#This Row],[Italy velocity]]*sigma_t*SQRTPI(2)))</f>
        <v>-3.1803183867012068</v>
      </c>
      <c r="W153" s="269">
        <f>Tabella34[[#This Row],[Italy g.r.]]/Italy_gr_at_lockdown</f>
        <v>1.1082241455723419E-2</v>
      </c>
      <c r="X153" s="269">
        <f>Tabella34[[#This Row],[t_alpha_t+plus]]</f>
        <v>10.728030752612753</v>
      </c>
      <c r="Y153" s="269">
        <f>Tabella34[[#This Row],[Italy h.t.]]/Italy_ht_at_lockdown</f>
        <v>0.19105954699756986</v>
      </c>
      <c r="Z153" s="91">
        <f>IFERROR(-Kf*_xlfn.LOGNORM.DIST((Tabella34[[#This Row],[Day]]-D_bk),mu_f,sigma_f,FALSE)*(1+(LN((Tabella34[[#This Row],[Day]]-D_bk))-mu_f)/sigma_f^2)/(Tabella34[[#This Row],[Day]]-D_bk),0)</f>
        <v>-25.478279267090855</v>
      </c>
      <c r="AA153" s="91">
        <f>Tabella34[[#This Row],[Italy acc. fit]]/Itali_acc_at_lockdown</f>
        <v>-0.10486316818082353</v>
      </c>
      <c r="AB153" s="96">
        <f>Tabella34[[#This Row],[Italy acc. fit]]/y_f_peak</f>
        <v>-5.0336301884570146E-3</v>
      </c>
      <c r="AC153" s="163">
        <f>Tabella34[[#This Row],[Italy (fitted Lombardy + fitted sum of the other regions)]]*NOT(ISBLANK(Tabella34[[#This Row],[Italy data]]))</f>
        <v>0</v>
      </c>
      <c r="AD153" s="163">
        <f>Tabella34[[#This Row],[Italy acc. fit]]*NOT(ISBLANK(Tabella34[[#This Row],[Italy data]]))</f>
        <v>0</v>
      </c>
      <c r="AE153" s="96">
        <f>Tabella34[[#This Row],[Italy acc. fit]]+CIf</f>
        <v>988.28472275322679</v>
      </c>
      <c r="AF153" s="96">
        <f>MAX(Tabella34[[#This Row],[Italy acc. fit]]-CIf,0)</f>
        <v>0</v>
      </c>
      <c r="AH153" s="10"/>
      <c r="AI153" s="10"/>
      <c r="AJ153" s="141">
        <f>Tabella34[[#This Row],[Lombardy data]]*NOT(ISBLANK(Tabella34[[#This Row],[Lombardy data]]))</f>
        <v>0</v>
      </c>
      <c r="AK153" s="96">
        <f>Tabella8[[#This Row],[Lombardy fit]]</f>
        <v>84106.928832356643</v>
      </c>
      <c r="AL153" s="163" t="e">
        <f>_xlfn.LOGNORM.INV(alpha*Tabella34[[#This Row],[Lombardy cumul. Fit]]/Kr,mu_r,sigma_r)-(Tabella34[[#This Row],[Day]]-pr)</f>
        <v>#NUM!</v>
      </c>
      <c r="AM153" s="96">
        <f>Tabella34[[#This Row],[Lombardy cumul. Fit]]/Kl</f>
        <v>0.96674630841789244</v>
      </c>
      <c r="AN153" s="96">
        <f>IFERROR(Kr*_xlfn.LOGNORM.DIST((Tabella34[[#This Row],[Day]]-pr),mu_r,sigma_r,FALSE),0)</f>
        <v>164.95770067229864</v>
      </c>
      <c r="AO153" s="209">
        <f>Tabella34[[#This Row],[Lombardy velocity]]/Tabella34[[#This Row],[Lombardy cumul. Fit]]</f>
        <v>1.9612855083686997E-3</v>
      </c>
      <c r="AP153" s="266">
        <f>(LN(Tabella34[[#This Row],[Day]]-pr)-mu_r)/sigma_r</f>
        <v>1.8349885691802093</v>
      </c>
      <c r="AQ153" s="269">
        <f>EXP(mu_r+sigma_r*Tabella34[[#This Row],[x_r_alpha©+plus]])-(Tabella34[[#This Row],[Day]]-pr)</f>
        <v>12.263250328282268</v>
      </c>
      <c r="AR153" s="269">
        <f>EXP(mu_r+sigma_r*Tabella34[[#This Row],[x_r_alpha©-minus]])-(Tabella34[[#This Row],[Day]]-pr)</f>
        <v>-91.19908193554204</v>
      </c>
      <c r="AS153" s="269">
        <f>-sigma_r+SQRT(sigma_r^2-2*Tabella34[[#This Row],[c_r]])</f>
        <v>2.1331790886232542</v>
      </c>
      <c r="AT153" s="269">
        <f>-sigma_r-SQRT(sigma_r^2-2*Tabella34[[#This Row],[c_r]])</f>
        <v>-2.8140336858169834</v>
      </c>
      <c r="AU153" s="269">
        <f>mu_r-LN(alpha*Kr/(Tabella34[[#This Row],[Lombardy velocity]]*sigma_r*SQRTPI(2)))</f>
        <v>-3.0014189066331047</v>
      </c>
      <c r="AV153" s="269">
        <f>Tabella34[[#This Row],[t_alpha_r+plus]]</f>
        <v>12.263250328282268</v>
      </c>
      <c r="AW153" s="91">
        <f>IFERROR(-Kl*_xlfn.LOGNORM.DIST((Tabella34[[#This Row],[Day]]-pl),mu_l,sigma_l,FALSE)*(1+(LN((Tabella34[[#This Row],[Day]]-pl))-mu_l)/sigma_l^2)/(Tabella34[[#This Row],[Day]]-pl),0)</f>
        <v>-9.1840168369236554</v>
      </c>
      <c r="AX153" s="96">
        <f>Tabella34[[#This Row],[Lombardy acc. fit]]/y_l_peak</f>
        <v>-5.2242631891955982E-3</v>
      </c>
      <c r="AY153" s="163">
        <f>Tabella34[[#This Row],[Lombardy acc. fit]]*NOT(ISBLANK(Tabella34[[#This Row],[Lombardy data]]))</f>
        <v>0</v>
      </c>
      <c r="AZ153" s="96">
        <f>Tabella34[[#This Row],[Lombardy acc. fit]]+CIl</f>
        <v>739.77135496669996</v>
      </c>
      <c r="BA153" s="96">
        <f>MAX(Tabella34[[#This Row],[Lombardy acc. fit]]-CIl,0)</f>
        <v>0</v>
      </c>
      <c r="BC153" s="10"/>
      <c r="BD153" s="10"/>
      <c r="BE153" s="96">
        <f>Tabella34[[#This Row],[rest of Italy data]]*NOT(ISBLANK(Tabella34[[#This Row],[rest of Italy data]]))</f>
        <v>0</v>
      </c>
      <c r="BF153" s="96">
        <f>Tabella8[[#This Row],[rest of Italy fit]]</f>
        <v>144497.62634363666</v>
      </c>
      <c r="BG153" s="163" t="e">
        <f>_xlfn.LOGNORM.INV(alpha*Tabella34[[#This Row],[rest of Italy cumul. Fit]]/Ko,mu_o,sigma_o)-(Tabella34[[#This Row],[Day]]-po)</f>
        <v>#NUM!</v>
      </c>
      <c r="BH153" s="96">
        <f>Tabella34[[#This Row],[rest of Italy cumul. Fit]]/Ka</f>
        <v>0.97633542678935681</v>
      </c>
      <c r="BI153" s="163">
        <f>IFERROR(Ko*_xlfn.LOGNORM.DIST((Tabella34[[#This Row],[Day]]-po),mu_o,sigma_o,FALSE),0)</f>
        <v>237.28461085228838</v>
      </c>
      <c r="BJ153" s="206">
        <f>Tabella34[[#This Row],[rest of Italy velocity]]/Tabella34[[#This Row],[rest of Italy cumul. Fit]]</f>
        <v>1.6421350084186892E-3</v>
      </c>
      <c r="BK153" s="261">
        <f>(LN(Tabella34[[#This Row],[Day]]-po)-mu_o)/sigma_o</f>
        <v>1.9833428471766936</v>
      </c>
      <c r="BL153" s="269">
        <f>EXP(mu_o+sigma_o*Tabella34[[#This Row],[x_o_alpha©+plus]])-(Tabella34[[#This Row],[Day]]-po)</f>
        <v>10.325995017353307</v>
      </c>
      <c r="BM153" s="269">
        <f>EXP(mu_o+sigma_o*Tabella34[[#This Row],[x_o_alpha©-minus]])-(Tabella34[[#This Row],[Day]]-po)</f>
        <v>-85.822993694769849</v>
      </c>
      <c r="BN153" s="269">
        <f>-sigma_o+SQRT(sigma_o^2-2*Tabella34[[#This Row],[c_o]])</f>
        <v>2.2666658803329569</v>
      </c>
      <c r="BO153" s="269">
        <f>-sigma_o-SQRT(sigma_o^2-2*Tabella34[[#This Row],[c_o]])</f>
        <v>-2.9096386576319833</v>
      </c>
      <c r="BP153" s="269">
        <f>mu_o-LN(alpha*Ko/(Tabella34[[#This Row],[rest of Italy velocity]]*sigma_o*SQRTPI(2)))</f>
        <v>-3.2975893346761014</v>
      </c>
      <c r="BQ153" s="269">
        <f>Tabella34[[#This Row],[t_alpha_o+plus]]</f>
        <v>10.325995017353307</v>
      </c>
      <c r="BR153" s="91">
        <f>IFERROR(-Ka*_xlfn.LOGNORM.DIST((Tabella34[[#This Row],[Day]]-pa),mu_a,sigma_a,FALSE)*(1+(LN((Tabella34[[#This Row],[Day]]-pa))-mu_a)/sigma_a^2)/(Tabella34[[#This Row],[Day]]-pa),0)</f>
        <v>-15.710397144737044</v>
      </c>
      <c r="BS153" s="96">
        <f>Tabella34[[#This Row],[rest of Italy acc. fit]]/y_a_peak</f>
        <v>-4.6492169017719152E-3</v>
      </c>
      <c r="BT153" s="141">
        <f>Tabella34[[#This Row],[rest of Italy acc. fit]]*NOT(ISBLANK(Tabella34[[#This Row],[rest of Italy data]]))</f>
        <v>0</v>
      </c>
      <c r="BU153" s="212"/>
      <c r="BV153" s="142"/>
    </row>
    <row r="154" spans="2:74" x14ac:dyDescent="0.3">
      <c r="B154" s="288">
        <v>43977</v>
      </c>
      <c r="C154" s="4">
        <v>147</v>
      </c>
      <c r="E154" s="10"/>
      <c r="F154" s="10"/>
      <c r="G154" s="141">
        <f>Tabella34[[#This Row],[Italy data]]*NOT(ISBLANK(Tabella34[[#This Row],[Italy data]]))</f>
        <v>0</v>
      </c>
      <c r="H154" s="163">
        <f>Tabella8[[#This Row],[Italy fit]]</f>
        <v>229263.8176988872</v>
      </c>
      <c r="I154" s="163" t="e">
        <f>_xlfn.LOGNORM.INV(alpha*Tabella34[[#This Row],[Italy cumul. Fit]]/Kt,mu_t,sigma_t)-(Tabella34[[#This Row],[Day]]-pt)</f>
        <v>#NUM!</v>
      </c>
      <c r="J154" s="163" t="e">
        <f>Tabella34[[#This Row],[Italy d.t.]]/Italy_dt_at_lockdown</f>
        <v>#NUM!</v>
      </c>
      <c r="K154" s="96">
        <f>Tabella34[[#This Row],[Italy cumul. Fit]]/Kf</f>
        <v>0.97559097980620479</v>
      </c>
      <c r="L154" s="166">
        <f>Tabella34[[#This Row],[Lombardy acc. fit]]+Tabella34[[#This Row],[rest of Italy acc. fit]]</f>
        <v>-23.460354244962282</v>
      </c>
      <c r="M154" s="96">
        <f>Tabella34[[#This Row],[Italy (fitted Lombardy + fitted sum of the other regions)]]/(y_l_peak+y_a_peak)</f>
        <v>-4.566844697769256E-3</v>
      </c>
      <c r="N154" s="163">
        <f>IFERROR(Kt*_xlfn.LOGNORM.DIST((Tabella34[[#This Row],[Day]]-pt),mu_t,sigma_t,FALSE),0)</f>
        <v>376.41999625995055</v>
      </c>
      <c r="O154" s="163">
        <f>Kt*EXP(-0.5*Tabella34[[#This Row],[x_t]]^2)/(sigma_t*SQRTPI(2)*(Tabella34[[#This Row],[Day]]-D_bk))</f>
        <v>376.41999625995032</v>
      </c>
      <c r="P154" s="206">
        <f>Tabella34[[#This Row],[Italy velocity]]/Tabella34[[#This Row],[Italy cumul. Fit]]</f>
        <v>1.6418639453798889E-3</v>
      </c>
      <c r="Q154" s="269">
        <f>(LN(Tabella34[[#This Row],[Day]]-D_bk)-mu_t)/sigma_t</f>
        <v>1.9701774204327067</v>
      </c>
      <c r="R154" s="269">
        <f>EXP(mu_t+sigma_t*Tabella34[[#This Row],[x_t_alpha©+plus]])-(Tabella34[[#This Row],[Day]]-D_bk)</f>
        <v>10.698029594527853</v>
      </c>
      <c r="S154" s="269">
        <f>EXP(mu_t+sigma_t*Tabella34[[#This Row],[x_t_alpha©-minus]])-(Tabella34[[#This Row],[Day]]-D_bk)</f>
        <v>-89.740180861822253</v>
      </c>
      <c r="T154" s="269">
        <f>-sigma_t+SQRT(sigma_t^2-2*Tabella34[[#This Row],[c_t]])</f>
        <v>2.2562661090314871</v>
      </c>
      <c r="U154" s="269">
        <f>-sigma_t-SQRT(sigma_t^2-2*Tabella34[[#This Row],[c_t]])</f>
        <v>-2.8755030149237246</v>
      </c>
      <c r="V154" s="269">
        <f>mu_t-LN(alpha*Kt/(Tabella34[[#This Row],[Italy velocity]]*sigma_t*SQRTPI(2)))</f>
        <v>-3.2439499994951309</v>
      </c>
      <c r="W154" s="269">
        <f>Tabella34[[#This Row],[Italy g.r.]]/Italy_gr_at_lockdown</f>
        <v>1.0381398995832122E-2</v>
      </c>
      <c r="X154" s="269">
        <f>Tabella34[[#This Row],[t_alpha_t+plus]]</f>
        <v>10.698029594527853</v>
      </c>
      <c r="Y154" s="269">
        <f>Tabella34[[#This Row],[Italy h.t.]]/Italy_ht_at_lockdown</f>
        <v>0.19052524505481047</v>
      </c>
      <c r="Z154" s="91">
        <f>IFERROR(-Kf*_xlfn.LOGNORM.DIST((Tabella34[[#This Row],[Day]]-D_bk),mu_f,sigma_f,FALSE)*(1+(LN((Tabella34[[#This Row],[Day]]-D_bk))-mu_f)/sigma_f^2)/(Tabella34[[#This Row],[Day]]-D_bk),0)</f>
        <v>-23.996176839767053</v>
      </c>
      <c r="AA154" s="91">
        <f>Tabella34[[#This Row],[Italy acc. fit]]/Itali_acc_at_lockdown</f>
        <v>-9.8763150417912476E-2</v>
      </c>
      <c r="AB154" s="96">
        <f>Tabella34[[#This Row],[Italy acc. fit]]/y_f_peak</f>
        <v>-4.74081781120206E-3</v>
      </c>
      <c r="AC154" s="163">
        <f>Tabella34[[#This Row],[Italy (fitted Lombardy + fitted sum of the other regions)]]*NOT(ISBLANK(Tabella34[[#This Row],[Italy data]]))</f>
        <v>0</v>
      </c>
      <c r="AD154" s="163">
        <f>Tabella34[[#This Row],[Italy acc. fit]]*NOT(ISBLANK(Tabella34[[#This Row],[Italy data]]))</f>
        <v>0</v>
      </c>
      <c r="AE154" s="96">
        <f>Tabella34[[#This Row],[Italy acc. fit]]+CIf</f>
        <v>989.76682518055065</v>
      </c>
      <c r="AF154" s="96">
        <f>MAX(Tabella34[[#This Row],[Italy acc. fit]]-CIf,0)</f>
        <v>0</v>
      </c>
      <c r="AH154" s="10"/>
      <c r="AI154" s="10"/>
      <c r="AJ154" s="141">
        <f>Tabella34[[#This Row],[Lombardy data]]*NOT(ISBLANK(Tabella34[[#This Row],[Lombardy data]]))</f>
        <v>0</v>
      </c>
      <c r="AK154" s="96">
        <f>Tabella8[[#This Row],[Lombardy fit]]</f>
        <v>84267.37414729064</v>
      </c>
      <c r="AL154" s="163" t="e">
        <f>_xlfn.LOGNORM.INV(alpha*Tabella34[[#This Row],[Lombardy cumul. Fit]]/Kr,mu_r,sigma_r)-(Tabella34[[#This Row],[Day]]-pr)</f>
        <v>#NUM!</v>
      </c>
      <c r="AM154" s="96">
        <f>Tabella34[[#This Row],[Lombardy cumul. Fit]]/Kl</f>
        <v>0.96859050744012232</v>
      </c>
      <c r="AN154" s="96">
        <f>IFERROR(Kr*_xlfn.LOGNORM.DIST((Tabella34[[#This Row],[Day]]-pr),mu_r,sigma_r,FALSE),0)</f>
        <v>156.01163218881777</v>
      </c>
      <c r="AO154" s="209">
        <f>Tabella34[[#This Row],[Lombardy velocity]]/Tabella34[[#This Row],[Lombardy cumul. Fit]]</f>
        <v>1.8513883192340325E-3</v>
      </c>
      <c r="AP154" s="266">
        <f>(LN(Tabella34[[#This Row],[Day]]-pr)-mu_r)/sigma_r</f>
        <v>1.8604705230107386</v>
      </c>
      <c r="AQ154" s="269">
        <f>EXP(mu_r+sigma_r*Tabella34[[#This Row],[x_r_alpha©+plus]])-(Tabella34[[#This Row],[Day]]-pr)</f>
        <v>12.237439758362967</v>
      </c>
      <c r="AR154" s="269">
        <f>EXP(mu_r+sigma_r*Tabella34[[#This Row],[x_r_alpha©-minus]])-(Tabella34[[#This Row],[Day]]-pr)</f>
        <v>-92.378514676918201</v>
      </c>
      <c r="AS154" s="269">
        <f>-sigma_r+SQRT(sigma_r^2-2*Tabella34[[#This Row],[c_r]])</f>
        <v>2.1556186910189084</v>
      </c>
      <c r="AT154" s="269">
        <f>-sigma_r-SQRT(sigma_r^2-2*Tabella34[[#This Row],[c_r]])</f>
        <v>-2.8364732882126376</v>
      </c>
      <c r="AU154" s="269">
        <f>mu_r-LN(alpha*Kr/(Tabella34[[#This Row],[Lombardy velocity]]*sigma_r*SQRTPI(2)))</f>
        <v>-3.0571774183235121</v>
      </c>
      <c r="AV154" s="269">
        <f>Tabella34[[#This Row],[t_alpha_r+plus]]</f>
        <v>12.237439758362967</v>
      </c>
      <c r="AW154" s="91">
        <f>IFERROR(-Kl*_xlfn.LOGNORM.DIST((Tabella34[[#This Row],[Day]]-pl),mu_l,sigma_l,FALSE)*(1+(LN((Tabella34[[#This Row],[Day]]-pl))-mu_l)/sigma_l^2)/(Tabella34[[#This Row],[Day]]-pl),0)</f>
        <v>-8.7117870015480143</v>
      </c>
      <c r="AX154" s="96">
        <f>Tabella34[[#This Row],[Lombardy acc. fit]]/y_l_peak</f>
        <v>-4.9556385786793961E-3</v>
      </c>
      <c r="AY154" s="163">
        <f>Tabella34[[#This Row],[Lombardy acc. fit]]*NOT(ISBLANK(Tabella34[[#This Row],[Lombardy data]]))</f>
        <v>0</v>
      </c>
      <c r="AZ154" s="96">
        <f>Tabella34[[#This Row],[Lombardy acc. fit]]+CIl</f>
        <v>740.24358480207559</v>
      </c>
      <c r="BA154" s="96">
        <f>MAX(Tabella34[[#This Row],[Lombardy acc. fit]]-CIl,0)</f>
        <v>0</v>
      </c>
      <c r="BC154" s="10"/>
      <c r="BD154" s="10"/>
      <c r="BE154" s="96">
        <f>Tabella34[[#This Row],[rest of Italy data]]*NOT(ISBLANK(Tabella34[[#This Row],[rest of Italy data]]))</f>
        <v>0</v>
      </c>
      <c r="BF154" s="96">
        <f>Tabella8[[#This Row],[rest of Italy fit]]</f>
        <v>144727.218349273</v>
      </c>
      <c r="BG154" s="163" t="e">
        <f>_xlfn.LOGNORM.INV(alpha*Tabella34[[#This Row],[rest of Italy cumul. Fit]]/Ko,mu_o,sigma_o)-(Tabella34[[#This Row],[Day]]-po)</f>
        <v>#NUM!</v>
      </c>
      <c r="BH154" s="96">
        <f>Tabella34[[#This Row],[rest of Italy cumul. Fit]]/Ka</f>
        <v>0.97788672430532642</v>
      </c>
      <c r="BI154" s="163">
        <f>IFERROR(Ko*_xlfn.LOGNORM.DIST((Tabella34[[#This Row],[Day]]-po),mu_o,sigma_o,FALSE),0)</f>
        <v>222.05969869605568</v>
      </c>
      <c r="BJ154" s="206">
        <f>Tabella34[[#This Row],[rest of Italy velocity]]/Tabella34[[#This Row],[rest of Italy cumul. Fit]]</f>
        <v>1.5343326654710845E-3</v>
      </c>
      <c r="BK154" s="261">
        <f>(LN(Tabella34[[#This Row],[Day]]-po)-mu_o)/sigma_o</f>
        <v>2.0119372568588032</v>
      </c>
      <c r="BL154" s="269">
        <f>EXP(mu_o+sigma_o*Tabella34[[#This Row],[x_o_alpha©+plus]])-(Tabella34[[#This Row],[Day]]-po)</f>
        <v>10.302201308528169</v>
      </c>
      <c r="BM154" s="269">
        <f>EXP(mu_o+sigma_o*Tabella34[[#This Row],[x_o_alpha©-minus]])-(Tabella34[[#This Row],[Day]]-po)</f>
        <v>-87.006337970626475</v>
      </c>
      <c r="BN154" s="269">
        <f>-sigma_o+SQRT(sigma_o^2-2*Tabella34[[#This Row],[c_o]])</f>
        <v>2.2921624535894765</v>
      </c>
      <c r="BO154" s="269">
        <f>-sigma_o-SQRT(sigma_o^2-2*Tabella34[[#This Row],[c_o]])</f>
        <v>-2.9351352308885028</v>
      </c>
      <c r="BP154" s="269">
        <f>mu_o-LN(alpha*Ko/(Tabella34[[#This Row],[rest of Italy velocity]]*sigma_o*SQRTPI(2)))</f>
        <v>-3.3639033862251519</v>
      </c>
      <c r="BQ154" s="269">
        <f>Tabella34[[#This Row],[t_alpha_o+plus]]</f>
        <v>10.302201308528169</v>
      </c>
      <c r="BR154" s="91">
        <f>IFERROR(-Ka*_xlfn.LOGNORM.DIST((Tabella34[[#This Row],[Day]]-pa),mu_a,sigma_a,FALSE)*(1+(LN((Tabella34[[#This Row],[Day]]-pa))-mu_a)/sigma_a^2)/(Tabella34[[#This Row],[Day]]-pa),0)</f>
        <v>-14.748567243414268</v>
      </c>
      <c r="BS154" s="96">
        <f>Tabella34[[#This Row],[rest of Italy acc. fit]]/y_a_peak</f>
        <v>-4.3645801868205372E-3</v>
      </c>
      <c r="BT154" s="141">
        <f>Tabella34[[#This Row],[rest of Italy acc. fit]]*NOT(ISBLANK(Tabella34[[#This Row],[rest of Italy data]]))</f>
        <v>0</v>
      </c>
      <c r="BU154" s="212"/>
      <c r="BV154" s="142"/>
    </row>
    <row r="155" spans="2:74" x14ac:dyDescent="0.3">
      <c r="B155" s="288">
        <v>43978</v>
      </c>
      <c r="C155" s="4">
        <v>148</v>
      </c>
      <c r="E155" s="10"/>
      <c r="F155" s="10"/>
      <c r="G155" s="141">
        <f>Tabella34[[#This Row],[Italy data]]*NOT(ISBLANK(Tabella34[[#This Row],[Italy data]]))</f>
        <v>0</v>
      </c>
      <c r="H155" s="163">
        <f>Tabella8[[#This Row],[Italy fit]]</f>
        <v>229628.47695168926</v>
      </c>
      <c r="I155" s="163" t="e">
        <f>_xlfn.LOGNORM.INV(alpha*Tabella34[[#This Row],[Italy cumul. Fit]]/Kt,mu_t,sigma_t)-(Tabella34[[#This Row],[Day]]-pt)</f>
        <v>#NUM!</v>
      </c>
      <c r="J155" s="163" t="e">
        <f>Tabella34[[#This Row],[Italy d.t.]]/Italy_dt_at_lockdown</f>
        <v>#NUM!</v>
      </c>
      <c r="K155" s="96">
        <f>Tabella34[[#This Row],[Italy cumul. Fit]]/Kf</f>
        <v>0.97714272173088912</v>
      </c>
      <c r="L155" s="166">
        <f>Tabella34[[#This Row],[Lombardy acc. fit]]+Tabella34[[#This Row],[rest of Italy acc. fit]]</f>
        <v>-22.101574263474404</v>
      </c>
      <c r="M155" s="96">
        <f>Tabella34[[#This Row],[Italy (fitted Lombardy + fitted sum of the other regions)]]/(y_l_peak+y_a_peak)</f>
        <v>-4.3023415666954617E-3</v>
      </c>
      <c r="N155" s="163">
        <f>IFERROR(Kt*_xlfn.LOGNORM.DIST((Tabella34[[#This Row],[Day]]-pt),mu_t,sigma_t,FALSE),0)</f>
        <v>353.13269934951444</v>
      </c>
      <c r="O155" s="163">
        <f>Kt*EXP(-0.5*Tabella34[[#This Row],[x_t]]^2)/(sigma_t*SQRTPI(2)*(Tabella34[[#This Row],[Day]]-D_bk))</f>
        <v>353.13269934951455</v>
      </c>
      <c r="P155" s="206">
        <f>Tabella34[[#This Row],[Italy velocity]]/Tabella34[[#This Row],[Italy cumul. Fit]]</f>
        <v>1.5378436683347806E-3</v>
      </c>
      <c r="Q155" s="269">
        <f>(LN(Tabella34[[#This Row],[Day]]-D_bk)-mu_t)/sigma_t</f>
        <v>1.9980194035354704</v>
      </c>
      <c r="R155" s="269">
        <f>EXP(mu_t+sigma_t*Tabella34[[#This Row],[x_t_alpha©+plus]])-(Tabella34[[#This Row],[Day]]-D_bk)</f>
        <v>10.669598852862777</v>
      </c>
      <c r="S155" s="269">
        <f>EXP(mu_t+sigma_t*Tabella34[[#This Row],[x_t_alpha©-minus]])-(Tabella34[[#This Row],[Day]]-D_bk)</f>
        <v>-90.937013367585507</v>
      </c>
      <c r="T155" s="269">
        <f>-sigma_t+SQRT(sigma_t^2-2*Tabella34[[#This Row],[c_t]])</f>
        <v>2.2810352942356293</v>
      </c>
      <c r="U155" s="269">
        <f>-sigma_t-SQRT(sigma_t^2-2*Tabella34[[#This Row],[c_t]])</f>
        <v>-2.9002722001278669</v>
      </c>
      <c r="V155" s="269">
        <f>mu_t-LN(alpha*Kt/(Tabella34[[#This Row],[Italy velocity]]*sigma_t*SQRTPI(2)))</f>
        <v>-3.307811625691043</v>
      </c>
      <c r="W155" s="269">
        <f>Tabella34[[#This Row],[Italy g.r.]]/Italy_gr_at_lockdown</f>
        <v>9.7236855460051883E-3</v>
      </c>
      <c r="X155" s="269">
        <f>Tabella34[[#This Row],[t_alpha_t+plus]]</f>
        <v>10.669598852862777</v>
      </c>
      <c r="Y155" s="269">
        <f>Tabella34[[#This Row],[Italy h.t.]]/Italy_ht_at_lockdown</f>
        <v>0.19001891125053688</v>
      </c>
      <c r="Z155" s="91">
        <f>IFERROR(-Kf*_xlfn.LOGNORM.DIST((Tabella34[[#This Row],[Day]]-D_bk),mu_f,sigma_f,FALSE)*(1+(LN((Tabella34[[#This Row],[Day]]-D_bk))-mu_f)/sigma_f^2)/(Tabella34[[#This Row],[Day]]-D_bk),0)</f>
        <v>-22.590986968800859</v>
      </c>
      <c r="AA155" s="91">
        <f>Tabella34[[#This Row],[Italy acc. fit]]/Itali_acc_at_lockdown</f>
        <v>-9.2979688347322551E-2</v>
      </c>
      <c r="AB155" s="96">
        <f>Tabella34[[#This Row],[Italy acc. fit]]/y_f_peak</f>
        <v>-4.4632007052405288E-3</v>
      </c>
      <c r="AC155" s="163">
        <f>Tabella34[[#This Row],[Italy (fitted Lombardy + fitted sum of the other regions)]]*NOT(ISBLANK(Tabella34[[#This Row],[Italy data]]))</f>
        <v>0</v>
      </c>
      <c r="AD155" s="163">
        <f>Tabella34[[#This Row],[Italy acc. fit]]*NOT(ISBLANK(Tabella34[[#This Row],[Italy data]]))</f>
        <v>0</v>
      </c>
      <c r="AE155" s="96">
        <f>Tabella34[[#This Row],[Italy acc. fit]]+CIf</f>
        <v>991.17201505151684</v>
      </c>
      <c r="AF155" s="96">
        <f>MAX(Tabella34[[#This Row],[Italy acc. fit]]-CIf,0)</f>
        <v>0</v>
      </c>
      <c r="AH155" s="10"/>
      <c r="AI155" s="10"/>
      <c r="AJ155" s="141">
        <f>Tabella34[[#This Row],[Lombardy data]]*NOT(ISBLANK(Tabella34[[#This Row],[Lombardy data]]))</f>
        <v>0</v>
      </c>
      <c r="AK155" s="96">
        <f>Tabella8[[#This Row],[Lombardy fit]]</f>
        <v>84419.10587160557</v>
      </c>
      <c r="AL155" s="163" t="e">
        <f>_xlfn.LOGNORM.INV(alpha*Tabella34[[#This Row],[Lombardy cumul. Fit]]/Kr,mu_r,sigma_r)-(Tabella34[[#This Row],[Day]]-pr)</f>
        <v>#NUM!</v>
      </c>
      <c r="AM155" s="96">
        <f>Tabella34[[#This Row],[Lombardy cumul. Fit]]/Kl</f>
        <v>0.97033455024833992</v>
      </c>
      <c r="AN155" s="96">
        <f>IFERROR(Kr*_xlfn.LOGNORM.DIST((Tabella34[[#This Row],[Day]]-pr),mu_r,sigma_r,FALSE),0)</f>
        <v>147.52691225449914</v>
      </c>
      <c r="AO155" s="209">
        <f>Tabella34[[#This Row],[Lombardy velocity]]/Tabella34[[#This Row],[Lombardy cumul. Fit]]</f>
        <v>1.7475535985760769E-3</v>
      </c>
      <c r="AP155" s="266">
        <f>(LN(Tabella34[[#This Row],[Day]]-pr)-mu_r)/sigma_r</f>
        <v>1.8857333269024039</v>
      </c>
      <c r="AQ155" s="269">
        <f>EXP(mu_r+sigma_r*Tabella34[[#This Row],[x_r_alpha©+plus]])-(Tabella34[[#This Row],[Day]]-pr)</f>
        <v>12.213134580831166</v>
      </c>
      <c r="AR155" s="269">
        <f>EXP(mu_r+sigma_r*Tabella34[[#This Row],[x_r_alpha©-minus]])-(Tabella34[[#This Row],[Day]]-pr)</f>
        <v>-93.55550811483559</v>
      </c>
      <c r="AS155" s="269">
        <f>-sigma_r+SQRT(sigma_r^2-2*Tabella34[[#This Row],[c_r]])</f>
        <v>2.1779224570254927</v>
      </c>
      <c r="AT155" s="269">
        <f>-sigma_r-SQRT(sigma_r^2-2*Tabella34[[#This Row],[c_r]])</f>
        <v>-2.8587770542192219</v>
      </c>
      <c r="AU155" s="269">
        <f>mu_r-LN(alpha*Kr/(Tabella34[[#This Row],[Lombardy velocity]]*sigma_r*SQRTPI(2)))</f>
        <v>-3.1130973730066138</v>
      </c>
      <c r="AV155" s="269">
        <f>Tabella34[[#This Row],[t_alpha_r+plus]]</f>
        <v>12.213134580831166</v>
      </c>
      <c r="AW155" s="91">
        <f>IFERROR(-Kl*_xlfn.LOGNORM.DIST((Tabella34[[#This Row],[Day]]-pl),mu_l,sigma_l,FALSE)*(1+(LN((Tabella34[[#This Row],[Day]]-pl))-mu_l)/sigma_l^2)/(Tabella34[[#This Row],[Day]]-pl),0)</f>
        <v>-8.2612000783621458</v>
      </c>
      <c r="AX155" s="96">
        <f>Tabella34[[#This Row],[Lombardy acc. fit]]/y_l_peak</f>
        <v>-4.6993253860827958E-3</v>
      </c>
      <c r="AY155" s="163">
        <f>Tabella34[[#This Row],[Lombardy acc. fit]]*NOT(ISBLANK(Tabella34[[#This Row],[Lombardy data]]))</f>
        <v>0</v>
      </c>
      <c r="AZ155" s="96">
        <f>Tabella34[[#This Row],[Lombardy acc. fit]]+CIl</f>
        <v>740.69417172526153</v>
      </c>
      <c r="BA155" s="96">
        <f>MAX(Tabella34[[#This Row],[Lombardy acc. fit]]-CIl,0)</f>
        <v>0</v>
      </c>
      <c r="BC155" s="10"/>
      <c r="BD155" s="10"/>
      <c r="BE155" s="96">
        <f>Tabella34[[#This Row],[rest of Italy data]]*NOT(ISBLANK(Tabella34[[#This Row],[rest of Italy data]]))</f>
        <v>0</v>
      </c>
      <c r="BF155" s="96">
        <f>Tabella8[[#This Row],[rest of Italy fit]]</f>
        <v>144942.05731802669</v>
      </c>
      <c r="BG155" s="163" t="e">
        <f>_xlfn.LOGNORM.INV(alpha*Tabella34[[#This Row],[rest of Italy cumul. Fit]]/Ko,mu_o,sigma_o)-(Tabella34[[#This Row],[Day]]-po)</f>
        <v>#NUM!</v>
      </c>
      <c r="BH155" s="96">
        <f>Tabella34[[#This Row],[rest of Italy cumul. Fit]]/Ka</f>
        <v>0.97933833912805224</v>
      </c>
      <c r="BI155" s="163">
        <f>IFERROR(Ko*_xlfn.LOGNORM.DIST((Tabella34[[#This Row],[Day]]-po),mu_o,sigma_o,FALSE),0)</f>
        <v>207.76959767821637</v>
      </c>
      <c r="BJ155" s="206">
        <f>Tabella34[[#This Row],[rest of Italy velocity]]/Tabella34[[#This Row],[rest of Italy cumul. Fit]]</f>
        <v>1.4334665970853148E-3</v>
      </c>
      <c r="BK155" s="261">
        <f>(LN(Tabella34[[#This Row],[Day]]-po)-mu_o)/sigma_o</f>
        <v>2.0402711989116309</v>
      </c>
      <c r="BL155" s="269">
        <f>EXP(mu_o+sigma_o*Tabella34[[#This Row],[x_o_alpha©+plus]])-(Tabella34[[#This Row],[Day]]-po)</f>
        <v>10.279867845923974</v>
      </c>
      <c r="BM155" s="269">
        <f>EXP(mu_o+sigma_o*Tabella34[[#This Row],[x_o_alpha©-minus]])-(Tabella34[[#This Row],[Day]]-po)</f>
        <v>-88.186980720186114</v>
      </c>
      <c r="BN155" s="269">
        <f>-sigma_o+SQRT(sigma_o^2-2*Tabella34[[#This Row],[c_o]])</f>
        <v>2.3174894095575347</v>
      </c>
      <c r="BO155" s="269">
        <f>-sigma_o-SQRT(sigma_o^2-2*Tabella34[[#This Row],[c_o]])</f>
        <v>-2.960462186856561</v>
      </c>
      <c r="BP155" s="269">
        <f>mu_o-LN(alpha*Ko/(Tabella34[[#This Row],[rest of Italy velocity]]*sigma_o*SQRTPI(2)))</f>
        <v>-3.4304198827178096</v>
      </c>
      <c r="BQ155" s="269">
        <f>Tabella34[[#This Row],[t_alpha_o+plus]]</f>
        <v>10.279867845923974</v>
      </c>
      <c r="BR155" s="91">
        <f>IFERROR(-Ka*_xlfn.LOGNORM.DIST((Tabella34[[#This Row],[Day]]-pa),mu_a,sigma_a,FALSE)*(1+(LN((Tabella34[[#This Row],[Day]]-pa))-mu_a)/sigma_a^2)/(Tabella34[[#This Row],[Day]]-pa),0)</f>
        <v>-13.84037418511226</v>
      </c>
      <c r="BS155" s="96">
        <f>Tabella34[[#This Row],[rest of Italy acc. fit]]/y_a_peak</f>
        <v>-4.0958163562292713E-3</v>
      </c>
      <c r="BT155" s="141">
        <f>Tabella34[[#This Row],[rest of Italy acc. fit]]*NOT(ISBLANK(Tabella34[[#This Row],[rest of Italy data]]))</f>
        <v>0</v>
      </c>
      <c r="BU155" s="212"/>
      <c r="BV155" s="142"/>
    </row>
    <row r="156" spans="2:74" x14ac:dyDescent="0.3">
      <c r="B156" s="288">
        <v>43979</v>
      </c>
      <c r="C156" s="4">
        <v>149</v>
      </c>
      <c r="E156" s="10"/>
      <c r="F156" s="10"/>
      <c r="G156" s="141">
        <f>Tabella34[[#This Row],[Italy data]]*NOT(ISBLANK(Tabella34[[#This Row],[Italy data]]))</f>
        <v>0</v>
      </c>
      <c r="H156" s="163">
        <f>Tabella8[[#This Row],[Italy fit]]</f>
        <v>229970.53905716853</v>
      </c>
      <c r="I156" s="163" t="e">
        <f>_xlfn.LOGNORM.INV(alpha*Tabella34[[#This Row],[Italy cumul. Fit]]/Kt,mu_t,sigma_t)-(Tabella34[[#This Row],[Day]]-pt)</f>
        <v>#NUM!</v>
      </c>
      <c r="J156" s="163" t="e">
        <f>Tabella34[[#This Row],[Italy d.t.]]/Italy_dt_at_lockdown</f>
        <v>#NUM!</v>
      </c>
      <c r="K156" s="96">
        <f>Tabella34[[#This Row],[Italy cumul. Fit]]/Kf</f>
        <v>0.97859830555562244</v>
      </c>
      <c r="L156" s="166">
        <f>Tabella34[[#This Row],[Lombardy acc. fit]]+Tabella34[[#This Row],[rest of Italy acc. fit]]</f>
        <v>-20.814961809164025</v>
      </c>
      <c r="M156" s="96">
        <f>Tabella34[[#This Row],[Italy (fitted Lombardy + fitted sum of the other regions)]]/(y_l_peak+y_a_peak)</f>
        <v>-4.0518867268537753E-3</v>
      </c>
      <c r="N156" s="163">
        <f>IFERROR(Kt*_xlfn.LOGNORM.DIST((Tabella34[[#This Row],[Day]]-pt),mu_t,sigma_t,FALSE),0)</f>
        <v>331.21338089866896</v>
      </c>
      <c r="O156" s="163">
        <f>Kt*EXP(-0.5*Tabella34[[#This Row],[x_t]]^2)/(sigma_t*SQRTPI(2)*(Tabella34[[#This Row],[Day]]-D_bk))</f>
        <v>331.21338089866919</v>
      </c>
      <c r="P156" s="206">
        <f>Tabella34[[#This Row],[Italy velocity]]/Tabella34[[#This Row],[Italy cumul. Fit]]</f>
        <v>1.4402426600232145E-3</v>
      </c>
      <c r="Q156" s="269">
        <f>(LN(Tabella34[[#This Row],[Day]]-D_bk)-mu_t)/sigma_t</f>
        <v>2.0256234276756908</v>
      </c>
      <c r="R156" s="269">
        <f>EXP(mu_t+sigma_t*Tabella34[[#This Row],[x_t_alpha©+plus]])-(Tabella34[[#This Row],[Day]]-D_bk)</f>
        <v>10.642669441473686</v>
      </c>
      <c r="S156" s="269">
        <f>EXP(mu_t+sigma_t*Tabella34[[#This Row],[x_t_alpha©-minus]])-(Tabella34[[#This Row],[Day]]-D_bk)</f>
        <v>-92.131158477743639</v>
      </c>
      <c r="T156" s="269">
        <f>-sigma_t+SQRT(sigma_t^2-2*Tabella34[[#This Row],[c_t]])</f>
        <v>2.3056538086224498</v>
      </c>
      <c r="U156" s="269">
        <f>-sigma_t-SQRT(sigma_t^2-2*Tabella34[[#This Row],[c_t]])</f>
        <v>-2.9248907145146874</v>
      </c>
      <c r="V156" s="269">
        <f>mu_t-LN(alpha*Kt/(Tabella34[[#This Row],[Italy velocity]]*sigma_t*SQRTPI(2)))</f>
        <v>-3.3718927078626146</v>
      </c>
      <c r="W156" s="269">
        <f>Tabella34[[#This Row],[Italy g.r.]]/Italy_gr_at_lockdown</f>
        <v>9.1065607150902506E-3</v>
      </c>
      <c r="X156" s="269">
        <f>Tabella34[[#This Row],[t_alpha_t+plus]]</f>
        <v>10.642669441473686</v>
      </c>
      <c r="Y156" s="269">
        <f>Tabella34[[#This Row],[Italy h.t.]]/Italy_ht_at_lockdown</f>
        <v>0.18953931520354964</v>
      </c>
      <c r="Z156" s="91">
        <f>IFERROR(-Kf*_xlfn.LOGNORM.DIST((Tabella34[[#This Row],[Day]]-D_bk),mu_f,sigma_f,FALSE)*(1+(LN((Tabella34[[#This Row],[Day]]-D_bk))-mu_f)/sigma_f^2)/(Tabella34[[#This Row],[Day]]-D_bk),0)</f>
        <v>-21.259721415003174</v>
      </c>
      <c r="AA156" s="91">
        <f>Tabella34[[#This Row],[Italy acc. fit]]/Itali_acc_at_lockdown</f>
        <v>-8.7500483013328911E-2</v>
      </c>
      <c r="AB156" s="96">
        <f>Tabella34[[#This Row],[Italy acc. fit]]/y_f_peak</f>
        <v>-4.2001884974614701E-3</v>
      </c>
      <c r="AC156" s="163">
        <f>Tabella34[[#This Row],[Italy (fitted Lombardy + fitted sum of the other regions)]]*NOT(ISBLANK(Tabella34[[#This Row],[Italy data]]))</f>
        <v>0</v>
      </c>
      <c r="AD156" s="163">
        <f>Tabella34[[#This Row],[Italy acc. fit]]*NOT(ISBLANK(Tabella34[[#This Row],[Italy data]]))</f>
        <v>0</v>
      </c>
      <c r="AE156" s="96">
        <f>Tabella34[[#This Row],[Italy acc. fit]]+CIf</f>
        <v>992.50328060531456</v>
      </c>
      <c r="AF156" s="96">
        <f>MAX(Tabella34[[#This Row],[Italy acc. fit]]-CIf,0)</f>
        <v>0</v>
      </c>
      <c r="AH156" s="10"/>
      <c r="AI156" s="10"/>
      <c r="AJ156" s="141">
        <f>Tabella34[[#This Row],[Lombardy data]]*NOT(ISBLANK(Tabella34[[#This Row],[Lombardy data]]))</f>
        <v>0</v>
      </c>
      <c r="AK156" s="96">
        <f>Tabella8[[#This Row],[Lombardy fit]]</f>
        <v>84562.574652415191</v>
      </c>
      <c r="AL156" s="163" t="e">
        <f>_xlfn.LOGNORM.INV(alpha*Tabella34[[#This Row],[Lombardy cumul. Fit]]/Kr,mu_r,sigma_r)-(Tabella34[[#This Row],[Day]]-pr)</f>
        <v>#NUM!</v>
      </c>
      <c r="AM156" s="96">
        <f>Tabella34[[#This Row],[Lombardy cumul. Fit]]/Kl</f>
        <v>0.97198361669442745</v>
      </c>
      <c r="AN156" s="96">
        <f>IFERROR(Kr*_xlfn.LOGNORM.DIST((Tabella34[[#This Row],[Day]]-pr),mu_r,sigma_r,FALSE),0)</f>
        <v>139.48225835302821</v>
      </c>
      <c r="AO156" s="209">
        <f>Tabella34[[#This Row],[Lombardy velocity]]/Tabella34[[#This Row],[Lombardy cumul. Fit]]</f>
        <v>1.6494561444747172E-3</v>
      </c>
      <c r="AP156" s="266">
        <f>(LN(Tabella34[[#This Row],[Day]]-pr)-mu_r)/sigma_r</f>
        <v>1.9107807182033902</v>
      </c>
      <c r="AQ156" s="269">
        <f>EXP(mu_r+sigma_r*Tabella34[[#This Row],[x_r_alpha©+plus]])-(Tabella34[[#This Row],[Day]]-pr)</f>
        <v>12.190271251522148</v>
      </c>
      <c r="AR156" s="269">
        <f>EXP(mu_r+sigma_r*Tabella34[[#This Row],[x_r_alpha©-minus]])-(Tabella34[[#This Row],[Day]]-pr)</f>
        <v>-94.730099767477284</v>
      </c>
      <c r="AS156" s="269">
        <f>-sigma_r+SQRT(sigma_r^2-2*Tabella34[[#This Row],[c_r]])</f>
        <v>2.2000907383447412</v>
      </c>
      <c r="AT156" s="269">
        <f>-sigma_r-SQRT(sigma_r^2-2*Tabella34[[#This Row],[c_r]])</f>
        <v>-2.8809453355384704</v>
      </c>
      <c r="AU156" s="269">
        <f>mu_r-LN(alpha*Kr/(Tabella34[[#This Row],[Lombardy velocity]]*sigma_r*SQRTPI(2)))</f>
        <v>-3.1691705751978354</v>
      </c>
      <c r="AV156" s="269">
        <f>Tabella34[[#This Row],[t_alpha_r+plus]]</f>
        <v>12.190271251522148</v>
      </c>
      <c r="AW156" s="91">
        <f>IFERROR(-Kl*_xlfn.LOGNORM.DIST((Tabella34[[#This Row],[Day]]-pl),mu_l,sigma_l,FALSE)*(1+(LN((Tabella34[[#This Row],[Day]]-pl))-mu_l)/sigma_l^2)/(Tabella34[[#This Row],[Day]]-pl),0)</f>
        <v>-7.8315340191043958</v>
      </c>
      <c r="AX156" s="96">
        <f>Tabella34[[#This Row],[Lombardy acc. fit]]/y_l_peak</f>
        <v>-4.4549128793458306E-3</v>
      </c>
      <c r="AY156" s="163">
        <f>Tabella34[[#This Row],[Lombardy acc. fit]]*NOT(ISBLANK(Tabella34[[#This Row],[Lombardy data]]))</f>
        <v>0</v>
      </c>
      <c r="AZ156" s="96">
        <f>Tabella34[[#This Row],[Lombardy acc. fit]]+CIl</f>
        <v>741.1238377845192</v>
      </c>
      <c r="BA156" s="96">
        <f>MAX(Tabella34[[#This Row],[Lombardy acc. fit]]-CIl,0)</f>
        <v>0</v>
      </c>
      <c r="BC156" s="10"/>
      <c r="BD156" s="10"/>
      <c r="BE156" s="96">
        <f>Tabella34[[#This Row],[rest of Italy data]]*NOT(ISBLANK(Tabella34[[#This Row],[rest of Italy data]]))</f>
        <v>0</v>
      </c>
      <c r="BF156" s="96">
        <f>Tabella8[[#This Row],[rest of Italy fit]]</f>
        <v>145143.05164218618</v>
      </c>
      <c r="BG156" s="163" t="e">
        <f>_xlfn.LOGNORM.INV(alpha*Tabella34[[#This Row],[rest of Italy cumul. Fit]]/Ko,mu_o,sigma_o)-(Tabella34[[#This Row],[Day]]-po)</f>
        <v>#NUM!</v>
      </c>
      <c r="BH156" s="96">
        <f>Tabella34[[#This Row],[rest of Italy cumul. Fit]]/Ka</f>
        <v>0.98069640904398159</v>
      </c>
      <c r="BI156" s="163">
        <f>IFERROR(Ko*_xlfn.LOGNORM.DIST((Tabella34[[#This Row],[Day]]-po),mu_o,sigma_o,FALSE),0)</f>
        <v>194.36186849445971</v>
      </c>
      <c r="BJ156" s="206">
        <f>Tabella34[[#This Row],[rest of Italy velocity]]/Tabella34[[#This Row],[rest of Italy cumul. Fit]]</f>
        <v>1.3391055672000763E-3</v>
      </c>
      <c r="BK156" s="261">
        <f>(LN(Tabella34[[#This Row],[Day]]-po)-mu_o)/sigma_o</f>
        <v>2.0683493757531348</v>
      </c>
      <c r="BL156" s="269">
        <f>EXP(mu_o+sigma_o*Tabella34[[#This Row],[x_o_alpha©+plus]])-(Tabella34[[#This Row],[Day]]-po)</f>
        <v>10.258928631010406</v>
      </c>
      <c r="BM156" s="269">
        <f>EXP(mu_o+sigma_o*Tabella34[[#This Row],[x_o_alpha©-minus]])-(Tabella34[[#This Row],[Day]]-po)</f>
        <v>-89.364968723304997</v>
      </c>
      <c r="BN156" s="269">
        <f>-sigma_o+SQRT(sigma_o^2-2*Tabella34[[#This Row],[c_o]])</f>
        <v>2.3426474934851442</v>
      </c>
      <c r="BO156" s="269">
        <f>-sigma_o-SQRT(sigma_o^2-2*Tabella34[[#This Row],[c_o]])</f>
        <v>-2.9856202707841706</v>
      </c>
      <c r="BP156" s="269">
        <f>mu_o-LN(alpha*Ko/(Tabella34[[#This Row],[rest of Italy velocity]]*sigma_o*SQRTPI(2)))</f>
        <v>-3.4971279219254869</v>
      </c>
      <c r="BQ156" s="269">
        <f>Tabella34[[#This Row],[t_alpha_o+plus]]</f>
        <v>10.258928631010406</v>
      </c>
      <c r="BR156" s="91">
        <f>IFERROR(-Ka*_xlfn.LOGNORM.DIST((Tabella34[[#This Row],[Day]]-pa),mu_a,sigma_a,FALSE)*(1+(LN((Tabella34[[#This Row],[Day]]-pa))-mu_a)/sigma_a^2)/(Tabella34[[#This Row],[Day]]-pa),0)</f>
        <v>-12.983427790059627</v>
      </c>
      <c r="BS156" s="96">
        <f>Tabella34[[#This Row],[rest of Italy acc. fit]]/y_a_peak</f>
        <v>-3.8422180781535389E-3</v>
      </c>
      <c r="BT156" s="141">
        <f>Tabella34[[#This Row],[rest of Italy acc. fit]]*NOT(ISBLANK(Tabella34[[#This Row],[rest of Italy data]]))</f>
        <v>0</v>
      </c>
      <c r="BU156" s="212"/>
      <c r="BV156" s="142"/>
    </row>
    <row r="157" spans="2:74" x14ac:dyDescent="0.3">
      <c r="B157" s="288">
        <v>43980</v>
      </c>
      <c r="C157" s="4">
        <v>150</v>
      </c>
      <c r="E157" s="10"/>
      <c r="F157" s="10"/>
      <c r="G157" s="141">
        <f>Tabella34[[#This Row],[Italy data]]*NOT(ISBLANK(Tabella34[[#This Row],[Italy data]]))</f>
        <v>0</v>
      </c>
      <c r="H157" s="163">
        <f>Tabella8[[#This Row],[Italy fit]]</f>
        <v>230291.33552987993</v>
      </c>
      <c r="I157" s="163" t="e">
        <f>_xlfn.LOGNORM.INV(alpha*Tabella34[[#This Row],[Italy cumul. Fit]]/Kt,mu_t,sigma_t)-(Tabella34[[#This Row],[Day]]-pt)</f>
        <v>#NUM!</v>
      </c>
      <c r="J157" s="163" t="e">
        <f>Tabella34[[#This Row],[Italy d.t.]]/Italy_dt_at_lockdown</f>
        <v>#NUM!</v>
      </c>
      <c r="K157" s="96">
        <f>Tabella34[[#This Row],[Italy cumul. Fit]]/Kf</f>
        <v>0.97996339730133319</v>
      </c>
      <c r="L157" s="166">
        <f>Tabella34[[#This Row],[Lombardy acc. fit]]+Tabella34[[#This Row],[rest of Italy acc. fit]]</f>
        <v>-19.597434234090944</v>
      </c>
      <c r="M157" s="96">
        <f>Tabella34[[#This Row],[Italy (fitted Lombardy + fitted sum of the other regions)]]/(y_l_peak+y_a_peak)</f>
        <v>-3.8148801031449996E-3</v>
      </c>
      <c r="N157" s="163">
        <f>IFERROR(Kt*_xlfn.LOGNORM.DIST((Tabella34[[#This Row],[Day]]-pt),mu_t,sigma_t,FALSE),0)</f>
        <v>310.58961100637686</v>
      </c>
      <c r="O157" s="163">
        <f>Kt*EXP(-0.5*Tabella34[[#This Row],[x_t]]^2)/(sigma_t*SQRTPI(2)*(Tabella34[[#This Row],[Day]]-D_bk))</f>
        <v>310.58961100637697</v>
      </c>
      <c r="P157" s="206">
        <f>Tabella34[[#This Row],[Italy velocity]]/Tabella34[[#This Row],[Italy cumul. Fit]]</f>
        <v>1.3486812705816209E-3</v>
      </c>
      <c r="Q157" s="269">
        <f>(LN(Tabella34[[#This Row],[Day]]-D_bk)-mu_t)/sigma_t</f>
        <v>2.0529935259675844</v>
      </c>
      <c r="R157" s="269">
        <f>EXP(mu_t+sigma_t*Tabella34[[#This Row],[x_t_alpha©+plus]])-(Tabella34[[#This Row],[Day]]-D_bk)</f>
        <v>10.617176112010839</v>
      </c>
      <c r="S157" s="269">
        <f>EXP(mu_t+sigma_t*Tabella34[[#This Row],[x_t_alpha©-minus]])-(Tabella34[[#This Row],[Day]]-D_bk)</f>
        <v>-93.322657452204894</v>
      </c>
      <c r="T157" s="269">
        <f>-sigma_t+SQRT(sigma_t^2-2*Tabella34[[#This Row],[c_t]])</f>
        <v>2.3301220123319388</v>
      </c>
      <c r="U157" s="269">
        <f>-sigma_t-SQRT(sigma_t^2-2*Tabella34[[#This Row],[c_t]])</f>
        <v>-2.9493589182241764</v>
      </c>
      <c r="V157" s="269">
        <f>mu_t-LN(alpha*Kt/(Tabella34[[#This Row],[Italy velocity]]*sigma_t*SQRTPI(2)))</f>
        <v>-3.4361830688108341</v>
      </c>
      <c r="W157" s="269">
        <f>Tabella34[[#This Row],[Italy g.r.]]/Italy_gr_at_lockdown</f>
        <v>8.5276240016794319E-3</v>
      </c>
      <c r="X157" s="269">
        <f>Tabella34[[#This Row],[t_alpha_t+plus]]</f>
        <v>10.617176112010839</v>
      </c>
      <c r="Y157" s="269">
        <f>Tabella34[[#This Row],[Italy h.t.]]/Italy_ht_at_lockdown</f>
        <v>0.18908529488137213</v>
      </c>
      <c r="Z157" s="91">
        <f>IFERROR(-Kf*_xlfn.LOGNORM.DIST((Tabella34[[#This Row],[Day]]-D_bk),mu_f,sigma_f,FALSE)*(1+(LN((Tabella34[[#This Row],[Day]]-D_bk))-mu_f)/sigma_f^2)/(Tabella34[[#This Row],[Day]]-D_bk),0)</f>
        <v>-19.999393008752644</v>
      </c>
      <c r="AA157" s="91">
        <f>Tabella34[[#This Row],[Italy acc. fit]]/Itali_acc_at_lockdown</f>
        <v>-8.2313239862319629E-2</v>
      </c>
      <c r="AB157" s="96">
        <f>Tabella34[[#This Row],[Italy acc. fit]]/y_f_peak</f>
        <v>-3.9511910260636718E-3</v>
      </c>
      <c r="AC157" s="163">
        <f>Tabella34[[#This Row],[Italy (fitted Lombardy + fitted sum of the other regions)]]*NOT(ISBLANK(Tabella34[[#This Row],[Italy data]]))</f>
        <v>0</v>
      </c>
      <c r="AD157" s="163">
        <f>Tabella34[[#This Row],[Italy acc. fit]]*NOT(ISBLANK(Tabella34[[#This Row],[Italy data]]))</f>
        <v>0</v>
      </c>
      <c r="AE157" s="96">
        <f>Tabella34[[#This Row],[Italy acc. fit]]+CIf</f>
        <v>993.76360901156499</v>
      </c>
      <c r="AF157" s="96">
        <f>MAX(Tabella34[[#This Row],[Italy acc. fit]]-CIf,0)</f>
        <v>0</v>
      </c>
      <c r="AH157" s="10"/>
      <c r="AI157" s="10"/>
      <c r="AJ157" s="141">
        <f>Tabella34[[#This Row],[Lombardy data]]*NOT(ISBLANK(Tabella34[[#This Row],[Lombardy data]]))</f>
        <v>0</v>
      </c>
      <c r="AK157" s="96">
        <f>Tabella8[[#This Row],[Lombardy fit]]</f>
        <v>84698.210216405729</v>
      </c>
      <c r="AL157" s="163" t="e">
        <f>_xlfn.LOGNORM.INV(alpha*Tabella34[[#This Row],[Lombardy cumul. Fit]]/Kr,mu_r,sigma_r)-(Tabella34[[#This Row],[Day]]-pr)</f>
        <v>#NUM!</v>
      </c>
      <c r="AM157" s="96">
        <f>Tabella34[[#This Row],[Lombardy cumul. Fit]]/Kl</f>
        <v>0.97354264616558306</v>
      </c>
      <c r="AN157" s="96">
        <f>IFERROR(Kr*_xlfn.LOGNORM.DIST((Tabella34[[#This Row],[Day]]-pr),mu_r,sigma_r,FALSE),0)</f>
        <v>131.85711302205891</v>
      </c>
      <c r="AO157" s="209">
        <f>Tabella34[[#This Row],[Lombardy velocity]]/Tabella34[[#This Row],[Lombardy cumul. Fit]]</f>
        <v>1.5567874773877888E-3</v>
      </c>
      <c r="AP157" s="266">
        <f>(LN(Tabella34[[#This Row],[Day]]-pr)-mu_r)/sigma_r</f>
        <v>1.9356163394654162</v>
      </c>
      <c r="AQ157" s="269">
        <f>EXP(mu_r+sigma_r*Tabella34[[#This Row],[x_r_alpha©+plus]])-(Tabella34[[#This Row],[Day]]-pr)</f>
        <v>12.168789603381555</v>
      </c>
      <c r="AR157" s="269">
        <f>EXP(mu_r+sigma_r*Tabella34[[#This Row],[x_r_alpha©-minus]])-(Tabella34[[#This Row],[Day]]-pr)</f>
        <v>-95.90232712389043</v>
      </c>
      <c r="AS157" s="269">
        <f>-sigma_r+SQRT(sigma_r^2-2*Tabella34[[#This Row],[c_r]])</f>
        <v>2.2221239698626905</v>
      </c>
      <c r="AT157" s="269">
        <f>-sigma_r-SQRT(sigma_r^2-2*Tabella34[[#This Row],[c_r]])</f>
        <v>-2.9029785670564197</v>
      </c>
      <c r="AU157" s="269">
        <f>mu_r-LN(alpha*Kr/(Tabella34[[#This Row],[Lombardy velocity]]*sigma_r*SQRTPI(2)))</f>
        <v>-3.2253891289268584</v>
      </c>
      <c r="AV157" s="269">
        <f>Tabella34[[#This Row],[t_alpha_r+plus]]</f>
        <v>12.168789603381555</v>
      </c>
      <c r="AW157" s="91">
        <f>IFERROR(-Kl*_xlfn.LOGNORM.DIST((Tabella34[[#This Row],[Day]]-pl),mu_l,sigma_l,FALSE)*(1+(LN((Tabella34[[#This Row],[Day]]-pl))-mu_l)/sigma_l^2)/(Tabella34[[#This Row],[Day]]-pl),0)</f>
        <v>-7.422061508663786</v>
      </c>
      <c r="AX157" s="96">
        <f>Tabella34[[#This Row],[Lombardy acc. fit]]/y_l_peak</f>
        <v>-4.2219873303984551E-3</v>
      </c>
      <c r="AY157" s="163">
        <f>Tabella34[[#This Row],[Lombardy acc. fit]]*NOT(ISBLANK(Tabella34[[#This Row],[Lombardy data]]))</f>
        <v>0</v>
      </c>
      <c r="AZ157" s="96">
        <f>Tabella34[[#This Row],[Lombardy acc. fit]]+CIl</f>
        <v>741.53331029495985</v>
      </c>
      <c r="BA157" s="96">
        <f>MAX(Tabella34[[#This Row],[Lombardy acc. fit]]-CIl,0)</f>
        <v>0</v>
      </c>
      <c r="BC157" s="10"/>
      <c r="BD157" s="10"/>
      <c r="BE157" s="96">
        <f>Tabella34[[#This Row],[rest of Italy data]]*NOT(ISBLANK(Tabella34[[#This Row],[rest of Italy data]]))</f>
        <v>0</v>
      </c>
      <c r="BF157" s="96">
        <f>Tabella8[[#This Row],[rest of Italy fit]]</f>
        <v>145331.05846446479</v>
      </c>
      <c r="BG157" s="163" t="e">
        <f>_xlfn.LOGNORM.INV(alpha*Tabella34[[#This Row],[rest of Italy cumul. Fit]]/Ko,mu_o,sigma_o)-(Tabella34[[#This Row],[Day]]-po)</f>
        <v>#NUM!</v>
      </c>
      <c r="BH157" s="96">
        <f>Tabella34[[#This Row],[rest of Italy cumul. Fit]]/Ka</f>
        <v>0.98196672555860842</v>
      </c>
      <c r="BI157" s="163">
        <f>IFERROR(Ko*_xlfn.LOGNORM.DIST((Tabella34[[#This Row],[Day]]-po),mu_o,sigma_o,FALSE),0)</f>
        <v>181.78644548575426</v>
      </c>
      <c r="BJ157" s="206">
        <f>Tabella34[[#This Row],[rest of Italy velocity]]/Tabella34[[#This Row],[rest of Italy cumul. Fit]]</f>
        <v>1.2508437453526374E-3</v>
      </c>
      <c r="BK157" s="261">
        <f>(LN(Tabella34[[#This Row],[Day]]-po)-mu_o)/sigma_o</f>
        <v>2.0961763635952395</v>
      </c>
      <c r="BL157" s="269">
        <f>EXP(mu_o+sigma_o*Tabella34[[#This Row],[x_o_alpha©+plus]])-(Tabella34[[#This Row],[Day]]-po)</f>
        <v>10.239321426952799</v>
      </c>
      <c r="BM157" s="269">
        <f>EXP(mu_o+sigma_o*Tabella34[[#This Row],[x_o_alpha©-minus]])-(Tabella34[[#This Row],[Day]]-po)</f>
        <v>-90.54034850086046</v>
      </c>
      <c r="BN157" s="269">
        <f>-sigma_o+SQRT(sigma_o^2-2*Tabella34[[#This Row],[c_o]])</f>
        <v>2.3676375476374636</v>
      </c>
      <c r="BO157" s="269">
        <f>-sigma_o-SQRT(sigma_o^2-2*Tabella34[[#This Row],[c_o]])</f>
        <v>-3.0106103249364899</v>
      </c>
      <c r="BP157" s="269">
        <f>mu_o-LN(alpha*Ko/(Tabella34[[#This Row],[rest of Italy velocity]]*sigma_o*SQRTPI(2)))</f>
        <v>-3.5640170233123296</v>
      </c>
      <c r="BQ157" s="269">
        <f>Tabella34[[#This Row],[t_alpha_o+plus]]</f>
        <v>10.239321426952799</v>
      </c>
      <c r="BR157" s="91">
        <f>IFERROR(-Ka*_xlfn.LOGNORM.DIST((Tabella34[[#This Row],[Day]]-pa),mu_a,sigma_a,FALSE)*(1+(LN((Tabella34[[#This Row],[Day]]-pa))-mu_a)/sigma_a^2)/(Tabella34[[#This Row],[Day]]-pa),0)</f>
        <v>-12.175372725427158</v>
      </c>
      <c r="BS157" s="96">
        <f>Tabella34[[#This Row],[rest of Italy acc. fit]]/y_a_peak</f>
        <v>-3.6030883330910339E-3</v>
      </c>
      <c r="BT157" s="141">
        <f>Tabella34[[#This Row],[rest of Italy acc. fit]]*NOT(ISBLANK(Tabella34[[#This Row],[rest of Italy data]]))</f>
        <v>0</v>
      </c>
      <c r="BU157" s="212"/>
      <c r="BV157" s="142"/>
    </row>
    <row r="158" spans="2:74" x14ac:dyDescent="0.3">
      <c r="B158" s="288">
        <v>43981</v>
      </c>
      <c r="C158" s="4">
        <v>151</v>
      </c>
      <c r="E158" s="10"/>
      <c r="F158" s="10"/>
      <c r="G158" s="141">
        <f>Tabella34[[#This Row],[Italy data]]*NOT(ISBLANK(Tabella34[[#This Row],[Italy data]]))</f>
        <v>0</v>
      </c>
      <c r="H158" s="163">
        <f>Tabella8[[#This Row],[Italy fit]]</f>
        <v>230592.1269457241</v>
      </c>
      <c r="I158" s="163" t="e">
        <f>_xlfn.LOGNORM.INV(alpha*Tabella34[[#This Row],[Italy cumul. Fit]]/Kt,mu_t,sigma_t)-(Tabella34[[#This Row],[Day]]-pt)</f>
        <v>#NUM!</v>
      </c>
      <c r="J158" s="163" t="e">
        <f>Tabella34[[#This Row],[Italy d.t.]]/Italy_dt_at_lockdown</f>
        <v>#NUM!</v>
      </c>
      <c r="K158" s="96">
        <f>Tabella34[[#This Row],[Italy cumul. Fit]]/Kf</f>
        <v>0.98124336112225374</v>
      </c>
      <c r="L158" s="166">
        <f>Tabella34[[#This Row],[Lombardy acc. fit]]+Tabella34[[#This Row],[rest of Italy acc. fit]]</f>
        <v>-18.44595241055621</v>
      </c>
      <c r="M158" s="96">
        <f>Tabella34[[#This Row],[Italy (fitted Lombardy + fitted sum of the other regions)]]/(y_l_peak+y_a_peak)</f>
        <v>-3.5907300922168191E-3</v>
      </c>
      <c r="N158" s="163">
        <f>IFERROR(Kt*_xlfn.LOGNORM.DIST((Tabella34[[#This Row],[Day]]-pt),mu_t,sigma_t,FALSE),0)</f>
        <v>291.19193926547757</v>
      </c>
      <c r="O158" s="163">
        <f>Kt*EXP(-0.5*Tabella34[[#This Row],[x_t]]^2)/(sigma_t*SQRTPI(2)*(Tabella34[[#This Row],[Day]]-D_bk))</f>
        <v>291.19193926547734</v>
      </c>
      <c r="P158" s="206">
        <f>Tabella34[[#This Row],[Italy velocity]]/Tabella34[[#This Row],[Italy cumul. Fit]]</f>
        <v>1.2628008732232963E-3</v>
      </c>
      <c r="Q158" s="269">
        <f>(LN(Tabella34[[#This Row],[Day]]-D_bk)-mu_t)/sigma_t</f>
        <v>2.0801336298518276</v>
      </c>
      <c r="R158" s="269">
        <f>EXP(mu_t+sigma_t*Tabella34[[#This Row],[x_t_alpha©+plus]])-(Tabella34[[#This Row],[Day]]-D_bk)</f>
        <v>10.593057198067953</v>
      </c>
      <c r="S158" s="269">
        <f>EXP(mu_t+sigma_t*Tabella34[[#This Row],[x_t_alpha©-minus]])-(Tabella34[[#This Row],[Day]]-D_bk)</f>
        <v>-94.511551565800801</v>
      </c>
      <c r="T158" s="269">
        <f>-sigma_t+SQRT(sigma_t^2-2*Tabella34[[#This Row],[c_t]])</f>
        <v>2.3544403636637945</v>
      </c>
      <c r="U158" s="269">
        <f>-sigma_t-SQRT(sigma_t^2-2*Tabella34[[#This Row],[c_t]])</f>
        <v>-2.9736772695560321</v>
      </c>
      <c r="V158" s="269">
        <f>mu_t-LN(alpha*Kt/(Tabella34[[#This Row],[Italy velocity]]*sigma_t*SQRTPI(2)))</f>
        <v>-3.5006728959761322</v>
      </c>
      <c r="W158" s="269">
        <f>Tabella34[[#This Row],[Italy g.r.]]/Italy_gr_at_lockdown</f>
        <v>7.984607831913253E-3</v>
      </c>
      <c r="X158" s="269">
        <f>Tabella34[[#This Row],[t_alpha_t+plus]]</f>
        <v>10.593057198067953</v>
      </c>
      <c r="Y158" s="269">
        <f>Tabella34[[#This Row],[Italy h.t.]]/Italy_ht_at_lockdown</f>
        <v>0.18865575204371027</v>
      </c>
      <c r="Z158" s="91">
        <f>IFERROR(-Kf*_xlfn.LOGNORM.DIST((Tabella34[[#This Row],[Day]]-D_bk),mu_f,sigma_f,FALSE)*(1+(LN((Tabella34[[#This Row],[Day]]-D_bk))-mu_f)/sigma_f^2)/(Tabella34[[#This Row],[Day]]-D_bk),0)</f>
        <v>-18.807032539899716</v>
      </c>
      <c r="AA158" s="91">
        <f>Tabella34[[#This Row],[Italy acc. fit]]/Itali_acc_at_lockdown</f>
        <v>-7.7405738258041673E-2</v>
      </c>
      <c r="AB158" s="96">
        <f>Tabella34[[#This Row],[Italy acc. fit]]/y_f_peak</f>
        <v>-3.7156216774187948E-3</v>
      </c>
      <c r="AC158" s="163">
        <f>Tabella34[[#This Row],[Italy (fitted Lombardy + fitted sum of the other regions)]]*NOT(ISBLANK(Tabella34[[#This Row],[Italy data]]))</f>
        <v>0</v>
      </c>
      <c r="AD158" s="163">
        <f>Tabella34[[#This Row],[Italy acc. fit]]*NOT(ISBLANK(Tabella34[[#This Row],[Italy data]]))</f>
        <v>0</v>
      </c>
      <c r="AE158" s="96">
        <f>Tabella34[[#This Row],[Italy acc. fit]]+CIf</f>
        <v>994.95596948041793</v>
      </c>
      <c r="AF158" s="96">
        <f>MAX(Tabella34[[#This Row],[Italy acc. fit]]-CIf,0)</f>
        <v>0</v>
      </c>
      <c r="AH158" s="10"/>
      <c r="AI158" s="10"/>
      <c r="AJ158" s="141">
        <f>Tabella34[[#This Row],[Lombardy data]]*NOT(ISBLANK(Tabella34[[#This Row],[Lombardy data]]))</f>
        <v>0</v>
      </c>
      <c r="AK158" s="96">
        <f>Tabella8[[#This Row],[Lombardy fit]]</f>
        <v>84826.422096802387</v>
      </c>
      <c r="AL158" s="163" t="e">
        <f>_xlfn.LOGNORM.INV(alpha*Tabella34[[#This Row],[Lombardy cumul. Fit]]/Kr,mu_r,sigma_r)-(Tabella34[[#This Row],[Day]]-pr)</f>
        <v>#NUM!</v>
      </c>
      <c r="AM158" s="96">
        <f>Tabella34[[#This Row],[Lombardy cumul. Fit]]/Kl</f>
        <v>0.97501634594025732</v>
      </c>
      <c r="AN158" s="96">
        <f>IFERROR(Kr*_xlfn.LOGNORM.DIST((Tabella34[[#This Row],[Day]]-pr),mu_r,sigma_r,FALSE),0)</f>
        <v>124.63164698013571</v>
      </c>
      <c r="AO158" s="209">
        <f>Tabella34[[#This Row],[Lombardy velocity]]/Tabella34[[#This Row],[Lombardy cumul. Fit]]</f>
        <v>1.469255025726634E-3</v>
      </c>
      <c r="AP158" s="266">
        <f>(LN(Tabella34[[#This Row],[Day]]-pr)-mu_r)/sigma_r</f>
        <v>1.9602437416228511</v>
      </c>
      <c r="AQ158" s="269">
        <f>EXP(mu_r+sigma_r*Tabella34[[#This Row],[x_r_alpha©+plus]])-(Tabella34[[#This Row],[Day]]-pr)</f>
        <v>12.148632631081853</v>
      </c>
      <c r="AR158" s="269">
        <f>EXP(mu_r+sigma_r*Tabella34[[#This Row],[x_r_alpha©-minus]])-(Tabella34[[#This Row],[Day]]-pr)</f>
        <v>-97.072227570764881</v>
      </c>
      <c r="AS158" s="269">
        <f>-sigma_r+SQRT(sigma_r^2-2*Tabella34[[#This Row],[c_r]])</f>
        <v>2.2440226615349932</v>
      </c>
      <c r="AT158" s="269">
        <f>-sigma_r-SQRT(sigma_r^2-2*Tabella34[[#This Row],[c_r]])</f>
        <v>-2.9248772587287224</v>
      </c>
      <c r="AU158" s="269">
        <f>mu_r-LN(alpha*Kr/(Tabella34[[#This Row],[Lombardy velocity]]*sigma_r*SQRTPI(2)))</f>
        <v>-3.2817454253978013</v>
      </c>
      <c r="AV158" s="269">
        <f>Tabella34[[#This Row],[t_alpha_r+plus]]</f>
        <v>12.148632631081853</v>
      </c>
      <c r="AW158" s="91">
        <f>IFERROR(-Kl*_xlfn.LOGNORM.DIST((Tabella34[[#This Row],[Day]]-pl),mu_l,sigma_l,FALSE)*(1+(LN((Tabella34[[#This Row],[Day]]-pl))-mu_l)/sigma_l^2)/(Tabella34[[#This Row],[Day]]-pl),0)</f>
        <v>-7.032054152847282</v>
      </c>
      <c r="AX158" s="96">
        <f>Tabella34[[#This Row],[Lombardy acc. fit]]/y_l_peak</f>
        <v>-4.0001343973424036E-3</v>
      </c>
      <c r="AY158" s="163">
        <f>Tabella34[[#This Row],[Lombardy acc. fit]]*NOT(ISBLANK(Tabella34[[#This Row],[Lombardy data]]))</f>
        <v>0</v>
      </c>
      <c r="AZ158" s="96">
        <f>Tabella34[[#This Row],[Lombardy acc. fit]]+CIl</f>
        <v>741.92331765077631</v>
      </c>
      <c r="BA158" s="96">
        <f>MAX(Tabella34[[#This Row],[Lombardy acc. fit]]-CIl,0)</f>
        <v>0</v>
      </c>
      <c r="BC158" s="10"/>
      <c r="BD158" s="10"/>
      <c r="BE158" s="96">
        <f>Tabella34[[#This Row],[rest of Italy data]]*NOT(ISBLANK(Tabella34[[#This Row],[rest of Italy data]]))</f>
        <v>0</v>
      </c>
      <c r="BF158" s="96">
        <f>Tabella8[[#This Row],[rest of Italy fit]]</f>
        <v>145506.8860325217</v>
      </c>
      <c r="BG158" s="163" t="e">
        <f>_xlfn.LOGNORM.INV(alpha*Tabella34[[#This Row],[rest of Italy cumul. Fit]]/Ko,mu_o,sigma_o)-(Tabella34[[#This Row],[Day]]-po)</f>
        <v>#NUM!</v>
      </c>
      <c r="BH158" s="96">
        <f>Tabella34[[#This Row],[rest of Italy cumul. Fit]]/Ka</f>
        <v>0.98315474980540063</v>
      </c>
      <c r="BI158" s="163">
        <f>IFERROR(Ko*_xlfn.LOGNORM.DIST((Tabella34[[#This Row],[Day]]-po),mu_o,sigma_o,FALSE),0)</f>
        <v>169.99559676494684</v>
      </c>
      <c r="BJ158" s="206">
        <f>Tabella34[[#This Row],[rest of Italy velocity]]/Tabella34[[#This Row],[rest of Italy cumul. Fit]]</f>
        <v>1.1682993252082362E-3</v>
      </c>
      <c r="BK158" s="261">
        <f>(LN(Tabella34[[#This Row],[Day]]-po)-mu_o)/sigma_o</f>
        <v>2.1237566169200575</v>
      </c>
      <c r="BL158" s="269">
        <f>EXP(mu_o+sigma_o*Tabella34[[#This Row],[x_o_alpha©+plus]])-(Tabella34[[#This Row],[Day]]-po)</f>
        <v>10.220987500932836</v>
      </c>
      <c r="BM158" s="269">
        <f>EXP(mu_o+sigma_o*Tabella34[[#This Row],[x_o_alpha©-minus]])-(Tabella34[[#This Row],[Day]]-po)</f>
        <v>-91.7131662345043</v>
      </c>
      <c r="BN158" s="269">
        <f>-sigma_o+SQRT(sigma_o^2-2*Tabella34[[#This Row],[c_o]])</f>
        <v>2.3924605005520423</v>
      </c>
      <c r="BO158" s="269">
        <f>-sigma_o-SQRT(sigma_o^2-2*Tabella34[[#This Row],[c_o]])</f>
        <v>-3.0354332778510686</v>
      </c>
      <c r="BP158" s="269">
        <f>mu_o-LN(alpha*Ko/(Tabella34[[#This Row],[rest of Italy velocity]]*sigma_o*SQRTPI(2)))</f>
        <v>-3.6310771096599463</v>
      </c>
      <c r="BQ158" s="269">
        <f>Tabella34[[#This Row],[t_alpha_o+plus]]</f>
        <v>10.220987500932836</v>
      </c>
      <c r="BR158" s="91">
        <f>IFERROR(-Ka*_xlfn.LOGNORM.DIST((Tabella34[[#This Row],[Day]]-pa),mu_a,sigma_a,FALSE)*(1+(LN((Tabella34[[#This Row],[Day]]-pa))-mu_a)/sigma_a^2)/(Tabella34[[#This Row],[Day]]-pa),0)</f>
        <v>-11.413898257708926</v>
      </c>
      <c r="BS158" s="96">
        <f>Tabella34[[#This Row],[rest of Italy acc. fit]]/y_a_peak</f>
        <v>-3.3777432999281161E-3</v>
      </c>
      <c r="BT158" s="141">
        <f>Tabella34[[#This Row],[rest of Italy acc. fit]]*NOT(ISBLANK(Tabella34[[#This Row],[rest of Italy data]]))</f>
        <v>0</v>
      </c>
      <c r="BU158" s="212"/>
      <c r="BV158" s="142"/>
    </row>
    <row r="159" spans="2:74" x14ac:dyDescent="0.3">
      <c r="B159" s="288">
        <v>43982</v>
      </c>
      <c r="C159" s="4">
        <v>152</v>
      </c>
      <c r="E159" s="10"/>
      <c r="F159" s="10"/>
      <c r="G159" s="141">
        <f>Tabella34[[#This Row],[Italy data]]*NOT(ISBLANK(Tabella34[[#This Row],[Italy data]]))</f>
        <v>0</v>
      </c>
      <c r="H159" s="163">
        <f>Tabella8[[#This Row],[Italy fit]]</f>
        <v>230874.10590995103</v>
      </c>
      <c r="I159" s="163" t="e">
        <f>_xlfn.LOGNORM.INV(alpha*Tabella34[[#This Row],[Italy cumul. Fit]]/Kt,mu_t,sigma_t)-(Tabella34[[#This Row],[Day]]-pt)</f>
        <v>#NUM!</v>
      </c>
      <c r="J159" s="163" t="e">
        <f>Tabella34[[#This Row],[Italy d.t.]]/Italy_dt_at_lockdown</f>
        <v>#NUM!</v>
      </c>
      <c r="K159" s="96">
        <f>Tabella34[[#This Row],[Italy cumul. Fit]]/Kf</f>
        <v>0.98244327193572634</v>
      </c>
      <c r="L159" s="166">
        <f>Tabella34[[#This Row],[Lombardy acc. fit]]+Tabella34[[#This Row],[rest of Italy acc. fit]]</f>
        <v>-17.357532439901199</v>
      </c>
      <c r="M159" s="96">
        <f>Tabella34[[#This Row],[Italy (fitted Lombardy + fitted sum of the other regions)]]/(y_l_peak+y_a_peak)</f>
        <v>-3.3788558417246566E-3</v>
      </c>
      <c r="N159" s="163">
        <f>IFERROR(Kt*_xlfn.LOGNORM.DIST((Tabella34[[#This Row],[Day]]-pt),mu_t,sigma_t,FALSE),0)</f>
        <v>272.95386936681211</v>
      </c>
      <c r="O159" s="163">
        <f>Kt*EXP(-0.5*Tabella34[[#This Row],[x_t]]^2)/(sigma_t*SQRTPI(2)*(Tabella34[[#This Row],[Day]]-D_bk))</f>
        <v>272.95386936681223</v>
      </c>
      <c r="P159" s="206">
        <f>Tabella34[[#This Row],[Italy velocity]]/Tabella34[[#This Row],[Italy cumul. Fit]]</f>
        <v>1.1822628106820852E-3</v>
      </c>
      <c r="Q159" s="269">
        <f>(LN(Tabella34[[#This Row],[Day]]-D_bk)-mu_t)/sigma_t</f>
        <v>2.1070475724846554</v>
      </c>
      <c r="R159" s="269">
        <f>EXP(mu_t+sigma_t*Tabella34[[#This Row],[x_t_alpha©+plus]])-(Tabella34[[#This Row],[Day]]-D_bk)</f>
        <v>10.570254379010407</v>
      </c>
      <c r="S159" s="269">
        <f>EXP(mu_t+sigma_t*Tabella34[[#This Row],[x_t_alpha©-minus]])-(Tabella34[[#This Row],[Day]]-D_bk)</f>
        <v>-95.6978820200857</v>
      </c>
      <c r="T159" s="269">
        <f>-sigma_t+SQRT(sigma_t^2-2*Tabella34[[#This Row],[c_t]])</f>
        <v>2.3786094093436958</v>
      </c>
      <c r="U159" s="269">
        <f>-sigma_t-SQRT(sigma_t^2-2*Tabella34[[#This Row],[c_t]])</f>
        <v>-2.9978463152359334</v>
      </c>
      <c r="V159" s="269">
        <f>mu_t-LN(alpha*Kt/(Tabella34[[#This Row],[Italy velocity]]*sigma_t*SQRTPI(2)))</f>
        <v>-3.5653527265932592</v>
      </c>
      <c r="W159" s="269">
        <f>Tabella34[[#This Row],[Italy g.r.]]/Italy_gr_at_lockdown</f>
        <v>7.4753708979125241E-3</v>
      </c>
      <c r="X159" s="269">
        <f>Tabella34[[#This Row],[t_alpha_t+plus]]</f>
        <v>10.570254379010407</v>
      </c>
      <c r="Y159" s="269">
        <f>Tabella34[[#This Row],[Italy h.t.]]/Italy_ht_at_lockdown</f>
        <v>0.18824964803637964</v>
      </c>
      <c r="Z159" s="91">
        <f>IFERROR(-Kf*_xlfn.LOGNORM.DIST((Tabella34[[#This Row],[Day]]-D_bk),mu_f,sigma_f,FALSE)*(1+(LN((Tabella34[[#This Row],[Day]]-D_bk))-mu_f)/sigma_f^2)/(Tabella34[[#This Row],[Day]]-D_bk),0)</f>
        <v>-17.67970325069205</v>
      </c>
      <c r="AA159" s="91">
        <f>Tabella34[[#This Row],[Italy acc. fit]]/Itali_acc_at_lockdown</f>
        <v>-7.2765891131393479E-2</v>
      </c>
      <c r="AB159" s="96">
        <f>Tabella34[[#This Row],[Italy acc. fit]]/y_f_peak</f>
        <v>-3.49290024937412E-3</v>
      </c>
      <c r="AC159" s="163">
        <f>Tabella34[[#This Row],[Italy (fitted Lombardy + fitted sum of the other regions)]]*NOT(ISBLANK(Tabella34[[#This Row],[Italy data]]))</f>
        <v>0</v>
      </c>
      <c r="AD159" s="163">
        <f>Tabella34[[#This Row],[Italy acc. fit]]*NOT(ISBLANK(Tabella34[[#This Row],[Italy data]]))</f>
        <v>0</v>
      </c>
      <c r="AE159" s="96">
        <f>Tabella34[[#This Row],[Italy acc. fit]]+CIf</f>
        <v>996.08329876962569</v>
      </c>
      <c r="AF159" s="96">
        <f>MAX(Tabella34[[#This Row],[Italy acc. fit]]-CIf,0)</f>
        <v>0</v>
      </c>
      <c r="AH159" s="10"/>
      <c r="AI159" s="10"/>
      <c r="AJ159" s="141">
        <f>Tabella34[[#This Row],[Lombardy data]]*NOT(ISBLANK(Tabella34[[#This Row],[Lombardy data]]))</f>
        <v>0</v>
      </c>
      <c r="AK159" s="96">
        <f>Tabella8[[#This Row],[Lombardy fit]]</f>
        <v>84947.600361458666</v>
      </c>
      <c r="AL159" s="163" t="e">
        <f>_xlfn.LOGNORM.INV(alpha*Tabella34[[#This Row],[Lombardy cumul. Fit]]/Kr,mu_r,sigma_r)-(Tabella34[[#This Row],[Day]]-pr)</f>
        <v>#NUM!</v>
      </c>
      <c r="AM159" s="96">
        <f>Tabella34[[#This Row],[Lombardy cumul. Fit]]/Kl</f>
        <v>0.97640919955699612</v>
      </c>
      <c r="AN159" s="96">
        <f>IFERROR(Kr*_xlfn.LOGNORM.DIST((Tabella34[[#This Row],[Day]]-pr),mu_r,sigma_r,FALSE),0)</f>
        <v>117.78675833389015</v>
      </c>
      <c r="AO159" s="209">
        <f>Tabella34[[#This Row],[Lombardy velocity]]/Tabella34[[#This Row],[Lombardy cumul. Fit]]</f>
        <v>1.3865813493577016E-3</v>
      </c>
      <c r="AP159" s="266">
        <f>(LN(Tabella34[[#This Row],[Day]]-pr)-mu_r)/sigma_r</f>
        <v>1.9846663870396628</v>
      </c>
      <c r="AQ159" s="269">
        <f>EXP(mu_r+sigma_r*Tabella34[[#This Row],[x_r_alpha©+plus]])-(Tabella34[[#This Row],[Day]]-pr)</f>
        <v>12.129746291493888</v>
      </c>
      <c r="AR159" s="269">
        <f>EXP(mu_r+sigma_r*Tabella34[[#This Row],[x_r_alpha©-minus]])-(Tabella34[[#This Row],[Day]]-pr)</f>
        <v>-98.239838328008815</v>
      </c>
      <c r="AS159" s="269">
        <f>-sigma_r+SQRT(sigma_r^2-2*Tabella34[[#This Row],[c_r]])</f>
        <v>2.2657873909685868</v>
      </c>
      <c r="AT159" s="269">
        <f>-sigma_r-SQRT(sigma_r^2-2*Tabella34[[#This Row],[c_r]])</f>
        <v>-2.946641988162316</v>
      </c>
      <c r="AU159" s="269">
        <f>mu_r-LN(alpha*Kr/(Tabella34[[#This Row],[Lombardy velocity]]*sigma_r*SQRTPI(2)))</f>
        <v>-3.3382321312383922</v>
      </c>
      <c r="AV159" s="269">
        <f>Tabella34[[#This Row],[t_alpha_r+plus]]</f>
        <v>12.129746291493888</v>
      </c>
      <c r="AW159" s="91">
        <f>IFERROR(-Kl*_xlfn.LOGNORM.DIST((Tabella34[[#This Row],[Day]]-pl),mu_l,sigma_l,FALSE)*(1+(LN((Tabella34[[#This Row],[Day]]-pl))-mu_l)/sigma_l^2)/(Tabella34[[#This Row],[Day]]-pl),0)</f>
        <v>-6.6607861381723907</v>
      </c>
      <c r="AX159" s="96">
        <f>Tabella34[[#This Row],[Lombardy acc. fit]]/y_l_peak</f>
        <v>-3.7889412062983995E-3</v>
      </c>
      <c r="AY159" s="163">
        <f>Tabella34[[#This Row],[Lombardy acc. fit]]*NOT(ISBLANK(Tabella34[[#This Row],[Lombardy data]]))</f>
        <v>0</v>
      </c>
      <c r="AZ159" s="96">
        <f>Tabella34[[#This Row],[Lombardy acc. fit]]+CIl</f>
        <v>742.29458566545122</v>
      </c>
      <c r="BA159" s="96">
        <f>MAX(Tabella34[[#This Row],[Lombardy acc. fit]]-CIl,0)</f>
        <v>0</v>
      </c>
      <c r="BC159" s="10"/>
      <c r="BD159" s="10"/>
      <c r="BE159" s="96">
        <f>Tabella34[[#This Row],[rest of Italy data]]*NOT(ISBLANK(Tabella34[[#This Row],[rest of Italy data]]))</f>
        <v>0</v>
      </c>
      <c r="BF159" s="96">
        <f>Tabella8[[#This Row],[rest of Italy fit]]</f>
        <v>145671.29600902554</v>
      </c>
      <c r="BG159" s="163" t="e">
        <f>_xlfn.LOGNORM.INV(alpha*Tabella34[[#This Row],[rest of Italy cumul. Fit]]/Ko,mu_o,sigma_o)-(Tabella34[[#This Row],[Day]]-po)</f>
        <v>#NUM!</v>
      </c>
      <c r="BH159" s="96">
        <f>Tabella34[[#This Row],[rest of Italy cumul. Fit]]/Ka</f>
        <v>0.98426562815434027</v>
      </c>
      <c r="BI159" s="163">
        <f>IFERROR(Ko*_xlfn.LOGNORM.DIST((Tabella34[[#This Row],[Day]]-po),mu_o,sigma_o,FALSE),0)</f>
        <v>158.94387545912204</v>
      </c>
      <c r="BJ159" s="206">
        <f>Tabella34[[#This Row],[rest of Italy velocity]]/Tabella34[[#This Row],[rest of Italy cumul. Fit]]</f>
        <v>1.0911132104520725E-3</v>
      </c>
      <c r="BK159" s="261">
        <f>(LN(Tabella34[[#This Row],[Day]]-po)-mu_o)/sigma_o</f>
        <v>2.1510944727594321</v>
      </c>
      <c r="BL159" s="269">
        <f>EXP(mu_o+sigma_o*Tabella34[[#This Row],[x_o_alpha©+plus]])-(Tabella34[[#This Row],[Day]]-po)</f>
        <v>10.203871386882113</v>
      </c>
      <c r="BM159" s="269">
        <f>EXP(mu_o+sigma_o*Tabella34[[#This Row],[x_o_alpha©-minus]])-(Tabella34[[#This Row],[Day]]-po)</f>
        <v>-92.88346769751557</v>
      </c>
      <c r="BN159" s="269">
        <f>-sigma_o+SQRT(sigma_o^2-2*Tabella34[[#This Row],[c_o]])</f>
        <v>2.4171173572994498</v>
      </c>
      <c r="BO159" s="269">
        <f>-sigma_o-SQRT(sigma_o^2-2*Tabella34[[#This Row],[c_o]])</f>
        <v>-3.0600901345984761</v>
      </c>
      <c r="BP159" s="269">
        <f>mu_o-LN(alpha*Ko/(Tabella34[[#This Row],[rest of Italy velocity]]*sigma_o*SQRTPI(2)))</f>
        <v>-3.6982984896193924</v>
      </c>
      <c r="BQ159" s="269">
        <f>Tabella34[[#This Row],[t_alpha_o+plus]]</f>
        <v>10.203871386882113</v>
      </c>
      <c r="BR159" s="91">
        <f>IFERROR(-Ka*_xlfn.LOGNORM.DIST((Tabella34[[#This Row],[Day]]-pa),mu_a,sigma_a,FALSE)*(1+(LN((Tabella34[[#This Row],[Day]]-pa))-mu_a)/sigma_a^2)/(Tabella34[[#This Row],[Day]]-pa),0)</f>
        <v>-10.696746301728808</v>
      </c>
      <c r="BS159" s="96">
        <f>Tabella34[[#This Row],[rest of Italy acc. fit]]/y_a_peak</f>
        <v>-3.1655147379023303E-3</v>
      </c>
      <c r="BT159" s="141">
        <f>Tabella34[[#This Row],[rest of Italy acc. fit]]*NOT(ISBLANK(Tabella34[[#This Row],[rest of Italy data]]))</f>
        <v>0</v>
      </c>
      <c r="BU159" s="212"/>
      <c r="BV159" s="142"/>
    </row>
    <row r="160" spans="2:74" x14ac:dyDescent="0.3">
      <c r="B160" s="288">
        <v>43983</v>
      </c>
      <c r="C160" s="4">
        <v>153</v>
      </c>
      <c r="E160" s="10"/>
      <c r="F160" s="10"/>
      <c r="G160" s="141">
        <f>Tabella34[[#This Row],[Italy data]]*NOT(ISBLANK(Tabella34[[#This Row],[Italy data]]))</f>
        <v>0</v>
      </c>
      <c r="H160" s="163">
        <f>Tabella8[[#This Row],[Italy fit]]</f>
        <v>231138.39999289124</v>
      </c>
      <c r="I160" s="163" t="e">
        <f>_xlfn.LOGNORM.INV(alpha*Tabella34[[#This Row],[Italy cumul. Fit]]/Kt,mu_t,sigma_t)-(Tabella34[[#This Row],[Day]]-pt)</f>
        <v>#NUM!</v>
      </c>
      <c r="J160" s="163" t="e">
        <f>Tabella34[[#This Row],[Italy d.t.]]/Italy_dt_at_lockdown</f>
        <v>#NUM!</v>
      </c>
      <c r="K160" s="96">
        <f>Tabella34[[#This Row],[Italy cumul. Fit]]/Kf</f>
        <v>0.98356792791467917</v>
      </c>
      <c r="L160" s="166">
        <f>Tabella34[[#This Row],[Lombardy acc. fit]]+Tabella34[[#This Row],[rest of Italy acc. fit]]</f>
        <v>-16.329255366625731</v>
      </c>
      <c r="M160" s="96">
        <f>Tabella34[[#This Row],[Italy (fitted Lombardy + fitted sum of the other regions)]]/(y_l_peak+y_a_peak)</f>
        <v>-3.1786891413034921E-3</v>
      </c>
      <c r="N160" s="163">
        <f>IFERROR(Kt*_xlfn.LOGNORM.DIST((Tabella34[[#This Row],[Day]]-pt),mu_t,sigma_t,FALSE),0)</f>
        <v>255.81182031246118</v>
      </c>
      <c r="O160" s="163">
        <f>Kt*EXP(-0.5*Tabella34[[#This Row],[x_t]]^2)/(sigma_t*SQRTPI(2)*(Tabella34[[#This Row],[Day]]-D_bk))</f>
        <v>255.81182031246126</v>
      </c>
      <c r="P160" s="206">
        <f>Tabella34[[#This Row],[Italy velocity]]/Tabella34[[#This Row],[Italy cumul. Fit]]</f>
        <v>1.1067473873676065E-3</v>
      </c>
      <c r="Q160" s="269">
        <f>(LN(Tabella34[[#This Row],[Day]]-D_bk)-mu_t)/sigma_t</f>
        <v>2.1337390919868859</v>
      </c>
      <c r="R160" s="269">
        <f>EXP(mu_t+sigma_t*Tabella34[[#This Row],[x_t_alpha©+plus]])-(Tabella34[[#This Row],[Day]]-D_bk)</f>
        <v>10.548712461784476</v>
      </c>
      <c r="S160" s="269">
        <f>EXP(mu_t+sigma_t*Tabella34[[#This Row],[x_t_alpha©-minus]])-(Tabella34[[#This Row],[Day]]-D_bk)</f>
        <v>-96.881689865814465</v>
      </c>
      <c r="T160" s="269">
        <f>-sigma_t+SQRT(sigma_t^2-2*Tabella34[[#This Row],[c_t]])</f>
        <v>2.4026297756459711</v>
      </c>
      <c r="U160" s="269">
        <f>-sigma_t-SQRT(sigma_t^2-2*Tabella34[[#This Row],[c_t]])</f>
        <v>-3.0218666815382087</v>
      </c>
      <c r="V160" s="269">
        <f>mu_t-LN(alpha*Kt/(Tabella34[[#This Row],[Italy velocity]]*sigma_t*SQRTPI(2)))</f>
        <v>-3.6302134335480911</v>
      </c>
      <c r="W160" s="269">
        <f>Tabella34[[#This Row],[Italy g.r.]]/Italy_gr_at_lockdown</f>
        <v>6.9978917852413598E-3</v>
      </c>
      <c r="X160" s="269">
        <f>Tabella34[[#This Row],[t_alpha_t+plus]]</f>
        <v>10.548712461784476</v>
      </c>
      <c r="Y160" s="269">
        <f>Tabella34[[#This Row],[Italy h.t.]]/Italy_ht_at_lockdown</f>
        <v>0.18786599990546396</v>
      </c>
      <c r="Z160" s="91">
        <f>IFERROR(-Kf*_xlfn.LOGNORM.DIST((Tabella34[[#This Row],[Day]]-D_bk),mu_f,sigma_f,FALSE)*(1+(LN((Tabella34[[#This Row],[Day]]-D_bk))-mu_f)/sigma_f^2)/(Tabella34[[#This Row],[Day]]-D_bk),0)</f>
        <v>-16.614513161721447</v>
      </c>
      <c r="AA160" s="91">
        <f>Tabella34[[#This Row],[Italy acc. fit]]/Itali_acc_at_lockdown</f>
        <v>-6.8381795711395965E-2</v>
      </c>
      <c r="AB160" s="96">
        <f>Tabella34[[#This Row],[Italy acc. fit]]/y_f_peak</f>
        <v>-3.2824553864349969E-3</v>
      </c>
      <c r="AC160" s="163">
        <f>Tabella34[[#This Row],[Italy (fitted Lombardy + fitted sum of the other regions)]]*NOT(ISBLANK(Tabella34[[#This Row],[Italy data]]))</f>
        <v>0</v>
      </c>
      <c r="AD160" s="163">
        <f>Tabella34[[#This Row],[Italy acc. fit]]*NOT(ISBLANK(Tabella34[[#This Row],[Italy data]]))</f>
        <v>0</v>
      </c>
      <c r="AE160" s="96">
        <f>Tabella34[[#This Row],[Italy acc. fit]]+CIf</f>
        <v>997.14848885859624</v>
      </c>
      <c r="AF160" s="96">
        <f>MAX(Tabella34[[#This Row],[Italy acc. fit]]-CIf,0)</f>
        <v>0</v>
      </c>
      <c r="AH160" s="10"/>
      <c r="AI160" s="10"/>
      <c r="AJ160" s="141">
        <f>Tabella34[[#This Row],[Lombardy data]]*NOT(ISBLANK(Tabella34[[#This Row],[Lombardy data]]))</f>
        <v>0</v>
      </c>
      <c r="AK160" s="96">
        <f>Tabella8[[#This Row],[Lombardy fit]]</f>
        <v>85062.116338405118</v>
      </c>
      <c r="AL160" s="163" t="e">
        <f>_xlfn.LOGNORM.INV(alpha*Tabella34[[#This Row],[Lombardy cumul. Fit]]/Kr,mu_r,sigma_r)-(Tabella34[[#This Row],[Day]]-pr)</f>
        <v>#NUM!</v>
      </c>
      <c r="AM160" s="96">
        <f>Tabella34[[#This Row],[Lombardy cumul. Fit]]/Kl</f>
        <v>0.97772547515408181</v>
      </c>
      <c r="AN160" s="96">
        <f>IFERROR(Kr*_xlfn.LOGNORM.DIST((Tabella34[[#This Row],[Day]]-pr),mu_r,sigma_r,FALSE),0)</f>
        <v>111.30406836968926</v>
      </c>
      <c r="AO160" s="209">
        <f>Tabella34[[#This Row],[Lombardy velocity]]/Tabella34[[#This Row],[Lombardy cumul. Fit]]</f>
        <v>1.3085033991734349E-3</v>
      </c>
      <c r="AP160" s="266">
        <f>(LN(Tabella34[[#This Row],[Day]]-pr)-mu_r)/sigma_r</f>
        <v>2.0088876524307455</v>
      </c>
      <c r="AQ160" s="269">
        <f>EXP(mu_r+sigma_r*Tabella34[[#This Row],[x_r_alpha©+plus]])-(Tabella34[[#This Row],[Day]]-pr)</f>
        <v>12.112079318707629</v>
      </c>
      <c r="AR160" s="269">
        <f>EXP(mu_r+sigma_r*Tabella34[[#This Row],[x_r_alpha©-minus]])-(Tabella34[[#This Row],[Day]]-pr)</f>
        <v>-99.405196392218357</v>
      </c>
      <c r="AS160" s="269">
        <f>-sigma_r+SQRT(sigma_r^2-2*Tabella34[[#This Row],[c_r]])</f>
        <v>2.2874187966381192</v>
      </c>
      <c r="AT160" s="269">
        <f>-sigma_r-SQRT(sigma_r^2-2*Tabella34[[#This Row],[c_r]])</f>
        <v>-2.9682733938318484</v>
      </c>
      <c r="AU160" s="269">
        <f>mu_r-LN(alpha*Kr/(Tabella34[[#This Row],[Lombardy velocity]]*sigma_r*SQRTPI(2)))</f>
        <v>-3.3948421773058959</v>
      </c>
      <c r="AV160" s="269">
        <f>Tabella34[[#This Row],[t_alpha_r+plus]]</f>
        <v>12.112079318707629</v>
      </c>
      <c r="AW160" s="91">
        <f>IFERROR(-Kl*_xlfn.LOGNORM.DIST((Tabella34[[#This Row],[Day]]-pl),mu_l,sigma_l,FALSE)*(1+(LN((Tabella34[[#This Row],[Day]]-pl))-mu_l)/sigma_l^2)/(Tabella34[[#This Row],[Day]]-pl),0)</f>
        <v>-6.3075374107600348</v>
      </c>
      <c r="AX160" s="96">
        <f>Tabella34[[#This Row],[Lombardy acc. fit]]/y_l_peak</f>
        <v>-3.5879981596969378E-3</v>
      </c>
      <c r="AY160" s="163">
        <f>Tabella34[[#This Row],[Lombardy acc. fit]]*NOT(ISBLANK(Tabella34[[#This Row],[Lombardy data]]))</f>
        <v>0</v>
      </c>
      <c r="AZ160" s="96">
        <f>Tabella34[[#This Row],[Lombardy acc. fit]]+CIl</f>
        <v>742.64783439286361</v>
      </c>
      <c r="BA160" s="96">
        <f>MAX(Tabella34[[#This Row],[Lombardy acc. fit]]-CIl,0)</f>
        <v>0</v>
      </c>
      <c r="BC160" s="10"/>
      <c r="BD160" s="10"/>
      <c r="BE160" s="96">
        <f>Tabella34[[#This Row],[rest of Italy data]]*NOT(ISBLANK(Tabella34[[#This Row],[rest of Italy data]]))</f>
        <v>0</v>
      </c>
      <c r="BF160" s="96">
        <f>Tabella8[[#This Row],[rest of Italy fit]]</f>
        <v>145825.00572919563</v>
      </c>
      <c r="BG160" s="163" t="e">
        <f>_xlfn.LOGNORM.INV(alpha*Tabella34[[#This Row],[rest of Italy cumul. Fit]]/Ko,mu_o,sigma_o)-(Tabella34[[#This Row],[Day]]-po)</f>
        <v>#NUM!</v>
      </c>
      <c r="BH160" s="96">
        <f>Tabella34[[#This Row],[rest of Italy cumul. Fit]]/Ka</f>
        <v>0.98530420746558134</v>
      </c>
      <c r="BI160" s="163">
        <f>IFERROR(Ko*_xlfn.LOGNORM.DIST((Tabella34[[#This Row],[Day]]-po),mu_o,sigma_o,FALSE),0)</f>
        <v>148.58806367499781</v>
      </c>
      <c r="BJ160" s="206">
        <f>Tabella34[[#This Row],[rest of Italy velocity]]/Tabella34[[#This Row],[rest of Italy cumul. Fit]]</f>
        <v>1.0189477650419799E-3</v>
      </c>
      <c r="BK160" s="261">
        <f>(LN(Tabella34[[#This Row],[Day]]-po)-mu_o)/sigma_o</f>
        <v>2.1781941547880224</v>
      </c>
      <c r="BL160" s="269">
        <f>EXP(mu_o+sigma_o*Tabella34[[#This Row],[x_o_alpha©+plus]])-(Tabella34[[#This Row],[Day]]-po)</f>
        <v>10.187920666807585</v>
      </c>
      <c r="BM160" s="269">
        <f>EXP(mu_o+sigma_o*Tabella34[[#This Row],[x_o_alpha©-minus]])-(Tabella34[[#This Row],[Day]]-po)</f>
        <v>-94.051298195500266</v>
      </c>
      <c r="BN160" s="269">
        <f>-sigma_o+SQRT(sigma_o^2-2*Tabella34[[#This Row],[c_o]])</f>
        <v>2.4416091906528137</v>
      </c>
      <c r="BO160" s="269">
        <f>-sigma_o-SQRT(sigma_o^2-2*Tabella34[[#This Row],[c_o]])</f>
        <v>-3.08458196795184</v>
      </c>
      <c r="BP160" s="269">
        <f>mu_o-LN(alpha*Ko/(Tabella34[[#This Row],[rest of Italy velocity]]*sigma_o*SQRTPI(2)))</f>
        <v>-3.7656718411365775</v>
      </c>
      <c r="BQ160" s="269">
        <f>Tabella34[[#This Row],[t_alpha_o+plus]]</f>
        <v>10.187920666807585</v>
      </c>
      <c r="BR160" s="91">
        <f>IFERROR(-Ka*_xlfn.LOGNORM.DIST((Tabella34[[#This Row],[Day]]-pa),mu_a,sigma_a,FALSE)*(1+(LN((Tabella34[[#This Row],[Day]]-pa))-mu_a)/sigma_a^2)/(Tabella34[[#This Row],[Day]]-pa),0)</f>
        <v>-10.021717955865695</v>
      </c>
      <c r="BS160" s="96">
        <f>Tabella34[[#This Row],[rest of Italy acc. fit]]/y_a_peak</f>
        <v>-2.9657519205878572E-3</v>
      </c>
      <c r="BT160" s="141">
        <f>Tabella34[[#This Row],[rest of Italy acc. fit]]*NOT(ISBLANK(Tabella34[[#This Row],[rest of Italy data]]))</f>
        <v>0</v>
      </c>
      <c r="BU160" s="212"/>
      <c r="BV160" s="142"/>
    </row>
    <row r="161" spans="2:74" x14ac:dyDescent="0.3">
      <c r="B161" s="288">
        <v>43984</v>
      </c>
      <c r="C161" s="4">
        <v>154</v>
      </c>
      <c r="E161" s="10"/>
      <c r="F161" s="10"/>
      <c r="G161" s="141">
        <f>Tabella34[[#This Row],[Italy data]]*NOT(ISBLANK(Tabella34[[#This Row],[Italy data]]))</f>
        <v>0</v>
      </c>
      <c r="H161" s="163">
        <f>Tabella8[[#This Row],[Italy fit]]</f>
        <v>231386.07462107181</v>
      </c>
      <c r="I161" s="163" t="e">
        <f>_xlfn.LOGNORM.INV(alpha*Tabella34[[#This Row],[Italy cumul. Fit]]/Kt,mu_t,sigma_t)-(Tabella34[[#This Row],[Day]]-pt)</f>
        <v>#NUM!</v>
      </c>
      <c r="J161" s="163" t="e">
        <f>Tabella34[[#This Row],[Italy d.t.]]/Italy_dt_at_lockdown</f>
        <v>#NUM!</v>
      </c>
      <c r="K161" s="96">
        <f>Tabella34[[#This Row],[Italy cumul. Fit]]/Kf</f>
        <v>0.98462186279025199</v>
      </c>
      <c r="L161" s="166">
        <f>Tabella34[[#This Row],[Lombardy acc. fit]]+Tabella34[[#This Row],[rest of Italy acc. fit]]</f>
        <v>-15.358275115735676</v>
      </c>
      <c r="M161" s="96">
        <f>Tabella34[[#This Row],[Italy (fitted Lombardy + fitted sum of the other regions)]]/(y_l_peak+y_a_peak)</f>
        <v>-2.9896759676695901E-3</v>
      </c>
      <c r="N161" s="163">
        <f>IFERROR(Kt*_xlfn.LOGNORM.DIST((Tabella34[[#This Row],[Day]]-pt),mu_t,sigma_t,FALSE),0)</f>
        <v>239.70507629642211</v>
      </c>
      <c r="O161" s="163">
        <f>Kt*EXP(-0.5*Tabella34[[#This Row],[x_t]]^2)/(sigma_t*SQRTPI(2)*(Tabella34[[#This Row],[Day]]-D_bk))</f>
        <v>239.70507629642245</v>
      </c>
      <c r="P161" s="206">
        <f>Tabella34[[#This Row],[Italy velocity]]/Tabella34[[#This Row],[Italy cumul. Fit]]</f>
        <v>1.0359529055020873E-3</v>
      </c>
      <c r="Q161" s="269">
        <f>(LN(Tabella34[[#This Row],[Day]]-D_bk)-mu_t)/sigma_t</f>
        <v>2.1602118345598122</v>
      </c>
      <c r="R161" s="269">
        <f>EXP(mu_t+sigma_t*Tabella34[[#This Row],[x_t_alpha©+plus]])-(Tabella34[[#This Row],[Day]]-D_bk)</f>
        <v>10.528379179174806</v>
      </c>
      <c r="S161" s="269">
        <f>EXP(mu_t+sigma_t*Tabella34[[#This Row],[x_t_alpha©-minus]])-(Tabella34[[#This Row],[Day]]-D_bk)</f>
        <v>-98.063015934980456</v>
      </c>
      <c r="T161" s="269">
        <f>-sigma_t+SQRT(sigma_t^2-2*Tabella34[[#This Row],[c_t]])</f>
        <v>2.4265021602947376</v>
      </c>
      <c r="U161" s="269">
        <f>-sigma_t-SQRT(sigma_t^2-2*Tabella34[[#This Row],[c_t]])</f>
        <v>-3.0457390661869752</v>
      </c>
      <c r="V161" s="269">
        <f>mu_t-LN(alpha*Kt/(Tabella34[[#This Row],[Italy velocity]]*sigma_t*SQRTPI(2)))</f>
        <v>-3.6952462118983869</v>
      </c>
      <c r="W161" s="269">
        <f>Tabella34[[#This Row],[Italy g.r.]]/Italy_gr_at_lockdown</f>
        <v>6.5502628784630292E-3</v>
      </c>
      <c r="X161" s="269">
        <f>Tabella34[[#This Row],[t_alpha_t+plus]]</f>
        <v>10.528379179174806</v>
      </c>
      <c r="Y161" s="269">
        <f>Tabella34[[#This Row],[Italy h.t.]]/Italy_ht_at_lockdown</f>
        <v>0.18750387680440639</v>
      </c>
      <c r="Z161" s="91">
        <f>IFERROR(-Kf*_xlfn.LOGNORM.DIST((Tabella34[[#This Row],[Day]]-D_bk),mu_f,sigma_f,FALSE)*(1+(LN((Tabella34[[#This Row],[Day]]-D_bk))-mu_f)/sigma_f^2)/(Tabella34[[#This Row],[Day]]-D_bk),0)</f>
        <v>-15.608625445567407</v>
      </c>
      <c r="AA161" s="91">
        <f>Tabella34[[#This Row],[Italy acc. fit]]/Itali_acc_at_lockdown</f>
        <v>-6.4241776220898814E-2</v>
      </c>
      <c r="AB161" s="96">
        <f>Tabella34[[#This Row],[Italy acc. fit]]/y_f_peak</f>
        <v>-3.0837266292394099E-3</v>
      </c>
      <c r="AC161" s="163">
        <f>Tabella34[[#This Row],[Italy (fitted Lombardy + fitted sum of the other regions)]]*NOT(ISBLANK(Tabella34[[#This Row],[Italy data]]))</f>
        <v>0</v>
      </c>
      <c r="AD161" s="163">
        <f>Tabella34[[#This Row],[Italy acc. fit]]*NOT(ISBLANK(Tabella34[[#This Row],[Italy data]]))</f>
        <v>0</v>
      </c>
      <c r="AE161" s="96">
        <f>Tabella34[[#This Row],[Italy acc. fit]]+CIf</f>
        <v>998.15437657475024</v>
      </c>
      <c r="AF161" s="96">
        <f>MAX(Tabella34[[#This Row],[Italy acc. fit]]-CIf,0)</f>
        <v>0</v>
      </c>
      <c r="AH161" s="10"/>
      <c r="AI161" s="10"/>
      <c r="AJ161" s="141">
        <f>Tabella34[[#This Row],[Lombardy data]]*NOT(ISBLANK(Tabella34[[#This Row],[Lombardy data]]))</f>
        <v>0</v>
      </c>
      <c r="AK161" s="96">
        <f>Tabella8[[#This Row],[Lombardy fit]]</f>
        <v>85170.323335674941</v>
      </c>
      <c r="AL161" s="163" t="e">
        <f>_xlfn.LOGNORM.INV(alpha*Tabella34[[#This Row],[Lombardy cumul. Fit]]/Kr,mu_r,sigma_r)-(Tabella34[[#This Row],[Day]]-pr)</f>
        <v>#NUM!</v>
      </c>
      <c r="AM161" s="96">
        <f>Tabella34[[#This Row],[Lombardy cumul. Fit]]/Kl</f>
        <v>0.97896923374339018</v>
      </c>
      <c r="AN161" s="96">
        <f>IFERROR(Kr*_xlfn.LOGNORM.DIST((Tabella34[[#This Row],[Day]]-pr),mu_r,sigma_r,FALSE),0)</f>
        <v>105.16591438836666</v>
      </c>
      <c r="AO161" s="209">
        <f>Tabella34[[#This Row],[Lombardy velocity]]/Tabella34[[#This Row],[Lombardy cumul. Fit]]</f>
        <v>1.2347718109967096E-3</v>
      </c>
      <c r="AP161" s="266">
        <f>(LN(Tabella34[[#This Row],[Day]]-pr)-mu_r)/sigma_r</f>
        <v>2.0329108316637776</v>
      </c>
      <c r="AQ161" s="269">
        <f>EXP(mu_r+sigma_r*Tabella34[[#This Row],[x_r_alpha©+plus]])-(Tabella34[[#This Row],[Day]]-pr)</f>
        <v>12.095583052407989</v>
      </c>
      <c r="AR161" s="269">
        <f>EXP(mu_r+sigma_r*Tabella34[[#This Row],[x_r_alpha©-minus]])-(Tabella34[[#This Row],[Day]]-pr)</f>
        <v>-100.56833848723002</v>
      </c>
      <c r="AS161" s="269">
        <f>-sigma_r+SQRT(sigma_r^2-2*Tabella34[[#This Row],[c_r]])</f>
        <v>2.3089175716812522</v>
      </c>
      <c r="AT161" s="269">
        <f>-sigma_r-SQRT(sigma_r^2-2*Tabella34[[#This Row],[c_r]])</f>
        <v>-2.9897721688749814</v>
      </c>
      <c r="AU161" s="269">
        <f>mu_r-LN(alpha*Kr/(Tabella34[[#This Row],[Lombardy velocity]]*sigma_r*SQRTPI(2)))</f>
        <v>-3.4515687480195059</v>
      </c>
      <c r="AV161" s="269">
        <f>Tabella34[[#This Row],[t_alpha_r+plus]]</f>
        <v>12.095583052407989</v>
      </c>
      <c r="AW161" s="91">
        <f>IFERROR(-Kl*_xlfn.LOGNORM.DIST((Tabella34[[#This Row],[Day]]-pl),mu_l,sigma_l,FALSE)*(1+(LN((Tabella34[[#This Row],[Day]]-pl))-mu_l)/sigma_l^2)/(Tabella34[[#This Row],[Day]]-pl),0)</f>
        <v>-5.9715964183716927</v>
      </c>
      <c r="AX161" s="96">
        <f>Tabella34[[#This Row],[Lombardy acc. fit]]/y_l_peak</f>
        <v>-3.3969004960667675E-3</v>
      </c>
      <c r="AY161" s="163">
        <f>Tabella34[[#This Row],[Lombardy acc. fit]]*NOT(ISBLANK(Tabella34[[#This Row],[Lombardy data]]))</f>
        <v>0</v>
      </c>
      <c r="AZ161" s="96">
        <f>Tabella34[[#This Row],[Lombardy acc. fit]]+CIl</f>
        <v>742.98377538525187</v>
      </c>
      <c r="BA161" s="96">
        <f>MAX(Tabella34[[#This Row],[Lombardy acc. fit]]-CIl,0)</f>
        <v>0</v>
      </c>
      <c r="BC161" s="10"/>
      <c r="BD161" s="10"/>
      <c r="BE161" s="96">
        <f>Tabella34[[#This Row],[rest of Italy data]]*NOT(ISBLANK(Tabella34[[#This Row],[rest of Italy data]]))</f>
        <v>0</v>
      </c>
      <c r="BF161" s="96">
        <f>Tabella8[[#This Row],[rest of Italy fit]]</f>
        <v>145968.69039927144</v>
      </c>
      <c r="BG161" s="163" t="e">
        <f>_xlfn.LOGNORM.INV(alpha*Tabella34[[#This Row],[rest of Italy cumul. Fit]]/Ko,mu_o,sigma_o)-(Tabella34[[#This Row],[Day]]-po)</f>
        <v>#NUM!</v>
      </c>
      <c r="BH161" s="96">
        <f>Tabella34[[#This Row],[rest of Italy cumul. Fit]]/Ka</f>
        <v>0.98627504994397563</v>
      </c>
      <c r="BI161" s="163">
        <f>IFERROR(Ko*_xlfn.LOGNORM.DIST((Tabella34[[#This Row],[Day]]-po),mu_o,sigma_o,FALSE),0)</f>
        <v>138.88711061289575</v>
      </c>
      <c r="BJ161" s="206">
        <f>Tabella34[[#This Row],[rest of Italy velocity]]/Tabella34[[#This Row],[rest of Italy cumul. Fit]]</f>
        <v>9.5148562498570562E-4</v>
      </c>
      <c r="BK161" s="261">
        <f>(LN(Tabella34[[#This Row],[Day]]-po)-mu_o)/sigma_o</f>
        <v>2.205059777239641</v>
      </c>
      <c r="BL161" s="269">
        <f>EXP(mu_o+sigma_o*Tabella34[[#This Row],[x_o_alpha©+plus]])-(Tabella34[[#This Row],[Day]]-po)</f>
        <v>10.173085769072685</v>
      </c>
      <c r="BM161" s="269">
        <f>EXP(mu_o+sigma_o*Tabella34[[#This Row],[x_o_alpha©-minus]])-(Tabella34[[#This Row],[Day]]-po)</f>
        <v>-95.216702515825929</v>
      </c>
      <c r="BN161" s="269">
        <f>-sigma_o+SQRT(sigma_o^2-2*Tabella34[[#This Row],[c_o]])</f>
        <v>2.4659371330796618</v>
      </c>
      <c r="BO161" s="269">
        <f>-sigma_o-SQRT(sigma_o^2-2*Tabella34[[#This Row],[c_o]])</f>
        <v>-3.1089099103786881</v>
      </c>
      <c r="BP161" s="269">
        <f>mu_o-LN(alpha*Ko/(Tabella34[[#This Row],[rest of Italy velocity]]*sigma_o*SQRTPI(2)))</f>
        <v>-3.8331881957010854</v>
      </c>
      <c r="BQ161" s="269">
        <f>Tabella34[[#This Row],[t_alpha_o+plus]]</f>
        <v>10.173085769072685</v>
      </c>
      <c r="BR161" s="91">
        <f>IFERROR(-Ka*_xlfn.LOGNORM.DIST((Tabella34[[#This Row],[Day]]-pa),mu_a,sigma_a,FALSE)*(1+(LN((Tabella34[[#This Row],[Day]]-pa))-mu_a)/sigma_a^2)/(Tabella34[[#This Row],[Day]]-pa),0)</f>
        <v>-9.3866786973639833</v>
      </c>
      <c r="BS161" s="96">
        <f>Tabella34[[#This Row],[rest of Italy acc. fit]]/y_a_peak</f>
        <v>-2.7778231733566697E-3</v>
      </c>
      <c r="BT161" s="141">
        <f>Tabella34[[#This Row],[rest of Italy acc. fit]]*NOT(ISBLANK(Tabella34[[#This Row],[rest of Italy data]]))</f>
        <v>0</v>
      </c>
      <c r="BU161" s="212"/>
      <c r="BV161" s="142"/>
    </row>
    <row r="162" spans="2:74" x14ac:dyDescent="0.3">
      <c r="B162" s="288">
        <v>43985</v>
      </c>
      <c r="C162" s="4">
        <v>155</v>
      </c>
      <c r="E162" s="10"/>
      <c r="F162" s="10"/>
      <c r="G162" s="141">
        <f>Tabella34[[#This Row],[Italy data]]*NOT(ISBLANK(Tabella34[[#This Row],[Italy data]]))</f>
        <v>0</v>
      </c>
      <c r="H162" s="163">
        <f>Tabella8[[#This Row],[Italy fit]]</f>
        <v>231618.13591332614</v>
      </c>
      <c r="I162" s="163" t="e">
        <f>_xlfn.LOGNORM.INV(alpha*Tabella34[[#This Row],[Italy cumul. Fit]]/Kt,mu_t,sigma_t)-(Tabella34[[#This Row],[Day]]-pt)</f>
        <v>#NUM!</v>
      </c>
      <c r="J162" s="163" t="e">
        <f>Tabella34[[#This Row],[Italy d.t.]]/Italy_dt_at_lockdown</f>
        <v>#NUM!</v>
      </c>
      <c r="K162" s="96">
        <f>Tabella34[[#This Row],[Italy cumul. Fit]]/Kf</f>
        <v>0.98560935792035076</v>
      </c>
      <c r="L162" s="166">
        <f>Tabella34[[#This Row],[Lombardy acc. fit]]+Tabella34[[#This Row],[rest of Italy acc. fit]]</f>
        <v>-14.44182485327544</v>
      </c>
      <c r="M162" s="96">
        <f>Tabella34[[#This Row],[Italy (fitted Lombardy + fitted sum of the other regions)]]/(y_l_peak+y_a_peak)</f>
        <v>-2.8112777227758887E-3</v>
      </c>
      <c r="N162" s="163">
        <f>IFERROR(Kt*_xlfn.LOGNORM.DIST((Tabella34[[#This Row],[Day]]-pt),mu_t,sigma_t,FALSE),0)</f>
        <v>224.57572710402809</v>
      </c>
      <c r="O162" s="163">
        <f>Kt*EXP(-0.5*Tabella34[[#This Row],[x_t]]^2)/(sigma_t*SQRTPI(2)*(Tabella34[[#This Row],[Day]]-D_bk))</f>
        <v>224.57572710402798</v>
      </c>
      <c r="P162" s="206">
        <f>Tabella34[[#This Row],[Italy velocity]]/Tabella34[[#This Row],[Italy cumul. Fit]]</f>
        <v>9.6959474360015839E-4</v>
      </c>
      <c r="Q162" s="269">
        <f>(LN(Tabella34[[#This Row],[Day]]-D_bk)-mu_t)/sigma_t</f>
        <v>2.1864693574744258</v>
      </c>
      <c r="R162" s="269">
        <f>EXP(mu_t+sigma_t*Tabella34[[#This Row],[x_t_alpha©+plus]])-(Tabella34[[#This Row],[Day]]-D_bk)</f>
        <v>10.509205003115568</v>
      </c>
      <c r="S162" s="269">
        <f>EXP(mu_t+sigma_t*Tabella34[[#This Row],[x_t_alpha©-minus]])-(Tabella34[[#This Row],[Day]]-D_bk)</f>
        <v>-99.241900781411431</v>
      </c>
      <c r="T162" s="269">
        <f>-sigma_t+SQRT(sigma_t^2-2*Tabella34[[#This Row],[c_t]])</f>
        <v>2.4502273250729933</v>
      </c>
      <c r="U162" s="269">
        <f>-sigma_t-SQRT(sigma_t^2-2*Tabella34[[#This Row],[c_t]])</f>
        <v>-3.0694642309652309</v>
      </c>
      <c r="V162" s="269">
        <f>mu_t-LN(alpha*Kt/(Tabella34[[#This Row],[Italy velocity]]*sigma_t*SQRTPI(2)))</f>
        <v>-3.7604425660225855</v>
      </c>
      <c r="W162" s="269">
        <f>Tabella34[[#This Row],[Italy g.r.]]/Italy_gr_at_lockdown</f>
        <v>6.1306845344276124E-3</v>
      </c>
      <c r="X162" s="269">
        <f>Tabella34[[#This Row],[t_alpha_t+plus]]</f>
        <v>10.509205003115568</v>
      </c>
      <c r="Y162" s="269">
        <f>Tabella34[[#This Row],[Italy h.t.]]/Italy_ht_at_lockdown</f>
        <v>0.18716239666919729</v>
      </c>
      <c r="Z162" s="91">
        <f>IFERROR(-Kf*_xlfn.LOGNORM.DIST((Tabella34[[#This Row],[Day]]-D_bk),mu_f,sigma_f,FALSE)*(1+(LN((Tabella34[[#This Row],[Day]]-D_bk))-mu_f)/sigma_f^2)/(Tabella34[[#This Row],[Day]]-D_bk),0)</f>
        <v>-14.659267047713554</v>
      </c>
      <c r="AA162" s="91">
        <f>Tabella34[[#This Row],[Italy acc. fit]]/Itali_acc_at_lockdown</f>
        <v>-6.0334419358435441E-2</v>
      </c>
      <c r="AB162" s="96">
        <f>Tabella34[[#This Row],[Italy acc. fit]]/y_f_peak</f>
        <v>-2.8961661177540525E-3</v>
      </c>
      <c r="AC162" s="163">
        <f>Tabella34[[#This Row],[Italy (fitted Lombardy + fitted sum of the other regions)]]*NOT(ISBLANK(Tabella34[[#This Row],[Italy data]]))</f>
        <v>0</v>
      </c>
      <c r="AD162" s="163">
        <f>Tabella34[[#This Row],[Italy acc. fit]]*NOT(ISBLANK(Tabella34[[#This Row],[Italy data]]))</f>
        <v>0</v>
      </c>
      <c r="AE162" s="96">
        <f>Tabella34[[#This Row],[Italy acc. fit]]+CIf</f>
        <v>999.10373497260412</v>
      </c>
      <c r="AF162" s="96">
        <f>MAX(Tabella34[[#This Row],[Italy acc. fit]]-CIf,0)</f>
        <v>0</v>
      </c>
      <c r="AH162" s="10"/>
      <c r="AI162" s="10"/>
      <c r="AJ162" s="141">
        <f>Tabella34[[#This Row],[Lombardy data]]*NOT(ISBLANK(Tabella34[[#This Row],[Lombardy data]]))</f>
        <v>0</v>
      </c>
      <c r="AK162" s="96">
        <f>Tabella8[[#This Row],[Lombardy fit]]</f>
        <v>85272.55735266082</v>
      </c>
      <c r="AL162" s="163" t="e">
        <f>_xlfn.LOGNORM.INV(alpha*Tabella34[[#This Row],[Lombardy cumul. Fit]]/Kr,mu_r,sigma_r)-(Tabella34[[#This Row],[Day]]-pr)</f>
        <v>#NUM!</v>
      </c>
      <c r="AM162" s="96">
        <f>Tabella34[[#This Row],[Lombardy cumul. Fit]]/Kl</f>
        <v>0.98014433738690598</v>
      </c>
      <c r="AN162" s="96">
        <f>IFERROR(Kr*_xlfn.LOGNORM.DIST((Tabella34[[#This Row],[Day]]-pr),mu_r,sigma_r,FALSE),0)</f>
        <v>99.355339999105652</v>
      </c>
      <c r="AO162" s="209">
        <f>Tabella34[[#This Row],[Lombardy velocity]]/Tabella34[[#This Row],[Lombardy cumul. Fit]]</f>
        <v>1.1651502321925542E-3</v>
      </c>
      <c r="AP162" s="266">
        <f>(LN(Tabella34[[#This Row],[Day]]-pr)-mu_r)/sigma_r</f>
        <v>2.0567391384474529</v>
      </c>
      <c r="AQ162" s="269">
        <f>EXP(mu_r+sigma_r*Tabella34[[#This Row],[x_r_alpha©+plus]])-(Tabella34[[#This Row],[Day]]-pr)</f>
        <v>12.080211278525638</v>
      </c>
      <c r="AR162" s="269">
        <f>EXP(mu_r+sigma_r*Tabella34[[#This Row],[x_r_alpha©-minus]])-(Tabella34[[#This Row],[Day]]-pr)</f>
        <v>-101.7293010210268</v>
      </c>
      <c r="AS162" s="269">
        <f>-sigma_r+SQRT(sigma_r^2-2*Tabella34[[#This Row],[c_r]])</f>
        <v>2.330284458222212</v>
      </c>
      <c r="AT162" s="269">
        <f>-sigma_r-SQRT(sigma_r^2-2*Tabella34[[#This Row],[c_r]])</f>
        <v>-3.0111390554159412</v>
      </c>
      <c r="AU162" s="269">
        <f>mu_r-LN(alpha*Kr/(Tabella34[[#This Row],[Lombardy velocity]]*sigma_r*SQRTPI(2)))</f>
        <v>-3.5084052711908393</v>
      </c>
      <c r="AV162" s="269">
        <f>Tabella34[[#This Row],[t_alpha_r+plus]]</f>
        <v>12.080211278525638</v>
      </c>
      <c r="AW162" s="91">
        <f>IFERROR(-Kl*_xlfn.LOGNORM.DIST((Tabella34[[#This Row],[Day]]-pl),mu_l,sigma_l,FALSE)*(1+(LN((Tabella34[[#This Row],[Day]]-pl))-mu_l)/sigma_l^2)/(Tabella34[[#This Row],[Day]]-pl),0)</f>
        <v>-5.6522624566664277</v>
      </c>
      <c r="AX162" s="96">
        <f>Tabella34[[#This Row],[Lombardy acc. fit]]/y_l_peak</f>
        <v>-3.2152496246866547E-3</v>
      </c>
      <c r="AY162" s="163">
        <f>Tabella34[[#This Row],[Lombardy acc. fit]]*NOT(ISBLANK(Tabella34[[#This Row],[Lombardy data]]))</f>
        <v>0</v>
      </c>
      <c r="AZ162" s="96">
        <f>Tabella34[[#This Row],[Lombardy acc. fit]]+CIl</f>
        <v>743.30310934695717</v>
      </c>
      <c r="BA162" s="96">
        <f>MAX(Tabella34[[#This Row],[Lombardy acc. fit]]-CIl,0)</f>
        <v>0</v>
      </c>
      <c r="BC162" s="10"/>
      <c r="BD162" s="10"/>
      <c r="BE162" s="96">
        <f>Tabella34[[#This Row],[rest of Italy data]]*NOT(ISBLANK(Tabella34[[#This Row],[rest of Italy data]]))</f>
        <v>0</v>
      </c>
      <c r="BF162" s="96">
        <f>Tabella8[[#This Row],[rest of Italy fit]]</f>
        <v>146102.98523070125</v>
      </c>
      <c r="BG162" s="163" t="e">
        <f>_xlfn.LOGNORM.INV(alpha*Tabella34[[#This Row],[rest of Italy cumul. Fit]]/Ko,mu_o,sigma_o)-(Tabella34[[#This Row],[Day]]-po)</f>
        <v>#NUM!</v>
      </c>
      <c r="BH162" s="96">
        <f>Tabella34[[#This Row],[rest of Italy cumul. Fit]]/Ka</f>
        <v>0.98718244755926798</v>
      </c>
      <c r="BI162" s="163">
        <f>IFERROR(Ko*_xlfn.LOGNORM.DIST((Tabella34[[#This Row],[Day]]-po),mu_o,sigma_o,FALSE),0)</f>
        <v>129.80206608856005</v>
      </c>
      <c r="BJ162" s="206">
        <f>Tabella34[[#This Row],[rest of Italy velocity]]/Tabella34[[#This Row],[rest of Italy cumul. Fit]]</f>
        <v>8.8842856895496336E-4</v>
      </c>
      <c r="BK162" s="261">
        <f>(LN(Tabella34[[#This Row],[Day]]-po)-mu_o)/sigma_o</f>
        <v>2.2316953486559008</v>
      </c>
      <c r="BL162" s="269">
        <f>EXP(mu_o+sigma_o*Tabella34[[#This Row],[x_o_alpha©+plus]])-(Tabella34[[#This Row],[Day]]-po)</f>
        <v>10.159319782152991</v>
      </c>
      <c r="BM162" s="269">
        <f>EXP(mu_o+sigma_o*Tabella34[[#This Row],[x_o_alpha©-minus]])-(Tabella34[[#This Row],[Day]]-po)</f>
        <v>-96.379724884801277</v>
      </c>
      <c r="BN162" s="269">
        <f>-sigma_o+SQRT(sigma_o^2-2*Tabella34[[#This Row],[c_o]])</f>
        <v>2.4901023694781368</v>
      </c>
      <c r="BO162" s="269">
        <f>-sigma_o-SQRT(sigma_o^2-2*Tabella34[[#This Row],[c_o]])</f>
        <v>-3.1330751467771631</v>
      </c>
      <c r="BP162" s="269">
        <f>mu_o-LN(alpha*Ko/(Tabella34[[#This Row],[rest of Italy velocity]]*sigma_o*SQRTPI(2)))</f>
        <v>-3.9008389233714373</v>
      </c>
      <c r="BQ162" s="269">
        <f>Tabella34[[#This Row],[t_alpha_o+plus]]</f>
        <v>10.159319782152991</v>
      </c>
      <c r="BR162" s="91">
        <f>IFERROR(-Ka*_xlfn.LOGNORM.DIST((Tabella34[[#This Row],[Day]]-pa),mu_a,sigma_a,FALSE)*(1+(LN((Tabella34[[#This Row],[Day]]-pa))-mu_a)/sigma_a^2)/(Tabella34[[#This Row],[Day]]-pa),0)</f>
        <v>-8.7895623966090124</v>
      </c>
      <c r="BS162" s="96">
        <f>Tabella34[[#This Row],[rest of Italy acc. fit]]/y_a_peak</f>
        <v>-2.601117061333045E-3</v>
      </c>
      <c r="BT162" s="141">
        <f>Tabella34[[#This Row],[rest of Italy acc. fit]]*NOT(ISBLANK(Tabella34[[#This Row],[rest of Italy data]]))</f>
        <v>0</v>
      </c>
      <c r="BU162" s="212"/>
      <c r="BV162" s="142"/>
    </row>
    <row r="163" spans="2:74" x14ac:dyDescent="0.3">
      <c r="B163" s="288">
        <v>43986</v>
      </c>
      <c r="C163" s="4">
        <v>156</v>
      </c>
      <c r="E163" s="10"/>
      <c r="F163" s="10"/>
      <c r="G163" s="141">
        <f>Tabella34[[#This Row],[Italy data]]*NOT(ISBLANK(Tabella34[[#This Row],[Italy data]]))</f>
        <v>0</v>
      </c>
      <c r="H163" s="163">
        <f>Tabella8[[#This Row],[Italy fit]]</f>
        <v>231835.53345326131</v>
      </c>
      <c r="I163" s="163" t="e">
        <f>_xlfn.LOGNORM.INV(alpha*Tabella34[[#This Row],[Italy cumul. Fit]]/Kt,mu_t,sigma_t)-(Tabella34[[#This Row],[Day]]-pt)</f>
        <v>#NUM!</v>
      </c>
      <c r="J163" s="163" t="e">
        <f>Tabella34[[#This Row],[Italy d.t.]]/Italy_dt_at_lockdown</f>
        <v>#NUM!</v>
      </c>
      <c r="K163" s="96">
        <f>Tabella34[[#This Row],[Italy cumul. Fit]]/Kf</f>
        <v>0.9865344540873846</v>
      </c>
      <c r="L163" s="166">
        <f>Tabella34[[#This Row],[Lombardy acc. fit]]+Tabella34[[#This Row],[rest of Italy acc. fit]]</f>
        <v>-13.577221952920702</v>
      </c>
      <c r="M163" s="96">
        <f>Tabella34[[#This Row],[Italy (fitted Lombardy + fitted sum of the other regions)]]/(y_l_peak+y_a_peak)</f>
        <v>-2.6429722006199802E-3</v>
      </c>
      <c r="N163" s="163">
        <f>IFERROR(Kt*_xlfn.LOGNORM.DIST((Tabella34[[#This Row],[Day]]-pt),mu_t,sigma_t,FALSE),0)</f>
        <v>210.36860068919191</v>
      </c>
      <c r="O163" s="163">
        <f>Kt*EXP(-0.5*Tabella34[[#This Row],[x_t]]^2)/(sigma_t*SQRTPI(2)*(Tabella34[[#This Row],[Day]]-D_bk))</f>
        <v>210.36860068919233</v>
      </c>
      <c r="P163" s="206">
        <f>Tabella34[[#This Row],[Italy velocity]]/Tabella34[[#This Row],[Italy cumul. Fit]]</f>
        <v>9.0740447573194299E-4</v>
      </c>
      <c r="Q163" s="269">
        <f>(LN(Tabella34[[#This Row],[Day]]-D_bk)-mu_t)/sigma_t</f>
        <v>2.2125151319401057</v>
      </c>
      <c r="R163" s="269">
        <f>EXP(mu_t+sigma_t*Tabella34[[#This Row],[x_t_alpha©+plus]])-(Tabella34[[#This Row],[Day]]-D_bk)</f>
        <v>10.491142971795114</v>
      </c>
      <c r="S163" s="269">
        <f>EXP(mu_t+sigma_t*Tabella34[[#This Row],[x_t_alpha©-minus]])-(Tabella34[[#This Row],[Day]]-D_bk)</f>
        <v>-100.41838462902621</v>
      </c>
      <c r="T163" s="269">
        <f>-sigma_t+SQRT(sigma_t^2-2*Tabella34[[#This Row],[c_t]])</f>
        <v>2.4738060890759801</v>
      </c>
      <c r="U163" s="269">
        <f>-sigma_t-SQRT(sigma_t^2-2*Tabella34[[#This Row],[c_t]])</f>
        <v>-3.0930429949682177</v>
      </c>
      <c r="V163" s="269">
        <f>mu_t-LN(alpha*Kt/(Tabella34[[#This Row],[Italy velocity]]*sigma_t*SQRTPI(2)))</f>
        <v>-3.8257942973630916</v>
      </c>
      <c r="W163" s="269">
        <f>Tabella34[[#This Row],[Italy g.r.]]/Italy_gr_at_lockdown</f>
        <v>5.7374595134297608E-3</v>
      </c>
      <c r="X163" s="269">
        <f>Tabella34[[#This Row],[t_alpha_t+plus]]</f>
        <v>10.491142971795114</v>
      </c>
      <c r="Y163" s="269">
        <f>Tabella34[[#This Row],[Italy h.t.]]/Italy_ht_at_lockdown</f>
        <v>0.1868407231392159</v>
      </c>
      <c r="Z163" s="91">
        <f>IFERROR(-Kf*_xlfn.LOGNORM.DIST((Tabella34[[#This Row],[Day]]-D_bk),mu_f,sigma_f,FALSE)*(1+(LN((Tabella34[[#This Row],[Day]]-D_bk))-mu_f)/sigma_f^2)/(Tabella34[[#This Row],[Day]]-D_bk),0)</f>
        <v>-13.763735739571468</v>
      </c>
      <c r="AA163" s="91">
        <f>Tabella34[[#This Row],[Italy acc. fit]]/Itali_acc_at_lockdown</f>
        <v>-5.6648603326966099E-2</v>
      </c>
      <c r="AB163" s="96">
        <f>Tabella34[[#This Row],[Italy acc. fit]]/y_f_peak</f>
        <v>-2.7192399847088397E-3</v>
      </c>
      <c r="AC163" s="163">
        <f>Tabella34[[#This Row],[Italy (fitted Lombardy + fitted sum of the other regions)]]*NOT(ISBLANK(Tabella34[[#This Row],[Italy data]]))</f>
        <v>0</v>
      </c>
      <c r="AD163" s="163">
        <f>Tabella34[[#This Row],[Italy acc. fit]]*NOT(ISBLANK(Tabella34[[#This Row],[Italy data]]))</f>
        <v>0</v>
      </c>
      <c r="AE163" s="96">
        <f>Tabella34[[#This Row],[Italy acc. fit]]+CIf</f>
        <v>999.99926628074627</v>
      </c>
      <c r="AF163" s="96">
        <f>MAX(Tabella34[[#This Row],[Italy acc. fit]]-CIf,0)</f>
        <v>0</v>
      </c>
      <c r="AH163" s="10"/>
      <c r="AI163" s="10"/>
      <c r="AJ163" s="141">
        <f>Tabella34[[#This Row],[Lombardy data]]*NOT(ISBLANK(Tabella34[[#This Row],[Lombardy data]]))</f>
        <v>0</v>
      </c>
      <c r="AK163" s="96">
        <f>Tabella8[[#This Row],[Lombardy fit]]</f>
        <v>85369.137780653706</v>
      </c>
      <c r="AL163" s="163" t="e">
        <f>_xlfn.LOGNORM.INV(alpha*Tabella34[[#This Row],[Lombardy cumul. Fit]]/Kr,mu_r,sigma_r)-(Tabella34[[#This Row],[Day]]-pr)</f>
        <v>#NUM!</v>
      </c>
      <c r="AM163" s="96">
        <f>Tabella34[[#This Row],[Lombardy cumul. Fit]]/Kl</f>
        <v>0.98125445724889315</v>
      </c>
      <c r="AN163" s="96">
        <f>IFERROR(Kr*_xlfn.LOGNORM.DIST((Tabella34[[#This Row],[Day]]-pr),mu_r,sigma_r,FALSE),0)</f>
        <v>93.856083248924762</v>
      </c>
      <c r="AO163" s="209">
        <f>Tabella34[[#This Row],[Lombardy velocity]]/Tabella34[[#This Row],[Lombardy cumul. Fit]]</f>
        <v>1.0994146794603608E-3</v>
      </c>
      <c r="AP163" s="266">
        <f>(LN(Tabella34[[#This Row],[Day]]-pr)-mu_r)/sigma_r</f>
        <v>2.0803757089115407</v>
      </c>
      <c r="AQ163" s="269">
        <f>EXP(mu_r+sigma_r*Tabella34[[#This Row],[x_r_alpha©+plus]])-(Tabella34[[#This Row],[Day]]-pr)</f>
        <v>12.065920081173914</v>
      </c>
      <c r="AR163" s="269">
        <f>EXP(mu_r+sigma_r*Tabella34[[#This Row],[x_r_alpha©-minus]])-(Tabella34[[#This Row],[Day]]-pr)</f>
        <v>-102.88812004834331</v>
      </c>
      <c r="AS163" s="269">
        <f>-sigma_r+SQRT(sigma_r^2-2*Tabella34[[#This Row],[c_r]])</f>
        <v>2.3515202421775894</v>
      </c>
      <c r="AT163" s="269">
        <f>-sigma_r-SQRT(sigma_r^2-2*Tabella34[[#This Row],[c_r]])</f>
        <v>-3.0323748393713186</v>
      </c>
      <c r="AU163" s="269">
        <f>mu_r-LN(alpha*Kr/(Tabella34[[#This Row],[Lombardy velocity]]*sigma_r*SQRTPI(2)))</f>
        <v>-3.565345408325836</v>
      </c>
      <c r="AV163" s="269">
        <f>Tabella34[[#This Row],[t_alpha_r+plus]]</f>
        <v>12.065920081173914</v>
      </c>
      <c r="AW163" s="91">
        <f>IFERROR(-Kl*_xlfn.LOGNORM.DIST((Tabella34[[#This Row],[Day]]-pl),mu_l,sigma_l,FALSE)*(1+(LN((Tabella34[[#This Row],[Day]]-pl))-mu_l)/sigma_l^2)/(Tabella34[[#This Row],[Day]]-pl),0)</f>
        <v>-5.3488476578705031</v>
      </c>
      <c r="AX163" s="96">
        <f>Tabella34[[#This Row],[Lombardy acc. fit]]/y_l_peak</f>
        <v>-3.0426542568260592E-3</v>
      </c>
      <c r="AY163" s="163">
        <f>Tabella34[[#This Row],[Lombardy acc. fit]]*NOT(ISBLANK(Tabella34[[#This Row],[Lombardy data]]))</f>
        <v>0</v>
      </c>
      <c r="AZ163" s="96">
        <f>Tabella34[[#This Row],[Lombardy acc. fit]]+CIl</f>
        <v>743.60652414575316</v>
      </c>
      <c r="BA163" s="96">
        <f>MAX(Tabella34[[#This Row],[Lombardy acc. fit]]-CIl,0)</f>
        <v>0</v>
      </c>
      <c r="BC163" s="10"/>
      <c r="BD163" s="10"/>
      <c r="BE163" s="96">
        <f>Tabella34[[#This Row],[rest of Italy data]]*NOT(ISBLANK(Tabella34[[#This Row],[rest of Italy data]]))</f>
        <v>0</v>
      </c>
      <c r="BF163" s="96">
        <f>Tabella8[[#This Row],[rest of Italy fit]]</f>
        <v>146228.48750602425</v>
      </c>
      <c r="BG163" s="163" t="e">
        <f>_xlfn.LOGNORM.INV(alpha*Tabella34[[#This Row],[rest of Italy cumul. Fit]]/Ko,mu_o,sigma_o)-(Tabella34[[#This Row],[Day]]-po)</f>
        <v>#NUM!</v>
      </c>
      <c r="BH163" s="96">
        <f>Tabella34[[#This Row],[rest of Italy cumul. Fit]]/Ka</f>
        <v>0.9880304360047607</v>
      </c>
      <c r="BI163" s="163">
        <f>IFERROR(Ko*_xlfn.LOGNORM.DIST((Tabella34[[#This Row],[Day]]-po),mu_o,sigma_o,FALSE),0)</f>
        <v>121.29601057036058</v>
      </c>
      <c r="BJ163" s="206">
        <f>Tabella34[[#This Row],[rest of Italy velocity]]/Tabella34[[#This Row],[rest of Italy cumul. Fit]]</f>
        <v>8.294964451804474E-4</v>
      </c>
      <c r="BK163" s="261">
        <f>(LN(Tabella34[[#This Row],[Day]]-po)-mu_o)/sigma_o</f>
        <v>2.2581047754757204</v>
      </c>
      <c r="BL163" s="269">
        <f>EXP(mu_o+sigma_o*Tabella34[[#This Row],[x_o_alpha©+plus]])-(Tabella34[[#This Row],[Day]]-po)</f>
        <v>10.146578282529291</v>
      </c>
      <c r="BM163" s="269">
        <f>EXP(mu_o+sigma_o*Tabella34[[#This Row],[x_o_alpha©-minus]])-(Tabella34[[#This Row],[Day]]-po)</f>
        <v>-97.540408931720279</v>
      </c>
      <c r="BN163" s="269">
        <f>-sigma_o+SQRT(sigma_o^2-2*Tabella34[[#This Row],[c_o]])</f>
        <v>2.5141061305874923</v>
      </c>
      <c r="BO163" s="269">
        <f>-sigma_o-SQRT(sigma_o^2-2*Tabella34[[#This Row],[c_o]])</f>
        <v>-3.1570789078865187</v>
      </c>
      <c r="BP163" s="269">
        <f>mu_o-LN(alpha*Ko/(Tabella34[[#This Row],[rest of Italy velocity]]*sigma_o*SQRTPI(2)))</f>
        <v>-3.9686157185329813</v>
      </c>
      <c r="BQ163" s="269">
        <f>Tabella34[[#This Row],[t_alpha_o+plus]]</f>
        <v>10.146578282529291</v>
      </c>
      <c r="BR163" s="91">
        <f>IFERROR(-Ka*_xlfn.LOGNORM.DIST((Tabella34[[#This Row],[Day]]-pa),mu_a,sigma_a,FALSE)*(1+(LN((Tabella34[[#This Row],[Day]]-pa))-mu_a)/sigma_a^2)/(Tabella34[[#This Row],[Day]]-pa),0)</f>
        <v>-8.2283742950501981</v>
      </c>
      <c r="BS163" s="96">
        <f>Tabella34[[#This Row],[rest of Italy acc. fit]]/y_a_peak</f>
        <v>-2.4350432706577679E-3</v>
      </c>
      <c r="BT163" s="141">
        <f>Tabella34[[#This Row],[rest of Italy acc. fit]]*NOT(ISBLANK(Tabella34[[#This Row],[rest of Italy data]]))</f>
        <v>0</v>
      </c>
      <c r="BU163" s="212"/>
      <c r="BV163" s="142"/>
    </row>
    <row r="164" spans="2:74" x14ac:dyDescent="0.3">
      <c r="B164" s="288">
        <v>43987</v>
      </c>
      <c r="C164" s="4">
        <v>157</v>
      </c>
      <c r="E164" s="10"/>
      <c r="F164" s="10"/>
      <c r="G164" s="141">
        <f>Tabella34[[#This Row],[Italy data]]*NOT(ISBLANK(Tabella34[[#This Row],[Italy data]]))</f>
        <v>0</v>
      </c>
      <c r="H164" s="163">
        <f>Tabella8[[#This Row],[Italy fit]]</f>
        <v>232039.16299101591</v>
      </c>
      <c r="I164" s="163" t="e">
        <f>_xlfn.LOGNORM.INV(alpha*Tabella34[[#This Row],[Italy cumul. Fit]]/Kt,mu_t,sigma_t)-(Tabella34[[#This Row],[Day]]-pt)</f>
        <v>#NUM!</v>
      </c>
      <c r="J164" s="163" t="e">
        <f>Tabella34[[#This Row],[Italy d.t.]]/Italy_dt_at_lockdown</f>
        <v>#NUM!</v>
      </c>
      <c r="K164" s="96">
        <f>Tabella34[[#This Row],[Italy cumul. Fit]]/Kf</f>
        <v>0.98740096299511126</v>
      </c>
      <c r="L164" s="166">
        <f>Tabella34[[#This Row],[Lombardy acc. fit]]+Tabella34[[#This Row],[rest of Italy acc. fit]]</f>
        <v>-12.761871735362163</v>
      </c>
      <c r="M164" s="96">
        <f>Tabella34[[#This Row],[Italy (fitted Lombardy + fitted sum of the other regions)]]/(y_l_peak+y_a_peak)</f>
        <v>-2.4842543151608635E-3</v>
      </c>
      <c r="N164" s="163">
        <f>IFERROR(Kt*_xlfn.LOGNORM.DIST((Tabella34[[#This Row],[Day]]-pt),mu_t,sigma_t,FALSE),0)</f>
        <v>197.03118941093325</v>
      </c>
      <c r="O164" s="163">
        <f>Kt*EXP(-0.5*Tabella34[[#This Row],[x_t]]^2)/(sigma_t*SQRTPI(2)*(Tabella34[[#This Row],[Day]]-D_bk))</f>
        <v>197.03118941093342</v>
      </c>
      <c r="P164" s="206">
        <f>Tabella34[[#This Row],[Italy velocity]]/Tabella34[[#This Row],[Italy cumul. Fit]]</f>
        <v>8.4912903007912464E-4</v>
      </c>
      <c r="Q164" s="269">
        <f>(LN(Tabella34[[#This Row],[Day]]-D_bk)-mu_t)/sigma_t</f>
        <v>2.2383525458585471</v>
      </c>
      <c r="R164" s="269">
        <f>EXP(mu_t+sigma_t*Tabella34[[#This Row],[x_t_alpha©+plus]])-(Tabella34[[#This Row],[Day]]-D_bk)</f>
        <v>10.474148529403834</v>
      </c>
      <c r="S164" s="269">
        <f>EXP(mu_t+sigma_t*Tabella34[[#This Row],[x_t_alpha©-minus]])-(Tabella34[[#This Row],[Day]]-D_bk)</f>
        <v>-101.59250732694714</v>
      </c>
      <c r="T164" s="269">
        <f>-sigma_t+SQRT(sigma_t^2-2*Tabella34[[#This Row],[c_t]])</f>
        <v>2.4972393225511609</v>
      </c>
      <c r="U164" s="269">
        <f>-sigma_t-SQRT(sigma_t^2-2*Tabella34[[#This Row],[c_t]])</f>
        <v>-3.1164762284433984</v>
      </c>
      <c r="V164" s="269">
        <f>mu_t-LN(alpha*Kt/(Tabella34[[#This Row],[Italy velocity]]*sigma_t*SQRTPI(2)))</f>
        <v>-3.8912934927323954</v>
      </c>
      <c r="W164" s="269">
        <f>Tabella34[[#This Row],[Italy g.r.]]/Italy_gr_at_lockdown</f>
        <v>5.3689876588134157E-3</v>
      </c>
      <c r="X164" s="269">
        <f>Tabella34[[#This Row],[t_alpha_t+plus]]</f>
        <v>10.474148529403834</v>
      </c>
      <c r="Y164" s="269">
        <f>Tabella34[[#This Row],[Italy h.t.]]/Italy_ht_at_lockdown</f>
        <v>0.18653806270323947</v>
      </c>
      <c r="Z164" s="91">
        <f>IFERROR(-Kf*_xlfn.LOGNORM.DIST((Tabella34[[#This Row],[Day]]-D_bk),mu_f,sigma_f,FALSE)*(1+(LN((Tabella34[[#This Row],[Day]]-D_bk))-mu_f)/sigma_f^2)/(Tabella34[[#This Row],[Day]]-D_bk),0)</f>
        <v>-12.91940577419153</v>
      </c>
      <c r="AA164" s="91">
        <f>Tabella34[[#This Row],[Italy acc. fit]]/Itali_acc_at_lockdown</f>
        <v>-5.3173521111578526E-2</v>
      </c>
      <c r="AB164" s="96">
        <f>Tabella34[[#This Row],[Italy acc. fit]]/y_f_peak</f>
        <v>-2.5524294729705171E-3</v>
      </c>
      <c r="AC164" s="163">
        <f>Tabella34[[#This Row],[Italy (fitted Lombardy + fitted sum of the other regions)]]*NOT(ISBLANK(Tabella34[[#This Row],[Italy data]]))</f>
        <v>0</v>
      </c>
      <c r="AD164" s="163">
        <f>Tabella34[[#This Row],[Italy acc. fit]]*NOT(ISBLANK(Tabella34[[#This Row],[Italy data]]))</f>
        <v>0</v>
      </c>
      <c r="AE164" s="96">
        <f>Tabella34[[#This Row],[Italy acc. fit]]+CIf</f>
        <v>1000.8435962461261</v>
      </c>
      <c r="AF164" s="96">
        <f>MAX(Tabella34[[#This Row],[Italy acc. fit]]-CIf,0)</f>
        <v>0</v>
      </c>
      <c r="AH164" s="10"/>
      <c r="AI164" s="10"/>
      <c r="AJ164" s="141">
        <f>Tabella34[[#This Row],[Lombardy data]]*NOT(ISBLANK(Tabella34[[#This Row],[Lombardy data]]))</f>
        <v>0</v>
      </c>
      <c r="AK164" s="96">
        <f>Tabella8[[#This Row],[Lombardy fit]]</f>
        <v>85460.368090571821</v>
      </c>
      <c r="AL164" s="163" t="e">
        <f>_xlfn.LOGNORM.INV(alpha*Tabella34[[#This Row],[Lombardy cumul. Fit]]/Kr,mu_r,sigma_r)-(Tabella34[[#This Row],[Day]]-pr)</f>
        <v>#NUM!</v>
      </c>
      <c r="AM164" s="96">
        <f>Tabella34[[#This Row],[Lombardy cumul. Fit]]/Kl</f>
        <v>0.98230308150082557</v>
      </c>
      <c r="AN164" s="96">
        <f>IFERROR(Kr*_xlfn.LOGNORM.DIST((Tabella34[[#This Row],[Day]]-pr),mu_r,sigma_r,FALSE),0)</f>
        <v>88.652562927420973</v>
      </c>
      <c r="AO164" s="209">
        <f>Tabella34[[#This Row],[Lombardy velocity]]/Tabella34[[#This Row],[Lombardy cumul. Fit]]</f>
        <v>1.0373529263701044E-3</v>
      </c>
      <c r="AP164" s="266">
        <f>(LN(Tabella34[[#This Row],[Day]]-pr)-mu_r)/sigma_r</f>
        <v>2.1038236040839733</v>
      </c>
      <c r="AQ164" s="269">
        <f>EXP(mu_r+sigma_r*Tabella34[[#This Row],[x_r_alpha©+plus]])-(Tabella34[[#This Row],[Day]]-pr)</f>
        <v>12.052667704972436</v>
      </c>
      <c r="AR164" s="269">
        <f>EXP(mu_r+sigma_r*Tabella34[[#This Row],[x_r_alpha©-minus]])-(Tabella34[[#This Row],[Day]]-pr)</f>
        <v>-104.04483123838034</v>
      </c>
      <c r="AS164" s="269">
        <f>-sigma_r+SQRT(sigma_r^2-2*Tabella34[[#This Row],[c_r]])</f>
        <v>2.3726257485026534</v>
      </c>
      <c r="AT164" s="269">
        <f>-sigma_r-SQRT(sigma_r^2-2*Tabella34[[#This Row],[c_r]])</f>
        <v>-3.0534803456963826</v>
      </c>
      <c r="AU164" s="269">
        <f>mu_r-LN(alpha*Kr/(Tabella34[[#This Row],[Lombardy velocity]]*sigma_r*SQRTPI(2)))</f>
        <v>-3.6223830453730104</v>
      </c>
      <c r="AV164" s="269">
        <f>Tabella34[[#This Row],[t_alpha_r+plus]]</f>
        <v>12.052667704972436</v>
      </c>
      <c r="AW164" s="91">
        <f>IFERROR(-Kl*_xlfn.LOGNORM.DIST((Tabella34[[#This Row],[Day]]-pl),mu_l,sigma_l,FALSE)*(1+(LN((Tabella34[[#This Row],[Day]]-pl))-mu_l)/sigma_l^2)/(Tabella34[[#This Row],[Day]]-pl),0)</f>
        <v>-5.0606786572708176</v>
      </c>
      <c r="AX164" s="96">
        <f>Tabella34[[#This Row],[Lombardy acc. fit]]/y_l_peak</f>
        <v>-2.8787313537181744E-3</v>
      </c>
      <c r="AY164" s="163">
        <f>Tabella34[[#This Row],[Lombardy acc. fit]]*NOT(ISBLANK(Tabella34[[#This Row],[Lombardy data]]))</f>
        <v>0</v>
      </c>
      <c r="AZ164" s="96">
        <f>Tabella34[[#This Row],[Lombardy acc. fit]]+CIl</f>
        <v>743.89469314635278</v>
      </c>
      <c r="BA164" s="96">
        <f>MAX(Tabella34[[#This Row],[Lombardy acc. fit]]-CIl,0)</f>
        <v>0</v>
      </c>
      <c r="BC164" s="10"/>
      <c r="BD164" s="10"/>
      <c r="BE164" s="96">
        <f>Tabella34[[#This Row],[rest of Italy data]]*NOT(ISBLANK(Tabella34[[#This Row],[rest of Italy data]]))</f>
        <v>0</v>
      </c>
      <c r="BF164" s="96">
        <f>Tabella8[[#This Row],[rest of Italy fit]]</f>
        <v>146345.7585734569</v>
      </c>
      <c r="BG164" s="163" t="e">
        <f>_xlfn.LOGNORM.INV(alpha*Tabella34[[#This Row],[rest of Italy cumul. Fit]]/Ko,mu_o,sigma_o)-(Tabella34[[#This Row],[Day]]-po)</f>
        <v>#NUM!</v>
      </c>
      <c r="BH164" s="96">
        <f>Tabella34[[#This Row],[rest of Italy cumul. Fit]]/Ka</f>
        <v>0.9888228081742495</v>
      </c>
      <c r="BI164" s="163">
        <f>IFERROR(Ko*_xlfn.LOGNORM.DIST((Tabella34[[#This Row],[Day]]-po),mu_o,sigma_o,FALSE),0)</f>
        <v>113.33398270149605</v>
      </c>
      <c r="BJ164" s="206">
        <f>Tabella34[[#This Row],[rest of Italy velocity]]/Tabella34[[#This Row],[rest of Italy cumul. Fit]]</f>
        <v>7.7442615219086867E-4</v>
      </c>
      <c r="BK164" s="261">
        <f>(LN(Tabella34[[#This Row],[Day]]-po)-mu_o)/sigma_o</f>
        <v>2.2842918654737487</v>
      </c>
      <c r="BL164" s="269">
        <f>EXP(mu_o+sigma_o*Tabella34[[#This Row],[x_o_alpha©+plus]])-(Tabella34[[#This Row],[Day]]-po)</f>
        <v>10.134819175506763</v>
      </c>
      <c r="BM164" s="269">
        <f>EXP(mu_o+sigma_o*Tabella34[[#This Row],[x_o_alpha©-minus]])-(Tabella34[[#This Row],[Day]]-po)</f>
        <v>-98.698797658987118</v>
      </c>
      <c r="BN164" s="269">
        <f>-sigma_o+SQRT(sigma_o^2-2*Tabella34[[#This Row],[c_o]])</f>
        <v>2.537949687009736</v>
      </c>
      <c r="BO164" s="269">
        <f>-sigma_o-SQRT(sigma_o^2-2*Tabella34[[#This Row],[c_o]])</f>
        <v>-3.1809224643087624</v>
      </c>
      <c r="BP164" s="269">
        <f>mu_o-LN(alpha*Ko/(Tabella34[[#This Row],[rest of Italy velocity]]*sigma_o*SQRTPI(2)))</f>
        <v>-4.0365105863473305</v>
      </c>
      <c r="BQ164" s="269">
        <f>Tabella34[[#This Row],[t_alpha_o+plus]]</f>
        <v>10.134819175506763</v>
      </c>
      <c r="BR164" s="91">
        <f>IFERROR(-Ka*_xlfn.LOGNORM.DIST((Tabella34[[#This Row],[Day]]-pa),mu_a,sigma_a,FALSE)*(1+(LN((Tabella34[[#This Row],[Day]]-pa))-mu_a)/sigma_a^2)/(Tabella34[[#This Row],[Day]]-pa),0)</f>
        <v>-7.7011930780913449</v>
      </c>
      <c r="BS164" s="96">
        <f>Tabella34[[#This Row],[rest of Italy acc. fit]]/y_a_peak</f>
        <v>-2.2790332219237127E-3</v>
      </c>
      <c r="BT164" s="141">
        <f>Tabella34[[#This Row],[rest of Italy acc. fit]]*NOT(ISBLANK(Tabella34[[#This Row],[rest of Italy data]]))</f>
        <v>0</v>
      </c>
      <c r="BU164" s="212"/>
      <c r="BV164" s="142"/>
    </row>
    <row r="165" spans="2:74" x14ac:dyDescent="0.3">
      <c r="B165" s="288">
        <v>43988</v>
      </c>
      <c r="C165" s="4">
        <v>158</v>
      </c>
      <c r="E165" s="10"/>
      <c r="F165" s="10"/>
      <c r="G165" s="141">
        <f>Tabella34[[#This Row],[Italy data]]*NOT(ISBLANK(Tabella34[[#This Row],[Italy data]]))</f>
        <v>0</v>
      </c>
      <c r="H165" s="163">
        <f>Tabella8[[#This Row],[Italy fit]]</f>
        <v>232229.86906863999</v>
      </c>
      <c r="I165" s="163" t="e">
        <f>_xlfn.LOGNORM.INV(alpha*Tabella34[[#This Row],[Italy cumul. Fit]]/Kt,mu_t,sigma_t)-(Tabella34[[#This Row],[Day]]-pt)</f>
        <v>#NUM!</v>
      </c>
      <c r="J165" s="163" t="e">
        <f>Tabella34[[#This Row],[Italy d.t.]]/Italy_dt_at_lockdown</f>
        <v>#NUM!</v>
      </c>
      <c r="K165" s="96">
        <f>Tabella34[[#This Row],[Italy cumul. Fit]]/Kf</f>
        <v>0.98821247844046878</v>
      </c>
      <c r="L165" s="166">
        <f>Tabella34[[#This Row],[Lombardy acc. fit]]+Tabella34[[#This Row],[rest of Italy acc. fit]]</f>
        <v>-11.993270132028538</v>
      </c>
      <c r="M165" s="96">
        <f>Tabella34[[#This Row],[Italy (fitted Lombardy + fitted sum of the other regions)]]/(y_l_peak+y_a_peak)</f>
        <v>-2.3346366188451806E-3</v>
      </c>
      <c r="N165" s="163">
        <f>IFERROR(Kt*_xlfn.LOGNORM.DIST((Tabella34[[#This Row],[Day]]-pt),mu_t,sigma_t,FALSE),0)</f>
        <v>184.51357124690128</v>
      </c>
      <c r="O165" s="163">
        <f>Kt*EXP(-0.5*Tabella34[[#This Row],[x_t]]^2)/(sigma_t*SQRTPI(2)*(Tabella34[[#This Row],[Day]]-D_bk))</f>
        <v>184.51357124690128</v>
      </c>
      <c r="P165" s="206">
        <f>Tabella34[[#This Row],[Italy velocity]]/Tabella34[[#This Row],[Italy cumul. Fit]]</f>
        <v>7.9452988535408744E-4</v>
      </c>
      <c r="Q165" s="269">
        <f>(LN(Tabella34[[#This Row],[Day]]-D_bk)-mu_t)/sigma_t</f>
        <v>2.2639849064684419</v>
      </c>
      <c r="R165" s="269">
        <f>EXP(mu_t+sigma_t*Tabella34[[#This Row],[x_t_alpha©+plus]])-(Tabella34[[#This Row],[Day]]-D_bk)</f>
        <v>10.458179377489984</v>
      </c>
      <c r="S165" s="269">
        <f>EXP(mu_t+sigma_t*Tabella34[[#This Row],[x_t_alpha©-minus]])-(Tabella34[[#This Row],[Day]]-D_bk)</f>
        <v>-102.76430831074779</v>
      </c>
      <c r="T165" s="269">
        <f>-sigma_t+SQRT(sigma_t^2-2*Tabella34[[#This Row],[c_t]])</f>
        <v>2.5205279412727037</v>
      </c>
      <c r="U165" s="269">
        <f>-sigma_t-SQRT(sigma_t^2-2*Tabella34[[#This Row],[c_t]])</f>
        <v>-3.1397648471649413</v>
      </c>
      <c r="V165" s="269">
        <f>mu_t-LN(alpha*Kt/(Tabella34[[#This Row],[Italy velocity]]*sigma_t*SQRTPI(2)))</f>
        <v>-3.9569325131525277</v>
      </c>
      <c r="W165" s="269">
        <f>Tabella34[[#This Row],[Italy g.r.]]/Italy_gr_at_lockdown</f>
        <v>5.0237608159822665E-3</v>
      </c>
      <c r="X165" s="269">
        <f>Tabella34[[#This Row],[t_alpha_t+plus]]</f>
        <v>10.458179377489984</v>
      </c>
      <c r="Y165" s="269">
        <f>Tabella34[[#This Row],[Italy h.t.]]/Italy_ht_at_lockdown</f>
        <v>0.18625366205218313</v>
      </c>
      <c r="Z165" s="91">
        <f>IFERROR(-Kf*_xlfn.LOGNORM.DIST((Tabella34[[#This Row],[Day]]-D_bk),mu_f,sigma_f,FALSE)*(1+(LN((Tabella34[[#This Row],[Day]]-D_bk))-mu_f)/sigma_f^2)/(Tabella34[[#This Row],[Day]]-D_bk),0)</f>
        <v>-12.123732301546571</v>
      </c>
      <c r="AA165" s="91">
        <f>Tabella34[[#This Row],[Italy acc. fit]]/Itali_acc_at_lockdown</f>
        <v>-4.9898698651854576E-2</v>
      </c>
      <c r="AB165" s="96">
        <f>Tabella34[[#This Row],[Italy acc. fit]]/y_f_peak</f>
        <v>-2.3952318078505914E-3</v>
      </c>
      <c r="AC165" s="163">
        <f>Tabella34[[#This Row],[Italy (fitted Lombardy + fitted sum of the other regions)]]*NOT(ISBLANK(Tabella34[[#This Row],[Italy data]]))</f>
        <v>0</v>
      </c>
      <c r="AD165" s="163">
        <f>Tabella34[[#This Row],[Italy acc. fit]]*NOT(ISBLANK(Tabella34[[#This Row],[Italy data]]))</f>
        <v>0</v>
      </c>
      <c r="AE165" s="96">
        <f>Tabella34[[#This Row],[Italy acc. fit]]+CIf</f>
        <v>1001.6392697187711</v>
      </c>
      <c r="AF165" s="96">
        <f>MAX(Tabella34[[#This Row],[Italy acc. fit]]-CIf,0)</f>
        <v>0</v>
      </c>
      <c r="AH165" s="10"/>
      <c r="AI165" s="10"/>
      <c r="AJ165" s="141">
        <f>Tabella34[[#This Row],[Lombardy data]]*NOT(ISBLANK(Tabella34[[#This Row],[Lombardy data]]))</f>
        <v>0</v>
      </c>
      <c r="AK165" s="96">
        <f>Tabella8[[#This Row],[Lombardy fit]]</f>
        <v>85546.536506210832</v>
      </c>
      <c r="AL165" s="163" t="e">
        <f>_xlfn.LOGNORM.INV(alpha*Tabella34[[#This Row],[Lombardy cumul. Fit]]/Kr,mu_r,sigma_r)-(Tabella34[[#This Row],[Day]]-pr)</f>
        <v>#NUM!</v>
      </c>
      <c r="AM165" s="96">
        <f>Tabella34[[#This Row],[Lombardy cumul. Fit]]/Kl</f>
        <v>0.98329352305989459</v>
      </c>
      <c r="AN165" s="96">
        <f>IFERROR(Kr*_xlfn.LOGNORM.DIST((Tabella34[[#This Row],[Day]]-pr),mu_r,sigma_r,FALSE),0)</f>
        <v>83.729863352353661</v>
      </c>
      <c r="AO165" s="209">
        <f>Tabella34[[#This Row],[Lombardy velocity]]/Tabella34[[#This Row],[Lombardy cumul. Fit]]</f>
        <v>9.7876391928824287E-4</v>
      </c>
      <c r="AP165" s="266">
        <f>(LN(Tabella34[[#This Row],[Day]]-pr)-mu_r)/sigma_r</f>
        <v>2.1270858122698537</v>
      </c>
      <c r="AQ165" s="269">
        <f>EXP(mu_r+sigma_r*Tabella34[[#This Row],[x_r_alpha©+plus]])-(Tabella34[[#This Row],[Day]]-pr)</f>
        <v>12.040414426937048</v>
      </c>
      <c r="AR165" s="269">
        <f>EXP(mu_r+sigma_r*Tabella34[[#This Row],[x_r_alpha©-minus]])-(Tabella34[[#This Row],[Day]]-pr)</f>
        <v>-105.19946984709986</v>
      </c>
      <c r="AS165" s="269">
        <f>-sigma_r+SQRT(sigma_r^2-2*Tabella34[[#This Row],[c_r]])</f>
        <v>2.3936018368402538</v>
      </c>
      <c r="AT165" s="269">
        <f>-sigma_r-SQRT(sigma_r^2-2*Tabella34[[#This Row],[c_r]])</f>
        <v>-3.0744564340339831</v>
      </c>
      <c r="AU165" s="269">
        <f>mu_r-LN(alpha*Kr/(Tabella34[[#This Row],[Lombardy velocity]]*sigma_r*SQRTPI(2)))</f>
        <v>-3.6795122838945398</v>
      </c>
      <c r="AV165" s="269">
        <f>Tabella34[[#This Row],[t_alpha_r+plus]]</f>
        <v>12.040414426937048</v>
      </c>
      <c r="AW165" s="91">
        <f>IFERROR(-Kl*_xlfn.LOGNORM.DIST((Tabella34[[#This Row],[Day]]-pl),mu_l,sigma_l,FALSE)*(1+(LN((Tabella34[[#This Row],[Day]]-pl))-mu_l)/sigma_l^2)/(Tabella34[[#This Row],[Day]]-pl),0)</f>
        <v>-4.7870979702756422</v>
      </c>
      <c r="AX165" s="96">
        <f>Tabella34[[#This Row],[Lombardy acc. fit]]/y_l_peak</f>
        <v>-2.7231069098912083E-3</v>
      </c>
      <c r="AY165" s="163">
        <f>Tabella34[[#This Row],[Lombardy acc. fit]]*NOT(ISBLANK(Tabella34[[#This Row],[Lombardy data]]))</f>
        <v>0</v>
      </c>
      <c r="AZ165" s="96">
        <f>Tabella34[[#This Row],[Lombardy acc. fit]]+CIl</f>
        <v>744.16827383334794</v>
      </c>
      <c r="BA165" s="96">
        <f>MAX(Tabella34[[#This Row],[Lombardy acc. fit]]-CIl,0)</f>
        <v>0</v>
      </c>
      <c r="BC165" s="10"/>
      <c r="BD165" s="10"/>
      <c r="BE165" s="96">
        <f>Tabella34[[#This Row],[rest of Italy data]]*NOT(ISBLANK(Tabella34[[#This Row],[rest of Italy data]]))</f>
        <v>0</v>
      </c>
      <c r="BF165" s="96">
        <f>Tabella8[[#This Row],[rest of Italy fit]]</f>
        <v>146455.32576810059</v>
      </c>
      <c r="BG165" s="163" t="e">
        <f>_xlfn.LOGNORM.INV(alpha*Tabella34[[#This Row],[rest of Italy cumul. Fit]]/Ko,mu_o,sigma_o)-(Tabella34[[#This Row],[Day]]-po)</f>
        <v>#NUM!</v>
      </c>
      <c r="BH165" s="96">
        <f>Tabella34[[#This Row],[rest of Italy cumul. Fit]]/Ka</f>
        <v>0.98956312714315886</v>
      </c>
      <c r="BI165" s="163">
        <f>IFERROR(Ko*_xlfn.LOGNORM.DIST((Tabella34[[#This Row],[Day]]-po),mu_o,sigma_o,FALSE),0)</f>
        <v>105.88290515183097</v>
      </c>
      <c r="BJ165" s="206">
        <f>Tabella34[[#This Row],[rest of Italy velocity]]/Tabella34[[#This Row],[rest of Italy cumul. Fit]]</f>
        <v>7.2297067106653012E-4</v>
      </c>
      <c r="BK165" s="261">
        <f>(LN(Tabella34[[#This Row],[Day]]-po)-mu_o)/sigma_o</f>
        <v>2.3102603310552214</v>
      </c>
      <c r="BL165" s="269">
        <f>EXP(mu_o+sigma_o*Tabella34[[#This Row],[x_o_alpha©+plus]])-(Tabella34[[#This Row],[Day]]-po)</f>
        <v>10.124002547865942</v>
      </c>
      <c r="BM165" s="269">
        <f>EXP(mu_o+sigma_o*Tabella34[[#This Row],[x_o_alpha©-minus]])-(Tabella34[[#This Row],[Day]]-po)</f>
        <v>-99.854933417624181</v>
      </c>
      <c r="BN165" s="269">
        <f>-sigma_o+SQRT(sigma_o^2-2*Tabella34[[#This Row],[c_o]])</f>
        <v>2.5616343437854847</v>
      </c>
      <c r="BO165" s="269">
        <f>-sigma_o-SQRT(sigma_o^2-2*Tabella34[[#This Row],[c_o]])</f>
        <v>-3.2046071210845111</v>
      </c>
      <c r="BP165" s="269">
        <f>mu_o-LN(alpha*Ko/(Tabella34[[#This Row],[rest of Italy velocity]]*sigma_o*SQRTPI(2)))</f>
        <v>-4.1045158298548072</v>
      </c>
      <c r="BQ165" s="269">
        <f>Tabella34[[#This Row],[t_alpha_o+plus]]</f>
        <v>10.124002547865942</v>
      </c>
      <c r="BR165" s="91">
        <f>IFERROR(-Ka*_xlfn.LOGNORM.DIST((Tabella34[[#This Row],[Day]]-pa),mu_a,sigma_a,FALSE)*(1+(LN((Tabella34[[#This Row],[Day]]-pa))-mu_a)/sigma_a^2)/(Tabella34[[#This Row],[Day]]-pa),0)</f>
        <v>-7.2061721617528951</v>
      </c>
      <c r="BS165" s="96">
        <f>Tabella34[[#This Row],[rest of Italy acc. fit]]/y_a_peak</f>
        <v>-2.1325404509410055E-3</v>
      </c>
      <c r="BT165" s="141">
        <f>Tabella34[[#This Row],[rest of Italy acc. fit]]*NOT(ISBLANK(Tabella34[[#This Row],[rest of Italy data]]))</f>
        <v>0</v>
      </c>
      <c r="BU165" s="212"/>
      <c r="BV165" s="142"/>
    </row>
    <row r="166" spans="2:74" x14ac:dyDescent="0.3">
      <c r="B166" s="288">
        <v>43989</v>
      </c>
      <c r="C166" s="4">
        <v>159</v>
      </c>
      <c r="E166" s="10"/>
      <c r="F166" s="10"/>
      <c r="G166" s="141">
        <f>Tabella34[[#This Row],[Italy data]]*NOT(ISBLANK(Tabella34[[#This Row],[Italy data]]))</f>
        <v>0</v>
      </c>
      <c r="H166" s="163">
        <f>Tabella8[[#This Row],[Italy fit]]</f>
        <v>232408.44756466881</v>
      </c>
      <c r="I166" s="163" t="e">
        <f>_xlfn.LOGNORM.INV(alpha*Tabella34[[#This Row],[Italy cumul. Fit]]/Kt,mu_t,sigma_t)-(Tabella34[[#This Row],[Day]]-pt)</f>
        <v>#NUM!</v>
      </c>
      <c r="J166" s="163" t="e">
        <f>Tabella34[[#This Row],[Italy d.t.]]/Italy_dt_at_lockdown</f>
        <v>#NUM!</v>
      </c>
      <c r="K166" s="96">
        <f>Tabella34[[#This Row],[Italy cumul. Fit]]/Kf</f>
        <v>0.98897238714155256</v>
      </c>
      <c r="L166" s="166">
        <f>Tabella34[[#This Row],[Lombardy acc. fit]]+Tabella34[[#This Row],[rest of Italy acc. fit]]</f>
        <v>-11.269005410487118</v>
      </c>
      <c r="M166" s="96">
        <f>Tabella34[[#This Row],[Italy (fitted Lombardy + fitted sum of the other regions)]]/(y_l_peak+y_a_peak)</f>
        <v>-2.1936496384775241E-3</v>
      </c>
      <c r="N166" s="163">
        <f>IFERROR(Kt*_xlfn.LOGNORM.DIST((Tabella34[[#This Row],[Day]]-pt),mu_t,sigma_t,FALSE),0)</f>
        <v>172.76832715139551</v>
      </c>
      <c r="O166" s="163">
        <f>Kt*EXP(-0.5*Tabella34[[#This Row],[x_t]]^2)/(sigma_t*SQRTPI(2)*(Tabella34[[#This Row],[Day]]-D_bk))</f>
        <v>172.76832715139557</v>
      </c>
      <c r="P166" s="206">
        <f>Tabella34[[#This Row],[Italy velocity]]/Tabella34[[#This Row],[Italy cumul. Fit]]</f>
        <v>7.4338230370615875E-4</v>
      </c>
      <c r="Q166" s="269">
        <f>(LN(Tabella34[[#This Row],[Day]]-D_bk)-mu_t)/sigma_t</f>
        <v>2.2894154428860021</v>
      </c>
      <c r="R166" s="269">
        <f>EXP(mu_t+sigma_t*Tabella34[[#This Row],[x_t_alpha©+plus]])-(Tabella34[[#This Row],[Day]]-D_bk)</f>
        <v>10.443195336968984</v>
      </c>
      <c r="S166" s="269">
        <f>EXP(mu_t+sigma_t*Tabella34[[#This Row],[x_t_alpha©-minus]])-(Tabella34[[#This Row],[Day]]-D_bk)</f>
        <v>-103.93382656918799</v>
      </c>
      <c r="T166" s="269">
        <f>-sigma_t+SQRT(sigma_t^2-2*Tabella34[[#This Row],[c_t]])</f>
        <v>2.5436729014031316</v>
      </c>
      <c r="U166" s="269">
        <f>-sigma_t-SQRT(sigma_t^2-2*Tabella34[[#This Row],[c_t]])</f>
        <v>-3.1629098072953692</v>
      </c>
      <c r="V166" s="269">
        <f>mu_t-LN(alpha*Kt/(Tabella34[[#This Row],[Italy velocity]]*sigma_t*SQRTPI(2)))</f>
        <v>-4.0227039831997162</v>
      </c>
      <c r="W166" s="269">
        <f>Tabella34[[#This Row],[Italy g.r.]]/Italy_gr_at_lockdown</f>
        <v>4.7003579821157902E-3</v>
      </c>
      <c r="X166" s="269">
        <f>Tabella34[[#This Row],[t_alpha_t+plus]]</f>
        <v>10.443195336968984</v>
      </c>
      <c r="Y166" s="269">
        <f>Tabella34[[#This Row],[Italy h.t.]]/Italy_ht_at_lockdown</f>
        <v>0.18598680562157135</v>
      </c>
      <c r="Z166" s="91">
        <f>IFERROR(-Kf*_xlfn.LOGNORM.DIST((Tabella34[[#This Row],[Day]]-D_bk),mu_f,sigma_f,FALSE)*(1+(LN((Tabella34[[#This Row],[Day]]-D_bk))-mu_f)/sigma_f^2)/(Tabella34[[#This Row],[Day]]-D_bk),0)</f>
        <v>-11.374254687220839</v>
      </c>
      <c r="AA166" s="91">
        <f>Tabella34[[#This Row],[Italy acc. fit]]/Itali_acc_at_lockdown</f>
        <v>-4.6814008500886801E-2</v>
      </c>
      <c r="AB166" s="96">
        <f>Tabella34[[#This Row],[Italy acc. fit]]/y_f_peak</f>
        <v>-2.247160852763933E-3</v>
      </c>
      <c r="AC166" s="163">
        <f>Tabella34[[#This Row],[Italy (fitted Lombardy + fitted sum of the other regions)]]*NOT(ISBLANK(Tabella34[[#This Row],[Italy data]]))</f>
        <v>0</v>
      </c>
      <c r="AD166" s="163">
        <f>Tabella34[[#This Row],[Italy acc. fit]]*NOT(ISBLANK(Tabella34[[#This Row],[Italy data]]))</f>
        <v>0</v>
      </c>
      <c r="AE166" s="96">
        <f>Tabella34[[#This Row],[Italy acc. fit]]+CIf</f>
        <v>1002.3887473330968</v>
      </c>
      <c r="AF166" s="96">
        <f>MAX(Tabella34[[#This Row],[Italy acc. fit]]-CIf,0)</f>
        <v>0</v>
      </c>
      <c r="AH166" s="10"/>
      <c r="AI166" s="10"/>
      <c r="AJ166" s="141">
        <f>Tabella34[[#This Row],[Lombardy data]]*NOT(ISBLANK(Tabella34[[#This Row],[Lombardy data]]))</f>
        <v>0</v>
      </c>
      <c r="AK166" s="96">
        <f>Tabella8[[#This Row],[Lombardy fit]]</f>
        <v>85627.916661635274</v>
      </c>
      <c r="AL166" s="163" t="e">
        <f>_xlfn.LOGNORM.INV(alpha*Tabella34[[#This Row],[Lombardy cumul. Fit]]/Kr,mu_r,sigma_r)-(Tabella34[[#This Row],[Day]]-pr)</f>
        <v>#NUM!</v>
      </c>
      <c r="AM166" s="96">
        <f>Tabella34[[#This Row],[Lombardy cumul. Fit]]/Kl</f>
        <v>0.98422892714523302</v>
      </c>
      <c r="AN166" s="96">
        <f>IFERROR(Kr*_xlfn.LOGNORM.DIST((Tabella34[[#This Row],[Day]]-pr),mu_r,sigma_r,FALSE),0)</f>
        <v>79.07371791020195</v>
      </c>
      <c r="AO166" s="209">
        <f>Tabella34[[#This Row],[Lombardy velocity]]/Tabella34[[#This Row],[Lombardy cumul. Fit]]</f>
        <v>9.234572204140771E-4</v>
      </c>
      <c r="AP166" s="266">
        <f>(LN(Tabella34[[#This Row],[Day]]-pr)-mu_r)/sigma_r</f>
        <v>2.1501652513369964</v>
      </c>
      <c r="AQ166" s="269">
        <f>EXP(mu_r+sigma_r*Tabella34[[#This Row],[x_r_alpha©+plus]])-(Tabella34[[#This Row],[Day]]-pr)</f>
        <v>12.029122437185407</v>
      </c>
      <c r="AR166" s="269">
        <f>EXP(mu_r+sigma_r*Tabella34[[#This Row],[x_r_alpha©-minus]])-(Tabella34[[#This Row],[Day]]-pr)</f>
        <v>-106.35207069362386</v>
      </c>
      <c r="AS166" s="269">
        <f>-sigma_r+SQRT(sigma_r^2-2*Tabella34[[#This Row],[c_r]])</f>
        <v>2.4144493975378181</v>
      </c>
      <c r="AT166" s="269">
        <f>-sigma_r-SQRT(sigma_r^2-2*Tabella34[[#This Row],[c_r]])</f>
        <v>-3.0953039947315473</v>
      </c>
      <c r="AU166" s="269">
        <f>mu_r-LN(alpha*Kr/(Tabella34[[#This Row],[Lombardy velocity]]*sigma_r*SQRTPI(2)))</f>
        <v>-3.7367274326379931</v>
      </c>
      <c r="AV166" s="269">
        <f>Tabella34[[#This Row],[t_alpha_r+plus]]</f>
        <v>12.029122437185407</v>
      </c>
      <c r="AW166" s="91">
        <f>IFERROR(-Kl*_xlfn.LOGNORM.DIST((Tabella34[[#This Row],[Day]]-pl),mu_l,sigma_l,FALSE)*(1+(LN((Tabella34[[#This Row],[Day]]-pl))-mu_l)/sigma_l^2)/(Tabella34[[#This Row],[Day]]-pl),0)</f>
        <v>-4.5274651102420895</v>
      </c>
      <c r="AX166" s="96">
        <f>Tabella34[[#This Row],[Lombardy acc. fit]]/y_l_peak</f>
        <v>-2.5754165890366559E-3</v>
      </c>
      <c r="AY166" s="163">
        <f>Tabella34[[#This Row],[Lombardy acc. fit]]*NOT(ISBLANK(Tabella34[[#This Row],[Lombardy data]]))</f>
        <v>0</v>
      </c>
      <c r="AZ166" s="96">
        <f>Tabella34[[#This Row],[Lombardy acc. fit]]+CIl</f>
        <v>744.42790669338149</v>
      </c>
      <c r="BA166" s="96">
        <f>MAX(Tabella34[[#This Row],[Lombardy acc. fit]]-CIl,0)</f>
        <v>0</v>
      </c>
      <c r="BC166" s="10"/>
      <c r="BD166" s="10"/>
      <c r="BE166" s="96">
        <f>Tabella34[[#This Row],[rest of Italy data]]*NOT(ISBLANK(Tabella34[[#This Row],[rest of Italy data]]))</f>
        <v>0</v>
      </c>
      <c r="BF166" s="96">
        <f>Tabella8[[#This Row],[rest of Italy fit]]</f>
        <v>146557.68425847558</v>
      </c>
      <c r="BG166" s="163" t="e">
        <f>_xlfn.LOGNORM.INV(alpha*Tabella34[[#This Row],[rest of Italy cumul. Fit]]/Ko,mu_o,sigma_o)-(Tabella34[[#This Row],[Day]]-po)</f>
        <v>#NUM!</v>
      </c>
      <c r="BH166" s="96">
        <f>Tabella34[[#This Row],[rest of Italy cumul. Fit]]/Ka</f>
        <v>0.99025473864512303</v>
      </c>
      <c r="BI166" s="163">
        <f>IFERROR(Ko*_xlfn.LOGNORM.DIST((Tabella34[[#This Row],[Day]]-po),mu_o,sigma_o,FALSE),0)</f>
        <v>98.911509531068333</v>
      </c>
      <c r="BJ166" s="206">
        <f>Tabella34[[#This Row],[rest of Italy velocity]]/Tabella34[[#This Row],[rest of Italy cumul. Fit]]</f>
        <v>6.7489814697551883E-4</v>
      </c>
      <c r="BK166" s="261">
        <f>(LN(Tabella34[[#This Row],[Day]]-po)-mu_o)/sigma_o</f>
        <v>2.3360137924144517</v>
      </c>
      <c r="BL166" s="269">
        <f>EXP(mu_o+sigma_o*Tabella34[[#This Row],[x_o_alpha©+plus]])-(Tabella34[[#This Row],[Day]]-po)</f>
        <v>10.114090531350158</v>
      </c>
      <c r="BM166" s="269">
        <f>EXP(mu_o+sigma_o*Tabella34[[#This Row],[x_o_alpha©-minus]])-(Tabella34[[#This Row],[Day]]-po)</f>
        <v>-101.00885788754198</v>
      </c>
      <c r="BN166" s="269">
        <f>-sigma_o+SQRT(sigma_o^2-2*Tabella34[[#This Row],[c_o]])</f>
        <v>2.5851614354727861</v>
      </c>
      <c r="BO166" s="269">
        <f>-sigma_o-SQRT(sigma_o^2-2*Tabella34[[#This Row],[c_o]])</f>
        <v>-3.2281342127718125</v>
      </c>
      <c r="BP166" s="269">
        <f>mu_o-LN(alpha*Ko/(Tabella34[[#This Row],[rest of Italy velocity]]*sigma_o*SQRTPI(2)))</f>
        <v>-4.1726240376939954</v>
      </c>
      <c r="BQ166" s="269">
        <f>Tabella34[[#This Row],[t_alpha_o+plus]]</f>
        <v>10.114090531350158</v>
      </c>
      <c r="BR166" s="91">
        <f>IFERROR(-Ka*_xlfn.LOGNORM.DIST((Tabella34[[#This Row],[Day]]-pa),mu_a,sigma_a,FALSE)*(1+(LN((Tabella34[[#This Row],[Day]]-pa))-mu_a)/sigma_a^2)/(Tabella34[[#This Row],[Day]]-pa),0)</f>
        <v>-6.7415403002450294</v>
      </c>
      <c r="BS166" s="96">
        <f>Tabella34[[#This Row],[rest of Italy acc. fit]]/y_a_peak</f>
        <v>-1.9950407885376414E-3</v>
      </c>
      <c r="BT166" s="141">
        <f>Tabella34[[#This Row],[rest of Italy acc. fit]]*NOT(ISBLANK(Tabella34[[#This Row],[rest of Italy data]]))</f>
        <v>0</v>
      </c>
      <c r="BU166" s="212"/>
      <c r="BV166" s="142"/>
    </row>
    <row r="167" spans="2:74" x14ac:dyDescent="0.3">
      <c r="B167" s="288">
        <v>43990</v>
      </c>
      <c r="C167" s="4">
        <v>160</v>
      </c>
      <c r="E167" s="10"/>
      <c r="F167" s="10"/>
      <c r="G167" s="141">
        <f>Tabella34[[#This Row],[Italy data]]*NOT(ISBLANK(Tabella34[[#This Row],[Italy data]]))</f>
        <v>0</v>
      </c>
      <c r="H167" s="163">
        <f>Tabella8[[#This Row],[Italy fit]]</f>
        <v>232575.6481545617</v>
      </c>
      <c r="I167" s="163" t="e">
        <f>_xlfn.LOGNORM.INV(alpha*Tabella34[[#This Row],[Italy cumul. Fit]]/Kt,mu_t,sigma_t)-(Tabella34[[#This Row],[Day]]-pt)</f>
        <v>#NUM!</v>
      </c>
      <c r="J167" s="163" t="e">
        <f>Tabella34[[#This Row],[Italy d.t.]]/Italy_dt_at_lockdown</f>
        <v>#NUM!</v>
      </c>
      <c r="K167" s="96">
        <f>Tabella34[[#This Row],[Italy cumul. Fit]]/Kf</f>
        <v>0.98968387920757073</v>
      </c>
      <c r="L167" s="166">
        <f>Tabella34[[#This Row],[Lombardy acc. fit]]+Tabella34[[#This Row],[rest of Italy acc. fit]]</f>
        <v>-10.586759085621935</v>
      </c>
      <c r="M167" s="96">
        <f>Tabella34[[#This Row],[Italy (fitted Lombardy + fitted sum of the other regions)]]/(y_l_peak+y_a_peak)</f>
        <v>-2.0608420525924059E-3</v>
      </c>
      <c r="N167" s="163">
        <f>IFERROR(Kt*_xlfn.LOGNORM.DIST((Tabella34[[#This Row],[Day]]-pt),mu_t,sigma_t,FALSE),0)</f>
        <v>161.75045558771774</v>
      </c>
      <c r="O167" s="163">
        <f>Kt*EXP(-0.5*Tabella34[[#This Row],[x_t]]^2)/(sigma_t*SQRTPI(2)*(Tabella34[[#This Row],[Day]]-D_bk))</f>
        <v>161.75045558771779</v>
      </c>
      <c r="P167" s="206">
        <f>Tabella34[[#This Row],[Italy velocity]]/Tabella34[[#This Row],[Italy cumul. Fit]]</f>
        <v>6.9547459878612915E-4</v>
      </c>
      <c r="Q167" s="269">
        <f>(LN(Tabella34[[#This Row],[Day]]-D_bk)-mu_t)/sigma_t</f>
        <v>2.3146473085462649</v>
      </c>
      <c r="R167" s="269">
        <f>EXP(mu_t+sigma_t*Tabella34[[#This Row],[x_t_alpha©+plus]])-(Tabella34[[#This Row],[Day]]-D_bk)</f>
        <v>10.429158219930741</v>
      </c>
      <c r="S167" s="269">
        <f>EXP(mu_t+sigma_t*Tabella34[[#This Row],[x_t_alpha©-minus]])-(Tabella34[[#This Row],[Day]]-D_bk)</f>
        <v>-105.10110061585675</v>
      </c>
      <c r="T167" s="269">
        <f>-sigma_t+SQRT(sigma_t^2-2*Tabella34[[#This Row],[c_t]])</f>
        <v>2.5666751947993767</v>
      </c>
      <c r="U167" s="269">
        <f>-sigma_t-SQRT(sigma_t^2-2*Tabella34[[#This Row],[c_t]])</f>
        <v>-3.1859121006916142</v>
      </c>
      <c r="V167" s="269">
        <f>mu_t-LN(alpha*Kt/(Tabella34[[#This Row],[Italy velocity]]*sigma_t*SQRTPI(2)))</f>
        <v>-4.0886007808281706</v>
      </c>
      <c r="W167" s="269">
        <f>Tabella34[[#This Row],[Italy g.r.]]/Italy_gr_at_lockdown</f>
        <v>4.397440678188794E-3</v>
      </c>
      <c r="X167" s="269">
        <f>Tabella34[[#This Row],[t_alpha_t+plus]]</f>
        <v>10.429158219930741</v>
      </c>
      <c r="Y167" s="269">
        <f>Tabella34[[#This Row],[Italy h.t.]]/Italy_ht_at_lockdown</f>
        <v>0.18573681330850633</v>
      </c>
      <c r="Z167" s="91">
        <f>IFERROR(-Kf*_xlfn.LOGNORM.DIST((Tabella34[[#This Row],[Day]]-D_bk),mu_f,sigma_f,FALSE)*(1+(LN((Tabella34[[#This Row],[Day]]-D_bk))-mu_f)/sigma_f^2)/(Tabella34[[#This Row],[Day]]-D_bk),0)</f>
        <v>-10.668598865946334</v>
      </c>
      <c r="AA167" s="91">
        <f>Tabella34[[#This Row],[Italy acc. fit]]/Itali_acc_at_lockdown</f>
        <v>-4.390967951193249E-2</v>
      </c>
      <c r="AB167" s="96">
        <f>Tabella34[[#This Row],[Italy acc. fit]]/y_f_peak</f>
        <v>-2.1077475742064698E-3</v>
      </c>
      <c r="AC167" s="163">
        <f>Tabella34[[#This Row],[Italy (fitted Lombardy + fitted sum of the other regions)]]*NOT(ISBLANK(Tabella34[[#This Row],[Italy data]]))</f>
        <v>0</v>
      </c>
      <c r="AD167" s="163">
        <f>Tabella34[[#This Row],[Italy acc. fit]]*NOT(ISBLANK(Tabella34[[#This Row],[Italy data]]))</f>
        <v>0</v>
      </c>
      <c r="AE167" s="96">
        <f>Tabella34[[#This Row],[Italy acc. fit]]+CIf</f>
        <v>1003.0944031543713</v>
      </c>
      <c r="AF167" s="96">
        <f>MAX(Tabella34[[#This Row],[Italy acc. fit]]-CIf,0)</f>
        <v>0</v>
      </c>
      <c r="AH167" s="10"/>
      <c r="AI167" s="10"/>
      <c r="AJ167" s="141">
        <f>Tabella34[[#This Row],[Lombardy data]]*NOT(ISBLANK(Tabella34[[#This Row],[Lombardy data]]))</f>
        <v>0</v>
      </c>
      <c r="AK167" s="96">
        <f>Tabella8[[#This Row],[Lombardy fit]]</f>
        <v>85704.768241591519</v>
      </c>
      <c r="AL167" s="163" t="e">
        <f>_xlfn.LOGNORM.INV(alpha*Tabella34[[#This Row],[Lombardy cumul. Fit]]/Kr,mu_r,sigma_r)-(Tabella34[[#This Row],[Day]]-pr)</f>
        <v>#NUM!</v>
      </c>
      <c r="AM167" s="96">
        <f>Tabella34[[#This Row],[Lombardy cumul. Fit]]/Kl</f>
        <v>0.98511227863898299</v>
      </c>
      <c r="AN167" s="96">
        <f>IFERROR(Kr*_xlfn.LOGNORM.DIST((Tabella34[[#This Row],[Day]]-pr),mu_r,sigma_r,FALSE),0)</f>
        <v>74.670491596837081</v>
      </c>
      <c r="AO167" s="209">
        <f>Tabella34[[#This Row],[Lombardy velocity]]/Tabella34[[#This Row],[Lombardy cumul. Fit]]</f>
        <v>8.7125247671576299E-4</v>
      </c>
      <c r="AP167" s="266">
        <f>(LN(Tabella34[[#This Row],[Day]]-pr)-mu_r)/sigma_r</f>
        <v>2.1730647709123767</v>
      </c>
      <c r="AQ167" s="269">
        <f>EXP(mu_r+sigma_r*Tabella34[[#This Row],[x_r_alpha©+plus]])-(Tabella34[[#This Row],[Day]]-pr)</f>
        <v>12.018755727775243</v>
      </c>
      <c r="AR167" s="269">
        <f>EXP(mu_r+sigma_r*Tabella34[[#This Row],[x_r_alpha©-minus]])-(Tabella34[[#This Row],[Day]]-pr)</f>
        <v>-107.50266814030816</v>
      </c>
      <c r="AS167" s="269">
        <f>-sigma_r+SQRT(sigma_r^2-2*Tabella34[[#This Row],[c_r]])</f>
        <v>2.435169348001077</v>
      </c>
      <c r="AT167" s="269">
        <f>-sigma_r-SQRT(sigma_r^2-2*Tabella34[[#This Row],[c_r]])</f>
        <v>-3.1160239451948062</v>
      </c>
      <c r="AU167" s="269">
        <f>mu_r-LN(alpha*Kr/(Tabella34[[#This Row],[Lombardy velocity]]*sigma_r*SQRTPI(2)))</f>
        <v>-3.7940229994878898</v>
      </c>
      <c r="AV167" s="269">
        <f>Tabella34[[#This Row],[t_alpha_r+plus]]</f>
        <v>12.018755727775243</v>
      </c>
      <c r="AW167" s="91">
        <f>IFERROR(-Kl*_xlfn.LOGNORM.DIST((Tabella34[[#This Row],[Day]]-pl),mu_l,sigma_l,FALSE)*(1+(LN((Tabella34[[#This Row],[Day]]-pl))-mu_l)/sigma_l^2)/(Tabella34[[#This Row],[Day]]-pl),0)</f>
        <v>-4.2811574748531438</v>
      </c>
      <c r="AX167" s="96">
        <f>Tabella34[[#This Row],[Lombardy acc. fit]]/y_l_peak</f>
        <v>-2.4353062282186214E-3</v>
      </c>
      <c r="AY167" s="163">
        <f>Tabella34[[#This Row],[Lombardy acc. fit]]*NOT(ISBLANK(Tabella34[[#This Row],[Lombardy data]]))</f>
        <v>0</v>
      </c>
      <c r="AZ167" s="96">
        <f>Tabella34[[#This Row],[Lombardy acc. fit]]+CIl</f>
        <v>744.67421432877052</v>
      </c>
      <c r="BA167" s="96">
        <f>MAX(Tabella34[[#This Row],[Lombardy acc. fit]]-CIl,0)</f>
        <v>0</v>
      </c>
      <c r="BC167" s="10"/>
      <c r="BD167" s="10"/>
      <c r="BE167" s="96">
        <f>Tabella34[[#This Row],[rest of Italy data]]*NOT(ISBLANK(Tabella34[[#This Row],[rest of Italy data]]))</f>
        <v>0</v>
      </c>
      <c r="BF167" s="96">
        <f>Tabella8[[#This Row],[rest of Italy fit]]</f>
        <v>146653.29881776491</v>
      </c>
      <c r="BG167" s="163" t="e">
        <f>_xlfn.LOGNORM.INV(alpha*Tabella34[[#This Row],[rest of Italy cumul. Fit]]/Ko,mu_o,sigma_o)-(Tabella34[[#This Row],[Day]]-po)</f>
        <v>#NUM!</v>
      </c>
      <c r="BH167" s="96">
        <f>Tabella34[[#This Row],[rest of Italy cumul. Fit]]/Ka</f>
        <v>0.99090078303985252</v>
      </c>
      <c r="BI167" s="163">
        <f>IFERROR(Ko*_xlfn.LOGNORM.DIST((Tabella34[[#This Row],[Day]]-po),mu_o,sigma_o,FALSE),0)</f>
        <v>92.390260993342054</v>
      </c>
      <c r="BJ167" s="206">
        <f>Tabella34[[#This Row],[rest of Italy velocity]]/Tabella34[[#This Row],[rest of Italy cumul. Fit]]</f>
        <v>6.2999101785053279E-4</v>
      </c>
      <c r="BK167" s="261">
        <f>(LN(Tabella34[[#This Row],[Day]]-po)-mu_o)/sigma_o</f>
        <v>2.3615557805636147</v>
      </c>
      <c r="BL167" s="269">
        <f>EXP(mu_o+sigma_o*Tabella34[[#This Row],[x_o_alpha©+plus]])-(Tabella34[[#This Row],[Day]]-po)</f>
        <v>10.105047176089798</v>
      </c>
      <c r="BM167" s="269">
        <f>EXP(mu_o+sigma_o*Tabella34[[#This Row],[x_o_alpha©-minus]])-(Tabella34[[#This Row],[Day]]-po)</f>
        <v>-102.16061206201712</v>
      </c>
      <c r="BN167" s="269">
        <f>-sigma_o+SQRT(sigma_o^2-2*Tabella34[[#This Row],[c_o]])</f>
        <v>2.6085323216825183</v>
      </c>
      <c r="BO167" s="269">
        <f>-sigma_o-SQRT(sigma_o^2-2*Tabella34[[#This Row],[c_o]])</f>
        <v>-3.2515050989815446</v>
      </c>
      <c r="BP167" s="269">
        <f>mu_o-LN(alpha*Ko/(Tabella34[[#This Row],[rest of Italy velocity]]*sigma_o*SQRTPI(2)))</f>
        <v>-4.2408280724044376</v>
      </c>
      <c r="BQ167" s="269">
        <f>Tabella34[[#This Row],[t_alpha_o+plus]]</f>
        <v>10.105047176089798</v>
      </c>
      <c r="BR167" s="91">
        <f>IFERROR(-Ka*_xlfn.LOGNORM.DIST((Tabella34[[#This Row],[Day]]-pa),mu_a,sigma_a,FALSE)*(1+(LN((Tabella34[[#This Row],[Day]]-pa))-mu_a)/sigma_a^2)/(Tabella34[[#This Row],[Day]]-pa),0)</f>
        <v>-6.3056016107687922</v>
      </c>
      <c r="BS167" s="96">
        <f>Tabella34[[#This Row],[rest of Italy acc. fit]]/y_a_peak</f>
        <v>-1.8660323678989445E-3</v>
      </c>
      <c r="BT167" s="141">
        <f>Tabella34[[#This Row],[rest of Italy acc. fit]]*NOT(ISBLANK(Tabella34[[#This Row],[rest of Italy data]]))</f>
        <v>0</v>
      </c>
      <c r="BU167" s="212"/>
      <c r="BV167" s="142"/>
    </row>
    <row r="168" spans="2:74" x14ac:dyDescent="0.3">
      <c r="B168" s="288">
        <v>43991</v>
      </c>
      <c r="C168" s="4">
        <v>161</v>
      </c>
      <c r="E168" s="10"/>
      <c r="F168" s="10"/>
      <c r="G168" s="141">
        <f>Tabella34[[#This Row],[Italy data]]*NOT(ISBLANK(Tabella34[[#This Row],[Italy data]]))</f>
        <v>0</v>
      </c>
      <c r="H168" s="163">
        <f>Tabella8[[#This Row],[Italy fit]]</f>
        <v>232732.17668464207</v>
      </c>
      <c r="I168" s="163" t="e">
        <f>_xlfn.LOGNORM.INV(alpha*Tabella34[[#This Row],[Italy cumul. Fit]]/Kt,mu_t,sigma_t)-(Tabella34[[#This Row],[Day]]-pt)</f>
        <v>#NUM!</v>
      </c>
      <c r="J168" s="163" t="e">
        <f>Tabella34[[#This Row],[Italy d.t.]]/Italy_dt_at_lockdown</f>
        <v>#NUM!</v>
      </c>
      <c r="K168" s="96">
        <f>Tabella34[[#This Row],[Italy cumul. Fit]]/Kf</f>
        <v>0.99034995824071881</v>
      </c>
      <c r="L168" s="166">
        <f>Tabella34[[#This Row],[Lombardy acc. fit]]+Tabella34[[#This Row],[rest of Italy acc. fit]]</f>
        <v>-9.9443061283992407</v>
      </c>
      <c r="M168" s="96">
        <f>Tabella34[[#This Row],[Italy (fitted Lombardy + fitted sum of the other regions)]]/(y_l_peak+y_a_peak)</f>
        <v>-1.935780732093008E-3</v>
      </c>
      <c r="N168" s="163">
        <f>IFERROR(Kt*_xlfn.LOGNORM.DIST((Tabella34[[#This Row],[Day]]-pt),mu_t,sigma_t,FALSE),0)</f>
        <v>151.41728513919617</v>
      </c>
      <c r="O168" s="163">
        <f>Kt*EXP(-0.5*Tabella34[[#This Row],[x_t]]^2)/(sigma_t*SQRTPI(2)*(Tabella34[[#This Row],[Day]]-D_bk))</f>
        <v>151.41728513919639</v>
      </c>
      <c r="P168" s="206">
        <f>Tabella34[[#This Row],[Italy velocity]]/Tabella34[[#This Row],[Italy cumul. Fit]]</f>
        <v>6.5060743768306003E-4</v>
      </c>
      <c r="Q168" s="269">
        <f>(LN(Tabella34[[#This Row],[Day]]-D_bk)-mu_t)/sigma_t</f>
        <v>2.3396835835497725</v>
      </c>
      <c r="R168" s="269">
        <f>EXP(mu_t+sigma_t*Tabella34[[#This Row],[x_t_alpha©+plus]])-(Tabella34[[#This Row],[Day]]-D_bk)</f>
        <v>10.416031710456025</v>
      </c>
      <c r="S168" s="269">
        <f>EXP(mu_t+sigma_t*Tabella34[[#This Row],[x_t_alpha©-minus]])-(Tabella34[[#This Row],[Day]]-D_bk)</f>
        <v>-106.26616846520157</v>
      </c>
      <c r="T168" s="269">
        <f>-sigma_t+SQRT(sigma_t^2-2*Tabella34[[#This Row],[c_t]])</f>
        <v>2.5895358447243537</v>
      </c>
      <c r="U168" s="269">
        <f>-sigma_t-SQRT(sigma_t^2-2*Tabella34[[#This Row],[c_t]])</f>
        <v>-3.2087727506165913</v>
      </c>
      <c r="V168" s="269">
        <f>mu_t-LN(alpha*Kt/(Tabella34[[#This Row],[Italy velocity]]*sigma_t*SQRTPI(2)))</f>
        <v>-4.1546160276482107</v>
      </c>
      <c r="W168" s="269">
        <f>Tabella34[[#This Row],[Italy g.r.]]/Italy_gr_at_lockdown</f>
        <v>4.1137485351632232E-3</v>
      </c>
      <c r="X168" s="269">
        <f>Tabella34[[#This Row],[t_alpha_t+plus]]</f>
        <v>10.416031710456025</v>
      </c>
      <c r="Y168" s="269">
        <f>Tabella34[[#This Row],[Italy h.t.]]/Italy_ht_at_lockdown</f>
        <v>0.18550303834908166</v>
      </c>
      <c r="Z168" s="91">
        <f>IFERROR(-Kf*_xlfn.LOGNORM.DIST((Tabella34[[#This Row],[Day]]-D_bk),mu_f,sigma_f,FALSE)*(1+(LN((Tabella34[[#This Row],[Day]]-D_bk))-mu_f)/sigma_f^2)/(Tabella34[[#This Row],[Day]]-D_bk),0)</f>
        <v>-10.004478849745702</v>
      </c>
      <c r="AA168" s="91">
        <f>Tabella34[[#This Row],[Italy acc. fit]]/Itali_acc_at_lockdown</f>
        <v>-4.1176303045608438E-2</v>
      </c>
      <c r="AB168" s="96">
        <f>Tabella34[[#This Row],[Italy acc. fit]]/y_f_peak</f>
        <v>-1.9765403397122637E-3</v>
      </c>
      <c r="AC168" s="163">
        <f>Tabella34[[#This Row],[Italy (fitted Lombardy + fitted sum of the other regions)]]*NOT(ISBLANK(Tabella34[[#This Row],[Italy data]]))</f>
        <v>0</v>
      </c>
      <c r="AD168" s="163">
        <f>Tabella34[[#This Row],[Italy acc. fit]]*NOT(ISBLANK(Tabella34[[#This Row],[Italy data]]))</f>
        <v>0</v>
      </c>
      <c r="AE168" s="96">
        <f>Tabella34[[#This Row],[Italy acc. fit]]+CIf</f>
        <v>1003.7585231705719</v>
      </c>
      <c r="AF168" s="96">
        <f>MAX(Tabella34[[#This Row],[Italy acc. fit]]-CIf,0)</f>
        <v>0</v>
      </c>
      <c r="AH168" s="10"/>
      <c r="AI168" s="10"/>
      <c r="AJ168" s="141">
        <f>Tabella34[[#This Row],[Lombardy data]]*NOT(ISBLANK(Tabella34[[#This Row],[Lombardy data]]))</f>
        <v>0</v>
      </c>
      <c r="AK168" s="96">
        <f>Tabella8[[#This Row],[Lombardy fit]]</f>
        <v>85777.337604053508</v>
      </c>
      <c r="AL168" s="163" t="e">
        <f>_xlfn.LOGNORM.INV(alpha*Tabella34[[#This Row],[Lombardy cumul. Fit]]/Kr,mu_r,sigma_r)-(Tabella34[[#This Row],[Day]]-pr)</f>
        <v>#NUM!</v>
      </c>
      <c r="AM168" s="96">
        <f>Tabella34[[#This Row],[Lombardy cumul. Fit]]/Kl</f>
        <v>0.98594640924199439</v>
      </c>
      <c r="AN168" s="96">
        <f>IFERROR(Kr*_xlfn.LOGNORM.DIST((Tabella34[[#This Row],[Day]]-pr),mu_r,sigma_r,FALSE),0)</f>
        <v>70.507162776822412</v>
      </c>
      <c r="AO168" s="209">
        <f>Tabella34[[#This Row],[Lombardy velocity]]/Tabella34[[#This Row],[Lombardy cumul. Fit]]</f>
        <v>8.2197891361797772E-4</v>
      </c>
      <c r="AP168" s="266">
        <f>(LN(Tabella34[[#This Row],[Day]]-pr)-mu_r)/sigma_r</f>
        <v>2.1957871544936456</v>
      </c>
      <c r="AQ168" s="269">
        <f>EXP(mu_r+sigma_r*Tabella34[[#This Row],[x_r_alpha©+plus]])-(Tabella34[[#This Row],[Day]]-pr)</f>
        <v>12.009279989049276</v>
      </c>
      <c r="AR168" s="269">
        <f>EXP(mu_r+sigma_r*Tabella34[[#This Row],[x_r_alpha©-minus]])-(Tabella34[[#This Row],[Day]]-pr)</f>
        <v>-108.65129607610622</v>
      </c>
      <c r="AS168" s="269">
        <f>-sigma_r+SQRT(sigma_r^2-2*Tabella34[[#This Row],[c_r]])</f>
        <v>2.4557626293560069</v>
      </c>
      <c r="AT168" s="269">
        <f>-sigma_r-SQRT(sigma_r^2-2*Tabella34[[#This Row],[c_r]])</f>
        <v>-3.1366172265497361</v>
      </c>
      <c r="AU168" s="269">
        <f>mu_r-LN(alpha*Kr/(Tabella34[[#This Row],[Lombardy velocity]]*sigma_r*SQRTPI(2)))</f>
        <v>-3.8513936837775633</v>
      </c>
      <c r="AV168" s="269">
        <f>Tabella34[[#This Row],[t_alpha_r+plus]]</f>
        <v>12.009279989049276</v>
      </c>
      <c r="AW168" s="91">
        <f>IFERROR(-Kl*_xlfn.LOGNORM.DIST((Tabella34[[#This Row],[Day]]-pl),mu_l,sigma_l,FALSE)*(1+(LN((Tabella34[[#This Row],[Day]]-pl))-mu_l)/sigma_l^2)/(Tabella34[[#This Row],[Day]]-pl),0)</f>
        <v>-4.0475710265428066</v>
      </c>
      <c r="AX168" s="96">
        <f>Tabella34[[#This Row],[Lombardy acc. fit]]/y_l_peak</f>
        <v>-2.3024322249288582E-3</v>
      </c>
      <c r="AY168" s="163">
        <f>Tabella34[[#This Row],[Lombardy acc. fit]]*NOT(ISBLANK(Tabella34[[#This Row],[Lombardy data]]))</f>
        <v>0</v>
      </c>
      <c r="AZ168" s="96">
        <f>Tabella34[[#This Row],[Lombardy acc. fit]]+CIl</f>
        <v>744.90780077708087</v>
      </c>
      <c r="BA168" s="96">
        <f>MAX(Tabella34[[#This Row],[Lombardy acc. fit]]-CIl,0)</f>
        <v>0</v>
      </c>
      <c r="BC168" s="10"/>
      <c r="BD168" s="10"/>
      <c r="BE168" s="96">
        <f>Tabella34[[#This Row],[rest of Italy data]]*NOT(ISBLANK(Tabella34[[#This Row],[rest of Italy data]]))</f>
        <v>0</v>
      </c>
      <c r="BF168" s="96">
        <f>Tabella8[[#This Row],[rest of Italy fit]]</f>
        <v>146742.60551973694</v>
      </c>
      <c r="BG168" s="163" t="e">
        <f>_xlfn.LOGNORM.INV(alpha*Tabella34[[#This Row],[rest of Italy cumul. Fit]]/Ko,mu_o,sigma_o)-(Tabella34[[#This Row],[Day]]-po)</f>
        <v>#NUM!</v>
      </c>
      <c r="BH168" s="96">
        <f>Tabella34[[#This Row],[rest of Italy cumul. Fit]]/Ka</f>
        <v>0.99150420677207118</v>
      </c>
      <c r="BI168" s="163">
        <f>IFERROR(Ko*_xlfn.LOGNORM.DIST((Tabella34[[#This Row],[Day]]-po),mu_o,sigma_o,FALSE),0)</f>
        <v>86.291283072030623</v>
      </c>
      <c r="BJ168" s="206">
        <f>Tabella34[[#This Row],[rest of Italy velocity]]/Tabella34[[#This Row],[rest of Italy cumul. Fit]]</f>
        <v>5.8804518814697211E-4</v>
      </c>
      <c r="BK168" s="261">
        <f>(LN(Tabella34[[#This Row],[Day]]-po)-mu_o)/sigma_o</f>
        <v>2.3868897402381957</v>
      </c>
      <c r="BL168" s="269">
        <f>EXP(mu_o+sigma_o*Tabella34[[#This Row],[x_o_alpha©+plus]])-(Tabella34[[#This Row],[Day]]-po)</f>
        <v>10.096838333145158</v>
      </c>
      <c r="BM168" s="269">
        <f>EXP(mu_o+sigma_o*Tabella34[[#This Row],[x_o_alpha©-minus]])-(Tabella34[[#This Row],[Day]]-po)</f>
        <v>-103.31023623588587</v>
      </c>
      <c r="BN168" s="269">
        <f>-sigma_o+SQRT(sigma_o^2-2*Tabella34[[#This Row],[c_o]])</f>
        <v>2.6317483830285973</v>
      </c>
      <c r="BO168" s="269">
        <f>-sigma_o-SQRT(sigma_o^2-2*Tabella34[[#This Row],[c_o]])</f>
        <v>-3.2747211603276236</v>
      </c>
      <c r="BP168" s="269">
        <f>mu_o-LN(alpha*Ko/(Tabella34[[#This Row],[rest of Italy velocity]]*sigma_o*SQRTPI(2)))</f>
        <v>-4.3091210592808773</v>
      </c>
      <c r="BQ168" s="269">
        <f>Tabella34[[#This Row],[t_alpha_o+plus]]</f>
        <v>10.096838333145158</v>
      </c>
      <c r="BR168" s="91">
        <f>IFERROR(-Ka*_xlfn.LOGNORM.DIST((Tabella34[[#This Row],[Day]]-pa),mu_a,sigma_a,FALSE)*(1+(LN((Tabella34[[#This Row],[Day]]-pa))-mu_a)/sigma_a^2)/(Tabella34[[#This Row],[Day]]-pa),0)</f>
        <v>-5.8967351018564331</v>
      </c>
      <c r="BS168" s="96">
        <f>Tabella34[[#This Row],[rest of Italy acc. fit]]/y_a_peak</f>
        <v>-1.7450354849881508E-3</v>
      </c>
      <c r="BT168" s="141">
        <f>Tabella34[[#This Row],[rest of Italy acc. fit]]*NOT(ISBLANK(Tabella34[[#This Row],[rest of Italy data]]))</f>
        <v>0</v>
      </c>
      <c r="BU168" s="212"/>
      <c r="BV168" s="142"/>
    </row>
    <row r="169" spans="2:74" x14ac:dyDescent="0.3">
      <c r="B169" s="288">
        <v>43992</v>
      </c>
      <c r="C169" s="4">
        <v>162</v>
      </c>
      <c r="E169" s="10"/>
      <c r="F169" s="10"/>
      <c r="G169" s="141">
        <f>Tabella34[[#This Row],[Italy data]]*NOT(ISBLANK(Tabella34[[#This Row],[Italy data]]))</f>
        <v>0</v>
      </c>
      <c r="H169" s="163">
        <f>Tabella8[[#This Row],[Italy fit]]</f>
        <v>232878.6974580216</v>
      </c>
      <c r="I169" s="163" t="e">
        <f>_xlfn.LOGNORM.INV(alpha*Tabella34[[#This Row],[Italy cumul. Fit]]/Kt,mu_t,sigma_t)-(Tabella34[[#This Row],[Day]]-pt)</f>
        <v>#NUM!</v>
      </c>
      <c r="J169" s="163" t="e">
        <f>Tabella34[[#This Row],[Italy d.t.]]/Italy_dt_at_lockdown</f>
        <v>#NUM!</v>
      </c>
      <c r="K169" s="96">
        <f>Tabella34[[#This Row],[Italy cumul. Fit]]/Kf</f>
        <v>0.99097345106352019</v>
      </c>
      <c r="L169" s="166">
        <f>Tabella34[[#This Row],[Lombardy acc. fit]]+Tabella34[[#This Row],[rest of Italy acc. fit]]</f>
        <v>-9.3395145726688042</v>
      </c>
      <c r="M169" s="96">
        <f>Tabella34[[#This Row],[Italy (fitted Lombardy + fitted sum of the other regions)]]/(y_l_peak+y_a_peak)</f>
        <v>-1.818050663710249E-3</v>
      </c>
      <c r="N169" s="163">
        <f>IFERROR(Kt*_xlfn.LOGNORM.DIST((Tabella34[[#This Row],[Day]]-pt),mu_t,sigma_t,FALSE),0)</f>
        <v>141.72838598900191</v>
      </c>
      <c r="O169" s="163">
        <f>Kt*EXP(-0.5*Tabella34[[#This Row],[x_t]]^2)/(sigma_t*SQRTPI(2)*(Tabella34[[#This Row],[Day]]-D_bk))</f>
        <v>141.72838598900213</v>
      </c>
      <c r="P169" s="206">
        <f>Tabella34[[#This Row],[Italy velocity]]/Tabella34[[#This Row],[Italy cumul. Fit]]</f>
        <v>6.085931754859187E-4</v>
      </c>
      <c r="Q169" s="269">
        <f>(LN(Tabella34[[#This Row],[Day]]-D_bk)-mu_t)/sigma_t</f>
        <v>2.3645272769189911</v>
      </c>
      <c r="R169" s="269">
        <f>EXP(mu_t+sigma_t*Tabella34[[#This Row],[x_t_alpha©+plus]])-(Tabella34[[#This Row],[Day]]-D_bk)</f>
        <v>10.403781253728141</v>
      </c>
      <c r="S169" s="269">
        <f>EXP(mu_t+sigma_t*Tabella34[[#This Row],[x_t_alpha©-minus]])-(Tabella34[[#This Row],[Day]]-D_bk)</f>
        <v>-107.42906761247689</v>
      </c>
      <c r="T169" s="269">
        <f>-sigma_t+SQRT(sigma_t^2-2*Tabella34[[#This Row],[c_t]])</f>
        <v>2.612255901928795</v>
      </c>
      <c r="U169" s="269">
        <f>-sigma_t-SQRT(sigma_t^2-2*Tabella34[[#This Row],[c_t]])</f>
        <v>-3.2314928078210325</v>
      </c>
      <c r="V169" s="269">
        <f>mu_t-LN(alpha*Kt/(Tabella34[[#This Row],[Italy velocity]]*sigma_t*SQRTPI(2)))</f>
        <v>-4.220743079635473</v>
      </c>
      <c r="W169" s="269">
        <f>Tabella34[[#This Row],[Italy g.r.]]/Italy_gr_at_lockdown</f>
        <v>3.8480950864646399E-3</v>
      </c>
      <c r="X169" s="269">
        <f>Tabella34[[#This Row],[t_alpha_t+plus]]</f>
        <v>10.403781253728141</v>
      </c>
      <c r="Y169" s="269">
        <f>Tabella34[[#This Row],[Italy h.t.]]/Italy_ht_at_lockdown</f>
        <v>0.1852848653435305</v>
      </c>
      <c r="Z169" s="91">
        <f>IFERROR(-Kf*_xlfn.LOGNORM.DIST((Tabella34[[#This Row],[Day]]-D_bk),mu_f,sigma_f,FALSE)*(1+(LN((Tabella34[[#This Row],[Day]]-D_bk))-mu_f)/sigma_f^2)/(Tabella34[[#This Row],[Day]]-D_bk),0)</f>
        <v>-9.3796974994662961</v>
      </c>
      <c r="AA169" s="91">
        <f>Tabella34[[#This Row],[Italy acc. fit]]/Itali_acc_at_lockdown</f>
        <v>-3.8604836145360741E-2</v>
      </c>
      <c r="AB169" s="96">
        <f>Tabella34[[#This Row],[Italy acc. fit]]/y_f_peak</f>
        <v>-1.8531050702820589E-3</v>
      </c>
      <c r="AC169" s="163">
        <f>Tabella34[[#This Row],[Italy (fitted Lombardy + fitted sum of the other regions)]]*NOT(ISBLANK(Tabella34[[#This Row],[Italy data]]))</f>
        <v>0</v>
      </c>
      <c r="AD169" s="163">
        <f>Tabella34[[#This Row],[Italy acc. fit]]*NOT(ISBLANK(Tabella34[[#This Row],[Italy data]]))</f>
        <v>0</v>
      </c>
      <c r="AE169" s="96">
        <f>Tabella34[[#This Row],[Italy acc. fit]]+CIf</f>
        <v>1004.3833045208514</v>
      </c>
      <c r="AF169" s="96">
        <f>MAX(Tabella34[[#This Row],[Italy acc. fit]]-CIf,0)</f>
        <v>0</v>
      </c>
      <c r="AH169" s="10"/>
      <c r="AI169" s="10"/>
      <c r="AJ169" s="141">
        <f>Tabella34[[#This Row],[Lombardy data]]*NOT(ISBLANK(Tabella34[[#This Row],[Lombardy data]]))</f>
        <v>0</v>
      </c>
      <c r="AK169" s="96">
        <f>Tabella8[[#This Row],[Lombardy fit]]</f>
        <v>85845.858384218838</v>
      </c>
      <c r="AL169" s="163" t="e">
        <f>_xlfn.LOGNORM.INV(alpha*Tabella34[[#This Row],[Lombardy cumul. Fit]]/Kr,mu_r,sigma_r)-(Tabella34[[#This Row],[Day]]-pr)</f>
        <v>#NUM!</v>
      </c>
      <c r="AM169" s="96">
        <f>Tabella34[[#This Row],[Lombardy cumul. Fit]]/Kl</f>
        <v>0.98673400441630843</v>
      </c>
      <c r="AN169" s="96">
        <f>IFERROR(Kr*_xlfn.LOGNORM.DIST((Tabella34[[#This Row],[Day]]-pr),mu_r,sigma_r,FALSE),0)</f>
        <v>66.571304355456547</v>
      </c>
      <c r="AO169" s="209">
        <f>Tabella34[[#This Row],[Lombardy velocity]]/Tabella34[[#This Row],[Lombardy cumul. Fit]]</f>
        <v>7.7547485235111174E-4</v>
      </c>
      <c r="AP169" s="266">
        <f>(LN(Tabella34[[#This Row],[Day]]-pr)-mu_r)/sigma_r</f>
        <v>2.2183351214795799</v>
      </c>
      <c r="AQ169" s="269">
        <f>EXP(mu_r+sigma_r*Tabella34[[#This Row],[x_r_alpha©+plus]])-(Tabella34[[#This Row],[Day]]-pr)</f>
        <v>12.000662512911731</v>
      </c>
      <c r="AR169" s="269">
        <f>EXP(mu_r+sigma_r*Tabella34[[#This Row],[x_r_alpha©-minus]])-(Tabella34[[#This Row],[Day]]-pr)</f>
        <v>-109.79798790287512</v>
      </c>
      <c r="AS169" s="269">
        <f>-sigma_r+SQRT(sigma_r^2-2*Tabella34[[#This Row],[c_r]])</f>
        <v>2.4762302033929231</v>
      </c>
      <c r="AT169" s="269">
        <f>-sigma_r-SQRT(sigma_r^2-2*Tabella34[[#This Row],[c_r]])</f>
        <v>-3.1570848005866523</v>
      </c>
      <c r="AU169" s="269">
        <f>mu_r-LN(alpha*Kr/(Tabella34[[#This Row],[Lombardy velocity]]*sigma_r*SQRTPI(2)))</f>
        <v>-3.9088343689426965</v>
      </c>
      <c r="AV169" s="269">
        <f>Tabella34[[#This Row],[t_alpha_r+plus]]</f>
        <v>12.000662512911731</v>
      </c>
      <c r="AW169" s="91">
        <f>IFERROR(-Kl*_xlfn.LOGNORM.DIST((Tabella34[[#This Row],[Day]]-pl),mu_l,sigma_l,FALSE)*(1+(LN((Tabella34[[#This Row],[Day]]-pl))-mu_l)/sigma_l^2)/(Tabella34[[#This Row],[Day]]-pl),0)</f>
        <v>-3.8261207903171881</v>
      </c>
      <c r="AX169" s="96">
        <f>Tabella34[[#This Row],[Lombardy acc. fit]]/y_l_peak</f>
        <v>-2.176461820268788E-3</v>
      </c>
      <c r="AY169" s="163">
        <f>Tabella34[[#This Row],[Lombardy acc. fit]]*NOT(ISBLANK(Tabella34[[#This Row],[Lombardy data]]))</f>
        <v>0</v>
      </c>
      <c r="AZ169" s="96">
        <f>Tabella34[[#This Row],[Lombardy acc. fit]]+CIl</f>
        <v>745.12925101330643</v>
      </c>
      <c r="BA169" s="96">
        <f>MAX(Tabella34[[#This Row],[Lombardy acc. fit]]-CIl,0)</f>
        <v>0</v>
      </c>
      <c r="BC169" s="10"/>
      <c r="BD169" s="10"/>
      <c r="BE169" s="96">
        <f>Tabella34[[#This Row],[rest of Italy data]]*NOT(ISBLANK(Tabella34[[#This Row],[rest of Italy data]]))</f>
        <v>0</v>
      </c>
      <c r="BF169" s="96">
        <f>Tabella8[[#This Row],[rest of Italy fit]]</f>
        <v>146826.01335981127</v>
      </c>
      <c r="BG169" s="163" t="e">
        <f>_xlfn.LOGNORM.INV(alpha*Tabella34[[#This Row],[rest of Italy cumul. Fit]]/Ko,mu_o,sigma_o)-(Tabella34[[#This Row],[Day]]-po)</f>
        <v>#NUM!</v>
      </c>
      <c r="BH169" s="96">
        <f>Tabella34[[#This Row],[rest of Italy cumul. Fit]]/Ka</f>
        <v>0.99206777332466545</v>
      </c>
      <c r="BI169" s="163">
        <f>IFERROR(Ko*_xlfn.LOGNORM.DIST((Tabella34[[#This Row],[Day]]-po),mu_o,sigma_o,FALSE),0)</f>
        <v>80.588283201970967</v>
      </c>
      <c r="BJ169" s="206">
        <f>Tabella34[[#This Row],[rest of Italy velocity]]/Tabella34[[#This Row],[rest of Italy cumul. Fit]]</f>
        <v>5.4886924570022634E-4</v>
      </c>
      <c r="BK169" s="261">
        <f>(LN(Tabella34[[#This Row],[Day]]-po)-mu_o)/sigma_o</f>
        <v>2.4120190326850826</v>
      </c>
      <c r="BL169" s="269">
        <f>EXP(mu_o+sigma_o*Tabella34[[#This Row],[x_o_alpha©+plus]])-(Tabella34[[#This Row],[Day]]-po)</f>
        <v>10.08943154542338</v>
      </c>
      <c r="BM169" s="269">
        <f>EXP(mu_o+sigma_o*Tabella34[[#This Row],[x_o_alpha©-minus]])-(Tabella34[[#This Row],[Day]]-po)</f>
        <v>-104.45776999701326</v>
      </c>
      <c r="BN169" s="269">
        <f>-sigma_o+SQRT(sigma_o^2-2*Tabella34[[#This Row],[c_o]])</f>
        <v>2.6548110174551787</v>
      </c>
      <c r="BO169" s="269">
        <f>-sigma_o-SQRT(sigma_o^2-2*Tabella34[[#This Row],[c_o]])</f>
        <v>-3.297783794754205</v>
      </c>
      <c r="BP169" s="269">
        <f>mu_o-LN(alpha*Ko/(Tabella34[[#This Row],[rest of Italy velocity]]*sigma_o*SQRTPI(2)))</f>
        <v>-4.3774963757493053</v>
      </c>
      <c r="BQ169" s="269">
        <f>Tabella34[[#This Row],[t_alpha_o+plus]]</f>
        <v>10.08943154542338</v>
      </c>
      <c r="BR169" s="91">
        <f>IFERROR(-Ka*_xlfn.LOGNORM.DIST((Tabella34[[#This Row],[Day]]-pa),mu_a,sigma_a,FALSE)*(1+(LN((Tabella34[[#This Row],[Day]]-pa))-mu_a)/sigma_a^2)/(Tabella34[[#This Row],[Day]]-pa),0)</f>
        <v>-5.5133937823516161</v>
      </c>
      <c r="BS169" s="96">
        <f>Tabella34[[#This Row],[rest of Italy acc. fit]]/y_a_peak</f>
        <v>-1.6315923348647059E-3</v>
      </c>
      <c r="BT169" s="141">
        <f>Tabella34[[#This Row],[rest of Italy acc. fit]]*NOT(ISBLANK(Tabella34[[#This Row],[rest of Italy data]]))</f>
        <v>0</v>
      </c>
      <c r="BU169" s="212"/>
      <c r="BV169" s="142"/>
    </row>
    <row r="170" spans="2:74" x14ac:dyDescent="0.3">
      <c r="B170" s="288">
        <v>43993</v>
      </c>
      <c r="C170" s="4">
        <v>163</v>
      </c>
      <c r="E170" s="10"/>
      <c r="F170" s="10"/>
      <c r="G170" s="141">
        <f>Tabella34[[#This Row],[Italy data]]*NOT(ISBLANK(Tabella34[[#This Row],[Italy data]]))</f>
        <v>0</v>
      </c>
      <c r="H170" s="163">
        <f>Tabella8[[#This Row],[Italy fit]]</f>
        <v>233015.83543172845</v>
      </c>
      <c r="I170" s="163" t="e">
        <f>_xlfn.LOGNORM.INV(alpha*Tabella34[[#This Row],[Italy cumul. Fit]]/Kt,mu_t,sigma_t)-(Tabella34[[#This Row],[Day]]-pt)</f>
        <v>#NUM!</v>
      </c>
      <c r="J170" s="163" t="e">
        <f>Tabella34[[#This Row],[Italy d.t.]]/Italy_dt_at_lockdown</f>
        <v>#NUM!</v>
      </c>
      <c r="K170" s="96">
        <f>Tabella34[[#This Row],[Italy cumul. Fit]]/Kf</f>
        <v>0.99155701706830968</v>
      </c>
      <c r="L170" s="166">
        <f>Tabella34[[#This Row],[Lombardy acc. fit]]+Tabella34[[#This Row],[rest of Italy acc. fit]]</f>
        <v>-8.7703446099765632</v>
      </c>
      <c r="M170" s="96">
        <f>Tabella34[[#This Row],[Italy (fitted Lombardy + fitted sum of the other regions)]]/(y_l_peak+y_a_peak)</f>
        <v>-1.7072547737970031E-3</v>
      </c>
      <c r="N170" s="163">
        <f>IFERROR(Kt*_xlfn.LOGNORM.DIST((Tabella34[[#This Row],[Day]]-pt),mu_t,sigma_t,FALSE),0)</f>
        <v>132.64548095527522</v>
      </c>
      <c r="O170" s="163">
        <f>Kt*EXP(-0.5*Tabella34[[#This Row],[x_t]]^2)/(sigma_t*SQRTPI(2)*(Tabella34[[#This Row],[Day]]-D_bk))</f>
        <v>132.64548095527527</v>
      </c>
      <c r="P170" s="206">
        <f>Tabella34[[#This Row],[Italy velocity]]/Tabella34[[#This Row],[Italy cumul. Fit]]</f>
        <v>5.6925522125786659E-4</v>
      </c>
      <c r="Q170" s="269">
        <f>(LN(Tabella34[[#This Row],[Day]]-D_bk)-mu_t)/sigma_t</f>
        <v>2.3891813287686032</v>
      </c>
      <c r="R170" s="269">
        <f>EXP(mu_t+sigma_t*Tabella34[[#This Row],[x_t_alpha©+plus]])-(Tabella34[[#This Row],[Day]]-D_bk)</f>
        <v>10.392373952786471</v>
      </c>
      <c r="S170" s="269">
        <f>EXP(mu_t+sigma_t*Tabella34[[#This Row],[x_t_alpha©-minus]])-(Tabella34[[#This Row],[Day]]-D_bk)</f>
        <v>-108.58983501719158</v>
      </c>
      <c r="T170" s="269">
        <f>-sigma_t+SQRT(sigma_t^2-2*Tabella34[[#This Row],[c_t]])</f>
        <v>2.6348364410713327</v>
      </c>
      <c r="U170" s="269">
        <f>-sigma_t-SQRT(sigma_t^2-2*Tabella34[[#This Row],[c_t]])</f>
        <v>-3.2540733469635703</v>
      </c>
      <c r="V170" s="269">
        <f>mu_t-LN(alpha*Kt/(Tabella34[[#This Row],[Italy velocity]]*sigma_t*SQRTPI(2)))</f>
        <v>-4.2869755182492861</v>
      </c>
      <c r="W170" s="269">
        <f>Tabella34[[#This Row],[Italy g.r.]]/Italy_gr_at_lockdown</f>
        <v>3.5993637590788618E-3</v>
      </c>
      <c r="X170" s="269">
        <f>Tabella34[[#This Row],[t_alpha_t+plus]]</f>
        <v>10.392373952786471</v>
      </c>
      <c r="Y170" s="269">
        <f>Tabella34[[#This Row],[Italy h.t.]]/Italy_ht_at_lockdown</f>
        <v>0.18508170841747026</v>
      </c>
      <c r="Z170" s="91">
        <f>IFERROR(-Kf*_xlfn.LOGNORM.DIST((Tabella34[[#This Row],[Day]]-D_bk),mu_f,sigma_f,FALSE)*(1+(LN((Tabella34[[#This Row],[Day]]-D_bk))-mu_f)/sigma_f^2)/(Tabella34[[#This Row],[Day]]-D_bk),0)</f>
        <v>-8.7921466582276366</v>
      </c>
      <c r="AA170" s="91">
        <f>Tabella34[[#This Row],[Italy acc. fit]]/Itali_acc_at_lockdown</f>
        <v>-3.6186602086706085E-2</v>
      </c>
      <c r="AB170" s="96">
        <f>Tabella34[[#This Row],[Italy acc. fit]]/y_f_peak</f>
        <v>-1.7370252667479043E-3</v>
      </c>
      <c r="AC170" s="163">
        <f>Tabella34[[#This Row],[Italy (fitted Lombardy + fitted sum of the other regions)]]*NOT(ISBLANK(Tabella34[[#This Row],[Italy data]]))</f>
        <v>0</v>
      </c>
      <c r="AD170" s="163">
        <f>Tabella34[[#This Row],[Italy acc. fit]]*NOT(ISBLANK(Tabella34[[#This Row],[Italy data]]))</f>
        <v>0</v>
      </c>
      <c r="AE170" s="96">
        <f>Tabella34[[#This Row],[Italy acc. fit]]+CIf</f>
        <v>1004.9708553620901</v>
      </c>
      <c r="AF170" s="96">
        <f>MAX(Tabella34[[#This Row],[Italy acc. fit]]-CIf,0)</f>
        <v>0</v>
      </c>
      <c r="AH170" s="10"/>
      <c r="AI170" s="10"/>
      <c r="AJ170" s="141">
        <f>Tabella34[[#This Row],[Lombardy data]]*NOT(ISBLANK(Tabella34[[#This Row],[Lombardy data]]))</f>
        <v>0</v>
      </c>
      <c r="AK170" s="96">
        <f>Tabella8[[#This Row],[Lombardy fit]]</f>
        <v>85910.552079455883</v>
      </c>
      <c r="AL170" s="163" t="e">
        <f>_xlfn.LOGNORM.INV(alpha*Tabella34[[#This Row],[Lombardy cumul. Fit]]/Kr,mu_r,sigma_r)-(Tabella34[[#This Row],[Day]]-pr)</f>
        <v>#NUM!</v>
      </c>
      <c r="AM170" s="96">
        <f>Tabella34[[#This Row],[Lombardy cumul. Fit]]/Kl</f>
        <v>0.98747761010868829</v>
      </c>
      <c r="AN170" s="96">
        <f>IFERROR(Kr*_xlfn.LOGNORM.DIST((Tabella34[[#This Row],[Day]]-pr),mu_r,sigma_r,FALSE),0)</f>
        <v>62.851064535325399</v>
      </c>
      <c r="AO170" s="209">
        <f>Tabella34[[#This Row],[Lombardy velocity]]/Tabella34[[#This Row],[Lombardy cumul. Fit]]</f>
        <v>7.315872499247414E-4</v>
      </c>
      <c r="AP170" s="266">
        <f>(LN(Tabella34[[#This Row],[Day]]-pr)-mu_r)/sigma_r</f>
        <v>2.2407113291232119</v>
      </c>
      <c r="AQ170" s="269">
        <f>EXP(mu_r+sigma_r*Tabella34[[#This Row],[x_r_alpha©+plus]])-(Tabella34[[#This Row],[Day]]-pr)</f>
        <v>11.992872102515946</v>
      </c>
      <c r="AR170" s="269">
        <f>EXP(mu_r+sigma_r*Tabella34[[#This Row],[x_r_alpha©-minus]])-(Tabella34[[#This Row],[Day]]-pr)</f>
        <v>-110.94277652431154</v>
      </c>
      <c r="AS170" s="269">
        <f>-sigma_r+SQRT(sigma_r^2-2*Tabella34[[#This Row],[c_r]])</f>
        <v>2.4965730497690939</v>
      </c>
      <c r="AT170" s="269">
        <f>-sigma_r-SQRT(sigma_r^2-2*Tabella34[[#This Row],[c_r]])</f>
        <v>-3.1774276469628231</v>
      </c>
      <c r="AU170" s="269">
        <f>mu_r-LN(alpha*Kr/(Tabella34[[#This Row],[Lombardy velocity]]*sigma_r*SQRTPI(2)))</f>
        <v>-3.9663401154993059</v>
      </c>
      <c r="AV170" s="269">
        <f>Tabella34[[#This Row],[t_alpha_r+plus]]</f>
        <v>11.992872102515946</v>
      </c>
      <c r="AW170" s="91">
        <f>IFERROR(-Kl*_xlfn.LOGNORM.DIST((Tabella34[[#This Row],[Day]]-pl),mu_l,sigma_l,FALSE)*(1+(LN((Tabella34[[#This Row],[Day]]-pl))-mu_l)/sigma_l^2)/(Tabella34[[#This Row],[Day]]-pl),0)</f>
        <v>-3.6162411902989624</v>
      </c>
      <c r="AX170" s="96">
        <f>Tabella34[[#This Row],[Lombardy acc. fit]]/y_l_peak</f>
        <v>-2.05707329039044E-3</v>
      </c>
      <c r="AY170" s="163">
        <f>Tabella34[[#This Row],[Lombardy acc. fit]]*NOT(ISBLANK(Tabella34[[#This Row],[Lombardy data]]))</f>
        <v>0</v>
      </c>
      <c r="AZ170" s="96">
        <f>Tabella34[[#This Row],[Lombardy acc. fit]]+CIl</f>
        <v>745.33913061332464</v>
      </c>
      <c r="BA170" s="96">
        <f>MAX(Tabella34[[#This Row],[Lombardy acc. fit]]-CIl,0)</f>
        <v>0</v>
      </c>
      <c r="BC170" s="10"/>
      <c r="BD170" s="10"/>
      <c r="BE170" s="96">
        <f>Tabella34[[#This Row],[rest of Italy data]]*NOT(ISBLANK(Tabella34[[#This Row],[rest of Italy data]]))</f>
        <v>0</v>
      </c>
      <c r="BF170" s="96">
        <f>Tabella8[[#This Row],[rest of Italy fit]]</f>
        <v>146903.90580215378</v>
      </c>
      <c r="BG170" s="163" t="e">
        <f>_xlfn.LOGNORM.INV(alpha*Tabella34[[#This Row],[rest of Italy cumul. Fit]]/Ko,mu_o,sigma_o)-(Tabella34[[#This Row],[Day]]-po)</f>
        <v>#NUM!</v>
      </c>
      <c r="BH170" s="96">
        <f>Tabella34[[#This Row],[rest of Italy cumul. Fit]]/Ka</f>
        <v>0.9925940736720309</v>
      </c>
      <c r="BI170" s="163">
        <f>IFERROR(Ko*_xlfn.LOGNORM.DIST((Tabella34[[#This Row],[Day]]-po),mu_o,sigma_o,FALSE),0)</f>
        <v>75.256479313439783</v>
      </c>
      <c r="BJ170" s="206">
        <f>Tabella34[[#This Row],[rest of Italy velocity]]/Tabella34[[#This Row],[rest of Italy cumul. Fit]]</f>
        <v>5.122837197725238E-4</v>
      </c>
      <c r="BK170" s="261">
        <f>(LN(Tabella34[[#This Row],[Day]]-po)-mu_o)/sigma_o</f>
        <v>2.4369469383389255</v>
      </c>
      <c r="BL170" s="269">
        <f>EXP(mu_o+sigma_o*Tabella34[[#This Row],[x_o_alpha©+plus]])-(Tabella34[[#This Row],[Day]]-po)</f>
        <v>10.082795946294127</v>
      </c>
      <c r="BM170" s="269">
        <f>EXP(mu_o+sigma_o*Tabella34[[#This Row],[x_o_alpha©-minus]])-(Tabella34[[#This Row],[Day]]-po)</f>
        <v>-105.60325222064661</v>
      </c>
      <c r="BN170" s="269">
        <f>-sigma_o+SQRT(sigma_o^2-2*Tabella34[[#This Row],[c_o]])</f>
        <v>2.6777216369066332</v>
      </c>
      <c r="BO170" s="269">
        <f>-sigma_o-SQRT(sigma_o^2-2*Tabella34[[#This Row],[c_o]])</f>
        <v>-3.3206944142056596</v>
      </c>
      <c r="BP170" s="269">
        <f>mu_o-LN(alpha*Ko/(Tabella34[[#This Row],[rest of Italy velocity]]*sigma_o*SQRTPI(2)))</f>
        <v>-4.4459476412367467</v>
      </c>
      <c r="BQ170" s="269">
        <f>Tabella34[[#This Row],[t_alpha_o+plus]]</f>
        <v>10.082795946294127</v>
      </c>
      <c r="BR170" s="91">
        <f>IFERROR(-Ka*_xlfn.LOGNORM.DIST((Tabella34[[#This Row],[Day]]-pa),mu_a,sigma_a,FALSE)*(1+(LN((Tabella34[[#This Row],[Day]]-pa))-mu_a)/sigma_a^2)/(Tabella34[[#This Row],[Day]]-pa),0)</f>
        <v>-5.1541034196776003</v>
      </c>
      <c r="BS170" s="96">
        <f>Tabella34[[#This Row],[rest of Italy acc. fit]]/y_a_peak</f>
        <v>-1.5252666442154797E-3</v>
      </c>
      <c r="BT170" s="141">
        <f>Tabella34[[#This Row],[rest of Italy acc. fit]]*NOT(ISBLANK(Tabella34[[#This Row],[rest of Italy data]]))</f>
        <v>0</v>
      </c>
      <c r="BU170" s="212"/>
      <c r="BV170" s="142"/>
    </row>
    <row r="171" spans="2:74" x14ac:dyDescent="0.3">
      <c r="B171" s="288">
        <v>43994</v>
      </c>
      <c r="C171" s="4">
        <v>164</v>
      </c>
      <c r="E171" s="10"/>
      <c r="F171" s="10"/>
      <c r="G171" s="141">
        <f>Tabella34[[#This Row],[Italy data]]*NOT(ISBLANK(Tabella34[[#This Row],[Italy data]]))</f>
        <v>0</v>
      </c>
      <c r="H171" s="163">
        <f>Tabella8[[#This Row],[Italy fit]]</f>
        <v>233144.17832489943</v>
      </c>
      <c r="I171" s="163" t="e">
        <f>_xlfn.LOGNORM.INV(alpha*Tabella34[[#This Row],[Italy cumul. Fit]]/Kt,mu_t,sigma_t)-(Tabella34[[#This Row],[Day]]-pt)</f>
        <v>#NUM!</v>
      </c>
      <c r="J171" s="163" t="e">
        <f>Tabella34[[#This Row],[Italy d.t.]]/Italy_dt_at_lockdown</f>
        <v>#NUM!</v>
      </c>
      <c r="K171" s="96">
        <f>Tabella34[[#This Row],[Italy cumul. Fit]]/Kf</f>
        <v>0.99210315718826647</v>
      </c>
      <c r="L171" s="166">
        <f>Tabella34[[#This Row],[Lombardy acc. fit]]+Tabella34[[#This Row],[rest of Italy acc. fit]]</f>
        <v>-8.2348472527451104</v>
      </c>
      <c r="M171" s="96">
        <f>Tabella34[[#This Row],[Italy (fitted Lombardy + fitted sum of the other regions)]]/(y_l_peak+y_a_peak)</f>
        <v>-1.603013668099844E-3</v>
      </c>
      <c r="N171" s="163">
        <f>IFERROR(Kt*_xlfn.LOGNORM.DIST((Tabella34[[#This Row],[Day]]-pt),mu_t,sigma_t,FALSE),0)</f>
        <v>124.13235667439514</v>
      </c>
      <c r="O171" s="163">
        <f>Kt*EXP(-0.5*Tabella34[[#This Row],[x_t]]^2)/(sigma_t*SQRTPI(2)*(Tabella34[[#This Row],[Day]]-D_bk))</f>
        <v>124.13235667439531</v>
      </c>
      <c r="P171" s="206">
        <f>Tabella34[[#This Row],[Italy velocity]]/Tabella34[[#This Row],[Italy cumul. Fit]]</f>
        <v>5.3242743424375698E-4</v>
      </c>
      <c r="Q171" s="269">
        <f>(LN(Tabella34[[#This Row],[Day]]-D_bk)-mu_t)/sigma_t</f>
        <v>2.4136486123936067</v>
      </c>
      <c r="R171" s="269">
        <f>EXP(mu_t+sigma_t*Tabella34[[#This Row],[x_t_alpha©+plus]])-(Tabella34[[#This Row],[Day]]-D_bk)</f>
        <v>10.381778472327596</v>
      </c>
      <c r="S171" s="269">
        <f>EXP(mu_t+sigma_t*Tabella34[[#This Row],[x_t_alpha©-minus]])-(Tabella34[[#This Row],[Day]]-D_bk)</f>
        <v>-109.74850708967882</v>
      </c>
      <c r="T171" s="269">
        <f>-sigma_t+SQRT(sigma_t^2-2*Tabella34[[#This Row],[c_t]])</f>
        <v>2.657278557447726</v>
      </c>
      <c r="U171" s="269">
        <f>-sigma_t-SQRT(sigma_t^2-2*Tabella34[[#This Row],[c_t]])</f>
        <v>-3.2765154633399636</v>
      </c>
      <c r="V171" s="269">
        <f>mu_t-LN(alpha*Kt/(Tabella34[[#This Row],[Italy velocity]]*sigma_t*SQRTPI(2)))</f>
        <v>-4.3533071419395926</v>
      </c>
      <c r="W171" s="269">
        <f>Tabella34[[#This Row],[Italy g.r.]]/Italy_gr_at_lockdown</f>
        <v>3.3665040558112226E-3</v>
      </c>
      <c r="X171" s="269">
        <f>Tabella34[[#This Row],[t_alpha_t+plus]]</f>
        <v>10.381778472327596</v>
      </c>
      <c r="Y171" s="269">
        <f>Tabella34[[#This Row],[Italy h.t.]]/Italy_ht_at_lockdown</f>
        <v>0.18489300950866064</v>
      </c>
      <c r="Z171" s="91">
        <f>IFERROR(-Kf*_xlfn.LOGNORM.DIST((Tabella34[[#This Row],[Day]]-D_bk),mu_f,sigma_f,FALSE)*(1+(LN((Tabella34[[#This Row],[Day]]-D_bk))-mu_f)/sigma_f^2)/(Tabella34[[#This Row],[Day]]-D_bk),0)</f>
        <v>-8.2398067357463614</v>
      </c>
      <c r="AA171" s="91">
        <f>Tabella34[[#This Row],[Italy acc. fit]]/Itali_acc_at_lockdown</f>
        <v>-3.3913288666401836E-2</v>
      </c>
      <c r="AB171" s="96">
        <f>Tabella34[[#This Row],[Italy acc. fit]]/y_f_peak</f>
        <v>-1.6279019276500826E-3</v>
      </c>
      <c r="AC171" s="163">
        <f>Tabella34[[#This Row],[Italy (fitted Lombardy + fitted sum of the other regions)]]*NOT(ISBLANK(Tabella34[[#This Row],[Italy data]]))</f>
        <v>0</v>
      </c>
      <c r="AD171" s="163">
        <f>Tabella34[[#This Row],[Italy acc. fit]]*NOT(ISBLANK(Tabella34[[#This Row],[Italy data]]))</f>
        <v>0</v>
      </c>
      <c r="AE171" s="96">
        <f>Tabella34[[#This Row],[Italy acc. fit]]+CIf</f>
        <v>1005.5231952845713</v>
      </c>
      <c r="AF171" s="96">
        <f>MAX(Tabella34[[#This Row],[Italy acc. fit]]-CIf,0)</f>
        <v>0</v>
      </c>
      <c r="AH171" s="10"/>
      <c r="AI171" s="10"/>
      <c r="AJ171" s="141">
        <f>Tabella34[[#This Row],[Lombardy data]]*NOT(ISBLANK(Tabella34[[#This Row],[Lombardy data]]))</f>
        <v>0</v>
      </c>
      <c r="AK171" s="96">
        <f>Tabella8[[#This Row],[Lombardy fit]]</f>
        <v>85971.628614863439</v>
      </c>
      <c r="AL171" s="163" t="e">
        <f>_xlfn.LOGNORM.INV(alpha*Tabella34[[#This Row],[Lombardy cumul. Fit]]/Kr,mu_r,sigma_r)-(Tabella34[[#This Row],[Day]]-pr)</f>
        <v>#NUM!</v>
      </c>
      <c r="AM171" s="96">
        <f>Tabella34[[#This Row],[Lombardy cumul. Fit]]/Kl</f>
        <v>0.98817963925130392</v>
      </c>
      <c r="AN171" s="96">
        <f>IFERROR(Kr*_xlfn.LOGNORM.DIST((Tabella34[[#This Row],[Day]]-pr),mu_r,sigma_r,FALSE),0)</f>
        <v>59.335147308776108</v>
      </c>
      <c r="AO171" s="209">
        <f>Tabella34[[#This Row],[Lombardy velocity]]/Tabella34[[#This Row],[Lombardy cumul. Fit]]</f>
        <v>6.9017126073749621E-4</v>
      </c>
      <c r="AP171" s="266">
        <f>(LN(Tabella34[[#This Row],[Day]]-pr)-mu_r)/sigma_r</f>
        <v>2.2629183744111208</v>
      </c>
      <c r="AQ171" s="269">
        <f>EXP(mu_r+sigma_r*Tabella34[[#This Row],[x_r_alpha©+plus]])-(Tabella34[[#This Row],[Day]]-pr)</f>
        <v>11.985878987877669</v>
      </c>
      <c r="AR171" s="269">
        <f>EXP(mu_r+sigma_r*Tabella34[[#This Row],[x_r_alpha©-minus]])-(Tabella34[[#This Row],[Day]]-pr)</f>
        <v>-112.08569433723638</v>
      </c>
      <c r="AS171" s="269">
        <f>-sigma_r+SQRT(sigma_r^2-2*Tabella34[[#This Row],[c_r]])</f>
        <v>2.5167921634482351</v>
      </c>
      <c r="AT171" s="269">
        <f>-sigma_r-SQRT(sigma_r^2-2*Tabella34[[#This Row],[c_r]])</f>
        <v>-3.1976467606419643</v>
      </c>
      <c r="AU171" s="269">
        <f>mu_r-LN(alpha*Kr/(Tabella34[[#This Row],[Lombardy velocity]]*sigma_r*SQRTPI(2)))</f>
        <v>-4.0239061543296648</v>
      </c>
      <c r="AV171" s="269">
        <f>Tabella34[[#This Row],[t_alpha_r+plus]]</f>
        <v>11.985878987877669</v>
      </c>
      <c r="AW171" s="91">
        <f>IFERROR(-Kl*_xlfn.LOGNORM.DIST((Tabella34[[#This Row],[Day]]-pl),mu_l,sigma_l,FALSE)*(1+(LN((Tabella34[[#This Row],[Day]]-pl))-mu_l)/sigma_l^2)/(Tabella34[[#This Row],[Day]]-pl),0)</f>
        <v>-3.4173862444345571</v>
      </c>
      <c r="AX171" s="96">
        <f>Tabella34[[#This Row],[Lombardy acc. fit]]/y_l_peak</f>
        <v>-1.9439560572542599E-3</v>
      </c>
      <c r="AY171" s="163">
        <f>Tabella34[[#This Row],[Lombardy acc. fit]]*NOT(ISBLANK(Tabella34[[#This Row],[Lombardy data]]))</f>
        <v>0</v>
      </c>
      <c r="AZ171" s="96">
        <f>Tabella34[[#This Row],[Lombardy acc. fit]]+CIl</f>
        <v>745.53798555918911</v>
      </c>
      <c r="BA171" s="96">
        <f>MAX(Tabella34[[#This Row],[Lombardy acc. fit]]-CIl,0)</f>
        <v>0</v>
      </c>
      <c r="BC171" s="10"/>
      <c r="BD171" s="10"/>
      <c r="BE171" s="96">
        <f>Tabella34[[#This Row],[rest of Italy data]]*NOT(ISBLANK(Tabella34[[#This Row],[rest of Italy data]]))</f>
        <v>0</v>
      </c>
      <c r="BF171" s="96">
        <f>Tabella8[[#This Row],[rest of Italy fit]]</f>
        <v>146976.64225403685</v>
      </c>
      <c r="BG171" s="163" t="e">
        <f>_xlfn.LOGNORM.INV(alpha*Tabella34[[#This Row],[rest of Italy cumul. Fit]]/Ko,mu_o,sigma_o)-(Tabella34[[#This Row],[Day]]-po)</f>
        <v>#NUM!</v>
      </c>
      <c r="BH171" s="96">
        <f>Tabella34[[#This Row],[rest of Italy cumul. Fit]]/Ka</f>
        <v>0.99308553624196627</v>
      </c>
      <c r="BI171" s="163">
        <f>IFERROR(Ko*_xlfn.LOGNORM.DIST((Tabella34[[#This Row],[Day]]-po),mu_o,sigma_o,FALSE),0)</f>
        <v>70.272527817534595</v>
      </c>
      <c r="BJ171" s="206">
        <f>Tabella34[[#This Row],[rest of Italy velocity]]/Tabella34[[#This Row],[rest of Italy cumul. Fit]]</f>
        <v>4.7812037844812376E-4</v>
      </c>
      <c r="BK171" s="261">
        <f>(LN(Tabella34[[#This Row],[Day]]-po)-mu_o)/sigma_o</f>
        <v>2.4616766593921056</v>
      </c>
      <c r="BL171" s="269">
        <f>EXP(mu_o+sigma_o*Tabella34[[#This Row],[x_o_alpha©+plus]])-(Tabella34[[#This Row],[Day]]-po)</f>
        <v>10.07690216528708</v>
      </c>
      <c r="BM171" s="269">
        <f>EXP(mu_o+sigma_o*Tabella34[[#This Row],[x_o_alpha©-minus]])-(Tabella34[[#This Row],[Day]]-po)</f>
        <v>-106.74672106630403</v>
      </c>
      <c r="BN171" s="269">
        <f>-sigma_o+SQRT(sigma_o^2-2*Tabella34[[#This Row],[c_o]])</f>
        <v>2.7004816643093865</v>
      </c>
      <c r="BO171" s="269">
        <f>-sigma_o-SQRT(sigma_o^2-2*Tabella34[[#This Row],[c_o]])</f>
        <v>-3.3434544416084129</v>
      </c>
      <c r="BP171" s="269">
        <f>mu_o-LN(alpha*Ko/(Tabella34[[#This Row],[rest of Italy velocity]]*sigma_o*SQRTPI(2)))</f>
        <v>-4.5144687075086489</v>
      </c>
      <c r="BQ171" s="269">
        <f>Tabella34[[#This Row],[t_alpha_o+plus]]</f>
        <v>10.07690216528708</v>
      </c>
      <c r="BR171" s="91">
        <f>IFERROR(-Ka*_xlfn.LOGNORM.DIST((Tabella34[[#This Row],[Day]]-pa),mu_a,sigma_a,FALSE)*(1+(LN((Tabella34[[#This Row],[Day]]-pa))-mu_a)/sigma_a^2)/(Tabella34[[#This Row],[Day]]-pa),0)</f>
        <v>-4.8174610083105529</v>
      </c>
      <c r="BS171" s="96">
        <f>Tabella34[[#This Row],[rest of Italy acc. fit]]/y_a_peak</f>
        <v>-1.4256432181262645E-3</v>
      </c>
      <c r="BT171" s="141">
        <f>Tabella34[[#This Row],[rest of Italy acc. fit]]*NOT(ISBLANK(Tabella34[[#This Row],[rest of Italy data]]))</f>
        <v>0</v>
      </c>
      <c r="BU171" s="212"/>
      <c r="BV171" s="142"/>
    </row>
    <row r="172" spans="2:74" x14ac:dyDescent="0.3">
      <c r="B172" s="288">
        <v>43995</v>
      </c>
      <c r="C172" s="4">
        <v>165</v>
      </c>
      <c r="E172" s="10"/>
      <c r="F172" s="10"/>
      <c r="G172" s="141">
        <f>Tabella34[[#This Row],[Italy data]]*NOT(ISBLANK(Tabella34[[#This Row],[Italy data]]))</f>
        <v>0</v>
      </c>
      <c r="H172" s="163">
        <f>Tabella8[[#This Row],[Italy fit]]</f>
        <v>233264.27863844397</v>
      </c>
      <c r="I172" s="163" t="e">
        <f>_xlfn.LOGNORM.INV(alpha*Tabella34[[#This Row],[Italy cumul. Fit]]/Kt,mu_t,sigma_t)-(Tabella34[[#This Row],[Day]]-pt)</f>
        <v>#NUM!</v>
      </c>
      <c r="J172" s="163" t="e">
        <f>Tabella34[[#This Row],[Italy d.t.]]/Italy_dt_at_lockdown</f>
        <v>#NUM!</v>
      </c>
      <c r="K172" s="96">
        <f>Tabella34[[#This Row],[Italy cumul. Fit]]/Kf</f>
        <v>0.99261422249173203</v>
      </c>
      <c r="L172" s="166">
        <f>Tabella34[[#This Row],[Lombardy acc. fit]]+Tabella34[[#This Row],[rest of Italy acc. fit]]</f>
        <v>-7.7311626373687279</v>
      </c>
      <c r="M172" s="96">
        <f>Tabella34[[#This Row],[Italy (fitted Lombardy + fitted sum of the other regions)]]/(y_l_peak+y_a_peak)</f>
        <v>-1.5049653014357507E-3</v>
      </c>
      <c r="N172" s="163">
        <f>IFERROR(Kt*_xlfn.LOGNORM.DIST((Tabella34[[#This Row],[Day]]-pt),mu_t,sigma_t,FALSE),0)</f>
        <v>116.15477544076585</v>
      </c>
      <c r="O172" s="163">
        <f>Kt*EXP(-0.5*Tabella34[[#This Row],[x_t]]^2)/(sigma_t*SQRTPI(2)*(Tabella34[[#This Row],[Day]]-D_bk))</f>
        <v>116.15477544076579</v>
      </c>
      <c r="P172" s="206">
        <f>Tabella34[[#This Row],[Italy velocity]]/Tabella34[[#This Row],[Italy cumul. Fit]]</f>
        <v>4.9795354916216711E-4</v>
      </c>
      <c r="Q172" s="269">
        <f>(LN(Tabella34[[#This Row],[Day]]-D_bk)-mu_t)/sigma_t</f>
        <v>2.4379319362789063</v>
      </c>
      <c r="R172" s="269">
        <f>EXP(mu_t+sigma_t*Tabella34[[#This Row],[x_t_alpha©+plus]])-(Tabella34[[#This Row],[Day]]-D_bk)</f>
        <v>10.371964949006838</v>
      </c>
      <c r="S172" s="269">
        <f>EXP(mu_t+sigma_t*Tabella34[[#This Row],[x_t_alpha©-minus]])-(Tabella34[[#This Row],[Day]]-D_bk)</f>
        <v>-110.90511968044918</v>
      </c>
      <c r="T172" s="269">
        <f>-sigma_t+SQRT(sigma_t^2-2*Tabella34[[#This Row],[c_t]])</f>
        <v>2.67958336400276</v>
      </c>
      <c r="U172" s="269">
        <f>-sigma_t-SQRT(sigma_t^2-2*Tabella34[[#This Row],[c_t]])</f>
        <v>-3.2988202698949975</v>
      </c>
      <c r="V172" s="269">
        <f>mu_t-LN(alpha*Kt/(Tabella34[[#This Row],[Italy velocity]]*sigma_t*SQRTPI(2)))</f>
        <v>-4.4197319580228642</v>
      </c>
      <c r="W172" s="269">
        <f>Tabella34[[#This Row],[Italy g.r.]]/Italy_gr_at_lockdown</f>
        <v>3.1485279214454468E-3</v>
      </c>
      <c r="X172" s="269">
        <f>Tabella34[[#This Row],[t_alpha_t+plus]]</f>
        <v>10.371964949006838</v>
      </c>
      <c r="Y172" s="269">
        <f>Tabella34[[#This Row],[Italy h.t.]]/Italy_ht_at_lockdown</f>
        <v>0.18471823676952978</v>
      </c>
      <c r="Z172" s="91">
        <f>IFERROR(-Kf*_xlfn.LOGNORM.DIST((Tabella34[[#This Row],[Day]]-D_bk),mu_f,sigma_f,FALSE)*(1+(LN((Tabella34[[#This Row],[Day]]-D_bk))-mu_f)/sigma_f^2)/(Tabella34[[#This Row],[Day]]-D_bk),0)</f>
        <v>-7.7207458236330249</v>
      </c>
      <c r="AA172" s="91">
        <f>Tabella34[[#This Row],[Italy acc. fit]]/Itali_acc_at_lockdown</f>
        <v>-3.1776944561196202E-2</v>
      </c>
      <c r="AB172" s="96">
        <f>Tabella34[[#This Row],[Italy acc. fit]]/y_f_peak</f>
        <v>-1.5253533744502396E-3</v>
      </c>
      <c r="AC172" s="163">
        <f>Tabella34[[#This Row],[Italy (fitted Lombardy + fitted sum of the other regions)]]*NOT(ISBLANK(Tabella34[[#This Row],[Italy data]]))</f>
        <v>0</v>
      </c>
      <c r="AD172" s="163">
        <f>Tabella34[[#This Row],[Italy acc. fit]]*NOT(ISBLANK(Tabella34[[#This Row],[Italy data]]))</f>
        <v>0</v>
      </c>
      <c r="AE172" s="96">
        <f>Tabella34[[#This Row],[Italy acc. fit]]+CIf</f>
        <v>1006.0422561966847</v>
      </c>
      <c r="AF172" s="96">
        <f>MAX(Tabella34[[#This Row],[Italy acc. fit]]-CIf,0)</f>
        <v>0</v>
      </c>
      <c r="AH172" s="10"/>
      <c r="AI172" s="10"/>
      <c r="AJ172" s="141">
        <f>Tabella34[[#This Row],[Lombardy data]]*NOT(ISBLANK(Tabella34[[#This Row],[Lombardy data]]))</f>
        <v>0</v>
      </c>
      <c r="AK172" s="96">
        <f>Tabella8[[#This Row],[Lombardy fit]]</f>
        <v>86029.286889247014</v>
      </c>
      <c r="AL172" s="163" t="e">
        <f>_xlfn.LOGNORM.INV(alpha*Tabella34[[#This Row],[Lombardy cumul. Fit]]/Kr,mu_r,sigma_r)-(Tabella34[[#This Row],[Day]]-pr)</f>
        <v>#NUM!</v>
      </c>
      <c r="AM172" s="96">
        <f>Tabella34[[#This Row],[Lombardy cumul. Fit]]/Kl</f>
        <v>0.988842378037322</v>
      </c>
      <c r="AN172" s="96">
        <f>IFERROR(Kr*_xlfn.LOGNORM.DIST((Tabella34[[#This Row],[Day]]-pr),mu_r,sigma_r,FALSE),0)</f>
        <v>56.012792819164844</v>
      </c>
      <c r="AO172" s="209">
        <f>Tabella34[[#This Row],[Lombardy velocity]]/Tabella34[[#This Row],[Lombardy cumul. Fit]]</f>
        <v>6.5108981888080722E-4</v>
      </c>
      <c r="AP172" s="266">
        <f>(LN(Tabella34[[#This Row],[Day]]-pr)-mu_r)/sigma_r</f>
        <v>2.2849587958722197</v>
      </c>
      <c r="AQ172" s="269">
        <f>EXP(mu_r+sigma_r*Tabella34[[#This Row],[x_r_alpha©+plus]])-(Tabella34[[#This Row],[Day]]-pr)</f>
        <v>11.979654746979065</v>
      </c>
      <c r="AR172" s="269">
        <f>EXP(mu_r+sigma_r*Tabella34[[#This Row],[x_r_alpha©-minus]])-(Tabella34[[#This Row],[Day]]-pr)</f>
        <v>-113.22677322497458</v>
      </c>
      <c r="AS172" s="269">
        <f>-sigma_r+SQRT(sigma_r^2-2*Tabella34[[#This Row],[c_r]])</f>
        <v>2.5368885523572016</v>
      </c>
      <c r="AT172" s="269">
        <f>-sigma_r-SQRT(sigma_r^2-2*Tabella34[[#This Row],[c_r]])</f>
        <v>-3.2177431495509308</v>
      </c>
      <c r="AU172" s="269">
        <f>mu_r-LN(alpha*Kr/(Tabella34[[#This Row],[Lombardy velocity]]*sigma_r*SQRTPI(2)))</f>
        <v>-4.0815278802607819</v>
      </c>
      <c r="AV172" s="269">
        <f>Tabella34[[#This Row],[t_alpha_r+plus]]</f>
        <v>11.979654746979065</v>
      </c>
      <c r="AW172" s="91">
        <f>IFERROR(-Kl*_xlfn.LOGNORM.DIST((Tabella34[[#This Row],[Day]]-pl),mu_l,sigma_l,FALSE)*(1+(LN((Tabella34[[#This Row],[Day]]-pl))-mu_l)/sigma_l^2)/(Tabella34[[#This Row],[Day]]-pl),0)</f>
        <v>-3.2290296350408356</v>
      </c>
      <c r="AX172" s="96">
        <f>Tabella34[[#This Row],[Lombardy acc. fit]]/y_l_peak</f>
        <v>-1.8368107287590947E-3</v>
      </c>
      <c r="AY172" s="163">
        <f>Tabella34[[#This Row],[Lombardy acc. fit]]*NOT(ISBLANK(Tabella34[[#This Row],[Lombardy data]]))</f>
        <v>0</v>
      </c>
      <c r="AZ172" s="96">
        <f>Tabella34[[#This Row],[Lombardy acc. fit]]+CIl</f>
        <v>745.72634216858273</v>
      </c>
      <c r="BA172" s="96">
        <f>MAX(Tabella34[[#This Row],[Lombardy acc. fit]]-CIl,0)</f>
        <v>0</v>
      </c>
      <c r="BC172" s="10"/>
      <c r="BD172" s="10"/>
      <c r="BE172" s="96">
        <f>Tabella34[[#This Row],[rest of Italy data]]*NOT(ISBLANK(Tabella34[[#This Row],[rest of Italy data]]))</f>
        <v>0</v>
      </c>
      <c r="BF172" s="96">
        <f>Tabella8[[#This Row],[rest of Italy fit]]</f>
        <v>147044.55946899249</v>
      </c>
      <c r="BG172" s="163" t="e">
        <f>_xlfn.LOGNORM.INV(alpha*Tabella34[[#This Row],[rest of Italy cumul. Fit]]/Ko,mu_o,sigma_o)-(Tabella34[[#This Row],[Day]]-po)</f>
        <v>#NUM!</v>
      </c>
      <c r="BH172" s="96">
        <f>Tabella34[[#This Row],[rest of Italy cumul. Fit]]/Ka</f>
        <v>0.99354443639643919</v>
      </c>
      <c r="BI172" s="163">
        <f>IFERROR(Ko*_xlfn.LOGNORM.DIST((Tabella34[[#This Row],[Day]]-po),mu_o,sigma_o,FALSE),0)</f>
        <v>65.61445324525765</v>
      </c>
      <c r="BJ172" s="206">
        <f>Tabella34[[#This Row],[rest of Italy velocity]]/Tabella34[[#This Row],[rest of Italy cumul. Fit]]</f>
        <v>4.4622156360088841E-4</v>
      </c>
      <c r="BK172" s="261">
        <f>(LN(Tabella34[[#This Row],[Day]]-po)-mu_o)/sigma_o</f>
        <v>2.4862113222633488</v>
      </c>
      <c r="BL172" s="269">
        <f>EXP(mu_o+sigma_o*Tabella34[[#This Row],[x_o_alpha©+plus]])-(Tabella34[[#This Row],[Day]]-po)</f>
        <v>10.071722240311303</v>
      </c>
      <c r="BM172" s="269">
        <f>EXP(mu_o+sigma_o*Tabella34[[#This Row],[x_o_alpha©-minus]])-(Tabella34[[#This Row],[Day]]-po)</f>
        <v>-107.88821397688704</v>
      </c>
      <c r="BN172" s="269">
        <f>-sigma_o+SQRT(sigma_o^2-2*Tabella34[[#This Row],[c_o]])</f>
        <v>2.7230925308375831</v>
      </c>
      <c r="BO172" s="269">
        <f>-sigma_o-SQRT(sigma_o^2-2*Tabella34[[#This Row],[c_o]])</f>
        <v>-3.3660653081366094</v>
      </c>
      <c r="BP172" s="269">
        <f>mu_o-LN(alpha*Ko/(Tabella34[[#This Row],[rest of Italy velocity]]*sigma_o*SQRTPI(2)))</f>
        <v>-4.5830536494491545</v>
      </c>
      <c r="BQ172" s="269">
        <f>Tabella34[[#This Row],[t_alpha_o+plus]]</f>
        <v>10.071722240311303</v>
      </c>
      <c r="BR172" s="91">
        <f>IFERROR(-Ka*_xlfn.LOGNORM.DIST((Tabella34[[#This Row],[Day]]-pa),mu_a,sigma_a,FALSE)*(1+(LN((Tabella34[[#This Row],[Day]]-pa))-mu_a)/sigma_a^2)/(Tabella34[[#This Row],[Day]]-pa),0)</f>
        <v>-4.5021330023278923</v>
      </c>
      <c r="BS172" s="96">
        <f>Tabella34[[#This Row],[rest of Italy acc. fit]]/y_a_peak</f>
        <v>-1.3323274170354094E-3</v>
      </c>
      <c r="BT172" s="141">
        <f>Tabella34[[#This Row],[rest of Italy acc. fit]]*NOT(ISBLANK(Tabella34[[#This Row],[rest of Italy data]]))</f>
        <v>0</v>
      </c>
      <c r="BU172" s="212"/>
      <c r="BV172" s="142"/>
    </row>
    <row r="173" spans="2:74" x14ac:dyDescent="0.3">
      <c r="B173" s="288">
        <v>43996</v>
      </c>
      <c r="C173" s="4">
        <v>166</v>
      </c>
      <c r="E173" s="10"/>
      <c r="F173" s="10"/>
      <c r="G173" s="141">
        <f>Tabella34[[#This Row],[Italy data]]*NOT(ISBLANK(Tabella34[[#This Row],[Italy data]]))</f>
        <v>0</v>
      </c>
      <c r="H173" s="163">
        <f>Tabella8[[#This Row],[Italy fit]]</f>
        <v>233376.65558705977</v>
      </c>
      <c r="I173" s="163" t="e">
        <f>_xlfn.LOGNORM.INV(alpha*Tabella34[[#This Row],[Italy cumul. Fit]]/Kt,mu_t,sigma_t)-(Tabella34[[#This Row],[Day]]-pt)</f>
        <v>#NUM!</v>
      </c>
      <c r="J173" s="163" t="e">
        <f>Tabella34[[#This Row],[Italy d.t.]]/Italy_dt_at_lockdown</f>
        <v>#NUM!</v>
      </c>
      <c r="K173" s="96">
        <f>Tabella34[[#This Row],[Italy cumul. Fit]]/Kf</f>
        <v>0.99309242240355455</v>
      </c>
      <c r="L173" s="166">
        <f>Tabella34[[#This Row],[Lombardy acc. fit]]+Tabella34[[#This Row],[rest of Italy acc. fit]]</f>
        <v>-7.2575180307248175</v>
      </c>
      <c r="M173" s="96">
        <f>Tabella34[[#This Row],[Italy (fitted Lombardy + fitted sum of the other regions)]]/(y_l_peak+y_a_peak)</f>
        <v>-1.4127645896351935E-3</v>
      </c>
      <c r="N173" s="163">
        <f>IFERROR(Kt*_xlfn.LOGNORM.DIST((Tabella34[[#This Row],[Day]]-pt),mu_t,sigma_t,FALSE),0)</f>
        <v>108.68038813554175</v>
      </c>
      <c r="O173" s="163">
        <f>Kt*EXP(-0.5*Tabella34[[#This Row],[x_t]]^2)/(sigma_t*SQRTPI(2)*(Tabella34[[#This Row],[Day]]-D_bk))</f>
        <v>108.68038813554182</v>
      </c>
      <c r="P173" s="206">
        <f>Tabella34[[#This Row],[Italy velocity]]/Tabella34[[#This Row],[Italy cumul. Fit]]</f>
        <v>4.6568662946238503E-4</v>
      </c>
      <c r="Q173" s="269">
        <f>(LN(Tabella34[[#This Row],[Day]]-D_bk)-mu_t)/sigma_t</f>
        <v>2.4620340460339052</v>
      </c>
      <c r="R173" s="269">
        <f>EXP(mu_t+sigma_t*Tabella34[[#This Row],[x_t_alpha©+plus]])-(Tabella34[[#This Row],[Day]]-D_bk)</f>
        <v>10.362904907744536</v>
      </c>
      <c r="S173" s="269">
        <f>EXP(mu_t+sigma_t*Tabella34[[#This Row],[x_t_alpha©-minus]])-(Tabella34[[#This Row],[Day]]-D_bk)</f>
        <v>-112.05970807202253</v>
      </c>
      <c r="T173" s="269">
        <f>-sigma_t+SQRT(sigma_t^2-2*Tabella34[[#This Row],[c_t]])</f>
        <v>2.7017519886007366</v>
      </c>
      <c r="U173" s="269">
        <f>-sigma_t-SQRT(sigma_t^2-2*Tabella34[[#This Row],[c_t]])</f>
        <v>-3.3209888944929742</v>
      </c>
      <c r="V173" s="269">
        <f>mu_t-LN(alpha*Kt/(Tabella34[[#This Row],[Italy velocity]]*sigma_t*SQRTPI(2)))</f>
        <v>-4.4862441749086779</v>
      </c>
      <c r="W173" s="269">
        <f>Tabella34[[#This Row],[Italy g.r.]]/Italy_gr_at_lockdown</f>
        <v>2.9445062857231231E-3</v>
      </c>
      <c r="X173" s="269">
        <f>Tabella34[[#This Row],[t_alpha_t+plus]]</f>
        <v>10.362904907744536</v>
      </c>
      <c r="Y173" s="269">
        <f>Tabella34[[#This Row],[Italy h.t.]]/Italy_ht_at_lockdown</f>
        <v>0.18455688307664136</v>
      </c>
      <c r="Z173" s="91">
        <f>IFERROR(-Kf*_xlfn.LOGNORM.DIST((Tabella34[[#This Row],[Day]]-D_bk),mu_f,sigma_f,FALSE)*(1+(LN((Tabella34[[#This Row],[Day]]-D_bk))-mu_f)/sigma_f^2)/(Tabella34[[#This Row],[Day]]-D_bk),0)</f>
        <v>-7.2331184135505175</v>
      </c>
      <c r="AA173" s="91">
        <f>Tabella34[[#This Row],[Italy acc. fit]]/Itali_acc_at_lockdown</f>
        <v>-2.9769974052041411E-2</v>
      </c>
      <c r="AB173" s="96">
        <f>Tabella34[[#This Row],[Italy acc. fit]]/y_f_peak</f>
        <v>-1.4290149982836501E-3</v>
      </c>
      <c r="AC173" s="163">
        <f>Tabella34[[#This Row],[Italy (fitted Lombardy + fitted sum of the other regions)]]*NOT(ISBLANK(Tabella34[[#This Row],[Italy data]]))</f>
        <v>0</v>
      </c>
      <c r="AD173" s="163">
        <f>Tabella34[[#This Row],[Italy acc. fit]]*NOT(ISBLANK(Tabella34[[#This Row],[Italy data]]))</f>
        <v>0</v>
      </c>
      <c r="AE173" s="96">
        <f>Tabella34[[#This Row],[Italy acc. fit]]+CIf</f>
        <v>1006.5298836067672</v>
      </c>
      <c r="AF173" s="96">
        <f>MAX(Tabella34[[#This Row],[Italy acc. fit]]-CIf,0)</f>
        <v>0</v>
      </c>
      <c r="AH173" s="10"/>
      <c r="AI173" s="10"/>
      <c r="AJ173" s="141">
        <f>Tabella34[[#This Row],[Lombardy data]]*NOT(ISBLANK(Tabella34[[#This Row],[Lombardy data]]))</f>
        <v>0</v>
      </c>
      <c r="AK173" s="96">
        <f>Tabella8[[#This Row],[Lombardy fit]]</f>
        <v>86083.71530143969</v>
      </c>
      <c r="AL173" s="163" t="e">
        <f>_xlfn.LOGNORM.INV(alpha*Tabella34[[#This Row],[Lombardy cumul. Fit]]/Kr,mu_r,sigma_r)-(Tabella34[[#This Row],[Day]]-pr)</f>
        <v>#NUM!</v>
      </c>
      <c r="AM173" s="96">
        <f>Tabella34[[#This Row],[Lombardy cumul. Fit]]/Kl</f>
        <v>0.98946799197057111</v>
      </c>
      <c r="AN173" s="96">
        <f>IFERROR(Kr*_xlfn.LOGNORM.DIST((Tabella34[[#This Row],[Day]]-pr),mu_r,sigma_r,FALSE),0)</f>
        <v>52.87375770689097</v>
      </c>
      <c r="AO173" s="209">
        <f>Tabella34[[#This Row],[Lombardy velocity]]/Tabella34[[#This Row],[Lombardy cumul. Fit]]</f>
        <v>6.1421324023646891E-4</v>
      </c>
      <c r="AP173" s="266">
        <f>(LN(Tabella34[[#This Row],[Day]]-pr)-mu_r)/sigma_r</f>
        <v>2.3068350753192028</v>
      </c>
      <c r="AQ173" s="269">
        <f>EXP(mu_r+sigma_r*Tabella34[[#This Row],[x_r_alpha©+plus]])-(Tabella34[[#This Row],[Day]]-pr)</f>
        <v>11.97417223195464</v>
      </c>
      <c r="AR173" s="269">
        <f>EXP(mu_r+sigma_r*Tabella34[[#This Row],[x_r_alpha©-minus]])-(Tabella34[[#This Row],[Day]]-pr)</f>
        <v>-114.36604455260198</v>
      </c>
      <c r="AS173" s="269">
        <f>-sigma_r+SQRT(sigma_r^2-2*Tabella34[[#This Row],[c_r]])</f>
        <v>2.5568632352418841</v>
      </c>
      <c r="AT173" s="269">
        <f>-sigma_r-SQRT(sigma_r^2-2*Tabella34[[#This Row],[c_r]])</f>
        <v>-3.2377178324356133</v>
      </c>
      <c r="AU173" s="269">
        <f>mu_r-LN(alpha*Kr/(Tabella34[[#This Row],[Lombardy velocity]]*sigma_r*SQRTPI(2)))</f>
        <v>-4.1392008459208318</v>
      </c>
      <c r="AV173" s="269">
        <f>Tabella34[[#This Row],[t_alpha_r+plus]]</f>
        <v>11.97417223195464</v>
      </c>
      <c r="AW173" s="91">
        <f>IFERROR(-Kl*_xlfn.LOGNORM.DIST((Tabella34[[#This Row],[Day]]-pl),mu_l,sigma_l,FALSE)*(1+(LN((Tabella34[[#This Row],[Day]]-pl))-mu_l)/sigma_l^2)/(Tabella34[[#This Row],[Day]]-pl),0)</f>
        <v>-3.0506646712296752</v>
      </c>
      <c r="AX173" s="96">
        <f>Tabella34[[#This Row],[Lombardy acc. fit]]/y_l_peak</f>
        <v>-1.7353490773676778E-3</v>
      </c>
      <c r="AY173" s="163">
        <f>Tabella34[[#This Row],[Lombardy acc. fit]]*NOT(ISBLANK(Tabella34[[#This Row],[Lombardy data]]))</f>
        <v>0</v>
      </c>
      <c r="AZ173" s="96">
        <f>Tabella34[[#This Row],[Lombardy acc. fit]]+CIl</f>
        <v>745.90470713239392</v>
      </c>
      <c r="BA173" s="96">
        <f>MAX(Tabella34[[#This Row],[Lombardy acc. fit]]-CIl,0)</f>
        <v>0</v>
      </c>
      <c r="BC173" s="10"/>
      <c r="BD173" s="10"/>
      <c r="BE173" s="96">
        <f>Tabella34[[#This Row],[rest of Italy data]]*NOT(ISBLANK(Tabella34[[#This Row],[rest of Italy data]]))</f>
        <v>0</v>
      </c>
      <c r="BF173" s="96">
        <f>Tabella8[[#This Row],[rest of Italy fit]]</f>
        <v>147107.97288052144</v>
      </c>
      <c r="BG173" s="163" t="e">
        <f>_xlfn.LOGNORM.INV(alpha*Tabella34[[#This Row],[rest of Italy cumul. Fit]]/Ko,mu_o,sigma_o)-(Tabella34[[#This Row],[Day]]-po)</f>
        <v>#NUM!</v>
      </c>
      <c r="BH173" s="96">
        <f>Tabella34[[#This Row],[rest of Italy cumul. Fit]]/Ka</f>
        <v>0.9939729054431351</v>
      </c>
      <c r="BI173" s="163">
        <f>IFERROR(Ko*_xlfn.LOGNORM.DIST((Tabella34[[#This Row],[Day]]-po),mu_o,sigma_o,FALSE),0)</f>
        <v>61.261579751984854</v>
      </c>
      <c r="BJ173" s="206">
        <f>Tabella34[[#This Row],[rest of Italy velocity]]/Tabella34[[#This Row],[rest of Italy cumul. Fit]]</f>
        <v>4.164395617206992E-4</v>
      </c>
      <c r="BK173" s="261">
        <f>(LN(Tabella34[[#This Row],[Day]]-po)-mu_o)/sigma_o</f>
        <v>2.5105539799697478</v>
      </c>
      <c r="BL173" s="269">
        <f>EXP(mu_o+sigma_o*Tabella34[[#This Row],[x_o_alpha©+plus]])-(Tabella34[[#This Row],[Day]]-po)</f>
        <v>10.06722953588411</v>
      </c>
      <c r="BM173" s="269">
        <f>EXP(mu_o+sigma_o*Tabella34[[#This Row],[x_o_alpha©-minus]])-(Tabella34[[#This Row],[Day]]-po)</f>
        <v>-109.02776767973992</v>
      </c>
      <c r="BN173" s="269">
        <f>-sigma_o+SQRT(sigma_o^2-2*Tabella34[[#This Row],[c_o]])</f>
        <v>2.7455556734371824</v>
      </c>
      <c r="BO173" s="269">
        <f>-sigma_o-SQRT(sigma_o^2-2*Tabella34[[#This Row],[c_o]])</f>
        <v>-3.3885284507362088</v>
      </c>
      <c r="BP173" s="269">
        <f>mu_o-LN(alpha*Ko/(Tabella34[[#This Row],[rest of Italy velocity]]*sigma_o*SQRTPI(2)))</f>
        <v>-4.6516967562610523</v>
      </c>
      <c r="BQ173" s="269">
        <f>Tabella34[[#This Row],[t_alpha_o+plus]]</f>
        <v>10.06722953588411</v>
      </c>
      <c r="BR173" s="91">
        <f>IFERROR(-Ka*_xlfn.LOGNORM.DIST((Tabella34[[#This Row],[Day]]-pa),mu_a,sigma_a,FALSE)*(1+(LN((Tabella34[[#This Row],[Day]]-pa))-mu_a)/sigma_a^2)/(Tabella34[[#This Row],[Day]]-pa),0)</f>
        <v>-4.2068533594951427</v>
      </c>
      <c r="BS173" s="96">
        <f>Tabella34[[#This Row],[rest of Italy acc. fit]]/y_a_peak</f>
        <v>-1.2449445779155793E-3</v>
      </c>
      <c r="BT173" s="141">
        <f>Tabella34[[#This Row],[rest of Italy acc. fit]]*NOT(ISBLANK(Tabella34[[#This Row],[rest of Italy data]]))</f>
        <v>0</v>
      </c>
      <c r="BU173" s="212"/>
      <c r="BV173" s="142"/>
    </row>
    <row r="174" spans="2:74" x14ac:dyDescent="0.3">
      <c r="B174" s="288">
        <v>43997</v>
      </c>
      <c r="C174" s="4">
        <v>167</v>
      </c>
      <c r="E174" s="10"/>
      <c r="F174" s="10"/>
      <c r="G174" s="141">
        <f>Tabella34[[#This Row],[Italy data]]*NOT(ISBLANK(Tabella34[[#This Row],[Italy data]]))</f>
        <v>0</v>
      </c>
      <c r="H174" s="163">
        <f>Tabella8[[#This Row],[Italy fit]]</f>
        <v>233481.796944876</v>
      </c>
      <c r="I174" s="163" t="e">
        <f>_xlfn.LOGNORM.INV(alpha*Tabella34[[#This Row],[Italy cumul. Fit]]/Kt,mu_t,sigma_t)-(Tabella34[[#This Row],[Day]]-pt)</f>
        <v>#NUM!</v>
      </c>
      <c r="J174" s="163" t="e">
        <f>Tabella34[[#This Row],[Italy d.t.]]/Italy_dt_at_lockdown</f>
        <v>#NUM!</v>
      </c>
      <c r="K174" s="96">
        <f>Tabella34[[#This Row],[Italy cumul. Fit]]/Kf</f>
        <v>0.99353983255889278</v>
      </c>
      <c r="L174" s="166">
        <f>Tabella34[[#This Row],[Lombardy acc. fit]]+Tabella34[[#This Row],[rest of Italy acc. fit]]</f>
        <v>-6.8122255962777647</v>
      </c>
      <c r="M174" s="96">
        <f>Tabella34[[#This Row],[Italy (fitted Lombardy + fitted sum of the other regions)]]/(y_l_peak+y_a_peak)</f>
        <v>-1.3260829746869467E-3</v>
      </c>
      <c r="N174" s="163">
        <f>IFERROR(Kt*_xlfn.LOGNORM.DIST((Tabella34[[#This Row],[Day]]-pt),mu_t,sigma_t,FALSE),0)</f>
        <v>101.67864860865541</v>
      </c>
      <c r="O174" s="163">
        <f>Kt*EXP(-0.5*Tabella34[[#This Row],[x_t]]^2)/(sigma_t*SQRTPI(2)*(Tabella34[[#This Row],[Day]]-D_bk))</f>
        <v>101.67864860865545</v>
      </c>
      <c r="P174" s="206">
        <f>Tabella34[[#This Row],[Italy velocity]]/Tabella34[[#This Row],[Italy cumul. Fit]]</f>
        <v>4.3548854745477773E-4</v>
      </c>
      <c r="Q174" s="269">
        <f>(LN(Tabella34[[#This Row],[Day]]-D_bk)-mu_t)/sigma_t</f>
        <v>2.4859576262554852</v>
      </c>
      <c r="R174" s="269">
        <f>EXP(mu_t+sigma_t*Tabella34[[#This Row],[x_t_alpha©+plus]])-(Tabella34[[#This Row],[Day]]-D_bk)</f>
        <v>10.354571183581754</v>
      </c>
      <c r="S174" s="269">
        <f>EXP(mu_t+sigma_t*Tabella34[[#This Row],[x_t_alpha©-minus]])-(Tabella34[[#This Row],[Day]]-D_bk)</f>
        <v>-113.21230697296593</v>
      </c>
      <c r="T174" s="269">
        <f>-sigma_t+SQRT(sigma_t^2-2*Tabella34[[#This Row],[c_t]])</f>
        <v>2.7237855715326686</v>
      </c>
      <c r="U174" s="269">
        <f>-sigma_t-SQRT(sigma_t^2-2*Tabella34[[#This Row],[c_t]])</f>
        <v>-3.3430224774249062</v>
      </c>
      <c r="V174" s="269">
        <f>mu_t-LN(alpha*Kt/(Tabella34[[#This Row],[Italy velocity]]*sigma_t*SQRTPI(2)))</f>
        <v>-4.5528381946596772</v>
      </c>
      <c r="W174" s="269">
        <f>Tabella34[[#This Row],[Italy g.r.]]/Italy_gr_at_lockdown</f>
        <v>2.7535657762418125E-3</v>
      </c>
      <c r="X174" s="269">
        <f>Tabella34[[#This Row],[t_alpha_t+plus]]</f>
        <v>10.354571183581754</v>
      </c>
      <c r="Y174" s="269">
        <f>Tabella34[[#This Row],[Italy h.t.]]/Italy_ht_at_lockdown</f>
        <v>0.18440846463899324</v>
      </c>
      <c r="Z174" s="91">
        <f>IFERROR(-Kf*_xlfn.LOGNORM.DIST((Tabella34[[#This Row],[Day]]-D_bk),mu_f,sigma_f,FALSE)*(1+(LN((Tabella34[[#This Row],[Day]]-D_bk))-mu_f)/sigma_f^2)/(Tabella34[[#This Row],[Day]]-D_bk),0)</f>
        <v>-6.7751637825607194</v>
      </c>
      <c r="AA174" s="91">
        <f>Tabella34[[#This Row],[Italy acc. fit]]/Itali_acc_at_lockdown</f>
        <v>-2.7885130378524622E-2</v>
      </c>
      <c r="AB174" s="96">
        <f>Tabella34[[#This Row],[Italy acc. fit]]/y_f_peak</f>
        <v>-1.338538940959346E-3</v>
      </c>
      <c r="AC174" s="163">
        <f>Tabella34[[#This Row],[Italy (fitted Lombardy + fitted sum of the other regions)]]*NOT(ISBLANK(Tabella34[[#This Row],[Italy data]]))</f>
        <v>0</v>
      </c>
      <c r="AD174" s="163">
        <f>Tabella34[[#This Row],[Italy acc. fit]]*NOT(ISBLANK(Tabella34[[#This Row],[Italy data]]))</f>
        <v>0</v>
      </c>
      <c r="AE174" s="96">
        <f>Tabella34[[#This Row],[Italy acc. fit]]+CIf</f>
        <v>1006.9878382377569</v>
      </c>
      <c r="AF174" s="96">
        <f>MAX(Tabella34[[#This Row],[Italy acc. fit]]-CIf,0)</f>
        <v>0</v>
      </c>
      <c r="AH174" s="10"/>
      <c r="AI174" s="10"/>
      <c r="AJ174" s="141">
        <f>Tabella34[[#This Row],[Lombardy data]]*NOT(ISBLANK(Tabella34[[#This Row],[Lombardy data]]))</f>
        <v>0</v>
      </c>
      <c r="AK174" s="96">
        <f>Tabella8[[#This Row],[Lombardy fit]]</f>
        <v>86135.092257003984</v>
      </c>
      <c r="AL174" s="163" t="e">
        <f>_xlfn.LOGNORM.INV(alpha*Tabella34[[#This Row],[Lombardy cumul. Fit]]/Kr,mu_r,sigma_r)-(Tabella34[[#This Row],[Day]]-pr)</f>
        <v>#NUM!</v>
      </c>
      <c r="AM174" s="96">
        <f>Tabella34[[#This Row],[Lombardy cumul. Fit]]/Kl</f>
        <v>0.99005853168970093</v>
      </c>
      <c r="AN174" s="96">
        <f>IFERROR(Kr*_xlfn.LOGNORM.DIST((Tabella34[[#This Row],[Day]]-pr),mu_r,sigma_r,FALSE),0)</f>
        <v>49.908295540959109</v>
      </c>
      <c r="AO174" s="209">
        <f>Tabella34[[#This Row],[Lombardy velocity]]/Tabella34[[#This Row],[Lombardy cumul. Fit]]</f>
        <v>5.7941884350743084E-4</v>
      </c>
      <c r="AP174" s="266">
        <f>(LN(Tabella34[[#This Row],[Day]]-pr)-mu_r)/sigma_r</f>
        <v>2.3285496395256002</v>
      </c>
      <c r="AQ174" s="269">
        <f>EXP(mu_r+sigma_r*Tabella34[[#This Row],[x_r_alpha©+plus]])-(Tabella34[[#This Row],[Day]]-pr)</f>
        <v>11.969405499988937</v>
      </c>
      <c r="AR174" s="269">
        <f>EXP(mu_r+sigma_r*Tabella34[[#This Row],[x_r_alpha©-minus]])-(Tabella34[[#This Row],[Day]]-pr)</f>
        <v>-115.50353916385359</v>
      </c>
      <c r="AS174" s="269">
        <f>-sigma_r+SQRT(sigma_r^2-2*Tabella34[[#This Row],[c_r]])</f>
        <v>2.5767172397058671</v>
      </c>
      <c r="AT174" s="269">
        <f>-sigma_r-SQRT(sigma_r^2-2*Tabella34[[#This Row],[c_r]])</f>
        <v>-3.2575718368995963</v>
      </c>
      <c r="AU174" s="269">
        <f>mu_r-LN(alpha*Kr/(Tabella34[[#This Row],[Lombardy velocity]]*sigma_r*SQRTPI(2)))</f>
        <v>-4.1969207558597494</v>
      </c>
      <c r="AV174" s="269">
        <f>Tabella34[[#This Row],[t_alpha_r+plus]]</f>
        <v>11.969405499988937</v>
      </c>
      <c r="AW174" s="91">
        <f>IFERROR(-Kl*_xlfn.LOGNORM.DIST((Tabella34[[#This Row],[Day]]-pl),mu_l,sigma_l,FALSE)*(1+(LN((Tabella34[[#This Row],[Day]]-pl))-mu_l)/sigma_l^2)/(Tabella34[[#This Row],[Day]]-pl),0)</f>
        <v>-2.8818041577284772</v>
      </c>
      <c r="AX174" s="96">
        <f>Tabella34[[#This Row],[Lombardy acc. fit]]/y_l_peak</f>
        <v>-1.6392939654861023E-3</v>
      </c>
      <c r="AY174" s="163">
        <f>Tabella34[[#This Row],[Lombardy acc. fit]]*NOT(ISBLANK(Tabella34[[#This Row],[Lombardy data]]))</f>
        <v>0</v>
      </c>
      <c r="AZ174" s="96">
        <f>Tabella34[[#This Row],[Lombardy acc. fit]]+CIl</f>
        <v>746.0735676458952</v>
      </c>
      <c r="BA174" s="96">
        <f>MAX(Tabella34[[#This Row],[Lombardy acc. fit]]-CIl,0)</f>
        <v>0</v>
      </c>
      <c r="BC174" s="10"/>
      <c r="BD174" s="10"/>
      <c r="BE174" s="96">
        <f>Tabella34[[#This Row],[rest of Italy data]]*NOT(ISBLANK(Tabella34[[#This Row],[rest of Italy data]]))</f>
        <v>0</v>
      </c>
      <c r="BF174" s="96">
        <f>Tabella8[[#This Row],[rest of Italy fit]]</f>
        <v>147167.17786831071</v>
      </c>
      <c r="BG174" s="163" t="e">
        <f>_xlfn.LOGNORM.INV(alpha*Tabella34[[#This Row],[rest of Italy cumul. Fit]]/Ko,mu_o,sigma_o)-(Tabella34[[#This Row],[Day]]-po)</f>
        <v>#NUM!</v>
      </c>
      <c r="BH174" s="96">
        <f>Tabella34[[#This Row],[rest of Italy cumul. Fit]]/Ka</f>
        <v>0.99437293919098246</v>
      </c>
      <c r="BI174" s="163">
        <f>IFERROR(Ko*_xlfn.LOGNORM.DIST((Tabella34[[#This Row],[Day]]-po),mu_o,sigma_o,FALSE),0)</f>
        <v>57.194464654495931</v>
      </c>
      <c r="BJ174" s="206">
        <f>Tabella34[[#This Row],[rest of Italy velocity]]/Tabella34[[#This Row],[rest of Italy cumul. Fit]]</f>
        <v>3.8863600894538543E-4</v>
      </c>
      <c r="BK174" s="261">
        <f>(LN(Tabella34[[#This Row],[Day]]-po)-mu_o)/sigma_o</f>
        <v>2.5347076144066825</v>
      </c>
      <c r="BL174" s="269">
        <f>EXP(mu_o+sigma_o*Tabella34[[#This Row],[x_o_alpha©+plus]])-(Tabella34[[#This Row],[Day]]-po)</f>
        <v>10.063398666902458</v>
      </c>
      <c r="BM174" s="269">
        <f>EXP(mu_o+sigma_o*Tabella34[[#This Row],[x_o_alpha©-minus]])-(Tabella34[[#This Row],[Day]]-po)</f>
        <v>-110.16541818940829</v>
      </c>
      <c r="BN174" s="269">
        <f>-sigma_o+SQRT(sigma_o^2-2*Tabella34[[#This Row],[c_o]])</f>
        <v>2.7678725325854514</v>
      </c>
      <c r="BO174" s="269">
        <f>-sigma_o-SQRT(sigma_o^2-2*Tabella34[[#This Row],[c_o]])</f>
        <v>-3.4108453098844778</v>
      </c>
      <c r="BP174" s="269">
        <f>mu_o-LN(alpha*Ko/(Tabella34[[#This Row],[rest of Italy velocity]]*sigma_o*SQRTPI(2)))</f>
        <v>-4.7203925230635795</v>
      </c>
      <c r="BQ174" s="269">
        <f>Tabella34[[#This Row],[t_alpha_o+plus]]</f>
        <v>10.063398666902458</v>
      </c>
      <c r="BR174" s="91">
        <f>IFERROR(-Ka*_xlfn.LOGNORM.DIST((Tabella34[[#This Row],[Day]]-pa),mu_a,sigma_a,FALSE)*(1+(LN((Tabella34[[#This Row],[Day]]-pa))-mu_a)/sigma_a^2)/(Tabella34[[#This Row],[Day]]-pa),0)</f>
        <v>-3.9304214385492879</v>
      </c>
      <c r="BS174" s="96">
        <f>Tabella34[[#This Row],[rest of Italy acc. fit]]/y_a_peak</f>
        <v>-1.163139392011588E-3</v>
      </c>
      <c r="BT174" s="141">
        <f>Tabella34[[#This Row],[rest of Italy acc. fit]]*NOT(ISBLANK(Tabella34[[#This Row],[rest of Italy data]]))</f>
        <v>0</v>
      </c>
      <c r="BU174" s="212"/>
      <c r="BV174" s="142"/>
    </row>
    <row r="175" spans="2:74" x14ac:dyDescent="0.3">
      <c r="B175" s="288">
        <v>43998</v>
      </c>
      <c r="C175" s="4">
        <v>168</v>
      </c>
      <c r="E175" s="10"/>
      <c r="F175" s="10"/>
      <c r="G175" s="141">
        <f>Tabella34[[#This Row],[Italy data]]*NOT(ISBLANK(Tabella34[[#This Row],[Italy data]]))</f>
        <v>0</v>
      </c>
      <c r="H175" s="163">
        <f>Tabella8[[#This Row],[Italy fit]]</f>
        <v>233580.16080633365</v>
      </c>
      <c r="I175" s="163" t="e">
        <f>_xlfn.LOGNORM.INV(alpha*Tabella34[[#This Row],[Italy cumul. Fit]]/Kt,mu_t,sigma_t)-(Tabella34[[#This Row],[Day]]-pt)</f>
        <v>#NUM!</v>
      </c>
      <c r="J175" s="163" t="e">
        <f>Tabella34[[#This Row],[Italy d.t.]]/Italy_dt_at_lockdown</f>
        <v>#NUM!</v>
      </c>
      <c r="K175" s="96">
        <f>Tabella34[[#This Row],[Italy cumul. Fit]]/Kf</f>
        <v>0.99395840229632526</v>
      </c>
      <c r="L175" s="166">
        <f>Tabella34[[#This Row],[Lombardy acc. fit]]+Tabella34[[#This Row],[rest of Italy acc. fit]]</f>
        <v>-6.3936799692970085</v>
      </c>
      <c r="M175" s="96">
        <f>Tabella34[[#This Row],[Italy (fitted Lombardy + fitted sum of the other regions)]]/(y_l_peak+y_a_peak)</f>
        <v>-1.2446079527246494E-3</v>
      </c>
      <c r="N175" s="163">
        <f>IFERROR(Kt*_xlfn.LOGNORM.DIST((Tabella34[[#This Row],[Day]]-pt),mu_t,sigma_t,FALSE),0)</f>
        <v>95.120729817732496</v>
      </c>
      <c r="O175" s="163">
        <f>Kt*EXP(-0.5*Tabella34[[#This Row],[x_t]]^2)/(sigma_t*SQRTPI(2)*(Tabella34[[#This Row],[Day]]-D_bk))</f>
        <v>95.120729817732624</v>
      </c>
      <c r="P175" s="206">
        <f>Tabella34[[#This Row],[Italy velocity]]/Tabella34[[#This Row],[Italy cumul. Fit]]</f>
        <v>4.0722949025024069E-4</v>
      </c>
      <c r="Q175" s="269">
        <f>(LN(Tabella34[[#This Row],[Day]]-D_bk)-mu_t)/sigma_t</f>
        <v>2.5097053023224483</v>
      </c>
      <c r="R175" s="269">
        <f>EXP(mu_t+sigma_t*Tabella34[[#This Row],[x_t_alpha©+plus]])-(Tabella34[[#This Row],[Day]]-D_bk)</f>
        <v>10.346937848665846</v>
      </c>
      <c r="S175" s="269">
        <f>EXP(mu_t+sigma_t*Tabella34[[#This Row],[x_t_alpha©-minus]])-(Tabella34[[#This Row],[Day]]-D_bk)</f>
        <v>-114.36295051389075</v>
      </c>
      <c r="T175" s="269">
        <f>-sigma_t+SQRT(sigma_t^2-2*Tabella34[[#This Row],[c_t]])</f>
        <v>2.7456852632401376</v>
      </c>
      <c r="U175" s="269">
        <f>-sigma_t-SQRT(sigma_t^2-2*Tabella34[[#This Row],[c_t]])</f>
        <v>-3.3649221691323752</v>
      </c>
      <c r="V175" s="269">
        <f>mu_t-LN(alpha*Kt/(Tabella34[[#This Row],[Italy velocity]]*sigma_t*SQRTPI(2)))</f>
        <v>-4.6195086058683996</v>
      </c>
      <c r="W175" s="269">
        <f>Tabella34[[#This Row],[Italy g.r.]]/Italy_gr_at_lockdown</f>
        <v>2.5748855945423085E-3</v>
      </c>
      <c r="X175" s="269">
        <f>Tabella34[[#This Row],[t_alpha_t+plus]]</f>
        <v>10.346937848665846</v>
      </c>
      <c r="Y175" s="269">
        <f>Tabella34[[#This Row],[Italy h.t.]]/Italy_ht_at_lockdown</f>
        <v>0.18427251969767594</v>
      </c>
      <c r="Z175" s="91">
        <f>IFERROR(-Kf*_xlfn.LOGNORM.DIST((Tabella34[[#This Row],[Day]]-D_bk),mu_f,sigma_f,FALSE)*(1+(LN((Tabella34[[#This Row],[Day]]-D_bk))-mu_f)/sigma_f^2)/(Tabella34[[#This Row],[Day]]-D_bk),0)</f>
        <v>-6.3452041030360764</v>
      </c>
      <c r="AA175" s="91">
        <f>Tabella34[[#This Row],[Italy acc. fit]]/Itali_acc_at_lockdown</f>
        <v>-2.6115507959666752E-2</v>
      </c>
      <c r="AB175" s="96">
        <f>Tabella34[[#This Row],[Italy acc. fit]]/y_f_peak</f>
        <v>-1.2535937215437626E-3</v>
      </c>
      <c r="AC175" s="163">
        <f>Tabella34[[#This Row],[Italy (fitted Lombardy + fitted sum of the other regions)]]*NOT(ISBLANK(Tabella34[[#This Row],[Italy data]]))</f>
        <v>0</v>
      </c>
      <c r="AD175" s="163">
        <f>Tabella34[[#This Row],[Italy acc. fit]]*NOT(ISBLANK(Tabella34[[#This Row],[Italy data]]))</f>
        <v>0</v>
      </c>
      <c r="AE175" s="96">
        <f>Tabella34[[#This Row],[Italy acc. fit]]+CIf</f>
        <v>1007.4177979172816</v>
      </c>
      <c r="AF175" s="96">
        <f>MAX(Tabella34[[#This Row],[Italy acc. fit]]-CIf,0)</f>
        <v>0</v>
      </c>
      <c r="AH175" s="10"/>
      <c r="AI175" s="10"/>
      <c r="AJ175" s="141">
        <f>Tabella34[[#This Row],[Lombardy data]]*NOT(ISBLANK(Tabella34[[#This Row],[Lombardy data]]))</f>
        <v>0</v>
      </c>
      <c r="AK175" s="96">
        <f>Tabella8[[#This Row],[Lombardy fit]]</f>
        <v>86183.586655444858</v>
      </c>
      <c r="AL175" s="163" t="e">
        <f>_xlfn.LOGNORM.INV(alpha*Tabella34[[#This Row],[Lombardy cumul. Fit]]/Kr,mu_r,sigma_r)-(Tabella34[[#This Row],[Day]]-pr)</f>
        <v>#NUM!</v>
      </c>
      <c r="AM175" s="96">
        <f>Tabella34[[#This Row],[Lombardy cumul. Fit]]/Kl</f>
        <v>0.99061593856833174</v>
      </c>
      <c r="AN175" s="96">
        <f>IFERROR(Kr*_xlfn.LOGNORM.DIST((Tabella34[[#This Row],[Day]]-pr),mu_r,sigma_r,FALSE),0)</f>
        <v>47.107137423001539</v>
      </c>
      <c r="AO175" s="209">
        <f>Tabella34[[#This Row],[Lombardy velocity]]/Tabella34[[#This Row],[Lombardy cumul. Fit]]</f>
        <v>5.4659058935818184E-4</v>
      </c>
      <c r="AP175" s="266">
        <f>(LN(Tabella34[[#This Row],[Day]]-pr)-mu_r)/sigma_r</f>
        <v>2.350104861841332</v>
      </c>
      <c r="AQ175" s="269">
        <f>EXP(mu_r+sigma_r*Tabella34[[#This Row],[x_r_alpha©+plus]])-(Tabella34[[#This Row],[Day]]-pr)</f>
        <v>11.965329748587351</v>
      </c>
      <c r="AR175" s="269">
        <f>EXP(mu_r+sigma_r*Tabella34[[#This Row],[x_r_alpha©-minus]])-(Tabella34[[#This Row],[Day]]-pr)</f>
        <v>-116.63928737950837</v>
      </c>
      <c r="AS175" s="269">
        <f>-sigma_r+SQRT(sigma_r^2-2*Tabella34[[#This Row],[c_r]])</f>
        <v>2.5964516004168692</v>
      </c>
      <c r="AT175" s="269">
        <f>-sigma_r-SQRT(sigma_r^2-2*Tabella34[[#This Row],[c_r]])</f>
        <v>-3.2773061976105984</v>
      </c>
      <c r="AU175" s="269">
        <f>mu_r-LN(alpha*Kr/(Tabella34[[#This Row],[Lombardy velocity]]*sigma_r*SQRTPI(2)))</f>
        <v>-4.2546834609210817</v>
      </c>
      <c r="AV175" s="269">
        <f>Tabella34[[#This Row],[t_alpha_r+plus]]</f>
        <v>11.965329748587351</v>
      </c>
      <c r="AW175" s="91">
        <f>IFERROR(-Kl*_xlfn.LOGNORM.DIST((Tabella34[[#This Row],[Day]]-pl),mu_l,sigma_l,FALSE)*(1+(LN((Tabella34[[#This Row],[Day]]-pl))-mu_l)/sigma_l^2)/(Tabella34[[#This Row],[Day]]-pl),0)</f>
        <v>-2.7219801832077586</v>
      </c>
      <c r="AX175" s="96">
        <f>Tabella34[[#This Row],[Lombardy acc. fit]]/y_l_peak</f>
        <v>-1.5483792250554642E-3</v>
      </c>
      <c r="AY175" s="163">
        <f>Tabella34[[#This Row],[Lombardy acc. fit]]*NOT(ISBLANK(Tabella34[[#This Row],[Lombardy data]]))</f>
        <v>0</v>
      </c>
      <c r="AZ175" s="96">
        <f>Tabella34[[#This Row],[Lombardy acc. fit]]+CIl</f>
        <v>746.23339162041589</v>
      </c>
      <c r="BA175" s="96">
        <f>MAX(Tabella34[[#This Row],[Lombardy acc. fit]]-CIl,0)</f>
        <v>0</v>
      </c>
      <c r="BC175" s="10"/>
      <c r="BD175" s="10"/>
      <c r="BE175" s="96">
        <f>Tabella34[[#This Row],[rest of Italy data]]*NOT(ISBLANK(Tabella34[[#This Row],[rest of Italy data]]))</f>
        <v>0</v>
      </c>
      <c r="BF175" s="96">
        <f>Tabella8[[#This Row],[rest of Italy fit]]</f>
        <v>147222.4509590595</v>
      </c>
      <c r="BG175" s="163" t="e">
        <f>_xlfn.LOGNORM.INV(alpha*Tabella34[[#This Row],[rest of Italy cumul. Fit]]/Ko,mu_o,sigma_o)-(Tabella34[[#This Row],[Day]]-po)</f>
        <v>#NUM!</v>
      </c>
      <c r="BH175" s="96">
        <f>Tabella34[[#This Row],[rest of Italy cumul. Fit]]/Ka</f>
        <v>0.99474640606384201</v>
      </c>
      <c r="BI175" s="163">
        <f>IFERROR(Ko*_xlfn.LOGNORM.DIST((Tabella34[[#This Row],[Day]]-po),mu_o,sigma_o,FALSE),0)</f>
        <v>53.39483412874759</v>
      </c>
      <c r="BJ175" s="206">
        <f>Tabella34[[#This Row],[rest of Italy velocity]]/Tabella34[[#This Row],[rest of Italy cumul. Fit]]</f>
        <v>3.6268132870302471E-4</v>
      </c>
      <c r="BK175" s="261">
        <f>(LN(Tabella34[[#This Row],[Day]]-po)-mu_o)/sigma_o</f>
        <v>2.5586751385398978</v>
      </c>
      <c r="BL175" s="269">
        <f>EXP(mu_o+sigma_o*Tabella34[[#This Row],[x_o_alpha©+plus]])-(Tabella34[[#This Row],[Day]]-po)</f>
        <v>10.06020542752924</v>
      </c>
      <c r="BM175" s="269">
        <f>EXP(mu_o+sigma_o*Tabella34[[#This Row],[x_o_alpha©-minus]])-(Tabella34[[#This Row],[Day]]-po)</f>
        <v>-111.30120081187687</v>
      </c>
      <c r="BN175" s="269">
        <f>-sigma_o+SQRT(sigma_o^2-2*Tabella34[[#This Row],[c_o]])</f>
        <v>2.7900445502649509</v>
      </c>
      <c r="BO175" s="269">
        <f>-sigma_o-SQRT(sigma_o^2-2*Tabella34[[#This Row],[c_o]])</f>
        <v>-3.4330173275639773</v>
      </c>
      <c r="BP175" s="269">
        <f>mu_o-LN(alpha*Ko/(Tabella34[[#This Row],[rest of Italy velocity]]*sigma_o*SQRTPI(2)))</f>
        <v>-4.7891356428675111</v>
      </c>
      <c r="BQ175" s="269">
        <f>Tabella34[[#This Row],[t_alpha_o+plus]]</f>
        <v>10.06020542752924</v>
      </c>
      <c r="BR175" s="91">
        <f>IFERROR(-Ka*_xlfn.LOGNORM.DIST((Tabella34[[#This Row],[Day]]-pa),mu_a,sigma_a,FALSE)*(1+(LN((Tabella34[[#This Row],[Day]]-pa))-mu_a)/sigma_a^2)/(Tabella34[[#This Row],[Day]]-pa),0)</f>
        <v>-3.67169978608925</v>
      </c>
      <c r="BS175" s="96">
        <f>Tabella34[[#This Row],[rest of Italy acc. fit]]/y_a_peak</f>
        <v>-1.0865752499093929E-3</v>
      </c>
      <c r="BT175" s="141">
        <f>Tabella34[[#This Row],[rest of Italy acc. fit]]*NOT(ISBLANK(Tabella34[[#This Row],[rest of Italy data]]))</f>
        <v>0</v>
      </c>
      <c r="BU175" s="212"/>
      <c r="BV175" s="142"/>
    </row>
    <row r="176" spans="2:74" x14ac:dyDescent="0.3">
      <c r="B176" s="288">
        <v>43999</v>
      </c>
      <c r="C176" s="4">
        <v>169</v>
      </c>
      <c r="E176" s="10"/>
      <c r="F176" s="10"/>
      <c r="G176" s="141">
        <f>Tabella34[[#This Row],[Italy data]]*NOT(ISBLANK(Tabella34[[#This Row],[Italy data]]))</f>
        <v>0</v>
      </c>
      <c r="H176" s="163">
        <f>Tabella8[[#This Row],[Italy fit]]</f>
        <v>233672.17726419002</v>
      </c>
      <c r="I176" s="163" t="e">
        <f>_xlfn.LOGNORM.INV(alpha*Tabella34[[#This Row],[Italy cumul. Fit]]/Kt,mu_t,sigma_t)-(Tabella34[[#This Row],[Day]]-pt)</f>
        <v>#NUM!</v>
      </c>
      <c r="J176" s="163" t="e">
        <f>Tabella34[[#This Row],[Italy d.t.]]/Italy_dt_at_lockdown</f>
        <v>#NUM!</v>
      </c>
      <c r="K176" s="96">
        <f>Tabella34[[#This Row],[Italy cumul. Fit]]/Kf</f>
        <v>0.99434996179829738</v>
      </c>
      <c r="L176" s="166">
        <f>Tabella34[[#This Row],[Lombardy acc. fit]]+Tabella34[[#This Row],[rest of Italy acc. fit]]</f>
        <v>-6.0003556846842203</v>
      </c>
      <c r="M176" s="96">
        <f>Tabella34[[#This Row],[Italy (fitted Lombardy + fitted sum of the other regions)]]/(y_l_peak+y_a_peak)</f>
        <v>-1.1680425733219275E-3</v>
      </c>
      <c r="N176" s="163">
        <f>IFERROR(Kt*_xlfn.LOGNORM.DIST((Tabella34[[#This Row],[Day]]-pt),mu_t,sigma_t,FALSE),0)</f>
        <v>88.979441973301391</v>
      </c>
      <c r="O176" s="163">
        <f>Kt*EXP(-0.5*Tabella34[[#This Row],[x_t]]^2)/(sigma_t*SQRTPI(2)*(Tabella34[[#This Row],[Day]]-D_bk))</f>
        <v>88.979441973301363</v>
      </c>
      <c r="P176" s="206">
        <f>Tabella34[[#This Row],[Italy velocity]]/Tabella34[[#This Row],[Italy cumul. Fit]]</f>
        <v>3.8078749047089648E-4</v>
      </c>
      <c r="Q176" s="269">
        <f>(LN(Tabella34[[#This Row],[Day]]-D_bk)-mu_t)/sigma_t</f>
        <v>2.5332796421245116</v>
      </c>
      <c r="R176" s="269">
        <f>EXP(mu_t+sigma_t*Tabella34[[#This Row],[x_t_alpha©+plus]])-(Tabella34[[#This Row],[Day]]-D_bk)</f>
        <v>10.339980143986963</v>
      </c>
      <c r="S176" s="269">
        <f>EXP(mu_t+sigma_t*Tabella34[[#This Row],[x_t_alpha©-minus]])-(Tabella34[[#This Row],[Day]]-D_bk)</f>
        <v>-115.51167224518871</v>
      </c>
      <c r="T176" s="269">
        <f>-sigma_t+SQRT(sigma_t^2-2*Tabella34[[#This Row],[c_t]])</f>
        <v>2.7674522222376847</v>
      </c>
      <c r="U176" s="269">
        <f>-sigma_t-SQRT(sigma_t^2-2*Tabella34[[#This Row],[c_t]])</f>
        <v>-3.3866891281299223</v>
      </c>
      <c r="V176" s="269">
        <f>mu_t-LN(alpha*Kt/(Tabella34[[#This Row],[Italy velocity]]*sigma_t*SQRTPI(2)))</f>
        <v>-4.6862501768356806</v>
      </c>
      <c r="W176" s="269">
        <f>Tabella34[[#This Row],[Italy g.r.]]/Italy_gr_at_lockdown</f>
        <v>2.4076945488228879E-3</v>
      </c>
      <c r="X176" s="269">
        <f>Tabella34[[#This Row],[t_alpha_t+plus]]</f>
        <v>10.339980143986963</v>
      </c>
      <c r="Y176" s="269">
        <f>Tabella34[[#This Row],[Italy h.t.]]/Italy_ht_at_lockdown</f>
        <v>0.18414860731014232</v>
      </c>
      <c r="Z176" s="91">
        <f>IFERROR(-Kf*_xlfn.LOGNORM.DIST((Tabella34[[#This Row],[Day]]-D_bk),mu_f,sigma_f,FALSE)*(1+(LN((Tabella34[[#This Row],[Day]]-D_bk))-mu_f)/sigma_f^2)/(Tabella34[[#This Row],[Day]]-D_bk),0)</f>
        <v>-5.9416423281411932</v>
      </c>
      <c r="AA176" s="91">
        <f>Tabella34[[#This Row],[Italy acc. fit]]/Itali_acc_at_lockdown</f>
        <v>-2.4454533691015294E-2</v>
      </c>
      <c r="AB176" s="96">
        <f>Tabella34[[#This Row],[Italy acc. fit]]/y_f_peak</f>
        <v>-1.1738638186047511E-3</v>
      </c>
      <c r="AC176" s="163">
        <f>Tabella34[[#This Row],[Italy (fitted Lombardy + fitted sum of the other regions)]]*NOT(ISBLANK(Tabella34[[#This Row],[Italy data]]))</f>
        <v>0</v>
      </c>
      <c r="AD176" s="163">
        <f>Tabella34[[#This Row],[Italy acc. fit]]*NOT(ISBLANK(Tabella34[[#This Row],[Italy data]]))</f>
        <v>0</v>
      </c>
      <c r="AE176" s="96">
        <f>Tabella34[[#This Row],[Italy acc. fit]]+CIf</f>
        <v>1007.8213596921765</v>
      </c>
      <c r="AF176" s="96">
        <f>MAX(Tabella34[[#This Row],[Italy acc. fit]]-CIf,0)</f>
        <v>0</v>
      </c>
      <c r="AH176" s="10"/>
      <c r="AI176" s="10"/>
      <c r="AJ176" s="141">
        <f>Tabella34[[#This Row],[Lombardy data]]*NOT(ISBLANK(Tabella34[[#This Row],[Lombardy data]]))</f>
        <v>0</v>
      </c>
      <c r="AK176" s="96">
        <f>Tabella8[[#This Row],[Lombardy fit]]</f>
        <v>86229.358358144367</v>
      </c>
      <c r="AL176" s="163" t="e">
        <f>_xlfn.LOGNORM.INV(alpha*Tabella34[[#This Row],[Lombardy cumul. Fit]]/Kr,mu_r,sigma_r)-(Tabella34[[#This Row],[Day]]-pr)</f>
        <v>#NUM!</v>
      </c>
      <c r="AM176" s="96">
        <f>Tabella34[[#This Row],[Lombardy cumul. Fit]]/Kl</f>
        <v>0.99114205009361345</v>
      </c>
      <c r="AN176" s="96">
        <f>IFERROR(Kr*_xlfn.LOGNORM.DIST((Tabella34[[#This Row],[Day]]-pr),mu_r,sigma_r,FALSE),0)</f>
        <v>44.461472838251026</v>
      </c>
      <c r="AO176" s="209">
        <f>Tabella34[[#This Row],[Lombardy velocity]]/Tabella34[[#This Row],[Lombardy cumul. Fit]]</f>
        <v>5.1561873687596142E-4</v>
      </c>
      <c r="AP176" s="266">
        <f>(LN(Tabella34[[#This Row],[Day]]-pr)-mu_r)/sigma_r</f>
        <v>2.3715030637493753</v>
      </c>
      <c r="AQ176" s="269">
        <f>EXP(mu_r+sigma_r*Tabella34[[#This Row],[x_r_alpha©+plus]])-(Tabella34[[#This Row],[Day]]-pr)</f>
        <v>11.961921254901341</v>
      </c>
      <c r="AR176" s="269">
        <f>EXP(mu_r+sigma_r*Tabella34[[#This Row],[x_r_alpha©-minus]])-(Tabella34[[#This Row],[Day]]-pr)</f>
        <v>-117.77331899708332</v>
      </c>
      <c r="AS176" s="269">
        <f>-sigma_r+SQRT(sigma_r^2-2*Tabella34[[#This Row],[c_r]])</f>
        <v>2.6160673574671875</v>
      </c>
      <c r="AT176" s="269">
        <f>-sigma_r-SQRT(sigma_r^2-2*Tabella34[[#This Row],[c_r]])</f>
        <v>-3.2969219546609168</v>
      </c>
      <c r="AU176" s="269">
        <f>mu_r-LN(alpha*Kr/(Tabella34[[#This Row],[Lombardy velocity]]*sigma_r*SQRTPI(2)))</f>
        <v>-4.3124849528526701</v>
      </c>
      <c r="AV176" s="269">
        <f>Tabella34[[#This Row],[t_alpha_r+plus]]</f>
        <v>11.961921254901341</v>
      </c>
      <c r="AW176" s="91">
        <f>IFERROR(-Kl*_xlfn.LOGNORM.DIST((Tabella34[[#This Row],[Day]]-pl),mu_l,sigma_l,FALSE)*(1+(LN((Tabella34[[#This Row],[Day]]-pl))-mu_l)/sigma_l^2)/(Tabella34[[#This Row],[Day]]-pl),0)</f>
        <v>-2.5707438399288631</v>
      </c>
      <c r="AX176" s="96">
        <f>Tabella34[[#This Row],[Lombardy acc. fit]]/y_l_peak</f>
        <v>-1.4623494980754404E-3</v>
      </c>
      <c r="AY176" s="163">
        <f>Tabella34[[#This Row],[Lombardy acc. fit]]*NOT(ISBLANK(Tabella34[[#This Row],[Lombardy data]]))</f>
        <v>0</v>
      </c>
      <c r="AZ176" s="96">
        <f>Tabella34[[#This Row],[Lombardy acc. fit]]+CIl</f>
        <v>746.38462796369481</v>
      </c>
      <c r="BA176" s="96">
        <f>MAX(Tabella34[[#This Row],[Lombardy acc. fit]]-CIl,0)</f>
        <v>0</v>
      </c>
      <c r="BC176" s="10"/>
      <c r="BD176" s="10"/>
      <c r="BE176" s="96">
        <f>Tabella34[[#This Row],[rest of Italy data]]*NOT(ISBLANK(Tabella34[[#This Row],[rest of Italy data]]))</f>
        <v>0</v>
      </c>
      <c r="BF176" s="96">
        <f>Tabella8[[#This Row],[rest of Italy fit]]</f>
        <v>147274.0509641236</v>
      </c>
      <c r="BG176" s="163" t="e">
        <f>_xlfn.LOGNORM.INV(alpha*Tabella34[[#This Row],[rest of Italy cumul. Fit]]/Ko,mu_o,sigma_o)-(Tabella34[[#This Row],[Day]]-po)</f>
        <v>#NUM!</v>
      </c>
      <c r="BH176" s="96">
        <f>Tabella34[[#This Row],[rest of Italy cumul. Fit]]/Ka</f>
        <v>0.99509505478729432</v>
      </c>
      <c r="BI176" s="163">
        <f>IFERROR(Ko*_xlfn.LOGNORM.DIST((Tabella34[[#This Row],[Day]]-po),mu_o,sigma_o,FALSE),0)</f>
        <v>49.845521162565966</v>
      </c>
      <c r="BJ176" s="206">
        <f>Tabella34[[#This Row],[rest of Italy velocity]]/Tabella34[[#This Row],[rest of Italy cumul. Fit]]</f>
        <v>3.3845420042603761E-4</v>
      </c>
      <c r="BK176" s="261">
        <f>(LN(Tabella34[[#This Row],[Day]]-po)-mu_o)/sigma_o</f>
        <v>2.5824593985137798</v>
      </c>
      <c r="BL176" s="269">
        <f>EXP(mu_o+sigma_o*Tabella34[[#This Row],[x_o_alpha©+plus]])-(Tabella34[[#This Row],[Day]]-po)</f>
        <v>10.057626724806511</v>
      </c>
      <c r="BM176" s="269">
        <f>EXP(mu_o+sigma_o*Tabella34[[#This Row],[x_o_alpha©-minus]])-(Tabella34[[#This Row],[Day]]-po)</f>
        <v>-112.4351501500901</v>
      </c>
      <c r="BN176" s="269">
        <f>-sigma_o+SQRT(sigma_o^2-2*Tabella34[[#This Row],[c_o]])</f>
        <v>2.8120731681330486</v>
      </c>
      <c r="BO176" s="269">
        <f>-sigma_o-SQRT(sigma_o^2-2*Tabella34[[#This Row],[c_o]])</f>
        <v>-3.455045945432075</v>
      </c>
      <c r="BP176" s="269">
        <f>mu_o-LN(alpha*Ko/(Tabella34[[#This Row],[rest of Italy velocity]]*sigma_o*SQRTPI(2)))</f>
        <v>-4.8579209989082104</v>
      </c>
      <c r="BQ176" s="269">
        <f>Tabella34[[#This Row],[t_alpha_o+plus]]</f>
        <v>10.057626724806511</v>
      </c>
      <c r="BR176" s="91">
        <f>IFERROR(-Ka*_xlfn.LOGNORM.DIST((Tabella34[[#This Row],[Day]]-pa),mu_a,sigma_a,FALSE)*(1+(LN((Tabella34[[#This Row],[Day]]-pa))-mu_a)/sigma_a^2)/(Tabella34[[#This Row],[Day]]-pa),0)</f>
        <v>-3.4296118447553572</v>
      </c>
      <c r="BS176" s="96">
        <f>Tabella34[[#This Row],[rest of Italy acc. fit]]/y_a_peak</f>
        <v>-1.0149335633119444E-3</v>
      </c>
      <c r="BT176" s="141">
        <f>Tabella34[[#This Row],[rest of Italy acc. fit]]*NOT(ISBLANK(Tabella34[[#This Row],[rest of Italy data]]))</f>
        <v>0</v>
      </c>
      <c r="BU176" s="212"/>
      <c r="BV176" s="142"/>
    </row>
    <row r="177" spans="2:74" x14ac:dyDescent="0.3">
      <c r="B177" s="288">
        <v>44000</v>
      </c>
      <c r="C177" s="4">
        <v>170</v>
      </c>
      <c r="E177" s="10"/>
      <c r="F177" s="10"/>
      <c r="G177" s="141">
        <f>Tabella34[[#This Row],[Italy data]]*NOT(ISBLANK(Tabella34[[#This Row],[Italy data]]))</f>
        <v>0</v>
      </c>
      <c r="H177" s="163">
        <f>Tabella8[[#This Row],[Italy fit]]</f>
        <v>233758.25000675643</v>
      </c>
      <c r="I177" s="163" t="e">
        <f>_xlfn.LOGNORM.INV(alpha*Tabella34[[#This Row],[Italy cumul. Fit]]/Kt,mu_t,sigma_t)-(Tabella34[[#This Row],[Day]]-pt)</f>
        <v>#NUM!</v>
      </c>
      <c r="J177" s="163" t="e">
        <f>Tabella34[[#This Row],[Italy d.t.]]/Italy_dt_at_lockdown</f>
        <v>#NUM!</v>
      </c>
      <c r="K177" s="96">
        <f>Tabella34[[#This Row],[Italy cumul. Fit]]/Kf</f>
        <v>0.99471622888787914</v>
      </c>
      <c r="L177" s="166">
        <f>Tabella34[[#This Row],[Lombardy acc. fit]]+Tabella34[[#This Row],[rest of Italy acc. fit]]</f>
        <v>-5.6308044954578875</v>
      </c>
      <c r="M177" s="96">
        <f>Tabella34[[#This Row],[Italy (fitted Lombardy + fitted sum of the other regions)]]/(y_l_peak+y_a_peak)</f>
        <v>-1.0961049175026423E-3</v>
      </c>
      <c r="N177" s="163">
        <f>IFERROR(Kt*_xlfn.LOGNORM.DIST((Tabella34[[#This Row],[Day]]-pt),mu_t,sigma_t,FALSE),0)</f>
        <v>83.229152891688713</v>
      </c>
      <c r="O177" s="163">
        <f>Kt*EXP(-0.5*Tabella34[[#This Row],[x_t]]^2)/(sigma_t*SQRTPI(2)*(Tabella34[[#This Row],[Day]]-D_bk))</f>
        <v>83.229152891688756</v>
      </c>
      <c r="P177" s="206">
        <f>Tabella34[[#This Row],[Italy velocity]]/Tabella34[[#This Row],[Italy cumul. Fit]]</f>
        <v>3.5604798072060815E-4</v>
      </c>
      <c r="Q177" s="269">
        <f>(LN(Tabella34[[#This Row],[Day]]-D_bk)-mu_t)/sigma_t</f>
        <v>2.5566831577286142</v>
      </c>
      <c r="R177" s="269">
        <f>EXP(mu_t+sigma_t*Tabella34[[#This Row],[x_t_alpha©+plus]])-(Tabella34[[#This Row],[Day]]-D_bk)</f>
        <v>10.333674415510757</v>
      </c>
      <c r="S177" s="269">
        <f>EXP(mu_t+sigma_t*Tabella34[[#This Row],[x_t_alpha©-minus]])-(Tabella34[[#This Row],[Day]]-D_bk)</f>
        <v>-116.65850513630792</v>
      </c>
      <c r="T177" s="269">
        <f>-sigma_t+SQRT(sigma_t^2-2*Tabella34[[#This Row],[c_t]])</f>
        <v>2.7890876132170566</v>
      </c>
      <c r="U177" s="269">
        <f>-sigma_t-SQRT(sigma_t^2-2*Tabella34[[#This Row],[c_t]])</f>
        <v>-3.4083245191092941</v>
      </c>
      <c r="V177" s="269">
        <f>mu_t-LN(alpha*Kt/(Tabella34[[#This Row],[Italy velocity]]*sigma_t*SQRTPI(2)))</f>
        <v>-4.7530578490358559</v>
      </c>
      <c r="W177" s="269">
        <f>Tabella34[[#This Row],[Italy g.r.]]/Italy_gr_at_lockdown</f>
        <v>2.2512682368853311E-3</v>
      </c>
      <c r="X177" s="269">
        <f>Tabella34[[#This Row],[t_alpha_t+plus]]</f>
        <v>10.333674415510757</v>
      </c>
      <c r="Y177" s="269">
        <f>Tabella34[[#This Row],[Italy h.t.]]/Italy_ht_at_lockdown</f>
        <v>0.18403630621277081</v>
      </c>
      <c r="Z177" s="91">
        <f>IFERROR(-Kf*_xlfn.LOGNORM.DIST((Tabella34[[#This Row],[Day]]-D_bk),mu_f,sigma_f,FALSE)*(1+(LN((Tabella34[[#This Row],[Day]]-D_bk))-mu_f)/sigma_f^2)/(Tabella34[[#This Row],[Day]]-D_bk),0)</f>
        <v>-5.562959898070611</v>
      </c>
      <c r="AA177" s="91">
        <f>Tabella34[[#This Row],[Italy acc. fit]]/Itali_acc_at_lockdown</f>
        <v>-2.2895957504007806E-2</v>
      </c>
      <c r="AB177" s="96">
        <f>Tabella34[[#This Row],[Italy acc. fit]]/y_f_peak</f>
        <v>-1.0990492170431915E-3</v>
      </c>
      <c r="AC177" s="163">
        <f>Tabella34[[#This Row],[Italy (fitted Lombardy + fitted sum of the other regions)]]*NOT(ISBLANK(Tabella34[[#This Row],[Italy data]]))</f>
        <v>0</v>
      </c>
      <c r="AD177" s="163">
        <f>Tabella34[[#This Row],[Italy acc. fit]]*NOT(ISBLANK(Tabella34[[#This Row],[Italy data]]))</f>
        <v>0</v>
      </c>
      <c r="AE177" s="96">
        <f>Tabella34[[#This Row],[Italy acc. fit]]+CIf</f>
        <v>1008.2000421222471</v>
      </c>
      <c r="AF177" s="96">
        <f>MAX(Tabella34[[#This Row],[Italy acc. fit]]-CIf,0)</f>
        <v>0</v>
      </c>
      <c r="AH177" s="10"/>
      <c r="AI177" s="10"/>
      <c r="AJ177" s="141">
        <f>Tabella34[[#This Row],[Lombardy data]]*NOT(ISBLANK(Tabella34[[#This Row],[Lombardy data]]))</f>
        <v>0</v>
      </c>
      <c r="AK177" s="96">
        <f>Tabella8[[#This Row],[Lombardy fit]]</f>
        <v>86272.558637297756</v>
      </c>
      <c r="AL177" s="163" t="e">
        <f>_xlfn.LOGNORM.INV(alpha*Tabella34[[#This Row],[Lombardy cumul. Fit]]/Kr,mu_r,sigma_r)-(Tabella34[[#This Row],[Day]]-pr)</f>
        <v>#NUM!</v>
      </c>
      <c r="AM177" s="96">
        <f>Tabella34[[#This Row],[Lombardy cumul. Fit]]/Kl</f>
        <v>0.99163860502641099</v>
      </c>
      <c r="AN177" s="96">
        <f>IFERROR(Kr*_xlfn.LOGNORM.DIST((Tabella34[[#This Row],[Day]]-pr),mu_r,sigma_r,FALSE),0)</f>
        <v>41.96293081672858</v>
      </c>
      <c r="AO177" s="209">
        <f>Tabella34[[#This Row],[Lombardy velocity]]/Tabella34[[#This Row],[Lombardy cumul. Fit]]</f>
        <v>4.8639951659654347E-4</v>
      </c>
      <c r="AP177" s="266">
        <f>(LN(Tabella34[[#This Row],[Day]]-pr)-mu_r)/sigma_r</f>
        <v>2.392746516366191</v>
      </c>
      <c r="AQ177" s="269">
        <f>EXP(mu_r+sigma_r*Tabella34[[#This Row],[x_r_alpha©+plus]])-(Tabella34[[#This Row],[Day]]-pr)</f>
        <v>11.959157318824822</v>
      </c>
      <c r="AR177" s="269">
        <f>EXP(mu_r+sigma_r*Tabella34[[#This Row],[x_r_alpha©-minus]])-(Tabella34[[#This Row],[Day]]-pr)</f>
        <v>-118.90566329168743</v>
      </c>
      <c r="AS177" s="269">
        <f>-sigma_r+SQRT(sigma_r^2-2*Tabella34[[#This Row],[c_r]])</f>
        <v>2.6355655548756696</v>
      </c>
      <c r="AT177" s="269">
        <f>-sigma_r-SQRT(sigma_r^2-2*Tabella34[[#This Row],[c_r]])</f>
        <v>-3.3164201520693988</v>
      </c>
      <c r="AU177" s="269">
        <f>mu_r-LN(alpha*Kr/(Tabella34[[#This Row],[Lombardy velocity]]*sigma_r*SQRTPI(2)))</f>
        <v>-4.3703213591448185</v>
      </c>
      <c r="AV177" s="269">
        <f>Tabella34[[#This Row],[t_alpha_r+plus]]</f>
        <v>11.959157318824822</v>
      </c>
      <c r="AW177" s="91">
        <f>IFERROR(-Kl*_xlfn.LOGNORM.DIST((Tabella34[[#This Row],[Day]]-pl),mu_l,sigma_l,FALSE)*(1+(LN((Tabella34[[#This Row],[Day]]-pl))-mu_l)/sigma_l^2)/(Tabella34[[#This Row],[Day]]-pl),0)</f>
        <v>-2.4276648853277516</v>
      </c>
      <c r="AX177" s="96">
        <f>Tabella34[[#This Row],[Lombardy acc. fit]]/y_l_peak</f>
        <v>-1.3809600440986163E-3</v>
      </c>
      <c r="AY177" s="163">
        <f>Tabella34[[#This Row],[Lombardy acc. fit]]*NOT(ISBLANK(Tabella34[[#This Row],[Lombardy data]]))</f>
        <v>0</v>
      </c>
      <c r="AZ177" s="96">
        <f>Tabella34[[#This Row],[Lombardy acc. fit]]+CIl</f>
        <v>746.52770691829585</v>
      </c>
      <c r="BA177" s="96">
        <f>MAX(Tabella34[[#This Row],[Lombardy acc. fit]]-CIl,0)</f>
        <v>0</v>
      </c>
      <c r="BC177" s="10"/>
      <c r="BD177" s="10"/>
      <c r="BE177" s="96">
        <f>Tabella34[[#This Row],[rest of Italy data]]*NOT(ISBLANK(Tabella34[[#This Row],[rest of Italy data]]))</f>
        <v>0</v>
      </c>
      <c r="BF177" s="96">
        <f>Tabella8[[#This Row],[rest of Italy fit]]</f>
        <v>147322.22005626812</v>
      </c>
      <c r="BG177" s="163" t="e">
        <f>_xlfn.LOGNORM.INV(alpha*Tabella34[[#This Row],[rest of Italy cumul. Fit]]/Ko,mu_o,sigma_o)-(Tabella34[[#This Row],[Day]]-po)</f>
        <v>#NUM!</v>
      </c>
      <c r="BH177" s="96">
        <f>Tabella34[[#This Row],[rest of Italy cumul. Fit]]/Ka</f>
        <v>0.99542052166399675</v>
      </c>
      <c r="BI177" s="163">
        <f>IFERROR(Ko*_xlfn.LOGNORM.DIST((Tabella34[[#This Row],[Day]]-po),mu_o,sigma_o,FALSE),0)</f>
        <v>46.530405827922699</v>
      </c>
      <c r="BJ177" s="206">
        <f>Tabella34[[#This Row],[rest of Italy velocity]]/Tabella34[[#This Row],[rest of Italy cumul. Fit]]</f>
        <v>3.1584105785366877E-4</v>
      </c>
      <c r="BK177" s="261">
        <f>(LN(Tabella34[[#This Row],[Day]]-po)-mu_o)/sigma_o</f>
        <v>2.6060631756796293</v>
      </c>
      <c r="BL177" s="269">
        <f>EXP(mu_o+sigma_o*Tabella34[[#This Row],[x_o_alpha©+plus]])-(Tabella34[[#This Row],[Day]]-po)</f>
        <v>10.05564051663589</v>
      </c>
      <c r="BM177" s="269">
        <f>EXP(mu_o+sigma_o*Tabella34[[#This Row],[x_o_alpha©-minus]])-(Tabella34[[#This Row],[Day]]-po)</f>
        <v>-113.56730011058019</v>
      </c>
      <c r="BN177" s="269">
        <f>-sigma_o+SQRT(sigma_o^2-2*Tabella34[[#This Row],[c_o]])</f>
        <v>2.8339598258697012</v>
      </c>
      <c r="BO177" s="269">
        <f>-sigma_o-SQRT(sigma_o^2-2*Tabella34[[#This Row],[c_o]])</f>
        <v>-3.4769326031687275</v>
      </c>
      <c r="BP177" s="269">
        <f>mu_o-LN(alpha*Ko/(Tabella34[[#This Row],[rest of Italy velocity]]*sigma_o*SQRTPI(2)))</f>
        <v>-4.9267436573183678</v>
      </c>
      <c r="BQ177" s="269">
        <f>Tabella34[[#This Row],[t_alpha_o+plus]]</f>
        <v>10.05564051663589</v>
      </c>
      <c r="BR177" s="91">
        <f>IFERROR(-Ka*_xlfn.LOGNORM.DIST((Tabella34[[#This Row],[Day]]-pa),mu_a,sigma_a,FALSE)*(1+(LN((Tabella34[[#This Row],[Day]]-pa))-mu_a)/sigma_a^2)/(Tabella34[[#This Row],[Day]]-pa),0)</f>
        <v>-3.2031396101301364</v>
      </c>
      <c r="BS177" s="96">
        <f>Tabella34[[#This Row],[rest of Italy acc. fit]]/y_a_peak</f>
        <v>-9.4791307164000999E-4</v>
      </c>
      <c r="BT177" s="141">
        <f>Tabella34[[#This Row],[rest of Italy acc. fit]]*NOT(ISBLANK(Tabella34[[#This Row],[rest of Italy data]]))</f>
        <v>0</v>
      </c>
      <c r="BU177" s="212"/>
      <c r="BV177" s="142"/>
    </row>
    <row r="178" spans="2:74" x14ac:dyDescent="0.3">
      <c r="B178" s="288">
        <v>44001</v>
      </c>
      <c r="C178" s="4">
        <v>171</v>
      </c>
      <c r="E178" s="10"/>
      <c r="F178" s="10"/>
      <c r="G178" s="141">
        <f>Tabella34[[#This Row],[Italy data]]*NOT(ISBLANK(Tabella34[[#This Row],[Italy data]]))</f>
        <v>0</v>
      </c>
      <c r="H178" s="163">
        <f>Tabella8[[#This Row],[Italy fit]]</f>
        <v>233838.75783666124</v>
      </c>
      <c r="I178" s="163" t="e">
        <f>_xlfn.LOGNORM.INV(alpha*Tabella34[[#This Row],[Italy cumul. Fit]]/Kt,mu_t,sigma_t)-(Tabella34[[#This Row],[Day]]-pt)</f>
        <v>#NUM!</v>
      </c>
      <c r="J178" s="163" t="e">
        <f>Tabella34[[#This Row],[Italy d.t.]]/Italy_dt_at_lockdown</f>
        <v>#NUM!</v>
      </c>
      <c r="K178" s="96">
        <f>Tabella34[[#This Row],[Italy cumul. Fit]]/Kf</f>
        <v>0.99505881549158848</v>
      </c>
      <c r="L178" s="166">
        <f>Tabella34[[#This Row],[Lombardy acc. fit]]+Tabella34[[#This Row],[rest of Italy acc. fit]]</f>
        <v>-5.2836526150356562</v>
      </c>
      <c r="M178" s="96">
        <f>Tabella34[[#This Row],[Italy (fitted Lombardy + fitted sum of the other regions)]]/(y_l_peak+y_a_peak)</f>
        <v>-1.0285275609174438E-3</v>
      </c>
      <c r="N178" s="163">
        <f>IFERROR(Kt*_xlfn.LOGNORM.DIST((Tabella34[[#This Row],[Day]]-pt),mu_t,sigma_t,FALSE),0)</f>
        <v>77.845710714466179</v>
      </c>
      <c r="O178" s="163">
        <f>Kt*EXP(-0.5*Tabella34[[#This Row],[x_t]]^2)/(sigma_t*SQRTPI(2)*(Tabella34[[#This Row],[Day]]-D_bk))</f>
        <v>77.845710714466236</v>
      </c>
      <c r="P178" s="206">
        <f>Tabella34[[#This Row],[Italy velocity]]/Tabella34[[#This Row],[Italy cumul. Fit]]</f>
        <v>3.3290337082975016E-4</v>
      </c>
      <c r="Q178" s="269">
        <f>(LN(Tabella34[[#This Row],[Day]]-D_bk)-mu_t)/sigma_t</f>
        <v>2.5799183069853293</v>
      </c>
      <c r="R178" s="269">
        <f>EXP(mu_t+sigma_t*Tabella34[[#This Row],[x_t_alpha©+plus]])-(Tabella34[[#This Row],[Day]]-D_bk)</f>
        <v>10.327998054389383</v>
      </c>
      <c r="S178" s="269">
        <f>EXP(mu_t+sigma_t*Tabella34[[#This Row],[x_t_alpha©-minus]])-(Tabella34[[#This Row],[Day]]-D_bk)</f>
        <v>-117.80348157639067</v>
      </c>
      <c r="T178" s="269">
        <f>-sigma_t+SQRT(sigma_t^2-2*Tabella34[[#This Row],[c_t]])</f>
        <v>2.8105926053182135</v>
      </c>
      <c r="U178" s="269">
        <f>-sigma_t-SQRT(sigma_t^2-2*Tabella34[[#This Row],[c_t]])</f>
        <v>-3.4298295112104511</v>
      </c>
      <c r="V178" s="269">
        <f>mu_t-LN(alpha*Kt/(Tabella34[[#This Row],[Italy velocity]]*sigma_t*SQRTPI(2)))</f>
        <v>-4.8199267308551379</v>
      </c>
      <c r="W178" s="269">
        <f>Tabella34[[#This Row],[Italy g.r.]]/Italy_gr_at_lockdown</f>
        <v>2.104926373081089E-3</v>
      </c>
      <c r="X178" s="269">
        <f>Tabella34[[#This Row],[t_alpha_t+plus]]</f>
        <v>10.327998054389383</v>
      </c>
      <c r="Y178" s="269">
        <f>Tabella34[[#This Row],[Italy h.t.]]/Italy_ht_at_lockdown</f>
        <v>0.18393521375606062</v>
      </c>
      <c r="Z178" s="91">
        <f>IFERROR(-Kf*_xlfn.LOGNORM.DIST((Tabella34[[#This Row],[Day]]-D_bk),mu_f,sigma_f,FALSE)*(1+(LN((Tabella34[[#This Row],[Day]]-D_bk))-mu_f)/sigma_f^2)/(Tabella34[[#This Row],[Day]]-D_bk),0)</f>
        <v>-5.2077143069223109</v>
      </c>
      <c r="AA178" s="91">
        <f>Tabella34[[#This Row],[Italy acc. fit]]/Itali_acc_at_lockdown</f>
        <v>-2.1433842351741728E-2</v>
      </c>
      <c r="AB178" s="96">
        <f>Tabella34[[#This Row],[Italy acc. fit]]/y_f_peak</f>
        <v>-1.0288649273910231E-3</v>
      </c>
      <c r="AC178" s="163">
        <f>Tabella34[[#This Row],[Italy (fitted Lombardy + fitted sum of the other regions)]]*NOT(ISBLANK(Tabella34[[#This Row],[Italy data]]))</f>
        <v>0</v>
      </c>
      <c r="AD178" s="163">
        <f>Tabella34[[#This Row],[Italy acc. fit]]*NOT(ISBLANK(Tabella34[[#This Row],[Italy data]]))</f>
        <v>0</v>
      </c>
      <c r="AE178" s="96">
        <f>Tabella34[[#This Row],[Italy acc. fit]]+CIf</f>
        <v>1008.5552877133954</v>
      </c>
      <c r="AF178" s="96">
        <f>MAX(Tabella34[[#This Row],[Italy acc. fit]]-CIf,0)</f>
        <v>0</v>
      </c>
      <c r="AH178" s="10"/>
      <c r="AI178" s="10"/>
      <c r="AJ178" s="141">
        <f>Tabella34[[#This Row],[Lombardy data]]*NOT(ISBLANK(Tabella34[[#This Row],[Lombardy data]]))</f>
        <v>0</v>
      </c>
      <c r="AK178" s="96">
        <f>Tabella8[[#This Row],[Lombardy fit]]</f>
        <v>86313.330606188189</v>
      </c>
      <c r="AL178" s="163" t="e">
        <f>_xlfn.LOGNORM.INV(alpha*Tabella34[[#This Row],[Lombardy cumul. Fit]]/Kr,mu_r,sigma_r)-(Tabella34[[#This Row],[Day]]-pr)</f>
        <v>#NUM!</v>
      </c>
      <c r="AM178" s="96">
        <f>Tabella34[[#This Row],[Lombardy cumul. Fit]]/Kl</f>
        <v>0.99210724834699071</v>
      </c>
      <c r="AN178" s="96">
        <f>IFERROR(Kr*_xlfn.LOGNORM.DIST((Tabella34[[#This Row],[Day]]-pr),mu_r,sigma_r,FALSE),0)</f>
        <v>39.603561457876339</v>
      </c>
      <c r="AO178" s="209">
        <f>Tabella34[[#This Row],[Lombardy velocity]]/Tabella34[[#This Row],[Lombardy cumul. Fit]]</f>
        <v>4.5883481936957006E-4</v>
      </c>
      <c r="AP178" s="266">
        <f>(LN(Tabella34[[#This Row],[Day]]-pr)-mu_r)/sigma_r</f>
        <v>2.4138374418882442</v>
      </c>
      <c r="AQ178" s="269">
        <f>EXP(mu_r+sigma_r*Tabella34[[#This Row],[x_r_alpha©+plus]])-(Tabella34[[#This Row],[Day]]-pr)</f>
        <v>11.9570162095917</v>
      </c>
      <c r="AR178" s="269">
        <f>EXP(mu_r+sigma_r*Tabella34[[#This Row],[x_r_alpha©-minus]])-(Tabella34[[#This Row],[Day]]-pr)</f>
        <v>-120.03634901789931</v>
      </c>
      <c r="AS178" s="269">
        <f>-sigma_r+SQRT(sigma_r^2-2*Tabella34[[#This Row],[c_r]])</f>
        <v>2.6549472392196329</v>
      </c>
      <c r="AT178" s="269">
        <f>-sigma_r-SQRT(sigma_r^2-2*Tabella34[[#This Row],[c_r]])</f>
        <v>-3.3358018364133621</v>
      </c>
      <c r="AU178" s="269">
        <f>mu_r-LN(alpha*Kr/(Tabella34[[#This Row],[Lombardy velocity]]*sigma_r*SQRTPI(2)))</f>
        <v>-4.4281889380847188</v>
      </c>
      <c r="AV178" s="269">
        <f>Tabella34[[#This Row],[t_alpha_r+plus]]</f>
        <v>11.9570162095917</v>
      </c>
      <c r="AW178" s="91">
        <f>IFERROR(-Kl*_xlfn.LOGNORM.DIST((Tabella34[[#This Row],[Day]]-pl),mu_l,sigma_l,FALSE)*(1+(LN((Tabella34[[#This Row],[Day]]-pl))-mu_l)/sigma_l^2)/(Tabella34[[#This Row],[Day]]-pl),0)</f>
        <v>-2.2923313550527409</v>
      </c>
      <c r="AX178" s="96">
        <f>Tabella34[[#This Row],[Lombardy acc. fit]]/y_l_peak</f>
        <v>-1.3039765201097323E-3</v>
      </c>
      <c r="AY178" s="163">
        <f>Tabella34[[#This Row],[Lombardy acc. fit]]*NOT(ISBLANK(Tabella34[[#This Row],[Lombardy data]]))</f>
        <v>0</v>
      </c>
      <c r="AZ178" s="96">
        <f>Tabella34[[#This Row],[Lombardy acc. fit]]+CIl</f>
        <v>746.66304044857088</v>
      </c>
      <c r="BA178" s="96">
        <f>MAX(Tabella34[[#This Row],[Lombardy acc. fit]]-CIl,0)</f>
        <v>0</v>
      </c>
      <c r="BC178" s="10"/>
      <c r="BD178" s="10"/>
      <c r="BE178" s="96">
        <f>Tabella34[[#This Row],[rest of Italy data]]*NOT(ISBLANK(Tabella34[[#This Row],[rest of Italy data]]))</f>
        <v>0</v>
      </c>
      <c r="BF178" s="96">
        <f>Tabella8[[#This Row],[rest of Italy fit]]</f>
        <v>147367.18478786966</v>
      </c>
      <c r="BG178" s="163" t="e">
        <f>_xlfn.LOGNORM.INV(alpha*Tabella34[[#This Row],[rest of Italy cumul. Fit]]/Ko,mu_o,sigma_o)-(Tabella34[[#This Row],[Day]]-po)</f>
        <v>#NUM!</v>
      </c>
      <c r="BH178" s="96">
        <f>Tabella34[[#This Row],[rest of Italy cumul. Fit]]/Ka</f>
        <v>0.99572433745342881</v>
      </c>
      <c r="BI178" s="163">
        <f>IFERROR(Ko*_xlfn.LOGNORM.DIST((Tabella34[[#This Row],[Day]]-po),mu_o,sigma_o,FALSE),0)</f>
        <v>43.434357911955068</v>
      </c>
      <c r="BJ178" s="206">
        <f>Tabella34[[#This Row],[rest of Italy velocity]]/Tabella34[[#This Row],[rest of Italy cumul. Fit]]</f>
        <v>2.9473561549321468E-4</v>
      </c>
      <c r="BK178" s="261">
        <f>(LN(Tabella34[[#This Row],[Day]]-po)-mu_o)/sigma_o</f>
        <v>2.6294891885475735</v>
      </c>
      <c r="BL178" s="269">
        <f>EXP(mu_o+sigma_o*Tabella34[[#This Row],[x_o_alpha©+plus]])-(Tabella34[[#This Row],[Day]]-po)</f>
        <v>10.05422575380112</v>
      </c>
      <c r="BM178" s="269">
        <f>EXP(mu_o+sigma_o*Tabella34[[#This Row],[x_o_alpha©-minus]])-(Tabella34[[#This Row],[Day]]-po)</f>
        <v>-114.69768391104748</v>
      </c>
      <c r="BN178" s="269">
        <f>-sigma_o+SQRT(sigma_o^2-2*Tabella34[[#This Row],[c_o]])</f>
        <v>2.8557059596878624</v>
      </c>
      <c r="BO178" s="269">
        <f>-sigma_o-SQRT(sigma_o^2-2*Tabella34[[#This Row],[c_o]])</f>
        <v>-3.4986787369868888</v>
      </c>
      <c r="BP178" s="269">
        <f>mu_o-LN(alpha*Ko/(Tabella34[[#This Row],[rest of Italy velocity]]*sigma_o*SQRTPI(2)))</f>
        <v>-4.995598860123331</v>
      </c>
      <c r="BQ178" s="269">
        <f>Tabella34[[#This Row],[t_alpha_o+plus]]</f>
        <v>10.05422575380112</v>
      </c>
      <c r="BR178" s="91">
        <f>IFERROR(-Ka*_xlfn.LOGNORM.DIST((Tabella34[[#This Row],[Day]]-pa),mu_a,sigma_a,FALSE)*(1+(LN((Tabella34[[#This Row],[Day]]-pa))-mu_a)/sigma_a^2)/(Tabella34[[#This Row],[Day]]-pa),0)</f>
        <v>-2.9913212599829158</v>
      </c>
      <c r="BS178" s="96">
        <f>Tabella34[[#This Row],[rest of Italy acc. fit]]/y_a_peak</f>
        <v>-8.8522914044863316E-4</v>
      </c>
      <c r="BT178" s="141">
        <f>Tabella34[[#This Row],[rest of Italy acc. fit]]*NOT(ISBLANK(Tabella34[[#This Row],[rest of Italy data]]))</f>
        <v>0</v>
      </c>
      <c r="BU178" s="212"/>
      <c r="BV178" s="142"/>
    </row>
    <row r="179" spans="2:74" x14ac:dyDescent="0.3">
      <c r="B179" s="288">
        <v>44002</v>
      </c>
      <c r="C179" s="4">
        <v>172</v>
      </c>
      <c r="E179" s="10"/>
      <c r="F179" s="10"/>
      <c r="G179" s="141">
        <f>Tabella34[[#This Row],[Italy data]]*NOT(ISBLANK(Tabella34[[#This Row],[Italy data]]))</f>
        <v>0</v>
      </c>
      <c r="H179" s="163">
        <f>Tabella8[[#This Row],[Italy fit]]</f>
        <v>233914.05611356712</v>
      </c>
      <c r="I179" s="163" t="e">
        <f>_xlfn.LOGNORM.INV(alpha*Tabella34[[#This Row],[Italy cumul. Fit]]/Kt,mu_t,sigma_t)-(Tabella34[[#This Row],[Day]]-pt)</f>
        <v>#NUM!</v>
      </c>
      <c r="J179" s="163" t="e">
        <f>Tabella34[[#This Row],[Italy d.t.]]/Italy_dt_at_lockdown</f>
        <v>#NUM!</v>
      </c>
      <c r="K179" s="96">
        <f>Tabella34[[#This Row],[Italy cumul. Fit]]/Kf</f>
        <v>0.99537923377861537</v>
      </c>
      <c r="L179" s="166">
        <f>Tabella34[[#This Row],[Lombardy acc. fit]]+Tabella34[[#This Row],[rest of Italy acc. fit]]</f>
        <v>-4.9575979120417264</v>
      </c>
      <c r="M179" s="96">
        <f>Tabella34[[#This Row],[Italy (fitted Lombardy + fitted sum of the other regions)]]/(y_l_peak+y_a_peak)</f>
        <v>-9.6505702777874205E-4</v>
      </c>
      <c r="N179" s="163">
        <f>IFERROR(Kt*_xlfn.LOGNORM.DIST((Tabella34[[#This Row],[Day]]-pt),mu_t,sigma_t,FALSE),0)</f>
        <v>72.806369115912943</v>
      </c>
      <c r="O179" s="163">
        <f>Kt*EXP(-0.5*Tabella34[[#This Row],[x_t]]^2)/(sigma_t*SQRTPI(2)*(Tabella34[[#This Row],[Day]]-D_bk))</f>
        <v>72.806369115912815</v>
      </c>
      <c r="P179" s="206">
        <f>Tabella34[[#This Row],[Italy velocity]]/Tabella34[[#This Row],[Italy cumul. Fit]]</f>
        <v>3.1125264691474923E-4</v>
      </c>
      <c r="Q179" s="269">
        <f>(LN(Tabella34[[#This Row],[Day]]-D_bk)-mu_t)/sigma_t</f>
        <v>2.6029874950778806</v>
      </c>
      <c r="R179" s="269">
        <f>EXP(mu_t+sigma_t*Tabella34[[#This Row],[x_t_alpha©+plus]])-(Tabella34[[#This Row],[Day]]-D_bk)</f>
        <v>10.322929440953004</v>
      </c>
      <c r="S179" s="269">
        <f>EXP(mu_t+sigma_t*Tabella34[[#This Row],[x_t_alpha©-minus]])-(Tabella34[[#This Row],[Day]]-D_bk)</f>
        <v>-118.94663337611186</v>
      </c>
      <c r="T179" s="269">
        <f>-sigma_t+SQRT(sigma_t^2-2*Tabella34[[#This Row],[c_t]])</f>
        <v>2.8319683705532199</v>
      </c>
      <c r="U179" s="269">
        <f>-sigma_t-SQRT(sigma_t^2-2*Tabella34[[#This Row],[c_t]])</f>
        <v>-3.4512052764454575</v>
      </c>
      <c r="V179" s="269">
        <f>mu_t-LN(alpha*Kt/(Tabella34[[#This Row],[Italy velocity]]*sigma_t*SQRTPI(2)))</f>
        <v>-4.8868520915899589</v>
      </c>
      <c r="W179" s="269">
        <f>Tabella34[[#This Row],[Italy g.r.]]/Italy_gr_at_lockdown</f>
        <v>1.9680302531908237E-3</v>
      </c>
      <c r="X179" s="269">
        <f>Tabella34[[#This Row],[t_alpha_t+plus]]</f>
        <v>10.322929440953004</v>
      </c>
      <c r="Y179" s="269">
        <f>Tabella34[[#This Row],[Italy h.t.]]/Italy_ht_at_lockdown</f>
        <v>0.18384494490715519</v>
      </c>
      <c r="Z179" s="91">
        <f>IFERROR(-Kf*_xlfn.LOGNORM.DIST((Tabella34[[#This Row],[Day]]-D_bk),mu_f,sigma_f,FALSE)*(1+(LN((Tabella34[[#This Row],[Day]]-D_bk))-mu_f)/sigma_f^2)/(Tabella34[[#This Row],[Day]]-D_bk),0)</f>
        <v>-4.8745365652668262</v>
      </c>
      <c r="AA179" s="91">
        <f>Tabella34[[#This Row],[Italy acc. fit]]/Itali_acc_at_lockdown</f>
        <v>-2.0062553765449558E-2</v>
      </c>
      <c r="AB179" s="96">
        <f>Tabella34[[#This Row],[Italy acc. fit]]/y_f_peak</f>
        <v>-9.6304048450232289E-4</v>
      </c>
      <c r="AC179" s="163">
        <f>Tabella34[[#This Row],[Italy (fitted Lombardy + fitted sum of the other regions)]]*NOT(ISBLANK(Tabella34[[#This Row],[Italy data]]))</f>
        <v>0</v>
      </c>
      <c r="AD179" s="163">
        <f>Tabella34[[#This Row],[Italy acc. fit]]*NOT(ISBLANK(Tabella34[[#This Row],[Italy data]]))</f>
        <v>0</v>
      </c>
      <c r="AE179" s="96">
        <f>Tabella34[[#This Row],[Italy acc. fit]]+CIf</f>
        <v>1008.8884654550509</v>
      </c>
      <c r="AF179" s="96">
        <f>MAX(Tabella34[[#This Row],[Italy acc. fit]]-CIf,0)</f>
        <v>0</v>
      </c>
      <c r="AH179" s="10"/>
      <c r="AI179" s="10"/>
      <c r="AJ179" s="141">
        <f>Tabella34[[#This Row],[Lombardy data]]*NOT(ISBLANK(Tabella34[[#This Row],[Lombardy data]]))</f>
        <v>0</v>
      </c>
      <c r="AK179" s="96">
        <f>Tabella8[[#This Row],[Lombardy fit]]</f>
        <v>86351.809631186756</v>
      </c>
      <c r="AL179" s="163" t="e">
        <f>_xlfn.LOGNORM.INV(alpha*Tabella34[[#This Row],[Lombardy cumul. Fit]]/Kr,mu_r,sigma_r)-(Tabella34[[#This Row],[Day]]-pr)</f>
        <v>#NUM!</v>
      </c>
      <c r="AM179" s="96">
        <f>Tabella34[[#This Row],[Lombardy cumul. Fit]]/Kl</f>
        <v>0.99254953599065232</v>
      </c>
      <c r="AN179" s="96">
        <f>IFERROR(Kr*_xlfn.LOGNORM.DIST((Tabella34[[#This Row],[Day]]-pr),mu_r,sigma_r,FALSE),0)</f>
        <v>37.375817862836612</v>
      </c>
      <c r="AO179" s="209">
        <f>Tabella34[[#This Row],[Lombardy velocity]]/Tabella34[[#This Row],[Lombardy cumul. Fit]]</f>
        <v>4.3283190036747058E-4</v>
      </c>
      <c r="AP179" s="266">
        <f>(LN(Tabella34[[#This Row],[Day]]-pr)-mu_r)/sigma_r</f>
        <v>2.4347780149869909</v>
      </c>
      <c r="AQ179" s="269">
        <f>EXP(mu_r+sigma_r*Tabella34[[#This Row],[x_r_alpha©+plus]])-(Tabella34[[#This Row],[Day]]-pr)</f>
        <v>11.955477115631965</v>
      </c>
      <c r="AR179" s="269">
        <f>EXP(mu_r+sigma_r*Tabella34[[#This Row],[x_r_alpha©-minus]])-(Tabella34[[#This Row],[Day]]-pr)</f>
        <v>-121.16540441254742</v>
      </c>
      <c r="AS179" s="269">
        <f>-sigma_r+SQRT(sigma_r^2-2*Tabella34[[#This Row],[c_r]])</f>
        <v>2.6742134583862875</v>
      </c>
      <c r="AT179" s="269">
        <f>-sigma_r-SQRT(sigma_r^2-2*Tabella34[[#This Row],[c_r]])</f>
        <v>-3.3550680555800168</v>
      </c>
      <c r="AU179" s="269">
        <f>mu_r-LN(alpha*Kr/(Tabella34[[#This Row],[Lombardy velocity]]*sigma_r*SQRTPI(2)))</f>
        <v>-4.4860840740169978</v>
      </c>
      <c r="AV179" s="269">
        <f>Tabella34[[#This Row],[t_alpha_r+plus]]</f>
        <v>11.955477115631965</v>
      </c>
      <c r="AW179" s="91">
        <f>IFERROR(-Kl*_xlfn.LOGNORM.DIST((Tabella34[[#This Row],[Day]]-pl),mu_l,sigma_l,FALSE)*(1+(LN((Tabella34[[#This Row],[Day]]-pl))-mu_l)/sigma_l^2)/(Tabella34[[#This Row],[Day]]-pl),0)</f>
        <v>-2.1643491359646867</v>
      </c>
      <c r="AX179" s="96">
        <f>Tabella34[[#This Row],[Lombardy acc. fit]]/y_l_peak</f>
        <v>-1.2311747376298507E-3</v>
      </c>
      <c r="AY179" s="163">
        <f>Tabella34[[#This Row],[Lombardy acc. fit]]*NOT(ISBLANK(Tabella34[[#This Row],[Lombardy data]]))</f>
        <v>0</v>
      </c>
      <c r="AZ179" s="96">
        <f>Tabella34[[#This Row],[Lombardy acc. fit]]+CIl</f>
        <v>746.79102266765892</v>
      </c>
      <c r="BA179" s="96">
        <f>MAX(Tabella34[[#This Row],[Lombardy acc. fit]]-CIl,0)</f>
        <v>0</v>
      </c>
      <c r="BC179" s="10"/>
      <c r="BD179" s="10"/>
      <c r="BE179" s="96">
        <f>Tabella34[[#This Row],[rest of Italy data]]*NOT(ISBLANK(Tabella34[[#This Row],[rest of Italy data]]))</f>
        <v>0</v>
      </c>
      <c r="BF179" s="96">
        <f>Tabella8[[#This Row],[rest of Italy fit]]</f>
        <v>147409.1570529367</v>
      </c>
      <c r="BG179" s="163" t="e">
        <f>_xlfn.LOGNORM.INV(alpha*Tabella34[[#This Row],[rest of Italy cumul. Fit]]/Ko,mu_o,sigma_o)-(Tabella34[[#This Row],[Day]]-po)</f>
        <v>#NUM!</v>
      </c>
      <c r="BH179" s="96">
        <f>Tabella34[[#This Row],[rest of Italy cumul. Fit]]/Ka</f>
        <v>0.9960079338720309</v>
      </c>
      <c r="BI179" s="163">
        <f>IFERROR(Ko*_xlfn.LOGNORM.DIST((Tabella34[[#This Row],[Day]]-po),mu_o,sigma_o,FALSE),0)</f>
        <v>40.543181924016729</v>
      </c>
      <c r="BJ179" s="206">
        <f>Tabella34[[#This Row],[rest of Italy velocity]]/Tabella34[[#This Row],[rest of Italy cumul. Fit]]</f>
        <v>2.750384218631486E-4</v>
      </c>
      <c r="BK179" s="261">
        <f>(LN(Tabella34[[#This Row],[Day]]-po)-mu_o)/sigma_o</f>
        <v>2.6527400946655075</v>
      </c>
      <c r="BL179" s="269">
        <f>EXP(mu_o+sigma_o*Tabella34[[#This Row],[x_o_alpha©+plus]])-(Tabella34[[#This Row],[Day]]-po)</f>
        <v>10.053362325732166</v>
      </c>
      <c r="BM179" s="269">
        <f>EXP(mu_o+sigma_o*Tabella34[[#This Row],[x_o_alpha©-minus]])-(Tabella34[[#This Row],[Day]]-po)</f>
        <v>-115.82633408875373</v>
      </c>
      <c r="BN179" s="269">
        <f>-sigma_o+SQRT(sigma_o^2-2*Tabella34[[#This Row],[c_o]])</f>
        <v>2.8773130009922205</v>
      </c>
      <c r="BO179" s="269">
        <f>-sigma_o-SQRT(sigma_o^2-2*Tabella34[[#This Row],[c_o]])</f>
        <v>-3.5202857782912469</v>
      </c>
      <c r="BP179" s="269">
        <f>mu_o-LN(alpha*Ko/(Tabella34[[#This Row],[rest of Italy velocity]]*sigma_o*SQRTPI(2)))</f>
        <v>-5.0644820185427113</v>
      </c>
      <c r="BQ179" s="269">
        <f>Tabella34[[#This Row],[t_alpha_o+plus]]</f>
        <v>10.053362325732166</v>
      </c>
      <c r="BR179" s="91">
        <f>IFERROR(-Ka*_xlfn.LOGNORM.DIST((Tabella34[[#This Row],[Day]]-pa),mu_a,sigma_a,FALSE)*(1+(LN((Tabella34[[#This Row],[Day]]-pa))-mu_a)/sigma_a^2)/(Tabella34[[#This Row],[Day]]-pa),0)</f>
        <v>-2.7932487760770397</v>
      </c>
      <c r="BS179" s="96">
        <f>Tabella34[[#This Row],[rest of Italy acc. fit]]/y_a_peak</f>
        <v>-8.2661305764262724E-4</v>
      </c>
      <c r="BT179" s="141">
        <f>Tabella34[[#This Row],[rest of Italy acc. fit]]*NOT(ISBLANK(Tabella34[[#This Row],[rest of Italy data]]))</f>
        <v>0</v>
      </c>
      <c r="BU179" s="212"/>
      <c r="BV179" s="142"/>
    </row>
    <row r="180" spans="2:74" x14ac:dyDescent="0.3">
      <c r="B180" s="288">
        <v>44003</v>
      </c>
      <c r="C180" s="4">
        <v>173</v>
      </c>
      <c r="E180" s="10"/>
      <c r="F180" s="10"/>
      <c r="G180" s="141">
        <f>Tabella34[[#This Row],[Italy data]]*NOT(ISBLANK(Tabella34[[#This Row],[Italy data]]))</f>
        <v>0</v>
      </c>
      <c r="H180" s="163">
        <f>Tabella8[[#This Row],[Italy fit]]</f>
        <v>233984.47812337833</v>
      </c>
      <c r="I180" s="163" t="e">
        <f>_xlfn.LOGNORM.INV(alpha*Tabella34[[#This Row],[Italy cumul. Fit]]/Kt,mu_t,sigma_t)-(Tabella34[[#This Row],[Day]]-pt)</f>
        <v>#NUM!</v>
      </c>
      <c r="J180" s="163" t="e">
        <f>Tabella34[[#This Row],[Italy d.t.]]/Italy_dt_at_lockdown</f>
        <v>#NUM!</v>
      </c>
      <c r="K180" s="96">
        <f>Tabella34[[#This Row],[Italy cumul. Fit]]/Kf</f>
        <v>0.9956789019872373</v>
      </c>
      <c r="L180" s="166">
        <f>Tabella34[[#This Row],[Lombardy acc. fit]]+Tabella34[[#This Row],[rest of Italy acc. fit]]</f>
        <v>-4.6514070824093938</v>
      </c>
      <c r="M180" s="96">
        <f>Tabella34[[#This Row],[Italy (fitted Lombardy + fitted sum of the other regions)]]/(y_l_peak+y_a_peak)</f>
        <v>-9.0545324037590458E-4</v>
      </c>
      <c r="N180" s="163">
        <f>IFERROR(Kt*_xlfn.LOGNORM.DIST((Tabella34[[#This Row],[Day]]-pt),mu_t,sigma_t,FALSE),0)</f>
        <v>68.089715087105617</v>
      </c>
      <c r="O180" s="163">
        <f>Kt*EXP(-0.5*Tabella34[[#This Row],[x_t]]^2)/(sigma_t*SQRTPI(2)*(Tabella34[[#This Row],[Day]]-D_bk))</f>
        <v>68.089715087105517</v>
      </c>
      <c r="P180" s="206">
        <f>Tabella34[[#This Row],[Italy velocity]]/Tabella34[[#This Row],[Italy cumul. Fit]]</f>
        <v>2.910009913187592E-4</v>
      </c>
      <c r="Q180" s="269">
        <f>(LN(Tabella34[[#This Row],[Day]]-D_bk)-mu_t)/sigma_t</f>
        <v>2.6258930760162196</v>
      </c>
      <c r="R180" s="269">
        <f>EXP(mu_t+sigma_t*Tabella34[[#This Row],[x_t_alpha©+plus]])-(Tabella34[[#This Row],[Day]]-D_bk)</f>
        <v>10.318447892208184</v>
      </c>
      <c r="S180" s="269">
        <f>EXP(mu_t+sigma_t*Tabella34[[#This Row],[x_t_alpha©-minus]])-(Tabella34[[#This Row],[Day]]-D_bk)</f>
        <v>-120.08799177057462</v>
      </c>
      <c r="T180" s="269">
        <f>-sigma_t+SQRT(sigma_t^2-2*Tabella34[[#This Row],[c_t]])</f>
        <v>2.8532160823703734</v>
      </c>
      <c r="U180" s="269">
        <f>-sigma_t-SQRT(sigma_t^2-2*Tabella34[[#This Row],[c_t]])</f>
        <v>-3.472452988262611</v>
      </c>
      <c r="V180" s="269">
        <f>mu_t-LN(alpha*Kt/(Tabella34[[#This Row],[Italy velocity]]*sigma_t*SQRTPI(2)))</f>
        <v>-4.9538293556929718</v>
      </c>
      <c r="W180" s="269">
        <f>Tabella34[[#This Row],[Italy g.r.]]/Italy_gr_at_lockdown</f>
        <v>1.839980351334002E-3</v>
      </c>
      <c r="X180" s="269">
        <f>Tabella34[[#This Row],[t_alpha_t+plus]]</f>
        <v>10.318447892208184</v>
      </c>
      <c r="Y180" s="269">
        <f>Tabella34[[#This Row],[Italy h.t.]]/Italy_ht_at_lockdown</f>
        <v>0.18376513131482144</v>
      </c>
      <c r="Z180" s="91">
        <f>IFERROR(-Kf*_xlfn.LOGNORM.DIST((Tabella34[[#This Row],[Day]]-D_bk),mu_f,sigma_f,FALSE)*(1+(LN((Tabella34[[#This Row],[Day]]-D_bk))-mu_f)/sigma_f^2)/(Tabella34[[#This Row],[Day]]-D_bk),0)</f>
        <v>-4.5621285891005376</v>
      </c>
      <c r="AA180" s="91">
        <f>Tabella34[[#This Row],[Italy acc. fit]]/Itali_acc_at_lockdown</f>
        <v>-1.8776749107987038E-2</v>
      </c>
      <c r="AB180" s="96">
        <f>Tabella34[[#This Row],[Italy acc. fit]]/y_f_peak</f>
        <v>-9.0131943170043379E-4</v>
      </c>
      <c r="AC180" s="163">
        <f>Tabella34[[#This Row],[Italy (fitted Lombardy + fitted sum of the other regions)]]*NOT(ISBLANK(Tabella34[[#This Row],[Italy data]]))</f>
        <v>0</v>
      </c>
      <c r="AD180" s="163">
        <f>Tabella34[[#This Row],[Italy acc. fit]]*NOT(ISBLANK(Tabella34[[#This Row],[Italy data]]))</f>
        <v>0</v>
      </c>
      <c r="AE180" s="96">
        <f>Tabella34[[#This Row],[Italy acc. fit]]+CIf</f>
        <v>1009.2008734312171</v>
      </c>
      <c r="AF180" s="96">
        <f>MAX(Tabella34[[#This Row],[Italy acc. fit]]-CIf,0)</f>
        <v>0</v>
      </c>
      <c r="AH180" s="10"/>
      <c r="AI180" s="10"/>
      <c r="AJ180" s="141">
        <f>Tabella34[[#This Row],[Lombardy data]]*NOT(ISBLANK(Tabella34[[#This Row],[Lombardy data]]))</f>
        <v>0</v>
      </c>
      <c r="AK180" s="96">
        <f>Tabella8[[#This Row],[Lombardy fit]]</f>
        <v>86388.123725904021</v>
      </c>
      <c r="AL180" s="163" t="e">
        <f>_xlfn.LOGNORM.INV(alpha*Tabella34[[#This Row],[Lombardy cumul. Fit]]/Kr,mu_r,sigma_r)-(Tabella34[[#This Row],[Day]]-pr)</f>
        <v>#NUM!</v>
      </c>
      <c r="AM180" s="96">
        <f>Tabella34[[#This Row],[Lombardy cumul. Fit]]/Kl</f>
        <v>0.99296693937820713</v>
      </c>
      <c r="AN180" s="96">
        <f>IFERROR(Kr*_xlfn.LOGNORM.DIST((Tabella34[[#This Row],[Day]]-pr),mu_r,sigma_r,FALSE),0)</f>
        <v>35.272538510554277</v>
      </c>
      <c r="AO180" s="209">
        <f>Tabella34[[#This Row],[Lombardy velocity]]/Tabella34[[#This Row],[Lombardy cumul. Fit]]</f>
        <v>4.0830309757008401E-4</v>
      </c>
      <c r="AP180" s="266">
        <f>(LN(Tabella34[[#This Row],[Day]]-pr)-mu_r)/sigma_r</f>
        <v>2.4555703641544775</v>
      </c>
      <c r="AQ180" s="269">
        <f>EXP(mu_r+sigma_r*Tabella34[[#This Row],[x_r_alpha©+plus]])-(Tabella34[[#This Row],[Day]]-pr)</f>
        <v>11.954520097458243</v>
      </c>
      <c r="AR180" s="269">
        <f>EXP(mu_r+sigma_r*Tabella34[[#This Row],[x_r_alpha©-minus]])-(Tabella34[[#This Row],[Day]]-pr)</f>
        <v>-122.29285719828289</v>
      </c>
      <c r="AS180" s="269">
        <f>-sigma_r+SQRT(sigma_r^2-2*Tabella34[[#This Row],[c_r]])</f>
        <v>2.6933652604339695</v>
      </c>
      <c r="AT180" s="269">
        <f>-sigma_r-SQRT(sigma_r^2-2*Tabella34[[#This Row],[c_r]])</f>
        <v>-3.3742198576276987</v>
      </c>
      <c r="AU180" s="269">
        <f>mu_r-LN(alpha*Kr/(Tabella34[[#This Row],[Lombardy velocity]]*sigma_r*SQRTPI(2)))</f>
        <v>-4.5440032728004498</v>
      </c>
      <c r="AV180" s="269">
        <f>Tabella34[[#This Row],[t_alpha_r+plus]]</f>
        <v>11.954520097458243</v>
      </c>
      <c r="AW180" s="91">
        <f>IFERROR(-Kl*_xlfn.LOGNORM.DIST((Tabella34[[#This Row],[Day]]-pl),mu_l,sigma_l,FALSE)*(1+(LN((Tabella34[[#This Row],[Day]]-pl))-mu_l)/sigma_l^2)/(Tabella34[[#This Row],[Day]]-pl),0)</f>
        <v>-2.0433415066861755</v>
      </c>
      <c r="AX180" s="96">
        <f>Tabella34[[#This Row],[Lombardy acc. fit]]/y_l_peak</f>
        <v>-1.1623404013610039E-3</v>
      </c>
      <c r="AY180" s="163">
        <f>Tabella34[[#This Row],[Lombardy acc. fit]]*NOT(ISBLANK(Tabella34[[#This Row],[Lombardy data]]))</f>
        <v>0</v>
      </c>
      <c r="AZ180" s="96">
        <f>Tabella34[[#This Row],[Lombardy acc. fit]]+CIl</f>
        <v>746.91203029693747</v>
      </c>
      <c r="BA180" s="96">
        <f>MAX(Tabella34[[#This Row],[Lombardy acc. fit]]-CIl,0)</f>
        <v>0</v>
      </c>
      <c r="BC180" s="10"/>
      <c r="BD180" s="10"/>
      <c r="BE180" s="96">
        <f>Tabella34[[#This Row],[rest of Italy data]]*NOT(ISBLANK(Tabella34[[#This Row],[rest of Italy data]]))</f>
        <v>0</v>
      </c>
      <c r="BF180" s="96">
        <f>Tabella8[[#This Row],[rest of Italy fit]]</f>
        <v>147448.33499532519</v>
      </c>
      <c r="BG180" s="163" t="e">
        <f>_xlfn.LOGNORM.INV(alpha*Tabella34[[#This Row],[rest of Italy cumul. Fit]]/Ko,mu_o,sigma_o)-(Tabella34[[#This Row],[Day]]-po)</f>
        <v>#NUM!</v>
      </c>
      <c r="BH180" s="96">
        <f>Tabella34[[#This Row],[rest of Italy cumul. Fit]]/Ka</f>
        <v>0.99627264972979601</v>
      </c>
      <c r="BI180" s="163">
        <f>IFERROR(Ko*_xlfn.LOGNORM.DIST((Tabella34[[#This Row],[Day]]-po),mu_o,sigma_o,FALSE),0)</f>
        <v>37.843564477361163</v>
      </c>
      <c r="BJ180" s="206">
        <f>Tabella34[[#This Row],[rest of Italy velocity]]/Tabella34[[#This Row],[rest of Italy cumul. Fit]]</f>
        <v>2.56656438192815E-4</v>
      </c>
      <c r="BK180" s="261">
        <f>(LN(Tabella34[[#This Row],[Day]]-po)-mu_o)/sigma_o</f>
        <v>2.6758184924283448</v>
      </c>
      <c r="BL180" s="269">
        <f>EXP(mu_o+sigma_o*Tabella34[[#This Row],[x_o_alpha©+plus]])-(Tabella34[[#This Row],[Day]]-po)</f>
        <v>10.053031009735747</v>
      </c>
      <c r="BM180" s="269">
        <f>EXP(mu_o+sigma_o*Tabella34[[#This Row],[x_o_alpha©-minus]])-(Tabella34[[#This Row],[Day]]-po)</f>
        <v>-116.95328250960524</v>
      </c>
      <c r="BN180" s="269">
        <f>-sigma_o+SQRT(sigma_o^2-2*Tabella34[[#This Row],[c_o]])</f>
        <v>2.8987823751733206</v>
      </c>
      <c r="BO180" s="269">
        <f>-sigma_o-SQRT(sigma_o^2-2*Tabella34[[#This Row],[c_o]])</f>
        <v>-3.541755152472347</v>
      </c>
      <c r="BP180" s="269">
        <f>mu_o-LN(alpha*Ko/(Tabella34[[#This Row],[rest of Italy velocity]]*sigma_o*SQRTPI(2)))</f>
        <v>-5.1333887065830686</v>
      </c>
      <c r="BQ180" s="269">
        <f>Tabella34[[#This Row],[t_alpha_o+plus]]</f>
        <v>10.053031009735747</v>
      </c>
      <c r="BR180" s="91">
        <f>IFERROR(-Ka*_xlfn.LOGNORM.DIST((Tabella34[[#This Row],[Day]]-pa),mu_a,sigma_a,FALSE)*(1+(LN((Tabella34[[#This Row],[Day]]-pa))-mu_a)/sigma_a^2)/(Tabella34[[#This Row],[Day]]-pa),0)</f>
        <v>-2.6080655757232183</v>
      </c>
      <c r="BS180" s="96">
        <f>Tabella34[[#This Row],[rest of Italy acc. fit]]/y_a_peak</f>
        <v>-7.7181133257626759E-4</v>
      </c>
      <c r="BT180" s="141">
        <f>Tabella34[[#This Row],[rest of Italy acc. fit]]*NOT(ISBLANK(Tabella34[[#This Row],[rest of Italy data]]))</f>
        <v>0</v>
      </c>
      <c r="BU180" s="212"/>
      <c r="BV180" s="142"/>
    </row>
    <row r="181" spans="2:74" x14ac:dyDescent="0.3">
      <c r="B181" s="288">
        <v>44004</v>
      </c>
      <c r="C181" s="4">
        <v>174</v>
      </c>
      <c r="E181" s="10"/>
      <c r="F181" s="10"/>
      <c r="G181" s="141">
        <f>Tabella34[[#This Row],[Italy data]]*NOT(ISBLANK(Tabella34[[#This Row],[Italy data]]))</f>
        <v>0</v>
      </c>
      <c r="H181" s="163">
        <f>Tabella8[[#This Row],[Italy fit]]</f>
        <v>234050.33637654621</v>
      </c>
      <c r="I181" s="163" t="e">
        <f>_xlfn.LOGNORM.INV(alpha*Tabella34[[#This Row],[Italy cumul. Fit]]/Kt,mu_t,sigma_t)-(Tabella34[[#This Row],[Day]]-pt)</f>
        <v>#NUM!</v>
      </c>
      <c r="J181" s="163" t="e">
        <f>Tabella34[[#This Row],[Italy d.t.]]/Italy_dt_at_lockdown</f>
        <v>#NUM!</v>
      </c>
      <c r="K181" s="96">
        <f>Tabella34[[#This Row],[Italy cumul. Fit]]/Kf</f>
        <v>0.99595914994952484</v>
      </c>
      <c r="L181" s="166">
        <f>Tabella34[[#This Row],[Lombardy acc. fit]]+Tabella34[[#This Row],[rest of Italy acc. fit]]</f>
        <v>-4.3639128200091397</v>
      </c>
      <c r="M181" s="96">
        <f>Tabella34[[#This Row],[Italy (fitted Lombardy + fitted sum of the other regions)]]/(y_l_peak+y_a_peak)</f>
        <v>-8.4948896830343084E-4</v>
      </c>
      <c r="N181" s="163">
        <f>IFERROR(Kt*_xlfn.LOGNORM.DIST((Tabella34[[#This Row],[Day]]-pt),mu_t,sigma_t,FALSE),0)</f>
        <v>63.675599356563751</v>
      </c>
      <c r="O181" s="163">
        <f>Kt*EXP(-0.5*Tabella34[[#This Row],[x_t]]^2)/(sigma_t*SQRTPI(2)*(Tabella34[[#This Row],[Day]]-D_bk))</f>
        <v>63.675599356563751</v>
      </c>
      <c r="P181" s="206">
        <f>Tabella34[[#This Row],[Italy velocity]]/Tabella34[[#This Row],[Italy cumul. Fit]]</f>
        <v>2.7205942252576303E-4</v>
      </c>
      <c r="Q181" s="269">
        <f>(LN(Tabella34[[#This Row],[Day]]-D_bk)-mu_t)/sigma_t</f>
        <v>2.6486373540785237</v>
      </c>
      <c r="R181" s="269">
        <f>EXP(mu_t+sigma_t*Tabella34[[#This Row],[x_t_alpha©+plus]])-(Tabella34[[#This Row],[Day]]-D_bk)</f>
        <v>10.314533612598154</v>
      </c>
      <c r="S181" s="269">
        <f>EXP(mu_t+sigma_t*Tabella34[[#This Row],[x_t_alpha©-minus]])-(Tabella34[[#This Row],[Day]]-D_bk)</f>
        <v>-121.22758742313277</v>
      </c>
      <c r="T181" s="269">
        <f>-sigma_t+SQRT(sigma_t^2-2*Tabella34[[#This Row],[c_t]])</f>
        <v>2.874336914347039</v>
      </c>
      <c r="U181" s="269">
        <f>-sigma_t-SQRT(sigma_t^2-2*Tabella34[[#This Row],[c_t]])</f>
        <v>-3.4935738202392765</v>
      </c>
      <c r="V181" s="269">
        <f>mu_t-LN(alpha*Kt/(Tabella34[[#This Row],[Italy velocity]]*sigma_t*SQRTPI(2)))</f>
        <v>-5.0208540972550795</v>
      </c>
      <c r="W181" s="269">
        <f>Tabella34[[#This Row],[Italy g.r.]]/Italy_gr_at_lockdown</f>
        <v>1.7202140431691695E-3</v>
      </c>
      <c r="X181" s="269">
        <f>Tabella34[[#This Row],[t_alpha_t+plus]]</f>
        <v>10.314533612598154</v>
      </c>
      <c r="Y181" s="269">
        <f>Tabella34[[#This Row],[Italy h.t.]]/Italy_ht_at_lockdown</f>
        <v>0.18369542043252071</v>
      </c>
      <c r="Z181" s="91">
        <f>IFERROR(-Kf*_xlfn.LOGNORM.DIST((Tabella34[[#This Row],[Day]]-D_bk),mu_f,sigma_f,FALSE)*(1+(LN((Tabella34[[#This Row],[Day]]-D_bk))-mu_f)/sigma_f^2)/(Tabella34[[#This Row],[Day]]-D_bk),0)</f>
        <v>-4.2692605419197331</v>
      </c>
      <c r="AA181" s="91">
        <f>Tabella34[[#This Row],[Italy acc. fit]]/Itali_acc_at_lockdown</f>
        <v>-1.7571366634376341E-2</v>
      </c>
      <c r="AB181" s="96">
        <f>Tabella34[[#This Row],[Italy acc. fit]]/y_f_peak</f>
        <v>-8.4345879566337248E-4</v>
      </c>
      <c r="AC181" s="163">
        <f>Tabella34[[#This Row],[Italy (fitted Lombardy + fitted sum of the other regions)]]*NOT(ISBLANK(Tabella34[[#This Row],[Italy data]]))</f>
        <v>0</v>
      </c>
      <c r="AD181" s="163">
        <f>Tabella34[[#This Row],[Italy acc. fit]]*NOT(ISBLANK(Tabella34[[#This Row],[Italy data]]))</f>
        <v>0</v>
      </c>
      <c r="AE181" s="96">
        <f>Tabella34[[#This Row],[Italy acc. fit]]+CIf</f>
        <v>1009.493741478398</v>
      </c>
      <c r="AF181" s="96">
        <f>MAX(Tabella34[[#This Row],[Italy acc. fit]]-CIf,0)</f>
        <v>0</v>
      </c>
      <c r="AH181" s="10"/>
      <c r="AI181" s="10"/>
      <c r="AJ181" s="141">
        <f>Tabella34[[#This Row],[Lombardy data]]*NOT(ISBLANK(Tabella34[[#This Row],[Lombardy data]]))</f>
        <v>0</v>
      </c>
      <c r="AK181" s="96">
        <f>Tabella8[[#This Row],[Lombardy fit]]</f>
        <v>86422.393927951678</v>
      </c>
      <c r="AL181" s="163" t="e">
        <f>_xlfn.LOGNORM.INV(alpha*Tabella34[[#This Row],[Lombardy cumul. Fit]]/Kr,mu_r,sigma_r)-(Tabella34[[#This Row],[Day]]-pr)</f>
        <v>#NUM!</v>
      </c>
      <c r="AM181" s="96">
        <f>Tabella34[[#This Row],[Lombardy cumul. Fit]]/Kl</f>
        <v>0.99336084974657102</v>
      </c>
      <c r="AN181" s="96">
        <f>IFERROR(Kr*_xlfn.LOGNORM.DIST((Tabella34[[#This Row],[Day]]-pr),mu_r,sigma_r,FALSE),0)</f>
        <v>33.286930106712617</v>
      </c>
      <c r="AO181" s="209">
        <f>Tabella34[[#This Row],[Lombardy velocity]]/Tabella34[[#This Row],[Lombardy cumul. Fit]]</f>
        <v>3.8516556408357713E-4</v>
      </c>
      <c r="AP181" s="266">
        <f>(LN(Tabella34[[#This Row],[Day]]-pr)-mu_r)/sigma_r</f>
        <v>2.4762165730016572</v>
      </c>
      <c r="AQ181" s="269">
        <f>EXP(mu_r+sigma_r*Tabella34[[#This Row],[x_r_alpha©+plus]])-(Tabella34[[#This Row],[Day]]-pr)</f>
        <v>11.954126043377158</v>
      </c>
      <c r="AR181" s="269">
        <f>EXP(mu_r+sigma_r*Tabella34[[#This Row],[x_r_alpha©-minus]])-(Tabella34[[#This Row],[Day]]-pr)</f>
        <v>-123.41873458784583</v>
      </c>
      <c r="AS181" s="269">
        <f>-sigma_r+SQRT(sigma_r^2-2*Tabella34[[#This Row],[c_r]])</f>
        <v>2.7124036925543651</v>
      </c>
      <c r="AT181" s="269">
        <f>-sigma_r-SQRT(sigma_r^2-2*Tabella34[[#This Row],[c_r]])</f>
        <v>-3.3932582897480943</v>
      </c>
      <c r="AU181" s="269">
        <f>mu_r-LN(alpha*Kr/(Tabella34[[#This Row],[Lombardy velocity]]*sigma_r*SQRTPI(2)))</f>
        <v>-4.6019431574517204</v>
      </c>
      <c r="AV181" s="269">
        <f>Tabella34[[#This Row],[t_alpha_r+plus]]</f>
        <v>11.954126043377158</v>
      </c>
      <c r="AW181" s="91">
        <f>IFERROR(-Kl*_xlfn.LOGNORM.DIST((Tabella34[[#This Row],[Day]]-pl),mu_l,sigma_l,FALSE)*(1+(LN((Tabella34[[#This Row],[Day]]-pl))-mu_l)/sigma_l^2)/(Tabella34[[#This Row],[Day]]-pl),0)</f>
        <v>-1.9289486524430557</v>
      </c>
      <c r="AX181" s="96">
        <f>Tabella34[[#This Row],[Lombardy acc. fit]]/y_l_peak</f>
        <v>-1.097268833207223E-3</v>
      </c>
      <c r="AY181" s="163">
        <f>Tabella34[[#This Row],[Lombardy acc. fit]]*NOT(ISBLANK(Tabella34[[#This Row],[Lombardy data]]))</f>
        <v>0</v>
      </c>
      <c r="AZ181" s="96">
        <f>Tabella34[[#This Row],[Lombardy acc. fit]]+CIl</f>
        <v>747.02642315118055</v>
      </c>
      <c r="BA181" s="96">
        <f>MAX(Tabella34[[#This Row],[Lombardy acc. fit]]-CIl,0)</f>
        <v>0</v>
      </c>
      <c r="BC181" s="10"/>
      <c r="BD181" s="10"/>
      <c r="BE181" s="96">
        <f>Tabella34[[#This Row],[rest of Italy data]]*NOT(ISBLANK(Tabella34[[#This Row],[rest of Italy data]]))</f>
        <v>0</v>
      </c>
      <c r="BF181" s="96">
        <f>Tabella8[[#This Row],[rest of Italy fit]]</f>
        <v>147484.90386551686</v>
      </c>
      <c r="BG181" s="163" t="e">
        <f>_xlfn.LOGNORM.INV(alpha*Tabella34[[#This Row],[rest of Italy cumul. Fit]]/Ko,mu_o,sigma_o)-(Tabella34[[#This Row],[Day]]-po)</f>
        <v>#NUM!</v>
      </c>
      <c r="BH181" s="96">
        <f>Tabella34[[#This Row],[rest of Italy cumul. Fit]]/Ka</f>
        <v>0.99651973671931438</v>
      </c>
      <c r="BI181" s="163">
        <f>IFERROR(Ko*_xlfn.LOGNORM.DIST((Tabella34[[#This Row],[Day]]-po),mu_o,sigma_o,FALSE),0)</f>
        <v>35.323024028259177</v>
      </c>
      <c r="BJ181" s="206">
        <f>Tabella34[[#This Row],[rest of Italy velocity]]/Tabella34[[#This Row],[rest of Italy cumul. Fit]]</f>
        <v>2.395026413040093E-4</v>
      </c>
      <c r="BK181" s="261">
        <f>(LN(Tabella34[[#This Row],[Day]]-po)-mu_o)/sigma_o</f>
        <v>2.6987269228206294</v>
      </c>
      <c r="BL181" s="269">
        <f>EXP(mu_o+sigma_o*Tabella34[[#This Row],[x_o_alpha©+plus]])-(Tabella34[[#This Row],[Day]]-po)</f>
        <v>10.053213423441122</v>
      </c>
      <c r="BM181" s="269">
        <f>EXP(mu_o+sigma_o*Tabella34[[#This Row],[x_o_alpha©-minus]])-(Tabella34[[#This Row],[Day]]-po)</f>
        <v>-118.07856037781595</v>
      </c>
      <c r="BN181" s="269">
        <f>-sigma_o+SQRT(sigma_o^2-2*Tabella34[[#This Row],[c_o]])</f>
        <v>2.9201155005252417</v>
      </c>
      <c r="BO181" s="269">
        <f>-sigma_o-SQRT(sigma_o^2-2*Tabella34[[#This Row],[c_o]])</f>
        <v>-3.5630882778242681</v>
      </c>
      <c r="BP181" s="269">
        <f>mu_o-LN(alpha*Ko/(Tabella34[[#This Row],[rest of Italy velocity]]*sigma_o*SQRTPI(2)))</f>
        <v>-5.2023146549072168</v>
      </c>
      <c r="BQ181" s="269">
        <f>Tabella34[[#This Row],[t_alpha_o+plus]]</f>
        <v>10.053213423441122</v>
      </c>
      <c r="BR181" s="91">
        <f>IFERROR(-Ka*_xlfn.LOGNORM.DIST((Tabella34[[#This Row],[Day]]-pa),mu_a,sigma_a,FALSE)*(1+(LN((Tabella34[[#This Row],[Day]]-pa))-mu_a)/sigma_a^2)/(Tabella34[[#This Row],[Day]]-pa),0)</f>
        <v>-2.434964167566084</v>
      </c>
      <c r="BS181" s="96">
        <f>Tabella34[[#This Row],[rest of Italy acc. fit]]/y_a_peak</f>
        <v>-7.2058500232437641E-4</v>
      </c>
      <c r="BT181" s="141">
        <f>Tabella34[[#This Row],[rest of Italy acc. fit]]*NOT(ISBLANK(Tabella34[[#This Row],[rest of Italy data]]))</f>
        <v>0</v>
      </c>
      <c r="BU181" s="212"/>
      <c r="BV181" s="142"/>
    </row>
    <row r="182" spans="2:74" x14ac:dyDescent="0.3">
      <c r="B182" s="288">
        <v>44005</v>
      </c>
      <c r="C182" s="4">
        <v>175</v>
      </c>
      <c r="E182" s="10"/>
      <c r="F182" s="10"/>
      <c r="G182" s="141">
        <f>Tabella34[[#This Row],[Italy data]]*NOT(ISBLANK(Tabella34[[#This Row],[Italy data]]))</f>
        <v>0</v>
      </c>
      <c r="H182" s="163">
        <f>Tabella8[[#This Row],[Italy fit]]</f>
        <v>234111.9238381293</v>
      </c>
      <c r="I182" s="163" t="e">
        <f>_xlfn.LOGNORM.INV(alpha*Tabella34[[#This Row],[Italy cumul. Fit]]/Kt,mu_t,sigma_t)-(Tabella34[[#This Row],[Day]]-pt)</f>
        <v>#NUM!</v>
      </c>
      <c r="J182" s="163" t="e">
        <f>Tabella34[[#This Row],[Italy d.t.]]/Italy_dt_at_lockdown</f>
        <v>#NUM!</v>
      </c>
      <c r="K182" s="96">
        <f>Tabella34[[#This Row],[Italy cumul. Fit]]/Kf</f>
        <v>0.99622122432564175</v>
      </c>
      <c r="L182" s="166">
        <f>Tabella34[[#This Row],[Lombardy acc. fit]]+Tabella34[[#This Row],[rest of Italy acc. fit]]</f>
        <v>-4.0940110038743578</v>
      </c>
      <c r="M182" s="96">
        <f>Tabella34[[#This Row],[Italy (fitted Lombardy + fitted sum of the other regions)]]/(y_l_peak+y_a_peak)</f>
        <v>-7.9694928092006144E-4</v>
      </c>
      <c r="N182" s="163">
        <f>IFERROR(Kt*_xlfn.LOGNORM.DIST((Tabella34[[#This Row],[Day]]-pt),mu_t,sigma_t,FALSE),0)</f>
        <v>59.545069482470083</v>
      </c>
      <c r="O182" s="163">
        <f>Kt*EXP(-0.5*Tabella34[[#This Row],[x_t]]^2)/(sigma_t*SQRTPI(2)*(Tabella34[[#This Row],[Day]]-D_bk))</f>
        <v>59.545069482470112</v>
      </c>
      <c r="P182" s="206">
        <f>Tabella34[[#This Row],[Italy velocity]]/Tabella34[[#This Row],[Italy cumul. Fit]]</f>
        <v>2.5434445416646528E-4</v>
      </c>
      <c r="Q182" s="269">
        <f>(LN(Tabella34[[#This Row],[Day]]-D_bk)-mu_t)/sigma_t</f>
        <v>2.6712225852022669</v>
      </c>
      <c r="R182" s="269">
        <f>EXP(mu_t+sigma_t*Tabella34[[#This Row],[x_t_alpha©+plus]])-(Tabella34[[#This Row],[Day]]-D_bk)</f>
        <v>10.311167647789205</v>
      </c>
      <c r="S182" s="269">
        <f>EXP(mu_t+sigma_t*Tabella34[[#This Row],[x_t_alpha©-minus]])-(Tabella34[[#This Row],[Day]]-D_bk)</f>
        <v>-122.36545043002394</v>
      </c>
      <c r="T182" s="269">
        <f>-sigma_t+SQRT(sigma_t^2-2*Tabella34[[#This Row],[c_t]])</f>
        <v>2.8953320390005879</v>
      </c>
      <c r="U182" s="269">
        <f>-sigma_t-SQRT(sigma_t^2-2*Tabella34[[#This Row],[c_t]])</f>
        <v>-3.5145689448928255</v>
      </c>
      <c r="V182" s="269">
        <f>mu_t-LN(alpha*Kt/(Tabella34[[#This Row],[Italy velocity]]*sigma_t*SQRTPI(2)))</f>
        <v>-5.0879220347123448</v>
      </c>
      <c r="W182" s="269">
        <f>Tabella34[[#This Row],[Italy g.r.]]/Italy_gr_at_lockdown</f>
        <v>1.6082034498103757E-3</v>
      </c>
      <c r="X182" s="269">
        <f>Tabella34[[#This Row],[t_alpha_t+plus]]</f>
        <v>10.311167647789205</v>
      </c>
      <c r="Y182" s="269">
        <f>Tabella34[[#This Row],[Italy h.t.]]/Italy_ht_at_lockdown</f>
        <v>0.18363547469537309</v>
      </c>
      <c r="Z182" s="91">
        <f>IFERROR(-Kf*_xlfn.LOGNORM.DIST((Tabella34[[#This Row],[Day]]-D_bk),mu_f,sigma_f,FALSE)*(1+(LN((Tabella34[[#This Row],[Day]]-D_bk))-mu_f)/sigma_f^2)/(Tabella34[[#This Row],[Day]]-D_bk),0)</f>
        <v>-3.9947681530893213</v>
      </c>
      <c r="AA182" s="91">
        <f>Tabella34[[#This Row],[Italy acc. fit]]/Itali_acc_at_lockdown</f>
        <v>-1.6441614454783166E-2</v>
      </c>
      <c r="AB182" s="96">
        <f>Tabella34[[#This Row],[Italy acc. fit]]/y_f_peak</f>
        <v>-7.8922855662587538E-4</v>
      </c>
      <c r="AC182" s="163">
        <f>Tabella34[[#This Row],[Italy (fitted Lombardy + fitted sum of the other regions)]]*NOT(ISBLANK(Tabella34[[#This Row],[Italy data]]))</f>
        <v>0</v>
      </c>
      <c r="AD182" s="163">
        <f>Tabella34[[#This Row],[Italy acc. fit]]*NOT(ISBLANK(Tabella34[[#This Row],[Italy data]]))</f>
        <v>0</v>
      </c>
      <c r="AE182" s="96">
        <f>Tabella34[[#This Row],[Italy acc. fit]]+CIf</f>
        <v>1009.7682338672283</v>
      </c>
      <c r="AF182" s="96">
        <f>MAX(Tabella34[[#This Row],[Italy acc. fit]]-CIf,0)</f>
        <v>0</v>
      </c>
      <c r="AH182" s="10"/>
      <c r="AI182" s="10"/>
      <c r="AJ182" s="141">
        <f>Tabella34[[#This Row],[Lombardy data]]*NOT(ISBLANK(Tabella34[[#This Row],[Lombardy data]]))</f>
        <v>0</v>
      </c>
      <c r="AK182" s="96">
        <f>Tabella8[[#This Row],[Lombardy fit]]</f>
        <v>86454.7346587996</v>
      </c>
      <c r="AL182" s="163" t="e">
        <f>_xlfn.LOGNORM.INV(alpha*Tabella34[[#This Row],[Lombardy cumul. Fit]]/Kr,mu_r,sigma_r)-(Tabella34[[#This Row],[Day]]-pr)</f>
        <v>#NUM!</v>
      </c>
      <c r="AM182" s="96">
        <f>Tabella34[[#This Row],[Lombardy cumul. Fit]]/Kl</f>
        <v>0.9937325822850529</v>
      </c>
      <c r="AN182" s="96">
        <f>IFERROR(Kr*_xlfn.LOGNORM.DIST((Tabella34[[#This Row],[Day]]-pr),mu_r,sigma_r,FALSE),0)</f>
        <v>31.412550928160474</v>
      </c>
      <c r="AO182" s="209">
        <f>Tabella34[[#This Row],[Lombardy velocity]]/Tabella34[[#This Row],[Lombardy cumul. Fit]]</f>
        <v>3.6334101367764961E-4</v>
      </c>
      <c r="AP182" s="266">
        <f>(LN(Tabella34[[#This Row],[Day]]-pr)-mu_r)/sigma_r</f>
        <v>2.4967186815113984</v>
      </c>
      <c r="AQ182" s="269">
        <f>EXP(mu_r+sigma_r*Tabella34[[#This Row],[x_r_alpha©+plus]])-(Tabella34[[#This Row],[Day]]-pr)</f>
        <v>11.954276627830325</v>
      </c>
      <c r="AR182" s="269">
        <f>EXP(mu_r+sigma_r*Tabella34[[#This Row],[x_r_alpha©-minus]])-(Tabella34[[#This Row],[Day]]-pr)</f>
        <v>-124.54306328893718</v>
      </c>
      <c r="AS182" s="269">
        <f>-sigma_r+SQRT(sigma_r^2-2*Tabella34[[#This Row],[c_r]])</f>
        <v>2.7313298001276367</v>
      </c>
      <c r="AT182" s="269">
        <f>-sigma_r-SQRT(sigma_r^2-2*Tabella34[[#This Row],[c_r]])</f>
        <v>-3.4121843973213659</v>
      </c>
      <c r="AU182" s="269">
        <f>mu_r-LN(alpha*Kr/(Tabella34[[#This Row],[Lombardy velocity]]*sigma_r*SQRTPI(2)))</f>
        <v>-4.6599004639672037</v>
      </c>
      <c r="AV182" s="269">
        <f>Tabella34[[#This Row],[t_alpha_r+plus]]</f>
        <v>11.954276627830325</v>
      </c>
      <c r="AW182" s="91">
        <f>IFERROR(-Kl*_xlfn.LOGNORM.DIST((Tabella34[[#This Row],[Day]]-pl),mu_l,sigma_l,FALSE)*(1+(LN((Tabella34[[#This Row],[Day]]-pl))-mu_l)/sigma_l^2)/(Tabella34[[#This Row],[Day]]-pl),0)</f>
        <v>-1.8208271601732986</v>
      </c>
      <c r="AX182" s="96">
        <f>Tabella34[[#This Row],[Lombardy acc. fit]]/y_l_peak</f>
        <v>-1.0357646850707746E-3</v>
      </c>
      <c r="AY182" s="163">
        <f>Tabella34[[#This Row],[Lombardy acc. fit]]*NOT(ISBLANK(Tabella34[[#This Row],[Lombardy data]]))</f>
        <v>0</v>
      </c>
      <c r="AZ182" s="96">
        <f>Tabella34[[#This Row],[Lombardy acc. fit]]+CIl</f>
        <v>747.13454464345034</v>
      </c>
      <c r="BA182" s="96">
        <f>MAX(Tabella34[[#This Row],[Lombardy acc. fit]]-CIl,0)</f>
        <v>0</v>
      </c>
      <c r="BC182" s="10"/>
      <c r="BD182" s="10"/>
      <c r="BE182" s="96">
        <f>Tabella34[[#This Row],[rest of Italy data]]*NOT(ISBLANK(Tabella34[[#This Row],[rest of Italy data]]))</f>
        <v>0</v>
      </c>
      <c r="BF182" s="96">
        <f>Tabella8[[#This Row],[rest of Italy fit]]</f>
        <v>147519.03682830275</v>
      </c>
      <c r="BG182" s="163" t="e">
        <f>_xlfn.LOGNORM.INV(alpha*Tabella34[[#This Row],[rest of Italy cumul. Fit]]/Ko,mu_o,sigma_o)-(Tabella34[[#This Row],[Day]]-po)</f>
        <v>#NUM!</v>
      </c>
      <c r="BH182" s="96">
        <f>Tabella34[[#This Row],[rest of Italy cumul. Fit]]/Ka</f>
        <v>0.99675036487309376</v>
      </c>
      <c r="BI182" s="163">
        <f>IFERROR(Ko*_xlfn.LOGNORM.DIST((Tabella34[[#This Row],[Day]]-po),mu_o,sigma_o,FALSE),0)</f>
        <v>32.969862942080226</v>
      </c>
      <c r="BJ182" s="206">
        <f>Tabella34[[#This Row],[rest of Italy velocity]]/Tabella34[[#This Row],[rest of Italy cumul. Fit]]</f>
        <v>2.2349564944932371E-4</v>
      </c>
      <c r="BK182" s="261">
        <f>(LN(Tabella34[[#This Row],[Day]]-po)-mu_o)/sigma_o</f>
        <v>2.7214678710954594</v>
      </c>
      <c r="BL182" s="269">
        <f>EXP(mu_o+sigma_o*Tabella34[[#This Row],[x_o_alpha©+plus]])-(Tabella34[[#This Row],[Day]]-po)</f>
        <v>10.053891980227121</v>
      </c>
      <c r="BM182" s="269">
        <f>EXP(mu_o+sigma_o*Tabella34[[#This Row],[x_o_alpha©-minus]])-(Tabella34[[#This Row],[Day]]-po)</f>
        <v>-119.20219824605262</v>
      </c>
      <c r="BN182" s="269">
        <f>-sigma_o+SQRT(sigma_o^2-2*Tabella34[[#This Row],[c_o]])</f>
        <v>2.9413137872760617</v>
      </c>
      <c r="BO182" s="269">
        <f>-sigma_o-SQRT(sigma_o^2-2*Tabella34[[#This Row],[c_o]])</f>
        <v>-3.5842865645750881</v>
      </c>
      <c r="BP182" s="269">
        <f>mu_o-LN(alpha*Ko/(Tabella34[[#This Row],[rest of Italy velocity]]*sigma_o*SQRTPI(2)))</f>
        <v>-5.2712557449665285</v>
      </c>
      <c r="BQ182" s="269">
        <f>Tabella34[[#This Row],[t_alpha_o+plus]]</f>
        <v>10.053891980227121</v>
      </c>
      <c r="BR182" s="91">
        <f>IFERROR(-Ka*_xlfn.LOGNORM.DIST((Tabella34[[#This Row],[Day]]-pa),mu_a,sigma_a,FALSE)*(1+(LN((Tabella34[[#This Row],[Day]]-pa))-mu_a)/sigma_a^2)/(Tabella34[[#This Row],[Day]]-pa),0)</f>
        <v>-2.2731838437010592</v>
      </c>
      <c r="BS182" s="96">
        <f>Tabella34[[#This Row],[rest of Italy acc. fit]]/y_a_peak</f>
        <v>-6.7270894870472768E-4</v>
      </c>
      <c r="BT182" s="141">
        <f>Tabella34[[#This Row],[rest of Italy acc. fit]]*NOT(ISBLANK(Tabella34[[#This Row],[rest of Italy data]]))</f>
        <v>0</v>
      </c>
      <c r="BU182" s="212"/>
      <c r="BV182" s="142"/>
    </row>
    <row r="183" spans="2:74" x14ac:dyDescent="0.3">
      <c r="B183" s="288">
        <v>44006</v>
      </c>
      <c r="C183" s="4">
        <v>176</v>
      </c>
      <c r="E183" s="10"/>
      <c r="F183" s="10"/>
      <c r="G183" s="141">
        <f>Tabella34[[#This Row],[Italy data]]*NOT(ISBLANK(Tabella34[[#This Row],[Italy data]]))</f>
        <v>0</v>
      </c>
      <c r="H183" s="163">
        <f>Tabella8[[#This Row],[Italy fit]]</f>
        <v>234169.51509228779</v>
      </c>
      <c r="I183" s="163" t="e">
        <f>_xlfn.LOGNORM.INV(alpha*Tabella34[[#This Row],[Italy cumul. Fit]]/Kt,mu_t,sigma_t)-(Tabella34[[#This Row],[Day]]-pt)</f>
        <v>#NUM!</v>
      </c>
      <c r="J183" s="163" t="e">
        <f>Tabella34[[#This Row],[Italy d.t.]]/Italy_dt_at_lockdown</f>
        <v>#NUM!</v>
      </c>
      <c r="K183" s="96">
        <f>Tabella34[[#This Row],[Italy cumul. Fit]]/Kf</f>
        <v>0.99646629355914185</v>
      </c>
      <c r="L183" s="166">
        <f>Tabella34[[#This Row],[Lombardy acc. fit]]+Tabella34[[#This Row],[rest of Italy acc. fit]]</f>
        <v>-3.8406579172869719</v>
      </c>
      <c r="M183" s="96">
        <f>Tabella34[[#This Row],[Italy (fitted Lombardy + fitted sum of the other regions)]]/(y_l_peak+y_a_peak)</f>
        <v>-7.4763100600980389E-4</v>
      </c>
      <c r="N183" s="163">
        <f>IFERROR(Kt*_xlfn.LOGNORM.DIST((Tabella34[[#This Row],[Day]]-pt),mu_t,sigma_t,FALSE),0)</f>
        <v>55.680305629926259</v>
      </c>
      <c r="O183" s="163">
        <f>Kt*EXP(-0.5*Tabella34[[#This Row],[x_t]]^2)/(sigma_t*SQRTPI(2)*(Tabella34[[#This Row],[Day]]-D_bk))</f>
        <v>55.680305629926202</v>
      </c>
      <c r="P183" s="206">
        <f>Tabella34[[#This Row],[Italy velocity]]/Tabella34[[#This Row],[Italy cumul. Fit]]</f>
        <v>2.3777777226033147E-4</v>
      </c>
      <c r="Q183" s="269">
        <f>(LN(Tabella34[[#This Row],[Day]]-D_bk)-mu_t)/sigma_t</f>
        <v>2.6936509783270135</v>
      </c>
      <c r="R183" s="269">
        <f>EXP(mu_t+sigma_t*Tabella34[[#This Row],[x_t_alpha©+plus]])-(Tabella34[[#This Row],[Day]]-D_bk)</f>
        <v>10.308331841275276</v>
      </c>
      <c r="S183" s="269">
        <f>EXP(mu_t+sigma_t*Tabella34[[#This Row],[x_t_alpha©-minus]])-(Tabella34[[#This Row],[Day]]-D_bk)</f>
        <v>-123.5016103257087</v>
      </c>
      <c r="T183" s="269">
        <f>-sigma_t+SQRT(sigma_t^2-2*Tabella34[[#This Row],[c_t]])</f>
        <v>2.9162026267077934</v>
      </c>
      <c r="U183" s="269">
        <f>-sigma_t-SQRT(sigma_t^2-2*Tabella34[[#This Row],[c_t]])</f>
        <v>-3.535439532600031</v>
      </c>
      <c r="V183" s="269">
        <f>mu_t-LN(alpha*Kt/(Tabella34[[#This Row],[Italy velocity]]*sigma_t*SQRTPI(2)))</f>
        <v>-5.1550290257673916</v>
      </c>
      <c r="W183" s="269">
        <f>Tabella34[[#This Row],[Italy g.r.]]/Italy_gr_at_lockdown</f>
        <v>1.5034533970495702E-3</v>
      </c>
      <c r="X183" s="269">
        <f>Tabella34[[#This Row],[t_alpha_t+plus]]</f>
        <v>10.308331841275276</v>
      </c>
      <c r="Y183" s="269">
        <f>Tabella34[[#This Row],[Italy h.t.]]/Italy_ht_at_lockdown</f>
        <v>0.18358497074731234</v>
      </c>
      <c r="Z183" s="91">
        <f>IFERROR(-Kf*_xlfn.LOGNORM.DIST((Tabella34[[#This Row],[Day]]-D_bk),mu_f,sigma_f,FALSE)*(1+(LN((Tabella34[[#This Row],[Day]]-D_bk))-mu_f)/sigma_f^2)/(Tabella34[[#This Row],[Day]]-D_bk),0)</f>
        <v>-3.7375500324739397</v>
      </c>
      <c r="AA183" s="91">
        <f>Tabella34[[#This Row],[Italy acc. fit]]/Itali_acc_at_lockdown</f>
        <v>-1.53829594821106E-2</v>
      </c>
      <c r="AB183" s="96">
        <f>Tabella34[[#This Row],[Italy acc. fit]]/y_f_peak</f>
        <v>-7.3841111784302474E-4</v>
      </c>
      <c r="AC183" s="163">
        <f>Tabella34[[#This Row],[Italy (fitted Lombardy + fitted sum of the other regions)]]*NOT(ISBLANK(Tabella34[[#This Row],[Italy data]]))</f>
        <v>0</v>
      </c>
      <c r="AD183" s="163">
        <f>Tabella34[[#This Row],[Italy acc. fit]]*NOT(ISBLANK(Tabella34[[#This Row],[Italy data]]))</f>
        <v>0</v>
      </c>
      <c r="AE183" s="96">
        <f>Tabella34[[#This Row],[Italy acc. fit]]+CIf</f>
        <v>1010.0254519878438</v>
      </c>
      <c r="AF183" s="96">
        <f>MAX(Tabella34[[#This Row],[Italy acc. fit]]-CIf,0)</f>
        <v>0</v>
      </c>
      <c r="AH183" s="10"/>
      <c r="AI183" s="10"/>
      <c r="AJ183" s="141">
        <f>Tabella34[[#This Row],[Lombardy data]]*NOT(ISBLANK(Tabella34[[#This Row],[Lombardy data]]))</f>
        <v>0</v>
      </c>
      <c r="AK183" s="96">
        <f>Tabella8[[#This Row],[Lombardy fit]]</f>
        <v>86485.254067232017</v>
      </c>
      <c r="AL183" s="163" t="e">
        <f>_xlfn.LOGNORM.INV(alpha*Tabella34[[#This Row],[Lombardy cumul. Fit]]/Kr,mu_r,sigma_r)-(Tabella34[[#This Row],[Day]]-pr)</f>
        <v>#NUM!</v>
      </c>
      <c r="AM183" s="96">
        <f>Tabella34[[#This Row],[Lombardy cumul. Fit]]/Kl</f>
        <v>0.99408338008312669</v>
      </c>
      <c r="AN183" s="96">
        <f>IFERROR(Kr*_xlfn.LOGNORM.DIST((Tabella34[[#This Row],[Day]]-pr),mu_r,sigma_r,FALSE),0)</f>
        <v>29.643294679872614</v>
      </c>
      <c r="AO183" s="209">
        <f>Tabella34[[#This Row],[Lombardy velocity]]/Tabella34[[#This Row],[Lombardy cumul. Fit]]</f>
        <v>3.427554789493764E-4</v>
      </c>
      <c r="AP183" s="266">
        <f>(LN(Tabella34[[#This Row],[Day]]-pr)-mu_r)/sigma_r</f>
        <v>2.5170786872480631</v>
      </c>
      <c r="AQ183" s="269">
        <f>EXP(mu_r+sigma_r*Tabella34[[#This Row],[x_r_alpha©+plus]])-(Tabella34[[#This Row],[Day]]-pr)</f>
        <v>11.954954272188075</v>
      </c>
      <c r="AR183" s="269">
        <f>EXP(mu_r+sigma_r*Tabella34[[#This Row],[x_r_alpha©-minus]])-(Tabella34[[#This Row],[Day]]-pr)</f>
        <v>-125.66586950961492</v>
      </c>
      <c r="AS183" s="269">
        <f>-sigma_r+SQRT(sigma_r^2-2*Tabella34[[#This Row],[c_r]])</f>
        <v>2.7501446258629887</v>
      </c>
      <c r="AT183" s="269">
        <f>-sigma_r-SQRT(sigma_r^2-2*Tabella34[[#This Row],[c_r]])</f>
        <v>-3.4309992230567179</v>
      </c>
      <c r="AU183" s="269">
        <f>mu_r-LN(alpha*Kr/(Tabella34[[#This Row],[Lombardy velocity]]*sigma_r*SQRTPI(2)))</f>
        <v>-4.7178720373147618</v>
      </c>
      <c r="AV183" s="269">
        <f>Tabella34[[#This Row],[t_alpha_r+plus]]</f>
        <v>11.954954272188075</v>
      </c>
      <c r="AW183" s="91">
        <f>IFERROR(-Kl*_xlfn.LOGNORM.DIST((Tabella34[[#This Row],[Day]]-pl),mu_l,sigma_l,FALSE)*(1+(LN((Tabella34[[#This Row],[Day]]-pl))-mu_l)/sigma_l^2)/(Tabella34[[#This Row],[Day]]-pl),0)</f>
        <v>-1.7186494991794115</v>
      </c>
      <c r="AX183" s="96">
        <f>Tabella34[[#This Row],[Lombardy acc. fit]]/y_l_peak</f>
        <v>-9.7764164342494962E-4</v>
      </c>
      <c r="AY183" s="163">
        <f>Tabella34[[#This Row],[Lombardy acc. fit]]*NOT(ISBLANK(Tabella34[[#This Row],[Lombardy data]]))</f>
        <v>0</v>
      </c>
      <c r="AZ183" s="96">
        <f>Tabella34[[#This Row],[Lombardy acc. fit]]+CIl</f>
        <v>747.23672230444424</v>
      </c>
      <c r="BA183" s="96">
        <f>MAX(Tabella34[[#This Row],[Lombardy acc. fit]]-CIl,0)</f>
        <v>0</v>
      </c>
      <c r="BC183" s="10"/>
      <c r="BD183" s="10"/>
      <c r="BE183" s="96">
        <f>Tabella34[[#This Row],[rest of Italy data]]*NOT(ISBLANK(Tabella34[[#This Row],[rest of Italy data]]))</f>
        <v>0</v>
      </c>
      <c r="BF183" s="96">
        <f>Tabella8[[#This Row],[rest of Italy fit]]</f>
        <v>147550.89572367969</v>
      </c>
      <c r="BG183" s="163" t="e">
        <f>_xlfn.LOGNORM.INV(alpha*Tabella34[[#This Row],[rest of Italy cumul. Fit]]/Ko,mu_o,sigma_o)-(Tabella34[[#This Row],[Day]]-po)</f>
        <v>#NUM!</v>
      </c>
      <c r="BH183" s="96">
        <f>Tabella34[[#This Row],[rest of Italy cumul. Fit]]/Ka</f>
        <v>0.99696562770475383</v>
      </c>
      <c r="BI183" s="163">
        <f>IFERROR(Ko*_xlfn.LOGNORM.DIST((Tabella34[[#This Row],[Day]]-po),mu_o,sigma_o,FALSE),0)</f>
        <v>30.773121844849612</v>
      </c>
      <c r="BJ183" s="206">
        <f>Tabella34[[#This Row],[rest of Italy velocity]]/Tabella34[[#This Row],[rest of Italy cumul. Fit]]</f>
        <v>2.0855936993075802E-4</v>
      </c>
      <c r="BK183" s="261">
        <f>(LN(Tabella34[[#This Row],[Day]]-po)-mu_o)/sigma_o</f>
        <v>2.7440437683924723</v>
      </c>
      <c r="BL183" s="269">
        <f>EXP(mu_o+sigma_o*Tabella34[[#This Row],[x_o_alpha©+plus]])-(Tabella34[[#This Row],[Day]]-po)</f>
        <v>10.055049847419298</v>
      </c>
      <c r="BM183" s="269">
        <f>EXP(mu_o+sigma_o*Tabella34[[#This Row],[x_o_alpha©-minus]])-(Tabella34[[#This Row],[Day]]-po)</f>
        <v>-120.3242260259758</v>
      </c>
      <c r="BN183" s="269">
        <f>-sigma_o+SQRT(sigma_o^2-2*Tabella34[[#This Row],[c_o]])</f>
        <v>2.9623786367213158</v>
      </c>
      <c r="BO183" s="269">
        <f>-sigma_o-SQRT(sigma_o^2-2*Tabella34[[#This Row],[c_o]])</f>
        <v>-3.6053514140203422</v>
      </c>
      <c r="BP183" s="269">
        <f>mu_o-LN(alpha*Ko/(Tabella34[[#This Row],[rest of Italy velocity]]*sigma_o*SQRTPI(2)))</f>
        <v>-5.3402080033834247</v>
      </c>
      <c r="BQ183" s="269">
        <f>Tabella34[[#This Row],[t_alpha_o+plus]]</f>
        <v>10.055049847419298</v>
      </c>
      <c r="BR183" s="91">
        <f>IFERROR(-Ka*_xlfn.LOGNORM.DIST((Tabella34[[#This Row],[Day]]-pa),mu_a,sigma_a,FALSE)*(1+(LN((Tabella34[[#This Row],[Day]]-pa))-mu_a)/sigma_a^2)/(Tabella34[[#This Row],[Day]]-pa),0)</f>
        <v>-2.1220084181075602</v>
      </c>
      <c r="BS183" s="96">
        <f>Tabella34[[#This Row],[rest of Italy acc. fit]]/y_a_peak</f>
        <v>-6.2797122900695983E-4</v>
      </c>
      <c r="BT183" s="141">
        <f>Tabella34[[#This Row],[rest of Italy acc. fit]]*NOT(ISBLANK(Tabella34[[#This Row],[rest of Italy data]]))</f>
        <v>0</v>
      </c>
      <c r="BU183" s="212"/>
      <c r="BV183" s="142"/>
    </row>
    <row r="184" spans="2:74" x14ac:dyDescent="0.3">
      <c r="B184" s="288">
        <v>44007</v>
      </c>
      <c r="C184" s="4">
        <v>177</v>
      </c>
      <c r="E184" s="10"/>
      <c r="F184" s="10"/>
      <c r="G184" s="141">
        <f>Tabella34[[#This Row],[Italy data]]*NOT(ISBLANK(Tabella34[[#This Row],[Italy data]]))</f>
        <v>0</v>
      </c>
      <c r="H184" s="163">
        <f>Tabella8[[#This Row],[Italy fit]]</f>
        <v>234223.36744389645</v>
      </c>
      <c r="I184" s="163" t="e">
        <f>_xlfn.LOGNORM.INV(alpha*Tabella34[[#This Row],[Italy cumul. Fit]]/Kt,mu_t,sigma_t)-(Tabella34[[#This Row],[Day]]-pt)</f>
        <v>#NUM!</v>
      </c>
      <c r="J184" s="163" t="e">
        <f>Tabella34[[#This Row],[Italy d.t.]]/Italy_dt_at_lockdown</f>
        <v>#NUM!</v>
      </c>
      <c r="K184" s="96">
        <f>Tabella34[[#This Row],[Italy cumul. Fit]]/Kf</f>
        <v>0.99669545256468428</v>
      </c>
      <c r="L184" s="166">
        <f>Tabella34[[#This Row],[Lombardy acc. fit]]+Tabella34[[#This Row],[rest of Italy acc. fit]]</f>
        <v>-3.602867511491294</v>
      </c>
      <c r="M184" s="96">
        <f>Tabella34[[#This Row],[Italy (fitted Lombardy + fitted sum of the other regions)]]/(y_l_peak+y_a_peak)</f>
        <v>-7.0134219713039055E-4</v>
      </c>
      <c r="N184" s="163">
        <f>IFERROR(Kt*_xlfn.LOGNORM.DIST((Tabella34[[#This Row],[Day]]-pt),mu_t,sigma_t,FALSE),0)</f>
        <v>52.064559028217332</v>
      </c>
      <c r="O184" s="163">
        <f>Kt*EXP(-0.5*Tabella34[[#This Row],[x_t]]^2)/(sigma_t*SQRTPI(2)*(Tabella34[[#This Row],[Day]]-D_bk))</f>
        <v>52.064559028217253</v>
      </c>
      <c r="P184" s="206">
        <f>Tabella34[[#This Row],[Italy velocity]]/Tabella34[[#This Row],[Italy cumul. Fit]]</f>
        <v>2.2228592986431366E-4</v>
      </c>
      <c r="Q184" s="269">
        <f>(LN(Tabella34[[#This Row],[Day]]-D_bk)-mu_t)/sigma_t</f>
        <v>2.7159246966908803</v>
      </c>
      <c r="R184" s="269">
        <f>EXP(mu_t+sigma_t*Tabella34[[#This Row],[x_t_alpha©+plus]])-(Tabella34[[#This Row],[Day]]-D_bk)</f>
        <v>10.306008793602274</v>
      </c>
      <c r="S184" s="269">
        <f>EXP(mu_t+sigma_t*Tabella34[[#This Row],[x_t_alpha©-minus]])-(Tabella34[[#This Row],[Day]]-D_bk)</f>
        <v>-124.63609608882136</v>
      </c>
      <c r="T184" s="269">
        <f>-sigma_t+SQRT(sigma_t^2-2*Tabella34[[#This Row],[c_t]])</f>
        <v>2.9369498447237854</v>
      </c>
      <c r="U184" s="269">
        <f>-sigma_t-SQRT(sigma_t^2-2*Tabella34[[#This Row],[c_t]])</f>
        <v>-3.556186750616023</v>
      </c>
      <c r="V184" s="269">
        <f>mu_t-LN(alpha*Kt/(Tabella34[[#This Row],[Italy velocity]]*sigma_t*SQRTPI(2)))</f>
        <v>-5.2221710625152555</v>
      </c>
      <c r="W184" s="269">
        <f>Tabella34[[#This Row],[Italy g.r.]]/Italy_gr_at_lockdown</f>
        <v>1.4054994846403436E-3</v>
      </c>
      <c r="X184" s="269">
        <f>Tabella34[[#This Row],[t_alpha_t+plus]]</f>
        <v>10.306008793602274</v>
      </c>
      <c r="Y184" s="269">
        <f>Tabella34[[#This Row],[Italy h.t.]]/Italy_ht_at_lockdown</f>
        <v>0.18354359871489628</v>
      </c>
      <c r="Z184" s="91">
        <f>IFERROR(-Kf*_xlfn.LOGNORM.DIST((Tabella34[[#This Row],[Day]]-D_bk),mu_f,sigma_f,FALSE)*(1+(LN((Tabella34[[#This Row],[Day]]-D_bk))-mu_f)/sigma_f^2)/(Tabella34[[#This Row],[Day]]-D_bk),0)</f>
        <v>-3.4965649984246951</v>
      </c>
      <c r="AA184" s="91">
        <f>Tabella34[[#This Row],[Italy acc. fit]]/Itali_acc_at_lockdown</f>
        <v>-1.4391116434561932E-2</v>
      </c>
      <c r="AB184" s="96">
        <f>Tabella34[[#This Row],[Italy acc. fit]]/y_f_peak</f>
        <v>-6.9080077769248581E-4</v>
      </c>
      <c r="AC184" s="163">
        <f>Tabella34[[#This Row],[Italy (fitted Lombardy + fitted sum of the other regions)]]*NOT(ISBLANK(Tabella34[[#This Row],[Italy data]]))</f>
        <v>0</v>
      </c>
      <c r="AD184" s="163">
        <f>Tabella34[[#This Row],[Italy acc. fit]]*NOT(ISBLANK(Tabella34[[#This Row],[Italy data]]))</f>
        <v>0</v>
      </c>
      <c r="AE184" s="96">
        <f>Tabella34[[#This Row],[Italy acc. fit]]+CIf</f>
        <v>1010.266437021893</v>
      </c>
      <c r="AF184" s="96">
        <f>MAX(Tabella34[[#This Row],[Italy acc. fit]]-CIf,0)</f>
        <v>0</v>
      </c>
      <c r="AH184" s="10"/>
      <c r="AI184" s="10"/>
      <c r="AJ184" s="141">
        <f>Tabella34[[#This Row],[Lombardy data]]*NOT(ISBLANK(Tabella34[[#This Row],[Lombardy data]]))</f>
        <v>0</v>
      </c>
      <c r="AK184" s="96">
        <f>Tabella8[[#This Row],[Lombardy fit]]</f>
        <v>86514.054356922541</v>
      </c>
      <c r="AL184" s="163" t="e">
        <f>_xlfn.LOGNORM.INV(alpha*Tabella34[[#This Row],[Lombardy cumul. Fit]]/Kr,mu_r,sigma_r)-(Tabella34[[#This Row],[Day]]-pr)</f>
        <v>#NUM!</v>
      </c>
      <c r="AM184" s="96">
        <f>Tabella34[[#This Row],[Lombardy cumul. Fit]]/Kl</f>
        <v>0.99441441789566143</v>
      </c>
      <c r="AN184" s="96">
        <f>IFERROR(Kr*_xlfn.LOGNORM.DIST((Tabella34[[#This Row],[Day]]-pr),mu_r,sigma_r,FALSE),0)</f>
        <v>27.973374876525536</v>
      </c>
      <c r="AO184" s="209">
        <f>Tabella34[[#This Row],[Lombardy velocity]]/Tabella34[[#This Row],[Lombardy cumul. Fit]]</f>
        <v>3.2333908154527738E-4</v>
      </c>
      <c r="AP184" s="266">
        <f>(LN(Tabella34[[#This Row],[Day]]-pr)-mu_r)/sigma_r</f>
        <v>2.5372985465254665</v>
      </c>
      <c r="AQ184" s="269">
        <f>EXP(mu_r+sigma_r*Tabella34[[#This Row],[x_r_alpha©+plus]])-(Tabella34[[#This Row],[Day]]-pr)</f>
        <v>11.956142107832676</v>
      </c>
      <c r="AR184" s="269">
        <f>EXP(mu_r+sigma_r*Tabella34[[#This Row],[x_r_alpha©-minus]])-(Tabella34[[#This Row],[Day]]-pr)</f>
        <v>-126.78717896414381</v>
      </c>
      <c r="AS184" s="269">
        <f>-sigma_r+SQRT(sigma_r^2-2*Tabella34[[#This Row],[c_r]])</f>
        <v>2.7688492090178767</v>
      </c>
      <c r="AT184" s="269">
        <f>-sigma_r-SQRT(sigma_r^2-2*Tabella34[[#This Row],[c_r]])</f>
        <v>-3.4497038062116059</v>
      </c>
      <c r="AU184" s="269">
        <f>mu_r-LN(alpha*Kr/(Tabella34[[#This Row],[Lombardy velocity]]*sigma_r*SQRTPI(2)))</f>
        <v>-4.7758548275874828</v>
      </c>
      <c r="AV184" s="269">
        <f>Tabella34[[#This Row],[t_alpha_r+plus]]</f>
        <v>11.956142107832676</v>
      </c>
      <c r="AW184" s="91">
        <f>IFERROR(-Kl*_xlfn.LOGNORM.DIST((Tabella34[[#This Row],[Day]]-pl),mu_l,sigma_l,FALSE)*(1+(LN((Tabella34[[#This Row],[Day]]-pl))-mu_l)/sigma_l^2)/(Tabella34[[#This Row],[Day]]-pl),0)</f>
        <v>-1.6221034919655621</v>
      </c>
      <c r="AX184" s="96">
        <f>Tabella34[[#This Row],[Lombardy acc. fit]]/y_l_peak</f>
        <v>-9.2272212830349463E-4</v>
      </c>
      <c r="AY184" s="163">
        <f>Tabella34[[#This Row],[Lombardy acc. fit]]*NOT(ISBLANK(Tabella34[[#This Row],[Lombardy data]]))</f>
        <v>0</v>
      </c>
      <c r="AZ184" s="96">
        <f>Tabella34[[#This Row],[Lombardy acc. fit]]+CIl</f>
        <v>747.333268311658</v>
      </c>
      <c r="BA184" s="96">
        <f>MAX(Tabella34[[#This Row],[Lombardy acc. fit]]-CIl,0)</f>
        <v>0</v>
      </c>
      <c r="BC184" s="10"/>
      <c r="BD184" s="10"/>
      <c r="BE184" s="96">
        <f>Tabella34[[#This Row],[rest of Italy data]]*NOT(ISBLANK(Tabella34[[#This Row],[rest of Italy data]]))</f>
        <v>0</v>
      </c>
      <c r="BF184" s="96">
        <f>Tabella8[[#This Row],[rest of Italy fit]]</f>
        <v>147580.63178322028</v>
      </c>
      <c r="BG184" s="163" t="e">
        <f>_xlfn.LOGNORM.INV(alpha*Tabella34[[#This Row],[rest of Italy cumul. Fit]]/Ko,mu_o,sigma_o)-(Tabella34[[#This Row],[Day]]-po)</f>
        <v>#NUM!</v>
      </c>
      <c r="BH184" s="96">
        <f>Tabella34[[#This Row],[rest of Italy cumul. Fit]]/Ka</f>
        <v>0.99716654704936336</v>
      </c>
      <c r="BI184" s="163">
        <f>IFERROR(Ko*_xlfn.LOGNORM.DIST((Tabella34[[#This Row],[Day]]-po),mu_o,sigma_o,FALSE),0)</f>
        <v>28.72253620975799</v>
      </c>
      <c r="BJ184" s="206">
        <f>Tabella34[[#This Row],[rest of Italy velocity]]/Tabella34[[#This Row],[rest of Italy cumul. Fit]]</f>
        <v>1.9462266736971446E-4</v>
      </c>
      <c r="BK184" s="261">
        <f>(LN(Tabella34[[#This Row],[Day]]-po)-mu_o)/sigma_o</f>
        <v>2.7664569932975427</v>
      </c>
      <c r="BL184" s="269">
        <f>EXP(mu_o+sigma_o*Tabella34[[#This Row],[x_o_alpha©+plus]])-(Tabella34[[#This Row],[Day]]-po)</f>
        <v>10.056670907060067</v>
      </c>
      <c r="BM184" s="269">
        <f>EXP(mu_o+sigma_o*Tabella34[[#This Row],[x_o_alpha©-minus]])-(Tabella34[[#This Row],[Day]]-po)</f>
        <v>-121.44467299909928</v>
      </c>
      <c r="BN184" s="269">
        <f>-sigma_o+SQRT(sigma_o^2-2*Tabella34[[#This Row],[c_o]])</f>
        <v>2.9833114404514602</v>
      </c>
      <c r="BO184" s="269">
        <f>-sigma_o-SQRT(sigma_o^2-2*Tabella34[[#This Row],[c_o]])</f>
        <v>-3.6262842177504866</v>
      </c>
      <c r="BP184" s="269">
        <f>mu_o-LN(alpha*Ko/(Tabella34[[#This Row],[rest of Italy velocity]]*sigma_o*SQRTPI(2)))</f>
        <v>-5.4091675965718009</v>
      </c>
      <c r="BQ184" s="269">
        <f>Tabella34[[#This Row],[t_alpha_o+plus]]</f>
        <v>10.056670907060067</v>
      </c>
      <c r="BR184" s="91">
        <f>IFERROR(-Ka*_xlfn.LOGNORM.DIST((Tabella34[[#This Row],[Day]]-pa),mu_a,sigma_a,FALSE)*(1+(LN((Tabella34[[#This Row],[Day]]-pa))-mu_a)/sigma_a^2)/(Tabella34[[#This Row],[Day]]-pa),0)</f>
        <v>-1.9807640195257319</v>
      </c>
      <c r="BS184" s="96">
        <f>Tabella34[[#This Row],[rest of Italy acc. fit]]/y_a_peak</f>
        <v>-5.8617242283309865E-4</v>
      </c>
      <c r="BT184" s="141">
        <f>Tabella34[[#This Row],[rest of Italy acc. fit]]*NOT(ISBLANK(Tabella34[[#This Row],[rest of Italy data]]))</f>
        <v>0</v>
      </c>
      <c r="BU184" s="212"/>
      <c r="BV184" s="142"/>
    </row>
    <row r="185" spans="2:74" x14ac:dyDescent="0.3">
      <c r="AL185" s="163"/>
      <c r="BG185" s="163"/>
    </row>
  </sheetData>
  <mergeCells count="13">
    <mergeCell ref="AE6:AJ6"/>
    <mergeCell ref="AY6:BC6"/>
    <mergeCell ref="CA6:CE6"/>
    <mergeCell ref="CL8:CL17"/>
    <mergeCell ref="B2:G2"/>
    <mergeCell ref="G3:G6"/>
    <mergeCell ref="CA3:CE3"/>
    <mergeCell ref="B4:E4"/>
    <mergeCell ref="CA4:CE4"/>
    <mergeCell ref="B5:E5"/>
    <mergeCell ref="AE5:AJ5"/>
    <mergeCell ref="AY5:BC5"/>
    <mergeCell ref="CA5:CE5"/>
  </mergeCells>
  <phoneticPr fontId="25" type="noConversion"/>
  <conditionalFormatting sqref="AW8:AW184">
    <cfRule type="top10" dxfId="2" priority="4" rank="1"/>
  </conditionalFormatting>
  <conditionalFormatting sqref="BR8:BR184">
    <cfRule type="top10" dxfId="1" priority="3" rank="1"/>
  </conditionalFormatting>
  <conditionalFormatting sqref="Z8:AA184">
    <cfRule type="top10" dxfId="0" priority="8" rank="1"/>
  </conditionalFormatting>
  <pageMargins left="0.7" right="0.7" top="0.75" bottom="0.75" header="0.3" footer="0.3"/>
  <pageSetup paperSize="9" orientation="portrait" r:id="rId1"/>
  <drawing r:id="rId2"/>
  <legacyDrawing r:id="rId3"/>
  <tableParts count="5">
    <tablePart r:id="rId4"/>
    <tablePart r:id="rId5"/>
    <tablePart r:id="rId6"/>
    <tablePart r:id="rId7"/>
    <tablePart r:id="rId8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05EB14-AEBC-4B5D-B827-B6FF39F422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6</vt:i4>
      </vt:variant>
      <vt:variant>
        <vt:lpstr>Intervalli denominati</vt:lpstr>
      </vt:variant>
      <vt:variant>
        <vt:i4>90</vt:i4>
      </vt:variant>
    </vt:vector>
  </HeadingPairs>
  <TitlesOfParts>
    <vt:vector size="96" baseType="lpstr">
      <vt:lpstr>time_series_covid19_confirmed_g</vt:lpstr>
      <vt:lpstr>dpc-covid19-ita-andamento-naz</vt:lpstr>
      <vt:lpstr>dpc-covid19-ita-regioni</vt:lpstr>
      <vt:lpstr>Cumul_cases - LNorm</vt:lpstr>
      <vt:lpstr>New_cases - LNorm</vt:lpstr>
      <vt:lpstr>New_cases_rates - LNorm</vt:lpstr>
      <vt:lpstr>alpha</vt:lpstr>
      <vt:lpstr>CI</vt:lpstr>
      <vt:lpstr>CIa</vt:lpstr>
      <vt:lpstr>CIf</vt:lpstr>
      <vt:lpstr>CIl</vt:lpstr>
      <vt:lpstr>CIo</vt:lpstr>
      <vt:lpstr>CIr</vt:lpstr>
      <vt:lpstr>CIt</vt:lpstr>
      <vt:lpstr>CIw</vt:lpstr>
      <vt:lpstr>Critical_t</vt:lpstr>
      <vt:lpstr>Critical_ta</vt:lpstr>
      <vt:lpstr>Critical_tf</vt:lpstr>
      <vt:lpstr>Critical_tl</vt:lpstr>
      <vt:lpstr>Critical_to</vt:lpstr>
      <vt:lpstr>Critical_tr</vt:lpstr>
      <vt:lpstr>Critical_tt</vt:lpstr>
      <vt:lpstr>Critical_tw</vt:lpstr>
      <vt:lpstr>D_bk</vt:lpstr>
      <vt:lpstr>Day_1</vt:lpstr>
      <vt:lpstr>Days_back</vt:lpstr>
      <vt:lpstr>df</vt:lpstr>
      <vt:lpstr>dfa</vt:lpstr>
      <vt:lpstr>dff</vt:lpstr>
      <vt:lpstr>dfl</vt:lpstr>
      <vt:lpstr>dfo</vt:lpstr>
      <vt:lpstr>dfr</vt:lpstr>
      <vt:lpstr>dft</vt:lpstr>
      <vt:lpstr>dfw</vt:lpstr>
      <vt:lpstr>Itali_acc_at_lockdown</vt:lpstr>
      <vt:lpstr>Italy_dt_at_lockdown</vt:lpstr>
      <vt:lpstr>Italy_gr_at_lockdown</vt:lpstr>
      <vt:lpstr>Italy_ht_at_lockdown</vt:lpstr>
      <vt:lpstr>k_a</vt:lpstr>
      <vt:lpstr>k_f</vt:lpstr>
      <vt:lpstr>k_l</vt:lpstr>
      <vt:lpstr>K_sum</vt:lpstr>
      <vt:lpstr>Ka</vt:lpstr>
      <vt:lpstr>Kf</vt:lpstr>
      <vt:lpstr>Kl</vt:lpstr>
      <vt:lpstr>Ko</vt:lpstr>
      <vt:lpstr>Kr</vt:lpstr>
      <vt:lpstr>Kt</vt:lpstr>
      <vt:lpstr>Mean_of_y</vt:lpstr>
      <vt:lpstr>Mean_of_ya</vt:lpstr>
      <vt:lpstr>Mean_of_yf</vt:lpstr>
      <vt:lpstr>Mean_of_yl</vt:lpstr>
      <vt:lpstr>Mean_of_yo</vt:lpstr>
      <vt:lpstr>Mean_of_yr</vt:lpstr>
      <vt:lpstr>Mean_of_yt</vt:lpstr>
      <vt:lpstr>Mean_of_yw</vt:lpstr>
      <vt:lpstr>mu_a</vt:lpstr>
      <vt:lpstr>mu_f</vt:lpstr>
      <vt:lpstr>mu_l</vt:lpstr>
      <vt:lpstr>mu_o</vt:lpstr>
      <vt:lpstr>mu_r</vt:lpstr>
      <vt:lpstr>mu_t</vt:lpstr>
      <vt:lpstr>Oggi</vt:lpstr>
      <vt:lpstr>pa</vt:lpstr>
      <vt:lpstr>Peak_w</vt:lpstr>
      <vt:lpstr>pf</vt:lpstr>
      <vt:lpstr>pl</vt:lpstr>
      <vt:lpstr>po</vt:lpstr>
      <vt:lpstr>pr</vt:lpstr>
      <vt:lpstr>pt</vt:lpstr>
      <vt:lpstr>RSQ</vt:lpstr>
      <vt:lpstr>RSQa</vt:lpstr>
      <vt:lpstr>RSQf</vt:lpstr>
      <vt:lpstr>RSQl</vt:lpstr>
      <vt:lpstr>RSQo</vt:lpstr>
      <vt:lpstr>RSQr</vt:lpstr>
      <vt:lpstr>RSQt</vt:lpstr>
      <vt:lpstr>RSQw</vt:lpstr>
      <vt:lpstr>SE_of_y</vt:lpstr>
      <vt:lpstr>SE_of_ya</vt:lpstr>
      <vt:lpstr>SE_of_yf</vt:lpstr>
      <vt:lpstr>SE_of_yl</vt:lpstr>
      <vt:lpstr>SE_of_yo</vt:lpstr>
      <vt:lpstr>SE_of_yr</vt:lpstr>
      <vt:lpstr>SE_of_yt</vt:lpstr>
      <vt:lpstr>SE_of_yw</vt:lpstr>
      <vt:lpstr>sigma_a</vt:lpstr>
      <vt:lpstr>sigma_f</vt:lpstr>
      <vt:lpstr>sigma_l</vt:lpstr>
      <vt:lpstr>sigma_o</vt:lpstr>
      <vt:lpstr>sigma_r</vt:lpstr>
      <vt:lpstr>sigma_t</vt:lpstr>
      <vt:lpstr>Start_data</vt:lpstr>
      <vt:lpstr>y_a_peak</vt:lpstr>
      <vt:lpstr>y_f_peak</vt:lpstr>
      <vt:lpstr>y_l_peak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Pier Franco Nali</dc:creator>
  <cp:lastModifiedBy>ampfn</cp:lastModifiedBy>
  <dcterms:created xsi:type="dcterms:W3CDTF">2015-06-05T18:17:20Z</dcterms:created>
  <dcterms:modified xsi:type="dcterms:W3CDTF">2020-04-29T14:58:47Z</dcterms:modified>
</cp:coreProperties>
</file>